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barbosa\Downloads\"/>
    </mc:Choice>
  </mc:AlternateContent>
  <xr:revisionPtr revIDLastSave="0" documentId="13_ncr:1_{81E64968-E97B-48D6-AAD2-0F6188C22A1D}" xr6:coauthVersionLast="47" xr6:coauthVersionMax="47" xr10:uidLastSave="{00000000-0000-0000-0000-000000000000}"/>
  <bookViews>
    <workbookView xWindow="-28920" yWindow="-105" windowWidth="29040" windowHeight="15720" xr2:uid="{104F4C16-10C8-42A2-AB95-74E34E87F8C0}"/>
  </bookViews>
  <sheets>
    <sheet name="Anexo II - 2º BIM" sheetId="5" r:id="rId1"/>
  </sheets>
  <definedNames>
    <definedName name="_xlnm.Print_Area" localSheetId="0">'Anexo II - 2º BIM'!$A$1:$L$475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91" i="5" l="1"/>
  <c r="L391" i="5"/>
  <c r="J389" i="5"/>
  <c r="I389" i="5"/>
  <c r="F389" i="5"/>
  <c r="D389" i="5"/>
  <c r="C389" i="5"/>
  <c r="H391" i="5"/>
  <c r="E391" i="5"/>
  <c r="E424" i="5"/>
  <c r="E422" i="5"/>
  <c r="E421" i="5"/>
  <c r="E417" i="5"/>
  <c r="I424" i="5"/>
  <c r="I422" i="5"/>
  <c r="I421" i="5"/>
  <c r="I417" i="5"/>
  <c r="I414" i="5"/>
  <c r="I411" i="5"/>
  <c r="I408" i="5"/>
  <c r="I406" i="5"/>
  <c r="E411" i="5"/>
  <c r="E408" i="5"/>
  <c r="E406" i="5"/>
  <c r="I404" i="5"/>
  <c r="I401" i="5"/>
  <c r="E404" i="5"/>
  <c r="E401" i="5"/>
  <c r="I397" i="5"/>
  <c r="I393" i="5"/>
  <c r="E397" i="5"/>
  <c r="E393" i="5"/>
  <c r="I390" i="5"/>
  <c r="E390" i="5"/>
  <c r="E389" i="5" s="1"/>
  <c r="I386" i="5"/>
  <c r="E386" i="5"/>
  <c r="I383" i="5"/>
  <c r="E383" i="5"/>
  <c r="I380" i="5"/>
  <c r="I379" i="5"/>
  <c r="E380" i="5"/>
  <c r="E379" i="5"/>
  <c r="I376" i="5"/>
  <c r="E376" i="5"/>
  <c r="I373" i="5"/>
  <c r="I372" i="5"/>
  <c r="I370" i="5"/>
  <c r="I368" i="5"/>
  <c r="E373" i="5"/>
  <c r="E372" i="5"/>
  <c r="E370" i="5"/>
  <c r="E368" i="5"/>
  <c r="I365" i="5"/>
  <c r="E365" i="5"/>
  <c r="I362" i="5"/>
  <c r="I361" i="5"/>
  <c r="E362" i="5"/>
  <c r="E361" i="5"/>
  <c r="I359" i="5"/>
  <c r="E359" i="5"/>
  <c r="I356" i="5"/>
  <c r="I355" i="5"/>
  <c r="E357" i="5"/>
  <c r="E356" i="5"/>
  <c r="E355" i="5"/>
  <c r="I351" i="5"/>
  <c r="I350" i="5"/>
  <c r="I349" i="5"/>
  <c r="E353" i="5"/>
  <c r="E351" i="5"/>
  <c r="E350" i="5"/>
  <c r="E349" i="5"/>
  <c r="I344" i="5"/>
  <c r="I341" i="5"/>
  <c r="E344" i="5"/>
  <c r="E341" i="5"/>
  <c r="I339" i="5"/>
  <c r="I337" i="5"/>
  <c r="E339" i="5"/>
  <c r="E337" i="5"/>
  <c r="I333" i="5"/>
  <c r="I332" i="5"/>
  <c r="E333" i="5"/>
  <c r="E332" i="5"/>
  <c r="I328" i="5"/>
  <c r="E328" i="5"/>
  <c r="I303" i="5"/>
  <c r="I301" i="5"/>
  <c r="I300" i="5"/>
  <c r="I299" i="5"/>
  <c r="E303" i="5"/>
  <c r="E301" i="5"/>
  <c r="E300" i="5"/>
  <c r="E299" i="5"/>
  <c r="I296" i="5"/>
  <c r="I295" i="5"/>
  <c r="I294" i="5"/>
  <c r="E296" i="5"/>
  <c r="E295" i="5"/>
  <c r="E294" i="5"/>
  <c r="I290" i="5"/>
  <c r="I288" i="5"/>
  <c r="I287" i="5"/>
  <c r="I283" i="5"/>
  <c r="E290" i="5"/>
  <c r="E288" i="5"/>
  <c r="E287" i="5"/>
  <c r="E283" i="5"/>
  <c r="I278" i="5"/>
  <c r="E278" i="5"/>
  <c r="I272" i="5"/>
  <c r="I270" i="5"/>
  <c r="I269" i="5"/>
  <c r="I267" i="5"/>
  <c r="I265" i="5"/>
  <c r="I263" i="5"/>
  <c r="E272" i="5"/>
  <c r="E270" i="5"/>
  <c r="E269" i="5"/>
  <c r="E267" i="5"/>
  <c r="E265" i="5"/>
  <c r="E263" i="5"/>
  <c r="I261" i="5"/>
  <c r="I257" i="5"/>
  <c r="I255" i="5"/>
  <c r="I254" i="5"/>
  <c r="I248" i="5"/>
  <c r="E261" i="5"/>
  <c r="E257" i="5"/>
  <c r="E255" i="5"/>
  <c r="E254" i="5"/>
  <c r="E250" i="5"/>
  <c r="E248" i="5"/>
  <c r="I246" i="5"/>
  <c r="I244" i="5"/>
  <c r="E246" i="5"/>
  <c r="E244" i="5"/>
  <c r="I225" i="5"/>
  <c r="I242" i="5"/>
  <c r="I240" i="5"/>
  <c r="I239" i="5"/>
  <c r="I238" i="5"/>
  <c r="I237" i="5"/>
  <c r="E242" i="5"/>
  <c r="E240" i="5"/>
  <c r="E239" i="5"/>
  <c r="E238" i="5"/>
  <c r="E237" i="5"/>
  <c r="I230" i="5"/>
  <c r="E234" i="5"/>
  <c r="E230" i="5"/>
  <c r="E225" i="5"/>
  <c r="I222" i="5"/>
  <c r="I220" i="5"/>
  <c r="I213" i="5"/>
  <c r="I212" i="5"/>
  <c r="E222" i="5"/>
  <c r="E215" i="5"/>
  <c r="E213" i="5"/>
  <c r="E212" i="5"/>
  <c r="I209" i="5"/>
  <c r="I208" i="5"/>
  <c r="I207" i="5"/>
  <c r="I206" i="5"/>
  <c r="I205" i="5"/>
  <c r="I204" i="5"/>
  <c r="I201" i="5"/>
  <c r="E209" i="5"/>
  <c r="E208" i="5"/>
  <c r="E207" i="5"/>
  <c r="E206" i="5"/>
  <c r="E205" i="5"/>
  <c r="E204" i="5"/>
  <c r="E201" i="5"/>
  <c r="I196" i="5"/>
  <c r="E196" i="5"/>
  <c r="I192" i="5"/>
  <c r="I191" i="5"/>
  <c r="I188" i="5"/>
  <c r="E192" i="5"/>
  <c r="E191" i="5"/>
  <c r="E188" i="5"/>
  <c r="I183" i="5"/>
  <c r="I179" i="5"/>
  <c r="E183" i="5"/>
  <c r="E179" i="5"/>
  <c r="I177" i="5"/>
  <c r="I174" i="5"/>
  <c r="I171" i="5"/>
  <c r="I170" i="5"/>
  <c r="E177" i="5"/>
  <c r="E174" i="5"/>
  <c r="E171" i="5"/>
  <c r="E170" i="5"/>
  <c r="I151" i="5"/>
  <c r="I150" i="5"/>
  <c r="I149" i="5"/>
  <c r="E151" i="5"/>
  <c r="E150" i="5"/>
  <c r="E149" i="5"/>
  <c r="I141" i="5"/>
  <c r="I140" i="5"/>
  <c r="I139" i="5"/>
  <c r="I138" i="5"/>
  <c r="I137" i="5"/>
  <c r="I136" i="5"/>
  <c r="I135" i="5"/>
  <c r="I133" i="5"/>
  <c r="I131" i="5"/>
  <c r="I128" i="5"/>
  <c r="E146" i="5"/>
  <c r="E141" i="5"/>
  <c r="E140" i="5"/>
  <c r="E139" i="5"/>
  <c r="E138" i="5"/>
  <c r="E137" i="5"/>
  <c r="E136" i="5"/>
  <c r="E135" i="5"/>
  <c r="E133" i="5"/>
  <c r="E131" i="5"/>
  <c r="E128" i="5"/>
  <c r="I124" i="5"/>
  <c r="I122" i="5"/>
  <c r="I120" i="5"/>
  <c r="E124" i="5"/>
  <c r="E120" i="5"/>
  <c r="I116" i="5"/>
  <c r="I115" i="5"/>
  <c r="I114" i="5"/>
  <c r="I113" i="5"/>
  <c r="I112" i="5"/>
  <c r="I111" i="5"/>
  <c r="I110" i="5"/>
  <c r="I109" i="5"/>
  <c r="I108" i="5"/>
  <c r="E116" i="5"/>
  <c r="E115" i="5"/>
  <c r="E114" i="5"/>
  <c r="E113" i="5"/>
  <c r="E112" i="5"/>
  <c r="E111" i="5"/>
  <c r="E110" i="5"/>
  <c r="E109" i="5"/>
  <c r="E108" i="5"/>
  <c r="I105" i="5"/>
  <c r="I103" i="5"/>
  <c r="E105" i="5"/>
  <c r="E103" i="5"/>
  <c r="E100" i="5"/>
  <c r="E99" i="5"/>
  <c r="E97" i="5"/>
  <c r="E96" i="5"/>
  <c r="E95" i="5"/>
  <c r="E93" i="5"/>
  <c r="E92" i="5"/>
  <c r="I100" i="5"/>
  <c r="I99" i="5"/>
  <c r="I97" i="5"/>
  <c r="I96" i="5"/>
  <c r="I95" i="5"/>
  <c r="I93" i="5"/>
  <c r="I92" i="5"/>
  <c r="I89" i="5"/>
  <c r="E89" i="5"/>
  <c r="I84" i="5"/>
  <c r="I83" i="5"/>
  <c r="I82" i="5"/>
  <c r="I78" i="5"/>
  <c r="I77" i="5"/>
  <c r="I71" i="5"/>
  <c r="I70" i="5"/>
  <c r="I69" i="5"/>
  <c r="I68" i="5"/>
  <c r="I67" i="5"/>
  <c r="I66" i="5"/>
  <c r="E84" i="5"/>
  <c r="E83" i="5"/>
  <c r="E82" i="5"/>
  <c r="E78" i="5"/>
  <c r="E77" i="5"/>
  <c r="E71" i="5"/>
  <c r="E70" i="5"/>
  <c r="E69" i="5"/>
  <c r="E68" i="5"/>
  <c r="E67" i="5"/>
  <c r="E66" i="5"/>
  <c r="I60" i="5"/>
  <c r="I56" i="5"/>
  <c r="I51" i="5"/>
  <c r="I47" i="5"/>
  <c r="I46" i="5"/>
  <c r="I45" i="5"/>
  <c r="I43" i="5"/>
  <c r="I42" i="5"/>
  <c r="I41" i="5"/>
  <c r="I40" i="5"/>
  <c r="I39" i="5"/>
  <c r="E60" i="5"/>
  <c r="E56" i="5"/>
  <c r="E51" i="5"/>
  <c r="E46" i="5"/>
  <c r="E45" i="5"/>
  <c r="E43" i="5"/>
  <c r="E42" i="5"/>
  <c r="E41" i="5"/>
  <c r="E40" i="5"/>
  <c r="E39" i="5"/>
  <c r="I38" i="5"/>
  <c r="E38" i="5"/>
  <c r="I37" i="5"/>
  <c r="E37" i="5"/>
  <c r="I34" i="5"/>
  <c r="I33" i="5"/>
  <c r="I32" i="5"/>
  <c r="I31" i="5"/>
  <c r="I30" i="5"/>
  <c r="E34" i="5"/>
  <c r="E33" i="5"/>
  <c r="E32" i="5"/>
  <c r="E31" i="5"/>
  <c r="E30" i="5"/>
  <c r="I27" i="5"/>
  <c r="I26" i="5"/>
  <c r="E27" i="5"/>
  <c r="E26" i="5"/>
  <c r="I22" i="5"/>
  <c r="I19" i="5"/>
  <c r="I18" i="5"/>
  <c r="I17" i="5"/>
  <c r="I16" i="5"/>
  <c r="E22" i="5"/>
  <c r="E19" i="5"/>
  <c r="E18" i="5"/>
  <c r="E17" i="5"/>
  <c r="E16" i="5"/>
  <c r="D400" i="5"/>
  <c r="E414" i="5"/>
  <c r="E371" i="5"/>
  <c r="I371" i="5"/>
  <c r="E363" i="5"/>
  <c r="F298" i="5"/>
  <c r="I271" i="5"/>
  <c r="E271" i="5"/>
  <c r="E220" i="5"/>
  <c r="E199" i="5"/>
  <c r="I146" i="5"/>
  <c r="E122" i="5"/>
  <c r="E47" i="5"/>
  <c r="L265" i="5"/>
  <c r="H265" i="5"/>
  <c r="H47" i="5"/>
  <c r="I425" i="5"/>
  <c r="I419" i="5"/>
  <c r="I418" i="5"/>
  <c r="I415" i="5"/>
  <c r="I412" i="5"/>
  <c r="I409" i="5"/>
  <c r="I403" i="5"/>
  <c r="I402" i="5"/>
  <c r="I399" i="5"/>
  <c r="I398" i="5"/>
  <c r="I396" i="5"/>
  <c r="I395" i="5"/>
  <c r="I394" i="5"/>
  <c r="I388" i="5"/>
  <c r="I384" i="5"/>
  <c r="I381" i="5"/>
  <c r="I377" i="5"/>
  <c r="I374" i="5"/>
  <c r="I369" i="5"/>
  <c r="I366" i="5"/>
  <c r="I363" i="5"/>
  <c r="I357" i="5"/>
  <c r="I353" i="5"/>
  <c r="I352" i="5"/>
  <c r="I347" i="5"/>
  <c r="I346" i="5"/>
  <c r="I345" i="5"/>
  <c r="I343" i="5"/>
  <c r="I342" i="5"/>
  <c r="I338" i="5"/>
  <c r="I336" i="5"/>
  <c r="I335" i="5"/>
  <c r="I330" i="5"/>
  <c r="I329" i="5"/>
  <c r="E426" i="5"/>
  <c r="E425" i="5"/>
  <c r="E419" i="5"/>
  <c r="E418" i="5"/>
  <c r="E415" i="5"/>
  <c r="E412" i="5"/>
  <c r="E409" i="5"/>
  <c r="E403" i="5"/>
  <c r="E402" i="5"/>
  <c r="E399" i="5"/>
  <c r="E398" i="5"/>
  <c r="E396" i="5"/>
  <c r="E395" i="5"/>
  <c r="E394" i="5"/>
  <c r="E388" i="5"/>
  <c r="E384" i="5"/>
  <c r="E381" i="5"/>
  <c r="E377" i="5"/>
  <c r="E374" i="5"/>
  <c r="E369" i="5"/>
  <c r="E366" i="5"/>
  <c r="E352" i="5"/>
  <c r="E347" i="5"/>
  <c r="E346" i="5"/>
  <c r="E345" i="5"/>
  <c r="E343" i="5"/>
  <c r="E342" i="5"/>
  <c r="E338" i="5"/>
  <c r="E336" i="5"/>
  <c r="E335" i="5"/>
  <c r="E330" i="5"/>
  <c r="E329" i="5"/>
  <c r="I302" i="5"/>
  <c r="I297" i="5"/>
  <c r="I292" i="5"/>
  <c r="I291" i="5"/>
  <c r="I289" i="5"/>
  <c r="I286" i="5"/>
  <c r="I285" i="5"/>
  <c r="I284" i="5"/>
  <c r="I281" i="5"/>
  <c r="I280" i="5"/>
  <c r="I279" i="5"/>
  <c r="I276" i="5"/>
  <c r="I275" i="5"/>
  <c r="I274" i="5"/>
  <c r="I268" i="5"/>
  <c r="I266" i="5"/>
  <c r="I264" i="5"/>
  <c r="I260" i="5"/>
  <c r="I259" i="5"/>
  <c r="I258" i="5"/>
  <c r="I256" i="5"/>
  <c r="I253" i="5"/>
  <c r="I252" i="5"/>
  <c r="I251" i="5"/>
  <c r="I250" i="5"/>
  <c r="I249" i="5"/>
  <c r="I245" i="5"/>
  <c r="I241" i="5"/>
  <c r="I236" i="5"/>
  <c r="I235" i="5"/>
  <c r="I234" i="5"/>
  <c r="I233" i="5"/>
  <c r="I232" i="5"/>
  <c r="I231" i="5"/>
  <c r="I229" i="5"/>
  <c r="I228" i="5"/>
  <c r="I227" i="5"/>
  <c r="I226" i="5"/>
  <c r="I223" i="5"/>
  <c r="I221" i="5"/>
  <c r="I219" i="5"/>
  <c r="I218" i="5"/>
  <c r="I217" i="5"/>
  <c r="I216" i="5"/>
  <c r="I215" i="5"/>
  <c r="I214" i="5"/>
  <c r="I210" i="5"/>
  <c r="I203" i="5"/>
  <c r="I202" i="5"/>
  <c r="I199" i="5"/>
  <c r="I198" i="5"/>
  <c r="I197" i="5"/>
  <c r="I195" i="5"/>
  <c r="I194" i="5"/>
  <c r="I190" i="5"/>
  <c r="I189" i="5"/>
  <c r="I186" i="5"/>
  <c r="I185" i="5"/>
  <c r="I184" i="5"/>
  <c r="I182" i="5"/>
  <c r="I181" i="5"/>
  <c r="I180" i="5"/>
  <c r="I176" i="5"/>
  <c r="I175" i="5"/>
  <c r="I173" i="5"/>
  <c r="I172" i="5"/>
  <c r="I169" i="5"/>
  <c r="E302" i="5"/>
  <c r="E297" i="5"/>
  <c r="E292" i="5"/>
  <c r="E291" i="5"/>
  <c r="E289" i="5"/>
  <c r="E286" i="5"/>
  <c r="E285" i="5"/>
  <c r="E284" i="5"/>
  <c r="E281" i="5"/>
  <c r="E280" i="5"/>
  <c r="E279" i="5"/>
  <c r="E276" i="5"/>
  <c r="E275" i="5"/>
  <c r="E274" i="5"/>
  <c r="E268" i="5"/>
  <c r="E266" i="5"/>
  <c r="E264" i="5"/>
  <c r="E260" i="5"/>
  <c r="E259" i="5"/>
  <c r="E258" i="5"/>
  <c r="E256" i="5"/>
  <c r="E253" i="5"/>
  <c r="E252" i="5"/>
  <c r="E251" i="5"/>
  <c r="E249" i="5"/>
  <c r="E245" i="5"/>
  <c r="E241" i="5"/>
  <c r="E236" i="5"/>
  <c r="E235" i="5"/>
  <c r="E233" i="5"/>
  <c r="E232" i="5"/>
  <c r="E231" i="5"/>
  <c r="E229" i="5"/>
  <c r="E228" i="5"/>
  <c r="E227" i="5"/>
  <c r="E226" i="5"/>
  <c r="E223" i="5"/>
  <c r="E221" i="5"/>
  <c r="E219" i="5"/>
  <c r="E218" i="5"/>
  <c r="E217" i="5"/>
  <c r="E216" i="5"/>
  <c r="E214" i="5"/>
  <c r="E210" i="5"/>
  <c r="E203" i="5"/>
  <c r="E202" i="5"/>
  <c r="E198" i="5"/>
  <c r="E197" i="5"/>
  <c r="E195" i="5"/>
  <c r="E194" i="5"/>
  <c r="E190" i="5"/>
  <c r="E189" i="5"/>
  <c r="E186" i="5"/>
  <c r="E185" i="5"/>
  <c r="E184" i="5"/>
  <c r="E182" i="5"/>
  <c r="E181" i="5"/>
  <c r="E180" i="5"/>
  <c r="E176" i="5"/>
  <c r="E175" i="5"/>
  <c r="E173" i="5"/>
  <c r="E172" i="5"/>
  <c r="E169" i="5"/>
  <c r="E152" i="5"/>
  <c r="E147" i="5"/>
  <c r="E145" i="5"/>
  <c r="E144" i="5"/>
  <c r="E143" i="5"/>
  <c r="E142" i="5"/>
  <c r="E134" i="5"/>
  <c r="E132" i="5"/>
  <c r="E130" i="5"/>
  <c r="E129" i="5"/>
  <c r="E126" i="5"/>
  <c r="E125" i="5"/>
  <c r="E123" i="5"/>
  <c r="E121" i="5"/>
  <c r="E119" i="5"/>
  <c r="E117" i="5"/>
  <c r="E106" i="5"/>
  <c r="E104" i="5"/>
  <c r="E101" i="5"/>
  <c r="E98" i="5"/>
  <c r="E94" i="5"/>
  <c r="E91" i="5"/>
  <c r="E90" i="5"/>
  <c r="E87" i="5"/>
  <c r="E86" i="5"/>
  <c r="E85" i="5"/>
  <c r="E81" i="5"/>
  <c r="E80" i="5"/>
  <c r="E79" i="5"/>
  <c r="E72" i="5"/>
  <c r="I152" i="5"/>
  <c r="I147" i="5"/>
  <c r="I145" i="5"/>
  <c r="I144" i="5"/>
  <c r="I143" i="5"/>
  <c r="I142" i="5"/>
  <c r="I134" i="5"/>
  <c r="I132" i="5"/>
  <c r="I130" i="5"/>
  <c r="I129" i="5"/>
  <c r="I126" i="5"/>
  <c r="I125" i="5"/>
  <c r="I123" i="5"/>
  <c r="I121" i="5"/>
  <c r="I119" i="5"/>
  <c r="I117" i="5"/>
  <c r="I106" i="5"/>
  <c r="I104" i="5"/>
  <c r="I101" i="5"/>
  <c r="I98" i="5"/>
  <c r="I94" i="5"/>
  <c r="I91" i="5"/>
  <c r="I90" i="5"/>
  <c r="I87" i="5"/>
  <c r="I86" i="5"/>
  <c r="I85" i="5"/>
  <c r="I81" i="5"/>
  <c r="I80" i="5"/>
  <c r="I79" i="5"/>
  <c r="I76" i="5"/>
  <c r="I75" i="5"/>
  <c r="I74" i="5"/>
  <c r="I73" i="5"/>
  <c r="I72" i="5"/>
  <c r="I65" i="5"/>
  <c r="I36" i="5"/>
  <c r="I63" i="5"/>
  <c r="I62" i="5"/>
  <c r="I61" i="5"/>
  <c r="I59" i="5"/>
  <c r="I58" i="5"/>
  <c r="I57" i="5"/>
  <c r="I55" i="5"/>
  <c r="I54" i="5"/>
  <c r="I53" i="5"/>
  <c r="I52" i="5"/>
  <c r="I50" i="5"/>
  <c r="I49" i="5"/>
  <c r="I48" i="5"/>
  <c r="I44" i="5"/>
  <c r="I28" i="5"/>
  <c r="I20" i="5"/>
  <c r="I21" i="5"/>
  <c r="I23" i="5"/>
  <c r="I24" i="5"/>
  <c r="E24" i="5"/>
  <c r="J293" i="5"/>
  <c r="L424" i="5"/>
  <c r="L426" i="5"/>
  <c r="I413" i="5" l="1"/>
  <c r="E75" i="5"/>
  <c r="E23" i="5" l="1"/>
  <c r="E36" i="5"/>
  <c r="E44" i="5"/>
  <c r="E48" i="5"/>
  <c r="E49" i="5"/>
  <c r="E50" i="5"/>
  <c r="E52" i="5"/>
  <c r="E53" i="5"/>
  <c r="E54" i="5"/>
  <c r="E55" i="5"/>
  <c r="E57" i="5"/>
  <c r="E58" i="5"/>
  <c r="E59" i="5"/>
  <c r="E61" i="5"/>
  <c r="E62" i="5"/>
  <c r="E63" i="5"/>
  <c r="I420" i="5"/>
  <c r="E405" i="5"/>
  <c r="I358" i="5"/>
  <c r="E29" i="5"/>
  <c r="E25" i="5"/>
  <c r="J326" i="5"/>
  <c r="I385" i="5"/>
  <c r="E358" i="5"/>
  <c r="F340" i="5"/>
  <c r="C392" i="5"/>
  <c r="J392" i="5"/>
  <c r="F392" i="5"/>
  <c r="D392" i="5"/>
  <c r="L399" i="5"/>
  <c r="L395" i="5"/>
  <c r="H399" i="5"/>
  <c r="H395" i="5"/>
  <c r="D331" i="5"/>
  <c r="J423" i="5"/>
  <c r="I405" i="5"/>
  <c r="E385" i="5"/>
  <c r="I360" i="5"/>
  <c r="L398" i="5"/>
  <c r="H398" i="5"/>
  <c r="L380" i="5"/>
  <c r="L278" i="5"/>
  <c r="L281" i="5"/>
  <c r="L280" i="5"/>
  <c r="L199" i="5"/>
  <c r="E331" i="5"/>
  <c r="H199" i="5"/>
  <c r="H380" i="5"/>
  <c r="L144" i="5"/>
  <c r="H144" i="5"/>
  <c r="L143" i="5"/>
  <c r="H143" i="5"/>
  <c r="J127" i="5"/>
  <c r="F127" i="5"/>
  <c r="D127" i="5"/>
  <c r="C127" i="5"/>
  <c r="J378" i="5"/>
  <c r="F378" i="5"/>
  <c r="D378" i="5"/>
  <c r="C378" i="5"/>
  <c r="C375" i="5"/>
  <c r="H415" i="5"/>
  <c r="H414" i="5"/>
  <c r="F413" i="5"/>
  <c r="D413" i="5"/>
  <c r="C413" i="5"/>
  <c r="J277" i="5"/>
  <c r="F277" i="5"/>
  <c r="H278" i="5"/>
  <c r="H281" i="5"/>
  <c r="H280" i="5"/>
  <c r="D277" i="5"/>
  <c r="C277" i="5"/>
  <c r="L217" i="5"/>
  <c r="L216" i="5"/>
  <c r="H216" i="5"/>
  <c r="L214" i="5"/>
  <c r="H214" i="5"/>
  <c r="H217" i="5"/>
  <c r="J193" i="5"/>
  <c r="F193" i="5"/>
  <c r="D193" i="5"/>
  <c r="C193" i="5"/>
  <c r="J168" i="5"/>
  <c r="F168" i="5"/>
  <c r="D168" i="5"/>
  <c r="C168" i="5"/>
  <c r="L169" i="5"/>
  <c r="H169" i="5"/>
  <c r="L147" i="5"/>
  <c r="H147" i="5"/>
  <c r="L56" i="5"/>
  <c r="H56" i="5"/>
  <c r="E15" i="5"/>
  <c r="L425" i="5"/>
  <c r="L422" i="5"/>
  <c r="L421" i="5"/>
  <c r="L419" i="5"/>
  <c r="L418" i="5"/>
  <c r="L417" i="5"/>
  <c r="L412" i="5"/>
  <c r="L411" i="5"/>
  <c r="L409" i="5"/>
  <c r="L408" i="5"/>
  <c r="L406" i="5"/>
  <c r="L404" i="5"/>
  <c r="L403" i="5"/>
  <c r="L402" i="5"/>
  <c r="L401" i="5"/>
  <c r="L397" i="5"/>
  <c r="L396" i="5"/>
  <c r="L394" i="5"/>
  <c r="L393" i="5"/>
  <c r="L390" i="5"/>
  <c r="L388" i="5"/>
  <c r="L386" i="5"/>
  <c r="L384" i="5"/>
  <c r="L383" i="5"/>
  <c r="L381" i="5"/>
  <c r="L379" i="5"/>
  <c r="L377" i="5"/>
  <c r="L376" i="5"/>
  <c r="L374" i="5"/>
  <c r="L373" i="5"/>
  <c r="L372" i="5"/>
  <c r="L371" i="5"/>
  <c r="L370" i="5"/>
  <c r="L369" i="5"/>
  <c r="L368" i="5"/>
  <c r="L366" i="5"/>
  <c r="L365" i="5"/>
  <c r="L363" i="5"/>
  <c r="L362" i="5"/>
  <c r="L361" i="5"/>
  <c r="L359" i="5"/>
  <c r="L357" i="5"/>
  <c r="L356" i="5"/>
  <c r="L355" i="5"/>
  <c r="L353" i="5"/>
  <c r="L352" i="5"/>
  <c r="L351" i="5"/>
  <c r="L350" i="5"/>
  <c r="L349" i="5"/>
  <c r="L347" i="5"/>
  <c r="L346" i="5"/>
  <c r="L345" i="5"/>
  <c r="L344" i="5"/>
  <c r="L343" i="5"/>
  <c r="L342" i="5"/>
  <c r="L341" i="5"/>
  <c r="L339" i="5"/>
  <c r="L338" i="5"/>
  <c r="L337" i="5"/>
  <c r="L336" i="5"/>
  <c r="L335" i="5"/>
  <c r="L333" i="5"/>
  <c r="L332" i="5"/>
  <c r="L330" i="5"/>
  <c r="L329" i="5"/>
  <c r="L328" i="5"/>
  <c r="L327" i="5"/>
  <c r="H426" i="5"/>
  <c r="H425" i="5"/>
  <c r="H424" i="5"/>
  <c r="H422" i="5"/>
  <c r="H421" i="5"/>
  <c r="H419" i="5"/>
  <c r="H418" i="5"/>
  <c r="H417" i="5"/>
  <c r="H412" i="5"/>
  <c r="H411" i="5"/>
  <c r="H409" i="5"/>
  <c r="H408" i="5"/>
  <c r="H406" i="5"/>
  <c r="H404" i="5"/>
  <c r="H403" i="5"/>
  <c r="H402" i="5"/>
  <c r="H401" i="5"/>
  <c r="H397" i="5"/>
  <c r="H396" i="5"/>
  <c r="H394" i="5"/>
  <c r="H393" i="5"/>
  <c r="H390" i="5"/>
  <c r="H388" i="5"/>
  <c r="H386" i="5"/>
  <c r="H384" i="5"/>
  <c r="H383" i="5"/>
  <c r="H381" i="5"/>
  <c r="H379" i="5"/>
  <c r="H377" i="5"/>
  <c r="H376" i="5"/>
  <c r="H374" i="5"/>
  <c r="H373" i="5"/>
  <c r="H372" i="5"/>
  <c r="H371" i="5"/>
  <c r="H370" i="5"/>
  <c r="H369" i="5"/>
  <c r="H368" i="5"/>
  <c r="H366" i="5"/>
  <c r="H365" i="5"/>
  <c r="H363" i="5"/>
  <c r="H362" i="5"/>
  <c r="H361" i="5"/>
  <c r="H359" i="5"/>
  <c r="H357" i="5"/>
  <c r="H356" i="5"/>
  <c r="H355" i="5"/>
  <c r="H353" i="5"/>
  <c r="H352" i="5"/>
  <c r="H351" i="5"/>
  <c r="H350" i="5"/>
  <c r="H349" i="5"/>
  <c r="H347" i="5"/>
  <c r="H346" i="5"/>
  <c r="H345" i="5"/>
  <c r="H344" i="5"/>
  <c r="H343" i="5"/>
  <c r="H342" i="5"/>
  <c r="H341" i="5"/>
  <c r="H339" i="5"/>
  <c r="H338" i="5"/>
  <c r="H337" i="5"/>
  <c r="H336" i="5"/>
  <c r="H335" i="5"/>
  <c r="H333" i="5"/>
  <c r="H332" i="5"/>
  <c r="H330" i="5"/>
  <c r="H329" i="5"/>
  <c r="H328" i="5"/>
  <c r="H327" i="5"/>
  <c r="L307" i="5"/>
  <c r="L306" i="5"/>
  <c r="L305" i="5"/>
  <c r="L303" i="5"/>
  <c r="L302" i="5"/>
  <c r="L301" i="5"/>
  <c r="L300" i="5"/>
  <c r="L299" i="5"/>
  <c r="L297" i="5"/>
  <c r="L296" i="5"/>
  <c r="L295" i="5"/>
  <c r="L294" i="5"/>
  <c r="L292" i="5"/>
  <c r="L291" i="5"/>
  <c r="L290" i="5"/>
  <c r="L289" i="5"/>
  <c r="L288" i="5"/>
  <c r="L287" i="5"/>
  <c r="L286" i="5"/>
  <c r="L285" i="5"/>
  <c r="L284" i="5"/>
  <c r="L283" i="5"/>
  <c r="L279" i="5"/>
  <c r="L276" i="5"/>
  <c r="L275" i="5"/>
  <c r="L274" i="5"/>
  <c r="L272" i="5"/>
  <c r="L271" i="5"/>
  <c r="L270" i="5"/>
  <c r="L269" i="5"/>
  <c r="L268" i="5"/>
  <c r="L267" i="5"/>
  <c r="L266" i="5"/>
  <c r="L264" i="5"/>
  <c r="L263" i="5"/>
  <c r="L261" i="5"/>
  <c r="L260" i="5"/>
  <c r="L259" i="5"/>
  <c r="L258" i="5"/>
  <c r="L257" i="5"/>
  <c r="L256" i="5"/>
  <c r="L255" i="5"/>
  <c r="L254" i="5"/>
  <c r="L253" i="5"/>
  <c r="L252" i="5"/>
  <c r="L251" i="5"/>
  <c r="L250" i="5"/>
  <c r="L249" i="5"/>
  <c r="L248" i="5"/>
  <c r="L246" i="5"/>
  <c r="L245" i="5"/>
  <c r="L244" i="5"/>
  <c r="L242" i="5"/>
  <c r="L241" i="5"/>
  <c r="L240" i="5"/>
  <c r="L239" i="5"/>
  <c r="L238" i="5"/>
  <c r="L237" i="5"/>
  <c r="L236" i="5"/>
  <c r="L235" i="5"/>
  <c r="L234" i="5"/>
  <c r="L233" i="5"/>
  <c r="L232" i="5"/>
  <c r="L231" i="5"/>
  <c r="L230" i="5"/>
  <c r="L229" i="5"/>
  <c r="L228" i="5"/>
  <c r="L227" i="5"/>
  <c r="L226" i="5"/>
  <c r="L225" i="5"/>
  <c r="L223" i="5"/>
  <c r="L222" i="5"/>
  <c r="L221" i="5"/>
  <c r="L220" i="5"/>
  <c r="L219" i="5"/>
  <c r="L218" i="5"/>
  <c r="L215" i="5"/>
  <c r="L213" i="5"/>
  <c r="L212" i="5"/>
  <c r="L210" i="5"/>
  <c r="L209" i="5"/>
  <c r="L208" i="5"/>
  <c r="L207" i="5"/>
  <c r="L206" i="5"/>
  <c r="L205" i="5"/>
  <c r="L204" i="5"/>
  <c r="L203" i="5"/>
  <c r="L202" i="5"/>
  <c r="L201" i="5"/>
  <c r="L198" i="5"/>
  <c r="L197" i="5"/>
  <c r="L196" i="5"/>
  <c r="L195" i="5"/>
  <c r="L192" i="5"/>
  <c r="L191" i="5"/>
  <c r="L190" i="5"/>
  <c r="L189" i="5"/>
  <c r="L188" i="5"/>
  <c r="L186" i="5"/>
  <c r="L185" i="5"/>
  <c r="L184" i="5"/>
  <c r="L183" i="5"/>
  <c r="L182" i="5"/>
  <c r="L181" i="5"/>
  <c r="L180" i="5"/>
  <c r="L179" i="5"/>
  <c r="L177" i="5"/>
  <c r="L176" i="5"/>
  <c r="L175" i="5"/>
  <c r="L174" i="5"/>
  <c r="L173" i="5"/>
  <c r="L172" i="5"/>
  <c r="L171" i="5"/>
  <c r="L170" i="5"/>
  <c r="H307" i="5"/>
  <c r="H306" i="5"/>
  <c r="H305" i="5"/>
  <c r="H303" i="5"/>
  <c r="H302" i="5"/>
  <c r="H301" i="5"/>
  <c r="H300" i="5"/>
  <c r="H299" i="5"/>
  <c r="H297" i="5"/>
  <c r="H296" i="5"/>
  <c r="H295" i="5"/>
  <c r="H294" i="5"/>
  <c r="H292" i="5"/>
  <c r="H291" i="5"/>
  <c r="H290" i="5"/>
  <c r="H289" i="5"/>
  <c r="H288" i="5"/>
  <c r="H287" i="5"/>
  <c r="H286" i="5"/>
  <c r="H285" i="5"/>
  <c r="H284" i="5"/>
  <c r="H283" i="5"/>
  <c r="H279" i="5"/>
  <c r="H276" i="5"/>
  <c r="H275" i="5"/>
  <c r="H274" i="5"/>
  <c r="H272" i="5"/>
  <c r="H271" i="5"/>
  <c r="H270" i="5"/>
  <c r="H269" i="5"/>
  <c r="H268" i="5"/>
  <c r="H267" i="5"/>
  <c r="H266" i="5"/>
  <c r="H264" i="5"/>
  <c r="H263" i="5"/>
  <c r="H261" i="5"/>
  <c r="H260" i="5"/>
  <c r="H259" i="5"/>
  <c r="H258" i="5"/>
  <c r="H257" i="5"/>
  <c r="H256" i="5"/>
  <c r="H255" i="5"/>
  <c r="H254" i="5"/>
  <c r="H253" i="5"/>
  <c r="H252" i="5"/>
  <c r="H251" i="5"/>
  <c r="H250" i="5"/>
  <c r="H249" i="5"/>
  <c r="H248" i="5"/>
  <c r="H246" i="5"/>
  <c r="H245" i="5"/>
  <c r="H244" i="5"/>
  <c r="H242" i="5"/>
  <c r="H241" i="5"/>
  <c r="H240" i="5"/>
  <c r="H239" i="5"/>
  <c r="H238" i="5"/>
  <c r="H237" i="5"/>
  <c r="H236" i="5"/>
  <c r="H235" i="5"/>
  <c r="H234" i="5"/>
  <c r="H233" i="5"/>
  <c r="H232" i="5"/>
  <c r="H231" i="5"/>
  <c r="H230" i="5"/>
  <c r="H229" i="5"/>
  <c r="H228" i="5"/>
  <c r="H227" i="5"/>
  <c r="H226" i="5"/>
  <c r="H225" i="5"/>
  <c r="H223" i="5"/>
  <c r="H222" i="5"/>
  <c r="H221" i="5"/>
  <c r="H220" i="5"/>
  <c r="H219" i="5"/>
  <c r="H218" i="5"/>
  <c r="H215" i="5"/>
  <c r="H213" i="5"/>
  <c r="H212" i="5"/>
  <c r="H210" i="5"/>
  <c r="H209" i="5"/>
  <c r="H208" i="5"/>
  <c r="H207" i="5"/>
  <c r="H206" i="5"/>
  <c r="H205" i="5"/>
  <c r="H204" i="5"/>
  <c r="H203" i="5"/>
  <c r="H202" i="5"/>
  <c r="H201" i="5"/>
  <c r="H198" i="5"/>
  <c r="H197" i="5"/>
  <c r="H196" i="5"/>
  <c r="H195" i="5"/>
  <c r="H192" i="5"/>
  <c r="H191" i="5"/>
  <c r="H190" i="5"/>
  <c r="H189" i="5"/>
  <c r="H188" i="5"/>
  <c r="H186" i="5"/>
  <c r="H185" i="5"/>
  <c r="H184" i="5"/>
  <c r="H183" i="5"/>
  <c r="H182" i="5"/>
  <c r="H181" i="5"/>
  <c r="H180" i="5"/>
  <c r="H179" i="5"/>
  <c r="H177" i="5"/>
  <c r="H176" i="5"/>
  <c r="H175" i="5"/>
  <c r="H174" i="5"/>
  <c r="H173" i="5"/>
  <c r="H172" i="5"/>
  <c r="H171" i="5"/>
  <c r="H170" i="5"/>
  <c r="H152" i="5"/>
  <c r="H151" i="5"/>
  <c r="H150" i="5"/>
  <c r="H149" i="5"/>
  <c r="H146" i="5"/>
  <c r="H145" i="5"/>
  <c r="H142" i="5"/>
  <c r="H141" i="5"/>
  <c r="H140" i="5"/>
  <c r="H139" i="5"/>
  <c r="H138" i="5"/>
  <c r="H137" i="5"/>
  <c r="H136" i="5"/>
  <c r="H135" i="5"/>
  <c r="H134" i="5"/>
  <c r="H133" i="5"/>
  <c r="H132" i="5"/>
  <c r="H131" i="5"/>
  <c r="H130" i="5"/>
  <c r="H129" i="5"/>
  <c r="H128" i="5"/>
  <c r="H126" i="5"/>
  <c r="H125" i="5"/>
  <c r="H124" i="5"/>
  <c r="H123" i="5"/>
  <c r="H122" i="5"/>
  <c r="H121" i="5"/>
  <c r="H120" i="5"/>
  <c r="H119" i="5"/>
  <c r="H117" i="5"/>
  <c r="H116" i="5"/>
  <c r="H115" i="5"/>
  <c r="H114" i="5"/>
  <c r="H113" i="5"/>
  <c r="H112" i="5"/>
  <c r="H111" i="5"/>
  <c r="H110" i="5"/>
  <c r="H109" i="5"/>
  <c r="H108" i="5"/>
  <c r="H106" i="5"/>
  <c r="H105" i="5"/>
  <c r="H104" i="5"/>
  <c r="H103" i="5"/>
  <c r="H101" i="5"/>
  <c r="H100" i="5"/>
  <c r="H99" i="5"/>
  <c r="H98" i="5"/>
  <c r="H97" i="5"/>
  <c r="H96" i="5"/>
  <c r="H95" i="5"/>
  <c r="H94" i="5"/>
  <c r="H93" i="5"/>
  <c r="H92" i="5"/>
  <c r="H91" i="5"/>
  <c r="H90" i="5"/>
  <c r="H89" i="5"/>
  <c r="H87" i="5"/>
  <c r="H86" i="5"/>
  <c r="H85" i="5"/>
  <c r="H84" i="5"/>
  <c r="H83" i="5"/>
  <c r="H82" i="5"/>
  <c r="H81" i="5"/>
  <c r="H80" i="5"/>
  <c r="H79" i="5"/>
  <c r="H78" i="5"/>
  <c r="H77" i="5"/>
  <c r="H76" i="5"/>
  <c r="H75" i="5"/>
  <c r="H74" i="5"/>
  <c r="H73" i="5"/>
  <c r="H72" i="5"/>
  <c r="H71" i="5"/>
  <c r="H70" i="5"/>
  <c r="H69" i="5"/>
  <c r="H68" i="5"/>
  <c r="H67" i="5"/>
  <c r="H66" i="5"/>
  <c r="H65" i="5"/>
  <c r="H63" i="5"/>
  <c r="H62" i="5"/>
  <c r="H61" i="5"/>
  <c r="H60" i="5"/>
  <c r="H59" i="5"/>
  <c r="H58" i="5"/>
  <c r="H57" i="5"/>
  <c r="H55" i="5"/>
  <c r="H54" i="5"/>
  <c r="H53" i="5"/>
  <c r="H52" i="5"/>
  <c r="H51" i="5"/>
  <c r="H50" i="5"/>
  <c r="H49" i="5"/>
  <c r="H48" i="5"/>
  <c r="H46" i="5"/>
  <c r="H45" i="5"/>
  <c r="H44" i="5"/>
  <c r="H43" i="5"/>
  <c r="H42" i="5"/>
  <c r="H41" i="5"/>
  <c r="H40" i="5"/>
  <c r="H39" i="5"/>
  <c r="H38" i="5"/>
  <c r="H37" i="5"/>
  <c r="H36" i="5"/>
  <c r="H34" i="5"/>
  <c r="H33" i="5"/>
  <c r="H32" i="5"/>
  <c r="H31" i="5"/>
  <c r="H30" i="5"/>
  <c r="H28" i="5"/>
  <c r="H27" i="5"/>
  <c r="H26" i="5"/>
  <c r="H24" i="5"/>
  <c r="H23" i="5"/>
  <c r="H22" i="5"/>
  <c r="H21" i="5"/>
  <c r="H20" i="5"/>
  <c r="H19" i="5"/>
  <c r="H18" i="5"/>
  <c r="H17" i="5"/>
  <c r="H16" i="5"/>
  <c r="H15" i="5"/>
  <c r="L152" i="5"/>
  <c r="L151" i="5"/>
  <c r="L150" i="5"/>
  <c r="L149" i="5"/>
  <c r="L146" i="5"/>
  <c r="L145" i="5"/>
  <c r="L142" i="5"/>
  <c r="L141" i="5"/>
  <c r="L140" i="5"/>
  <c r="L139" i="5"/>
  <c r="L138" i="5"/>
  <c r="L137" i="5"/>
  <c r="L136" i="5"/>
  <c r="L135" i="5"/>
  <c r="L134" i="5"/>
  <c r="L133" i="5"/>
  <c r="L132" i="5"/>
  <c r="L131" i="5"/>
  <c r="L130" i="5"/>
  <c r="L129" i="5"/>
  <c r="L128" i="5"/>
  <c r="L126" i="5"/>
  <c r="L125" i="5"/>
  <c r="L124" i="5"/>
  <c r="L123" i="5"/>
  <c r="L122" i="5"/>
  <c r="L121" i="5"/>
  <c r="L120" i="5"/>
  <c r="L119" i="5"/>
  <c r="L117" i="5"/>
  <c r="L116" i="5"/>
  <c r="L115" i="5"/>
  <c r="L114" i="5"/>
  <c r="L113" i="5"/>
  <c r="L112" i="5"/>
  <c r="L111" i="5"/>
  <c r="L110" i="5"/>
  <c r="L109" i="5"/>
  <c r="L108" i="5"/>
  <c r="L106" i="5"/>
  <c r="L105" i="5"/>
  <c r="L104" i="5"/>
  <c r="L103" i="5"/>
  <c r="L101" i="5"/>
  <c r="L100" i="5"/>
  <c r="L99" i="5"/>
  <c r="L98" i="5"/>
  <c r="L97" i="5"/>
  <c r="L96" i="5"/>
  <c r="L95" i="5"/>
  <c r="L94" i="5"/>
  <c r="L93" i="5"/>
  <c r="L92" i="5"/>
  <c r="L91" i="5"/>
  <c r="L90" i="5"/>
  <c r="L89" i="5"/>
  <c r="L87" i="5"/>
  <c r="L86" i="5"/>
  <c r="L85" i="5"/>
  <c r="L84" i="5"/>
  <c r="L83" i="5"/>
  <c r="L82" i="5"/>
  <c r="L81" i="5"/>
  <c r="L80" i="5"/>
  <c r="L79" i="5"/>
  <c r="L78" i="5"/>
  <c r="L77" i="5"/>
  <c r="L76" i="5"/>
  <c r="L75" i="5"/>
  <c r="L74" i="5"/>
  <c r="L73" i="5"/>
  <c r="L72" i="5"/>
  <c r="L71" i="5"/>
  <c r="L70" i="5"/>
  <c r="L69" i="5"/>
  <c r="L68" i="5"/>
  <c r="L67" i="5"/>
  <c r="L66" i="5"/>
  <c r="L65" i="5"/>
  <c r="L63" i="5"/>
  <c r="L62" i="5"/>
  <c r="L61" i="5"/>
  <c r="L60" i="5"/>
  <c r="L59" i="5"/>
  <c r="L58" i="5"/>
  <c r="L57" i="5"/>
  <c r="L55" i="5"/>
  <c r="L54" i="5"/>
  <c r="L53" i="5"/>
  <c r="L52" i="5"/>
  <c r="L51" i="5"/>
  <c r="L50" i="5"/>
  <c r="L49" i="5"/>
  <c r="L48" i="5"/>
  <c r="L46" i="5"/>
  <c r="L45" i="5"/>
  <c r="L44" i="5"/>
  <c r="L43" i="5"/>
  <c r="L42" i="5"/>
  <c r="L41" i="5"/>
  <c r="L40" i="5"/>
  <c r="L39" i="5"/>
  <c r="L38" i="5"/>
  <c r="L37" i="5"/>
  <c r="L36" i="5"/>
  <c r="L34" i="5"/>
  <c r="L33" i="5"/>
  <c r="L32" i="5"/>
  <c r="L31" i="5"/>
  <c r="L30" i="5"/>
  <c r="L28" i="5"/>
  <c r="L27" i="5"/>
  <c r="L26" i="5"/>
  <c r="L24" i="5"/>
  <c r="L23" i="5"/>
  <c r="L22" i="5"/>
  <c r="L21" i="5"/>
  <c r="L20" i="5"/>
  <c r="L19" i="5"/>
  <c r="L18" i="5"/>
  <c r="L17" i="5"/>
  <c r="L16" i="5"/>
  <c r="L15" i="5"/>
  <c r="J102" i="5"/>
  <c r="F102" i="5"/>
  <c r="D102" i="5"/>
  <c r="C102" i="5"/>
  <c r="I25" i="5"/>
  <c r="J25" i="5"/>
  <c r="F25" i="5"/>
  <c r="D25" i="5"/>
  <c r="C25" i="5"/>
  <c r="E28" i="5"/>
  <c r="E327" i="5"/>
  <c r="I15" i="5"/>
  <c r="E243" i="5"/>
  <c r="E127" i="5"/>
  <c r="E21" i="5"/>
  <c r="J334" i="5"/>
  <c r="I423" i="5"/>
  <c r="E423" i="5"/>
  <c r="J340" i="5"/>
  <c r="D340" i="5"/>
  <c r="C340" i="5"/>
  <c r="I407" i="5"/>
  <c r="E407" i="5"/>
  <c r="J407" i="5"/>
  <c r="F407" i="5"/>
  <c r="D407" i="5"/>
  <c r="C407" i="5"/>
  <c r="D423" i="5"/>
  <c r="F423" i="5"/>
  <c r="C423" i="5"/>
  <c r="D420" i="5"/>
  <c r="F420" i="5"/>
  <c r="C420" i="5"/>
  <c r="J416" i="5"/>
  <c r="D416" i="5"/>
  <c r="F416" i="5"/>
  <c r="C416" i="5"/>
  <c r="J410" i="5"/>
  <c r="D410" i="5"/>
  <c r="F410" i="5"/>
  <c r="C410" i="5"/>
  <c r="J375" i="5"/>
  <c r="D375" i="5"/>
  <c r="F375" i="5"/>
  <c r="D304" i="5"/>
  <c r="L304" i="5" s="1"/>
  <c r="C304" i="5"/>
  <c r="I410" i="5"/>
  <c r="E410" i="5"/>
  <c r="I375" i="5"/>
  <c r="E375" i="5"/>
  <c r="J178" i="5"/>
  <c r="F178" i="5"/>
  <c r="D178" i="5"/>
  <c r="C178" i="5"/>
  <c r="J64" i="5"/>
  <c r="F64" i="5"/>
  <c r="D64" i="5"/>
  <c r="C64" i="5"/>
  <c r="E76" i="5"/>
  <c r="E73" i="5"/>
  <c r="I364" i="5"/>
  <c r="E364" i="5"/>
  <c r="E65" i="5"/>
  <c r="J420" i="5"/>
  <c r="J118" i="5"/>
  <c r="F118" i="5"/>
  <c r="J382" i="5"/>
  <c r="I382" i="5"/>
  <c r="C382" i="5"/>
  <c r="D382" i="5"/>
  <c r="F382" i="5"/>
  <c r="E382" i="5"/>
  <c r="E378" i="5"/>
  <c r="J364" i="5"/>
  <c r="F364" i="5"/>
  <c r="F405" i="5"/>
  <c r="F326" i="5"/>
  <c r="C326" i="5"/>
  <c r="D326" i="5"/>
  <c r="J367" i="5"/>
  <c r="F367" i="5"/>
  <c r="D367" i="5"/>
  <c r="C367" i="5"/>
  <c r="D364" i="5"/>
  <c r="C364" i="5"/>
  <c r="J247" i="5"/>
  <c r="F247" i="5"/>
  <c r="D247" i="5"/>
  <c r="C247" i="5"/>
  <c r="J224" i="5"/>
  <c r="F224" i="5"/>
  <c r="D224" i="5"/>
  <c r="C224" i="5"/>
  <c r="J211" i="5"/>
  <c r="F211" i="5"/>
  <c r="D211" i="5"/>
  <c r="C211" i="5"/>
  <c r="D118" i="5"/>
  <c r="C118" i="5"/>
  <c r="E20" i="5"/>
  <c r="I327" i="5"/>
  <c r="E148" i="5"/>
  <c r="E74" i="5"/>
  <c r="J273" i="5"/>
  <c r="I273" i="5" s="1"/>
  <c r="F334" i="5"/>
  <c r="C334" i="5"/>
  <c r="D334" i="5"/>
  <c r="J14" i="5"/>
  <c r="F14" i="5"/>
  <c r="C14" i="5"/>
  <c r="D14" i="5"/>
  <c r="D262" i="5"/>
  <c r="J400" i="5"/>
  <c r="F400" i="5"/>
  <c r="C400" i="5"/>
  <c r="I354" i="5"/>
  <c r="E354" i="5"/>
  <c r="E340" i="5"/>
  <c r="E298" i="5"/>
  <c r="D273" i="5"/>
  <c r="L273" i="5" s="1"/>
  <c r="F273" i="5"/>
  <c r="E273" i="5" s="1"/>
  <c r="C273" i="5"/>
  <c r="D200" i="5"/>
  <c r="F200" i="5"/>
  <c r="C200" i="5"/>
  <c r="I148" i="5"/>
  <c r="J88" i="5"/>
  <c r="D88" i="5"/>
  <c r="F88" i="5"/>
  <c r="C88" i="5"/>
  <c r="J360" i="5"/>
  <c r="J387" i="5"/>
  <c r="I387" i="5" s="1"/>
  <c r="F387" i="5"/>
  <c r="E387" i="5" s="1"/>
  <c r="D387" i="5"/>
  <c r="C387" i="5"/>
  <c r="A162" i="5"/>
  <c r="A319" i="5" s="1"/>
  <c r="L163" i="5"/>
  <c r="L320" i="5" s="1"/>
  <c r="J405" i="5"/>
  <c r="D405" i="5"/>
  <c r="C405" i="5"/>
  <c r="J385" i="5"/>
  <c r="F385" i="5"/>
  <c r="D385" i="5"/>
  <c r="C385" i="5"/>
  <c r="F360" i="5"/>
  <c r="D360" i="5"/>
  <c r="C360" i="5"/>
  <c r="J358" i="5"/>
  <c r="F358" i="5"/>
  <c r="D358" i="5"/>
  <c r="C358" i="5"/>
  <c r="J354" i="5"/>
  <c r="F354" i="5"/>
  <c r="D354" i="5"/>
  <c r="C354" i="5"/>
  <c r="J348" i="5"/>
  <c r="F348" i="5"/>
  <c r="D348" i="5"/>
  <c r="C348" i="5"/>
  <c r="J331" i="5"/>
  <c r="F331" i="5"/>
  <c r="C331" i="5"/>
  <c r="J298" i="5"/>
  <c r="D298" i="5"/>
  <c r="C298" i="5"/>
  <c r="F293" i="5"/>
  <c r="D293" i="5"/>
  <c r="C293" i="5"/>
  <c r="J282" i="5"/>
  <c r="F282" i="5"/>
  <c r="D282" i="5"/>
  <c r="C282" i="5"/>
  <c r="J262" i="5"/>
  <c r="F262" i="5"/>
  <c r="C262" i="5"/>
  <c r="J243" i="5"/>
  <c r="F243" i="5"/>
  <c r="D243" i="5"/>
  <c r="C243" i="5"/>
  <c r="J200" i="5"/>
  <c r="J187" i="5"/>
  <c r="F187" i="5"/>
  <c r="D187" i="5"/>
  <c r="C187" i="5"/>
  <c r="J148" i="5"/>
  <c r="F148" i="5"/>
  <c r="D148" i="5"/>
  <c r="C148" i="5"/>
  <c r="J107" i="5"/>
  <c r="F107" i="5"/>
  <c r="D107" i="5"/>
  <c r="C107" i="5"/>
  <c r="J35" i="5"/>
  <c r="F35" i="5"/>
  <c r="D35" i="5"/>
  <c r="C35" i="5"/>
  <c r="J29" i="5"/>
  <c r="F29" i="5"/>
  <c r="D29" i="5"/>
  <c r="C29" i="5"/>
  <c r="L415" i="5"/>
  <c r="J413" i="5"/>
  <c r="L414" i="5"/>
  <c r="I331" i="5"/>
  <c r="E360" i="5"/>
  <c r="E35" i="5" l="1"/>
  <c r="H364" i="5"/>
  <c r="H277" i="5"/>
  <c r="L326" i="5"/>
  <c r="E102" i="5"/>
  <c r="L354" i="5"/>
  <c r="I400" i="5"/>
  <c r="E367" i="5"/>
  <c r="E348" i="5"/>
  <c r="H193" i="5"/>
  <c r="I211" i="5"/>
  <c r="I416" i="5"/>
  <c r="E413" i="5"/>
  <c r="H304" i="5"/>
  <c r="E416" i="5"/>
  <c r="L387" i="5"/>
  <c r="I168" i="5"/>
  <c r="I178" i="5"/>
  <c r="E178" i="5"/>
  <c r="I193" i="5"/>
  <c r="I367" i="5"/>
  <c r="H273" i="5"/>
  <c r="I334" i="5"/>
  <c r="I118" i="5"/>
  <c r="H102" i="5"/>
  <c r="I187" i="5"/>
  <c r="E168" i="5"/>
  <c r="E262" i="5"/>
  <c r="L364" i="5"/>
  <c r="I277" i="5"/>
  <c r="H340" i="5"/>
  <c r="I348" i="5"/>
  <c r="I326" i="5"/>
  <c r="H375" i="5"/>
  <c r="L413" i="5"/>
  <c r="H14" i="5"/>
  <c r="H385" i="5"/>
  <c r="L375" i="5"/>
  <c r="L360" i="5"/>
  <c r="H358" i="5"/>
  <c r="H354" i="5"/>
  <c r="L340" i="5"/>
  <c r="L334" i="5"/>
  <c r="E334" i="5"/>
  <c r="E326" i="5"/>
  <c r="L407" i="5"/>
  <c r="H407" i="5"/>
  <c r="H382" i="5"/>
  <c r="H360" i="5"/>
  <c r="C325" i="5"/>
  <c r="C308" i="5" s="1"/>
  <c r="I243" i="5"/>
  <c r="H224" i="5"/>
  <c r="E211" i="5"/>
  <c r="E200" i="5"/>
  <c r="L200" i="5"/>
  <c r="E187" i="5"/>
  <c r="L118" i="5"/>
  <c r="E118" i="5"/>
  <c r="I102" i="5"/>
  <c r="I88" i="5"/>
  <c r="E88" i="5"/>
  <c r="I64" i="5"/>
  <c r="E64" i="5"/>
  <c r="E14" i="5"/>
  <c r="I29" i="5"/>
  <c r="L29" i="5"/>
  <c r="C13" i="5"/>
  <c r="H423" i="5"/>
  <c r="H413" i="5"/>
  <c r="L405" i="5"/>
  <c r="L400" i="5"/>
  <c r="E400" i="5"/>
  <c r="H400" i="5"/>
  <c r="E392" i="5"/>
  <c r="H392" i="5"/>
  <c r="H389" i="5"/>
  <c r="L348" i="5"/>
  <c r="H348" i="5"/>
  <c r="H334" i="5"/>
  <c r="H326" i="5"/>
  <c r="I293" i="5"/>
  <c r="E293" i="5"/>
  <c r="H293" i="5"/>
  <c r="L277" i="5"/>
  <c r="E277" i="5"/>
  <c r="I224" i="5"/>
  <c r="E224" i="5"/>
  <c r="H211" i="5"/>
  <c r="I200" i="5"/>
  <c r="H200" i="5"/>
  <c r="E193" i="5"/>
  <c r="H187" i="5"/>
  <c r="L178" i="5"/>
  <c r="L148" i="5"/>
  <c r="I127" i="5"/>
  <c r="H127" i="5"/>
  <c r="I107" i="5"/>
  <c r="E107" i="5"/>
  <c r="H88" i="5"/>
  <c r="H64" i="5"/>
  <c r="I14" i="5"/>
  <c r="L423" i="5"/>
  <c r="H420" i="5"/>
  <c r="E420" i="5"/>
  <c r="H416" i="5"/>
  <c r="H410" i="5"/>
  <c r="L392" i="5"/>
  <c r="L389" i="5"/>
  <c r="L385" i="5"/>
  <c r="H378" i="5"/>
  <c r="L378" i="5"/>
  <c r="H367" i="5"/>
  <c r="L367" i="5"/>
  <c r="L358" i="5"/>
  <c r="L298" i="5"/>
  <c r="L293" i="5"/>
  <c r="L282" i="5"/>
  <c r="H262" i="5"/>
  <c r="E247" i="5"/>
  <c r="L224" i="5"/>
  <c r="L193" i="5"/>
  <c r="H178" i="5"/>
  <c r="H118" i="5"/>
  <c r="H107" i="5"/>
  <c r="L64" i="5"/>
  <c r="H29" i="5"/>
  <c r="L420" i="5"/>
  <c r="L416" i="5"/>
  <c r="L410" i="5"/>
  <c r="H405" i="5"/>
  <c r="D325" i="5"/>
  <c r="D308" i="5" s="1"/>
  <c r="I392" i="5"/>
  <c r="H387" i="5"/>
  <c r="L382" i="5"/>
  <c r="I378" i="5"/>
  <c r="F325" i="5"/>
  <c r="F308" i="5" s="1"/>
  <c r="I340" i="5"/>
  <c r="H331" i="5"/>
  <c r="I298" i="5"/>
  <c r="H298" i="5"/>
  <c r="I282" i="5"/>
  <c r="E282" i="5"/>
  <c r="H282" i="5"/>
  <c r="I262" i="5"/>
  <c r="L262" i="5"/>
  <c r="I247" i="5"/>
  <c r="H247" i="5"/>
  <c r="L247" i="5"/>
  <c r="H243" i="5"/>
  <c r="L243" i="5"/>
  <c r="L211" i="5"/>
  <c r="L187" i="5"/>
  <c r="H168" i="5"/>
  <c r="L168" i="5"/>
  <c r="H148" i="5"/>
  <c r="L127" i="5"/>
  <c r="L107" i="5"/>
  <c r="L102" i="5"/>
  <c r="L88" i="5"/>
  <c r="H35" i="5"/>
  <c r="J325" i="5"/>
  <c r="L331" i="5"/>
  <c r="J13" i="5"/>
  <c r="I35" i="5"/>
  <c r="L35" i="5"/>
  <c r="F13" i="5"/>
  <c r="H25" i="5"/>
  <c r="L25" i="5"/>
  <c r="D13" i="5"/>
  <c r="L14" i="5"/>
  <c r="E325" i="5" l="1"/>
  <c r="E308" i="5" s="1"/>
  <c r="C309" i="5"/>
  <c r="I13" i="5"/>
  <c r="E13" i="5"/>
  <c r="D309" i="5"/>
  <c r="L325" i="5"/>
  <c r="H308" i="5"/>
  <c r="H325" i="5"/>
  <c r="F309" i="5"/>
  <c r="G391" i="5" s="1"/>
  <c r="J308" i="5"/>
  <c r="L308" i="5" s="1"/>
  <c r="L13" i="5"/>
  <c r="H13" i="5"/>
  <c r="G265" i="5" l="1"/>
  <c r="G254" i="5"/>
  <c r="G114" i="5"/>
  <c r="G47" i="5"/>
  <c r="G169" i="5"/>
  <c r="E309" i="5"/>
  <c r="G148" i="5"/>
  <c r="G52" i="5"/>
  <c r="G110" i="5"/>
  <c r="G13" i="5"/>
  <c r="G250" i="5"/>
  <c r="G135" i="5"/>
  <c r="G120" i="5"/>
  <c r="G283" i="5"/>
  <c r="G290" i="5"/>
  <c r="G194" i="5"/>
  <c r="G97" i="5"/>
  <c r="H309" i="5"/>
  <c r="G268" i="5"/>
  <c r="G174" i="5"/>
  <c r="G343" i="5"/>
  <c r="G275" i="5"/>
  <c r="G396" i="5"/>
  <c r="G225" i="5"/>
  <c r="G259" i="5"/>
  <c r="G123" i="5"/>
  <c r="G48" i="5"/>
  <c r="G400" i="5"/>
  <c r="G253" i="5"/>
  <c r="G138" i="5"/>
  <c r="G201" i="5"/>
  <c r="G200" i="5"/>
  <c r="G409" i="5"/>
  <c r="G339" i="5"/>
  <c r="G83" i="5"/>
  <c r="G349" i="5"/>
  <c r="G20" i="5"/>
  <c r="G344" i="5"/>
  <c r="G293" i="5"/>
  <c r="G299" i="5"/>
  <c r="G95" i="5"/>
  <c r="G406" i="5"/>
  <c r="G34" i="5"/>
  <c r="G212" i="5"/>
  <c r="G189" i="5"/>
  <c r="G362" i="5"/>
  <c r="G129" i="5"/>
  <c r="G38" i="5"/>
  <c r="G372" i="5"/>
  <c r="G14" i="5"/>
  <c r="G390" i="5"/>
  <c r="G186" i="5"/>
  <c r="G182" i="5"/>
  <c r="G144" i="5"/>
  <c r="G249" i="5"/>
  <c r="G177" i="5"/>
  <c r="G340" i="5"/>
  <c r="G422" i="5"/>
  <c r="G139" i="5"/>
  <c r="G74" i="5"/>
  <c r="G380" i="5"/>
  <c r="G419" i="5"/>
  <c r="G276" i="5"/>
  <c r="G56" i="5"/>
  <c r="G379" i="5"/>
  <c r="G308" i="5"/>
  <c r="G151" i="5"/>
  <c r="G168" i="5"/>
  <c r="G33" i="5"/>
  <c r="G405" i="5"/>
  <c r="G361" i="5"/>
  <c r="G39" i="5"/>
  <c r="G82" i="5"/>
  <c r="G412" i="5"/>
  <c r="G65" i="5"/>
  <c r="G204" i="5"/>
  <c r="G369" i="5"/>
  <c r="G335" i="5"/>
  <c r="G336" i="5"/>
  <c r="G121" i="5"/>
  <c r="G241" i="5"/>
  <c r="G54" i="5"/>
  <c r="G91" i="5"/>
  <c r="G243" i="5"/>
  <c r="G63" i="5"/>
  <c r="G40" i="5"/>
  <c r="G108" i="5"/>
  <c r="G416" i="5"/>
  <c r="G228" i="5"/>
  <c r="G347" i="5"/>
  <c r="G75" i="5"/>
  <c r="G232" i="5"/>
  <c r="G190" i="5"/>
  <c r="G43" i="5"/>
  <c r="G185" i="5"/>
  <c r="G378" i="5"/>
  <c r="G371" i="5"/>
  <c r="G389" i="5"/>
  <c r="G342" i="5"/>
  <c r="G132" i="5"/>
  <c r="G348" i="5"/>
  <c r="G353" i="5"/>
  <c r="G370" i="5"/>
  <c r="G360" i="5"/>
  <c r="G417" i="5"/>
  <c r="G256" i="5"/>
  <c r="G109" i="5"/>
  <c r="G325" i="5"/>
  <c r="G381" i="5"/>
  <c r="G93" i="5"/>
  <c r="G384" i="5"/>
  <c r="G223" i="5"/>
  <c r="G68" i="5"/>
  <c r="G271" i="5"/>
  <c r="G338" i="5"/>
  <c r="G205" i="5"/>
  <c r="G26" i="5"/>
  <c r="G298" i="5"/>
  <c r="G136" i="5"/>
  <c r="G69" i="5"/>
  <c r="G365" i="5"/>
  <c r="G116" i="5"/>
  <c r="G329" i="5"/>
  <c r="G46" i="5"/>
  <c r="G346" i="5"/>
  <c r="G245" i="5"/>
  <c r="G385" i="5"/>
  <c r="G94" i="5"/>
  <c r="G236" i="5"/>
  <c r="G53" i="5"/>
  <c r="G354" i="5"/>
  <c r="G29" i="5"/>
  <c r="G99" i="5"/>
  <c r="G142" i="5"/>
  <c r="G150" i="5"/>
  <c r="G171" i="5"/>
  <c r="G67" i="5"/>
  <c r="G334" i="5"/>
  <c r="G146" i="5"/>
  <c r="G104" i="5"/>
  <c r="G326" i="5"/>
  <c r="G178" i="5"/>
  <c r="G357" i="5"/>
  <c r="G401" i="5"/>
  <c r="G301" i="5"/>
  <c r="G208" i="5"/>
  <c r="G278" i="5"/>
  <c r="G85" i="5"/>
  <c r="G224" i="5"/>
  <c r="G410" i="5"/>
  <c r="G35" i="5"/>
  <c r="G207" i="5"/>
  <c r="G21" i="5"/>
  <c r="G277" i="5"/>
  <c r="G403" i="5"/>
  <c r="G376" i="5"/>
  <c r="G187" i="5"/>
  <c r="G133" i="5"/>
  <c r="G49" i="5"/>
  <c r="G221" i="5"/>
  <c r="G37" i="5"/>
  <c r="G173" i="5"/>
  <c r="G126" i="5"/>
  <c r="G140" i="5"/>
  <c r="G411" i="5"/>
  <c r="G234" i="5"/>
  <c r="G337" i="5"/>
  <c r="G244" i="5"/>
  <c r="G192" i="5"/>
  <c r="G130" i="5"/>
  <c r="G181" i="5"/>
  <c r="G286" i="5"/>
  <c r="G71" i="5"/>
  <c r="G84" i="5"/>
  <c r="G218" i="5"/>
  <c r="G407" i="5"/>
  <c r="G128" i="5"/>
  <c r="G367" i="5"/>
  <c r="G359" i="5"/>
  <c r="G107" i="5"/>
  <c r="G89" i="5"/>
  <c r="G191" i="5"/>
  <c r="G64" i="5"/>
  <c r="G213" i="5"/>
  <c r="G398" i="5"/>
  <c r="G230" i="5"/>
  <c r="G229" i="5"/>
  <c r="G300" i="5"/>
  <c r="G27" i="5"/>
  <c r="G106" i="5"/>
  <c r="G51" i="5"/>
  <c r="G188" i="5"/>
  <c r="G92" i="5"/>
  <c r="G295" i="5"/>
  <c r="G199" i="5"/>
  <c r="G143" i="5"/>
  <c r="G197" i="5"/>
  <c r="G246" i="5"/>
  <c r="G196" i="5"/>
  <c r="G102" i="5"/>
  <c r="G239" i="5"/>
  <c r="G418" i="5"/>
  <c r="G284" i="5"/>
  <c r="G394" i="5"/>
  <c r="G374" i="5"/>
  <c r="G198" i="5"/>
  <c r="G233" i="5"/>
  <c r="G263" i="5"/>
  <c r="G248" i="5"/>
  <c r="G273" i="5"/>
  <c r="G424" i="5"/>
  <c r="G214" i="5"/>
  <c r="G358" i="5"/>
  <c r="G87" i="5"/>
  <c r="G117" i="5"/>
  <c r="G28" i="5"/>
  <c r="G202" i="5"/>
  <c r="G356" i="5"/>
  <c r="G113" i="5"/>
  <c r="G193" i="5"/>
  <c r="G413" i="5"/>
  <c r="I325" i="5" s="1"/>
  <c r="I308" i="5" s="1"/>
  <c r="I309" i="5" s="1"/>
  <c r="G395" i="5"/>
  <c r="G402" i="5"/>
  <c r="G31" i="5"/>
  <c r="G328" i="5"/>
  <c r="G368" i="5"/>
  <c r="G81" i="5"/>
  <c r="G44" i="5"/>
  <c r="G350" i="5"/>
  <c r="G145" i="5"/>
  <c r="G387" i="5"/>
  <c r="G72" i="5"/>
  <c r="G79" i="5"/>
  <c r="G127" i="5"/>
  <c r="G260" i="5"/>
  <c r="G98" i="5"/>
  <c r="G287" i="5"/>
  <c r="G279" i="5"/>
  <c r="G45" i="5"/>
  <c r="G341" i="5"/>
  <c r="G231" i="5"/>
  <c r="G60" i="5"/>
  <c r="G137" i="5"/>
  <c r="G88" i="5"/>
  <c r="G364" i="5"/>
  <c r="G397" i="5"/>
  <c r="G76" i="5"/>
  <c r="G17" i="5"/>
  <c r="G363" i="5"/>
  <c r="G219" i="5"/>
  <c r="G70" i="5"/>
  <c r="G272" i="5"/>
  <c r="G170" i="5"/>
  <c r="G61" i="5"/>
  <c r="G180" i="5"/>
  <c r="G152" i="5"/>
  <c r="G291" i="5"/>
  <c r="G264" i="5"/>
  <c r="G408" i="5"/>
  <c r="G131" i="5"/>
  <c r="G100" i="5"/>
  <c r="G41" i="5"/>
  <c r="G258" i="5"/>
  <c r="G179" i="5"/>
  <c r="G118" i="5"/>
  <c r="G292" i="5"/>
  <c r="G105" i="5"/>
  <c r="G288" i="5"/>
  <c r="G18" i="5"/>
  <c r="G331" i="5"/>
  <c r="G355" i="5"/>
  <c r="G420" i="5"/>
  <c r="G141" i="5"/>
  <c r="G211" i="5"/>
  <c r="G125" i="5"/>
  <c r="G222" i="5"/>
  <c r="G36" i="5"/>
  <c r="G242" i="5"/>
  <c r="G262" i="5"/>
  <c r="G73" i="5"/>
  <c r="G345" i="5"/>
  <c r="G86" i="5"/>
  <c r="G238" i="5"/>
  <c r="G266" i="5"/>
  <c r="G112" i="5"/>
  <c r="G274" i="5"/>
  <c r="G119" i="5"/>
  <c r="G327" i="5"/>
  <c r="G366" i="5"/>
  <c r="G62" i="5"/>
  <c r="G296" i="5"/>
  <c r="G282" i="5"/>
  <c r="G399" i="5"/>
  <c r="G302" i="5"/>
  <c r="G175" i="5"/>
  <c r="G149" i="5"/>
  <c r="G176" i="5"/>
  <c r="G216" i="5"/>
  <c r="G386" i="5"/>
  <c r="G206" i="5"/>
  <c r="G261" i="5"/>
  <c r="G19" i="5"/>
  <c r="G423" i="5"/>
  <c r="G425" i="5"/>
  <c r="G209" i="5"/>
  <c r="G289" i="5"/>
  <c r="G414" i="5"/>
  <c r="G78" i="5"/>
  <c r="G220" i="5"/>
  <c r="G235" i="5"/>
  <c r="G42" i="5"/>
  <c r="G392" i="5"/>
  <c r="G134" i="5"/>
  <c r="G111" i="5"/>
  <c r="G23" i="5"/>
  <c r="G421" i="5"/>
  <c r="G255" i="5"/>
  <c r="G32" i="5"/>
  <c r="G393" i="5"/>
  <c r="G415" i="5"/>
  <c r="G58" i="5"/>
  <c r="G90" i="5"/>
  <c r="G303" i="5"/>
  <c r="G382" i="5"/>
  <c r="G15" i="5"/>
  <c r="G375" i="5"/>
  <c r="G184" i="5"/>
  <c r="G217" i="5"/>
  <c r="G203" i="5"/>
  <c r="G66" i="5"/>
  <c r="G226" i="5"/>
  <c r="G269" i="5"/>
  <c r="G332" i="5"/>
  <c r="G267" i="5"/>
  <c r="G50" i="5"/>
  <c r="G16" i="5"/>
  <c r="G383" i="5"/>
  <c r="G281" i="5"/>
  <c r="G30" i="5"/>
  <c r="G270" i="5"/>
  <c r="G183" i="5"/>
  <c r="G195" i="5"/>
  <c r="G24" i="5"/>
  <c r="G297" i="5"/>
  <c r="G59" i="5"/>
  <c r="G294" i="5"/>
  <c r="G352" i="5"/>
  <c r="G55" i="5"/>
  <c r="G57" i="5"/>
  <c r="G404" i="5"/>
  <c r="G251" i="5"/>
  <c r="G285" i="5"/>
  <c r="G210" i="5"/>
  <c r="G240" i="5"/>
  <c r="G377" i="5"/>
  <c r="G22" i="5"/>
  <c r="G115" i="5"/>
  <c r="G388" i="5"/>
  <c r="G330" i="5"/>
  <c r="G215" i="5"/>
  <c r="G247" i="5"/>
  <c r="G280" i="5"/>
  <c r="G257" i="5"/>
  <c r="G237" i="5"/>
  <c r="G147" i="5"/>
  <c r="G373" i="5"/>
  <c r="G122" i="5"/>
  <c r="G227" i="5"/>
  <c r="G333" i="5"/>
  <c r="G96" i="5"/>
  <c r="G101" i="5"/>
  <c r="G172" i="5"/>
  <c r="G124" i="5"/>
  <c r="G77" i="5"/>
  <c r="G80" i="5"/>
  <c r="G103" i="5"/>
  <c r="G252" i="5"/>
  <c r="G351" i="5"/>
  <c r="G25" i="5"/>
  <c r="L309" i="5"/>
  <c r="J309" i="5"/>
  <c r="K265" i="5" l="1"/>
  <c r="K391" i="5"/>
  <c r="K93" i="5"/>
  <c r="K208" i="5"/>
  <c r="K199" i="5"/>
  <c r="K194" i="5"/>
  <c r="K326" i="5"/>
  <c r="K395" i="5"/>
  <c r="G309" i="5"/>
  <c r="K170" i="5"/>
  <c r="K338" i="5"/>
  <c r="K57" i="5"/>
  <c r="K369" i="5"/>
  <c r="K410" i="5"/>
  <c r="K138" i="5"/>
  <c r="K135" i="5"/>
  <c r="K25" i="5"/>
  <c r="K405" i="5"/>
  <c r="K290" i="5"/>
  <c r="K140" i="5"/>
  <c r="K171" i="5"/>
  <c r="K234" i="5"/>
  <c r="K186" i="5"/>
  <c r="K263" i="5"/>
  <c r="K217" i="5"/>
  <c r="K82" i="5"/>
  <c r="K77" i="5"/>
  <c r="K115" i="5"/>
  <c r="K229" i="5"/>
  <c r="K345" i="5"/>
  <c r="K73" i="5"/>
  <c r="K187" i="5"/>
  <c r="K30" i="5"/>
  <c r="K233" i="5"/>
  <c r="K196" i="5"/>
  <c r="K86" i="5"/>
  <c r="K377" i="5"/>
  <c r="K365" i="5"/>
  <c r="K112" i="5"/>
  <c r="K273" i="5"/>
  <c r="K210" i="5"/>
  <c r="K247" i="5"/>
  <c r="K331" i="5"/>
  <c r="K257" i="5"/>
  <c r="K245" i="5"/>
  <c r="K422" i="5"/>
  <c r="K96" i="5"/>
  <c r="K356" i="5"/>
  <c r="K178" i="5"/>
  <c r="K388" i="5"/>
  <c r="K67" i="5"/>
  <c r="K308" i="5"/>
  <c r="K419" i="5"/>
  <c r="K124" i="5"/>
  <c r="K60" i="5"/>
  <c r="K341" i="5"/>
  <c r="K74" i="5"/>
  <c r="K132" i="5"/>
  <c r="K280" i="5"/>
  <c r="K424" i="5"/>
  <c r="K200" i="5"/>
  <c r="K254" i="5"/>
  <c r="K336" i="5"/>
  <c r="K16" i="5"/>
  <c r="K381" i="5"/>
  <c r="K292" i="5"/>
  <c r="K148" i="5"/>
  <c r="K226" i="5"/>
  <c r="K390" i="5"/>
  <c r="K399" i="5"/>
  <c r="K396" i="5"/>
  <c r="K137" i="5"/>
  <c r="K131" i="5"/>
  <c r="K37" i="5"/>
  <c r="K180" i="5"/>
  <c r="K98" i="5"/>
  <c r="K342" i="5"/>
  <c r="K152" i="5"/>
  <c r="K393" i="5"/>
  <c r="K214" i="5"/>
  <c r="K271" i="5"/>
  <c r="K177" i="5"/>
  <c r="K230" i="5"/>
  <c r="K206" i="5"/>
  <c r="K97" i="5"/>
  <c r="K64" i="5"/>
  <c r="K101" i="5"/>
  <c r="K88" i="5"/>
  <c r="K72" i="5"/>
  <c r="K75" i="5"/>
  <c r="K363" i="5"/>
  <c r="K244" i="5"/>
  <c r="K87" i="5"/>
  <c r="K143" i="5"/>
  <c r="K258" i="5"/>
  <c r="K139" i="5"/>
  <c r="K126" i="5"/>
  <c r="K334" i="5"/>
  <c r="K237" i="5"/>
  <c r="K174" i="5"/>
  <c r="K343" i="5"/>
  <c r="K205" i="5"/>
  <c r="K291" i="5"/>
  <c r="K348" i="5"/>
  <c r="K39" i="5"/>
  <c r="K80" i="5"/>
  <c r="K330" i="5"/>
  <c r="K407" i="5"/>
  <c r="K173" i="5"/>
  <c r="K221" i="5"/>
  <c r="K176" i="5"/>
  <c r="K277" i="5"/>
  <c r="K353" i="5"/>
  <c r="K125" i="5"/>
  <c r="K362" i="5"/>
  <c r="K384" i="5"/>
  <c r="K51" i="5"/>
  <c r="K282" i="5"/>
  <c r="K259" i="5"/>
  <c r="K31" i="5"/>
  <c r="K42" i="5"/>
  <c r="K130" i="5"/>
  <c r="K346" i="5"/>
  <c r="K122" i="5"/>
  <c r="K360" i="5"/>
  <c r="K32" i="5"/>
  <c r="K149" i="5"/>
  <c r="K58" i="5"/>
  <c r="K184" i="5"/>
  <c r="K133" i="5"/>
  <c r="K127" i="5"/>
  <c r="K379" i="5"/>
  <c r="K340" i="5"/>
  <c r="K222" i="5"/>
  <c r="K400" i="5"/>
  <c r="K85" i="5"/>
  <c r="K351" i="5"/>
  <c r="K239" i="5"/>
  <c r="K404" i="5"/>
  <c r="K250" i="5"/>
  <c r="K267" i="5"/>
  <c r="K17" i="5"/>
  <c r="K54" i="5"/>
  <c r="K76" i="5"/>
  <c r="K227" i="5"/>
  <c r="K289" i="5"/>
  <c r="K105" i="5"/>
  <c r="K195" i="5"/>
  <c r="K113" i="5"/>
  <c r="K123" i="5"/>
  <c r="K402" i="5"/>
  <c r="K100" i="5"/>
  <c r="K27" i="5"/>
  <c r="K168" i="5"/>
  <c r="K408" i="5"/>
  <c r="K20" i="5"/>
  <c r="K91" i="5"/>
  <c r="K401" i="5"/>
  <c r="K110" i="5"/>
  <c r="K121" i="5"/>
  <c r="K409" i="5"/>
  <c r="K366" i="5"/>
  <c r="K204" i="5"/>
  <c r="K329" i="5"/>
  <c r="K109" i="5"/>
  <c r="K416" i="5"/>
  <c r="K252" i="5"/>
  <c r="K335" i="5"/>
  <c r="K414" i="5"/>
  <c r="K350" i="5"/>
  <c r="K425" i="5"/>
  <c r="K185" i="5"/>
  <c r="K285" i="5"/>
  <c r="K99" i="5"/>
  <c r="K193" i="5"/>
  <c r="K301" i="5"/>
  <c r="K302" i="5"/>
  <c r="K146" i="5"/>
  <c r="K52" i="5"/>
  <c r="K284" i="5"/>
  <c r="K386" i="5"/>
  <c r="K53" i="5"/>
  <c r="K35" i="5"/>
  <c r="K297" i="5"/>
  <c r="K190" i="5"/>
  <c r="K270" i="5"/>
  <c r="K188" i="5"/>
  <c r="K421" i="5"/>
  <c r="K83" i="5"/>
  <c r="K268" i="5"/>
  <c r="K255" i="5"/>
  <c r="K276" i="5"/>
  <c r="K43" i="5"/>
  <c r="K151" i="5"/>
  <c r="K36" i="5"/>
  <c r="K352" i="5"/>
  <c r="K103" i="5"/>
  <c r="K361" i="5"/>
  <c r="K232" i="5"/>
  <c r="K376" i="5"/>
  <c r="K104" i="5"/>
  <c r="K108" i="5"/>
  <c r="K355" i="5"/>
  <c r="K380" i="5"/>
  <c r="K26" i="5"/>
  <c r="K147" i="5"/>
  <c r="K49" i="5"/>
  <c r="K95" i="5"/>
  <c r="K327" i="5"/>
  <c r="K418" i="5"/>
  <c r="K283" i="5"/>
  <c r="K359" i="5"/>
  <c r="K220" i="5"/>
  <c r="K202" i="5"/>
  <c r="K33" i="5"/>
  <c r="K287" i="5"/>
  <c r="K119" i="5"/>
  <c r="K367" i="5"/>
  <c r="K117" i="5"/>
  <c r="K84" i="5"/>
  <c r="K242" i="5"/>
  <c r="K120" i="5"/>
  <c r="K45" i="5"/>
  <c r="K169" i="5"/>
  <c r="K191" i="5"/>
  <c r="K387" i="5"/>
  <c r="K294" i="5"/>
  <c r="K78" i="5"/>
  <c r="K412" i="5"/>
  <c r="K207" i="5"/>
  <c r="K79" i="5"/>
  <c r="K225" i="5"/>
  <c r="K172" i="5"/>
  <c r="K260" i="5"/>
  <c r="K236" i="5"/>
  <c r="K65" i="5"/>
  <c r="K274" i="5"/>
  <c r="K411" i="5"/>
  <c r="K262" i="5"/>
  <c r="K423" i="5"/>
  <c r="K46" i="5"/>
  <c r="K300" i="5"/>
  <c r="K241" i="5"/>
  <c r="K182" i="5"/>
  <c r="K28" i="5"/>
  <c r="K417" i="5"/>
  <c r="K272" i="5"/>
  <c r="K116" i="5"/>
  <c r="K44" i="5"/>
  <c r="K228" i="5"/>
  <c r="K246" i="5"/>
  <c r="K378" i="5"/>
  <c r="K256" i="5"/>
  <c r="K275" i="5"/>
  <c r="K333" i="5"/>
  <c r="K281" i="5"/>
  <c r="K70" i="5"/>
  <c r="K68" i="5"/>
  <c r="K332" i="5"/>
  <c r="K90" i="5"/>
  <c r="K389" i="5"/>
  <c r="K134" i="5"/>
  <c r="K69" i="5"/>
  <c r="K175" i="5"/>
  <c r="K298" i="5"/>
  <c r="K269" i="5"/>
  <c r="K370" i="5"/>
  <c r="K224" i="5"/>
  <c r="K201" i="5"/>
  <c r="K296" i="5"/>
  <c r="K293" i="5"/>
  <c r="K18" i="5"/>
  <c r="K22" i="5"/>
  <c r="K197" i="5"/>
  <c r="K15" i="5"/>
  <c r="K354" i="5"/>
  <c r="K102" i="5"/>
  <c r="K183" i="5"/>
  <c r="K278" i="5"/>
  <c r="K203" i="5"/>
  <c r="K279" i="5"/>
  <c r="K266" i="5"/>
  <c r="K398" i="5"/>
  <c r="K375" i="5"/>
  <c r="K144" i="5"/>
  <c r="K24" i="5"/>
  <c r="K364" i="5"/>
  <c r="K231" i="5"/>
  <c r="K216" i="5"/>
  <c r="K141" i="5"/>
  <c r="K55" i="5"/>
  <c r="K415" i="5"/>
  <c r="K23" i="5"/>
  <c r="K66" i="5"/>
  <c r="K118" i="5"/>
  <c r="K249" i="5"/>
  <c r="K209" i="5"/>
  <c r="K94" i="5"/>
  <c r="K374" i="5"/>
  <c r="K403" i="5"/>
  <c r="K253" i="5"/>
  <c r="K347" i="5"/>
  <c r="K337" i="5"/>
  <c r="K385" i="5"/>
  <c r="K406" i="5"/>
  <c r="K286" i="5"/>
  <c r="K38" i="5"/>
  <c r="K420" i="5"/>
  <c r="K344" i="5"/>
  <c r="K349" i="5"/>
  <c r="K106" i="5"/>
  <c r="K392" i="5"/>
  <c r="K181" i="5"/>
  <c r="K92" i="5"/>
  <c r="K211" i="5"/>
  <c r="K238" i="5"/>
  <c r="K34" i="5"/>
  <c r="K213" i="5"/>
  <c r="K240" i="5"/>
  <c r="K62" i="5"/>
  <c r="K251" i="5"/>
  <c r="K339" i="5"/>
  <c r="K50" i="5"/>
  <c r="K114" i="5"/>
  <c r="K261" i="5"/>
  <c r="K40" i="5"/>
  <c r="K129" i="5"/>
  <c r="K21" i="5"/>
  <c r="K219" i="5"/>
  <c r="K299" i="5"/>
  <c r="K288" i="5"/>
  <c r="K397" i="5"/>
  <c r="K14" i="5"/>
  <c r="K368" i="5"/>
  <c r="K248" i="5"/>
  <c r="K29" i="5"/>
  <c r="K145" i="5"/>
  <c r="K383" i="5"/>
  <c r="K303" i="5"/>
  <c r="K373" i="5"/>
  <c r="K357" i="5"/>
  <c r="K264" i="5"/>
  <c r="K56" i="5"/>
  <c r="K371" i="5"/>
  <c r="K243" i="5"/>
  <c r="K212" i="5"/>
  <c r="K48" i="5"/>
  <c r="K358" i="5"/>
  <c r="K81" i="5"/>
  <c r="K215" i="5"/>
  <c r="K41" i="5"/>
  <c r="K89" i="5"/>
  <c r="K179" i="5"/>
  <c r="K198" i="5"/>
  <c r="K192" i="5"/>
  <c r="K328" i="5"/>
  <c r="K189" i="5"/>
  <c r="K59" i="5"/>
  <c r="K150" i="5"/>
  <c r="K235" i="5"/>
  <c r="K413" i="5"/>
  <c r="K223" i="5"/>
  <c r="K136" i="5"/>
  <c r="K394" i="5"/>
  <c r="K19" i="5"/>
  <c r="K71" i="5"/>
  <c r="K128" i="5"/>
  <c r="K218" i="5"/>
  <c r="K107" i="5"/>
  <c r="K295" i="5"/>
  <c r="K13" i="5"/>
  <c r="K325" i="5"/>
  <c r="K382" i="5"/>
  <c r="K111" i="5"/>
  <c r="K61" i="5"/>
  <c r="K63" i="5"/>
  <c r="K372" i="5"/>
  <c r="K142" i="5"/>
  <c r="K309" i="5" l="1"/>
</calcChain>
</file>

<file path=xl/sharedStrings.xml><?xml version="1.0" encoding="utf-8"?>
<sst xmlns="http://schemas.openxmlformats.org/spreadsheetml/2006/main" count="867" uniqueCount="292">
  <si>
    <t>GOVERNO DO ESTADO DO RIO DE JANEIRO</t>
  </si>
  <si>
    <t>RELATÓRIO RESUMIDO DA EXECUÇÃO ORÇAMENTÁRIA</t>
  </si>
  <si>
    <t>DEMONSTRATIVO DA EXECUÇÃO DAS DESPESAS POR FUNÇÃO/SUBFUNÇÃO</t>
  </si>
  <si>
    <t>ORÇAMENTOS FISCAL E DA SEGURIDADE SOCIAL</t>
  </si>
  <si>
    <t>RREO - Anexo 2 (LRF, Art 52, inciso II, alínea "c")</t>
  </si>
  <si>
    <t>DOTAÇÃO</t>
  </si>
  <si>
    <t>DESPESAS EMPENHADAS</t>
  </si>
  <si>
    <t>SALDO</t>
  </si>
  <si>
    <t>DESPESAS LIQUIDADAS</t>
  </si>
  <si>
    <t>COD</t>
  </si>
  <si>
    <t>FUNÇÃO/SUBFUNÇÃO</t>
  </si>
  <si>
    <t>INICIAL</t>
  </si>
  <si>
    <t>ATUALIZADA</t>
  </si>
  <si>
    <t>No Bimestre</t>
  </si>
  <si>
    <t>Até o Bimestre</t>
  </si>
  <si>
    <t>%</t>
  </si>
  <si>
    <t>(a)</t>
  </si>
  <si>
    <t>(b)</t>
  </si>
  <si>
    <t>(b/total b)</t>
  </si>
  <si>
    <t>(c) = (a - b)</t>
  </si>
  <si>
    <t>(d)</t>
  </si>
  <si>
    <t>(d/total d)</t>
  </si>
  <si>
    <t>(e) = (a - d)</t>
  </si>
  <si>
    <t>DESPESAS (EXCETO INTRA-ORÇAMENTÁRIAS) (I)</t>
  </si>
  <si>
    <t>01</t>
  </si>
  <si>
    <t>Legislativa</t>
  </si>
  <si>
    <t>031</t>
  </si>
  <si>
    <t>Ação Legislativa</t>
  </si>
  <si>
    <t>032</t>
  </si>
  <si>
    <t>Controle Externo</t>
  </si>
  <si>
    <t>122</t>
  </si>
  <si>
    <t>Administração Geral</t>
  </si>
  <si>
    <t>126</t>
  </si>
  <si>
    <t>Tecnologia da Informação</t>
  </si>
  <si>
    <t>128</t>
  </si>
  <si>
    <t>Formação de Recursos Humanos</t>
  </si>
  <si>
    <t>131</t>
  </si>
  <si>
    <t>Comunicação Social</t>
  </si>
  <si>
    <t>392</t>
  </si>
  <si>
    <t>Difusão Cultural</t>
  </si>
  <si>
    <t>422</t>
  </si>
  <si>
    <t>Direitos Individuais, Coletivos e Difusos</t>
  </si>
  <si>
    <t>542</t>
  </si>
  <si>
    <t>Controle Ambiental</t>
  </si>
  <si>
    <t>572</t>
  </si>
  <si>
    <t>Desenvolvimento Tecnológico e Engenharia</t>
  </si>
  <si>
    <t>02</t>
  </si>
  <si>
    <t>Judiciária</t>
  </si>
  <si>
    <t>061</t>
  </si>
  <si>
    <t>Ação Judiciária</t>
  </si>
  <si>
    <t>03</t>
  </si>
  <si>
    <t>Essencial à Justiça</t>
  </si>
  <si>
    <t>091</t>
  </si>
  <si>
    <t>Defesa da Ordem Jurídica</t>
  </si>
  <si>
    <t>092</t>
  </si>
  <si>
    <t>Representação Judicial e Extrajudicial</t>
  </si>
  <si>
    <t xml:space="preserve"> Tecnologia da Informação</t>
  </si>
  <si>
    <t>04</t>
  </si>
  <si>
    <t>Administração</t>
  </si>
  <si>
    <t>121</t>
  </si>
  <si>
    <t>Planejamento e Orçamento</t>
  </si>
  <si>
    <t>123</t>
  </si>
  <si>
    <t>Administração Financeira</t>
  </si>
  <si>
    <t>124</t>
  </si>
  <si>
    <t>Controle Interno</t>
  </si>
  <si>
    <t>125</t>
  </si>
  <si>
    <t>Normatização e Fiscalização</t>
  </si>
  <si>
    <t>127</t>
  </si>
  <si>
    <t>Ordenamento Territorial</t>
  </si>
  <si>
    <t>129</t>
  </si>
  <si>
    <t>Administração de Receitas</t>
  </si>
  <si>
    <t>130</t>
  </si>
  <si>
    <t>Administração de Concessões</t>
  </si>
  <si>
    <t>183</t>
  </si>
  <si>
    <t>Informação e Inteligência</t>
  </si>
  <si>
    <t>421</t>
  </si>
  <si>
    <t>Custódia e Reintegração Social</t>
  </si>
  <si>
    <t>451</t>
  </si>
  <si>
    <t>Infraestrutura Urbana</t>
  </si>
  <si>
    <t>453</t>
  </si>
  <si>
    <t>Transportes Coletivos Urbanos</t>
  </si>
  <si>
    <t>482</t>
  </si>
  <si>
    <t>Habitação Urbana</t>
  </si>
  <si>
    <t>512</t>
  </si>
  <si>
    <t>Saneamento Básico Urbano</t>
  </si>
  <si>
    <t>541</t>
  </si>
  <si>
    <t>Preservação e Conservação Ambiental</t>
  </si>
  <si>
    <t>571</t>
  </si>
  <si>
    <t>Desenvolvimento Científico</t>
  </si>
  <si>
    <t>573</t>
  </si>
  <si>
    <t>Difusão do Conhecimento Científico e Tecnológico</t>
  </si>
  <si>
    <t>661</t>
  </si>
  <si>
    <t>Promoção Industrial</t>
  </si>
  <si>
    <t>694</t>
  </si>
  <si>
    <t>Serviços Financeiros</t>
  </si>
  <si>
    <t>695</t>
  </si>
  <si>
    <t>Turismo</t>
  </si>
  <si>
    <t>783</t>
  </si>
  <si>
    <t>Transporte Ferroviário</t>
  </si>
  <si>
    <t>845</t>
  </si>
  <si>
    <t>Outras Transferências</t>
  </si>
  <si>
    <t>06</t>
  </si>
  <si>
    <t>Segurança Pública</t>
  </si>
  <si>
    <t>Ação judiciária</t>
  </si>
  <si>
    <t>181</t>
  </si>
  <si>
    <t>Policiamento</t>
  </si>
  <si>
    <t>182</t>
  </si>
  <si>
    <t>Defesa Civil</t>
  </si>
  <si>
    <t>242</t>
  </si>
  <si>
    <t>Assistência ao Portador de Deficiência</t>
  </si>
  <si>
    <t>243</t>
  </si>
  <si>
    <t>Assistência à Criança e ao Adolescente</t>
  </si>
  <si>
    <t>244</t>
  </si>
  <si>
    <t>Assistência Comunitária</t>
  </si>
  <si>
    <t>301</t>
  </si>
  <si>
    <t>Atenção Básica</t>
  </si>
  <si>
    <t>302</t>
  </si>
  <si>
    <t>Assistência Hospitalar e Ambulatorial</t>
  </si>
  <si>
    <t>306</t>
  </si>
  <si>
    <t>Alimentação e Nutrição</t>
  </si>
  <si>
    <t>332</t>
  </si>
  <si>
    <t>Relações de Trabalho</t>
  </si>
  <si>
    <t>334</t>
  </si>
  <si>
    <t>Fomento ao Trabalho</t>
  </si>
  <si>
    <t>366</t>
  </si>
  <si>
    <t>Educação de Jovens e Adultos</t>
  </si>
  <si>
    <t>781</t>
  </si>
  <si>
    <t>Transporte Aéreo</t>
  </si>
  <si>
    <t>782</t>
  </si>
  <si>
    <t>Transporte Rodoviário</t>
  </si>
  <si>
    <t>784</t>
  </si>
  <si>
    <t>Transporte Hidroviário</t>
  </si>
  <si>
    <t>812</t>
  </si>
  <si>
    <t>Desporto Comunitário</t>
  </si>
  <si>
    <t>08</t>
  </si>
  <si>
    <t>Assistência Social</t>
  </si>
  <si>
    <t>241</t>
  </si>
  <si>
    <t>Assistência ao Idoso</t>
  </si>
  <si>
    <t>303</t>
  </si>
  <si>
    <t>Suporte Profilático e Terapêutico</t>
  </si>
  <si>
    <t>09</t>
  </si>
  <si>
    <t>Previdência Social</t>
  </si>
  <si>
    <t>272</t>
  </si>
  <si>
    <t>Previdência do Regime Estatutário</t>
  </si>
  <si>
    <t>273</t>
  </si>
  <si>
    <t>Previdência Complementar</t>
  </si>
  <si>
    <t>10</t>
  </si>
  <si>
    <t>Saúde</t>
  </si>
  <si>
    <t>304</t>
  </si>
  <si>
    <t>Vigilância Sanitária</t>
  </si>
  <si>
    <t>305</t>
  </si>
  <si>
    <t>Vigilância Epidemiológica</t>
  </si>
  <si>
    <t>Difusão do Conhecimento Científ e Tecnológ</t>
  </si>
  <si>
    <t>11</t>
  </si>
  <si>
    <t>Trabalho</t>
  </si>
  <si>
    <t>Serviços Socioassistenciais</t>
  </si>
  <si>
    <t>245</t>
  </si>
  <si>
    <t>Proteção e Benefícios ao Trabalhador</t>
  </si>
  <si>
    <t>333</t>
  </si>
  <si>
    <t>Empregabilidade</t>
  </si>
  <si>
    <t>12</t>
  </si>
  <si>
    <t>Educação</t>
  </si>
  <si>
    <t>361</t>
  </si>
  <si>
    <t>Ensino Fundamental</t>
  </si>
  <si>
    <t>362</t>
  </si>
  <si>
    <t>Ensino Médio</t>
  </si>
  <si>
    <t>363</t>
  </si>
  <si>
    <t>Ensino Profissional</t>
  </si>
  <si>
    <t>364</t>
  </si>
  <si>
    <t>Ensino Superior</t>
  </si>
  <si>
    <t>367</t>
  </si>
  <si>
    <t>Educação Especial</t>
  </si>
  <si>
    <t>368</t>
  </si>
  <si>
    <t>Educação Básica</t>
  </si>
  <si>
    <t>13</t>
  </si>
  <si>
    <t>Cultura</t>
  </si>
  <si>
    <t>391</t>
  </si>
  <si>
    <t>Patrimônio Histór, Artístico e Arqueológico</t>
  </si>
  <si>
    <t>Continua (1/3)</t>
  </si>
  <si>
    <t>Continuação</t>
  </si>
  <si>
    <t>14</t>
  </si>
  <si>
    <t>Direitos da Cidadania</t>
  </si>
  <si>
    <t>Patrimônio Histórico, Artístico e Arqueológico</t>
  </si>
  <si>
    <t>15</t>
  </si>
  <si>
    <t>Urbanismo</t>
  </si>
  <si>
    <t>452</t>
  </si>
  <si>
    <t>Serviços Urbanos</t>
  </si>
  <si>
    <t>481</t>
  </si>
  <si>
    <t>Habitação Rural</t>
  </si>
  <si>
    <t>16</t>
  </si>
  <si>
    <t>Habitação</t>
  </si>
  <si>
    <t>17</t>
  </si>
  <si>
    <t>Saneamento</t>
  </si>
  <si>
    <t>544</t>
  </si>
  <si>
    <t>Recursos Hídricos</t>
  </si>
  <si>
    <t>18</t>
  </si>
  <si>
    <t>Gestão Ambiental</t>
  </si>
  <si>
    <t>543</t>
  </si>
  <si>
    <t>Recuperação de Áreas Degradadas</t>
  </si>
  <si>
    <t>785</t>
  </si>
  <si>
    <t>Transportes Especiais</t>
  </si>
  <si>
    <t>19</t>
  </si>
  <si>
    <t>Ciência e Tecnologia</t>
  </si>
  <si>
    <t>751</t>
  </si>
  <si>
    <t>Conservação de Energia</t>
  </si>
  <si>
    <t>20</t>
  </si>
  <si>
    <t>Agricultura</t>
  </si>
  <si>
    <t xml:space="preserve"> Formação de Recursos Humanos</t>
  </si>
  <si>
    <t>602</t>
  </si>
  <si>
    <t>Promoção da Produção Animal</t>
  </si>
  <si>
    <t>604</t>
  </si>
  <si>
    <t>Defesa Sanitária Animal</t>
  </si>
  <si>
    <t>605</t>
  </si>
  <si>
    <t>Abastecimento</t>
  </si>
  <si>
    <t>606</t>
  </si>
  <si>
    <t>Extensão Rural</t>
  </si>
  <si>
    <t>608</t>
  </si>
  <si>
    <t>Promoção da Produção Agropecuária</t>
  </si>
  <si>
    <t>609</t>
  </si>
  <si>
    <t>Defesa Agropecuária</t>
  </si>
  <si>
    <t>692</t>
  </si>
  <si>
    <t>Comercialização</t>
  </si>
  <si>
    <t>21</t>
  </si>
  <si>
    <t>Organização Agrária</t>
  </si>
  <si>
    <t>631</t>
  </si>
  <si>
    <t>Reforma Agrária</t>
  </si>
  <si>
    <t>22</t>
  </si>
  <si>
    <t>Indústria</t>
  </si>
  <si>
    <t>663</t>
  </si>
  <si>
    <t>Mineração</t>
  </si>
  <si>
    <t>665</t>
  </si>
  <si>
    <t>Normalização e Qualidade</t>
  </si>
  <si>
    <t>691</t>
  </si>
  <si>
    <t>Promoção Comercial</t>
  </si>
  <si>
    <t>752</t>
  </si>
  <si>
    <t>Energia Elétrica</t>
  </si>
  <si>
    <t>753</t>
  </si>
  <si>
    <t>Combustíveis Minerais</t>
  </si>
  <si>
    <t>23</t>
  </si>
  <si>
    <t>Comércio e Serviços</t>
  </si>
  <si>
    <t>693</t>
  </si>
  <si>
    <t>Comércio Exterior</t>
  </si>
  <si>
    <t>24</t>
  </si>
  <si>
    <t>Comunicações</t>
  </si>
  <si>
    <t>25</t>
  </si>
  <si>
    <t>Energia</t>
  </si>
  <si>
    <t>26</t>
  </si>
  <si>
    <t>Transporte</t>
  </si>
  <si>
    <t>27</t>
  </si>
  <si>
    <t>Desporto e Lazer</t>
  </si>
  <si>
    <t>811</t>
  </si>
  <si>
    <t>Desporto de Rendimento</t>
  </si>
  <si>
    <t>813</t>
  </si>
  <si>
    <t>Lazer</t>
  </si>
  <si>
    <t>28</t>
  </si>
  <si>
    <t>Encargos Especiais</t>
  </si>
  <si>
    <t>841</t>
  </si>
  <si>
    <t>Refinanciamento da Dívida Interna</t>
  </si>
  <si>
    <t>843</t>
  </si>
  <si>
    <t>Serviço da Dívida Interna</t>
  </si>
  <si>
    <t>844</t>
  </si>
  <si>
    <t>Serviço da Dívida Externa</t>
  </si>
  <si>
    <t>846</t>
  </si>
  <si>
    <t>Outros Encargos Especiais</t>
  </si>
  <si>
    <t>99</t>
  </si>
  <si>
    <t>Reserva de Contingência</t>
  </si>
  <si>
    <t>997</t>
  </si>
  <si>
    <t>Reserva do Regime Próprio de Previdência do Servidor - RPPS</t>
  </si>
  <si>
    <t>999</t>
  </si>
  <si>
    <t>Reserva de Contingência do RPPS</t>
  </si>
  <si>
    <t>DESPESAS (INTRA-ORÇAMENTÁRIAS) (II)</t>
  </si>
  <si>
    <t>TOTAL (III) = (I) + (II)</t>
  </si>
  <si>
    <t>Continua (2/3)</t>
  </si>
  <si>
    <t>FUNÇÃO/SUBFUNÇÃO - INTRA-ORÇAMENTÁRIAS</t>
  </si>
  <si>
    <t>(b/III b)</t>
  </si>
  <si>
    <t>(d/III d)</t>
  </si>
  <si>
    <t xml:space="preserve"> Assistência Comunitária</t>
  </si>
  <si>
    <t>FONTE: Siafe-Rio - Secretaria de Estado de Fazenda.</t>
  </si>
  <si>
    <t>(3/3)</t>
  </si>
  <si>
    <t>Renato Ferreira Costa</t>
  </si>
  <si>
    <t>Ronald Marcio G. Rodrigues</t>
  </si>
  <si>
    <t>Yasmim da Costa Monteiro</t>
  </si>
  <si>
    <t>Coordenador - ID: 4.284.985-3</t>
  </si>
  <si>
    <t>Superintendente - ID: 1.943.584-3</t>
  </si>
  <si>
    <t>Subsecretária de Contabilidade Geral - ID: 4.461.243-5</t>
  </si>
  <si>
    <t xml:space="preserve">     Contador - CRC-RJ-097281/O-6</t>
  </si>
  <si>
    <t xml:space="preserve">Contador - CRC-RJ-079208/O-8 </t>
  </si>
  <si>
    <t>Contadora - CRC-RJ-114428/O-0</t>
  </si>
  <si>
    <t xml:space="preserve">          2 - Imprensa Oficial, CEDAE e AGERIO não constam nos Orçamentos Fiscal e da Seguridade Social no exercício de 2026.</t>
  </si>
  <si>
    <t>Obs.:  Excluídas a Imprensa Oficial, a CEDAE e a AGERIO por não se enquadrarem no conceito de Empresa Dependente.</t>
  </si>
  <si>
    <t>JANEIRO A JUNHO  2026/BIMESTRE MAIO - JUNHO</t>
  </si>
  <si>
    <t>Emissão: 17/07/2026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</si>
</sst>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&quot;R$ &quot;#,##0.00_);[Red]\(&quot;R$ &quot;#,##0.00\)"/>
    <numFmt numFmtId="166" formatCode="#,##0.0_);\(#,##0.0\)"/>
    <numFmt numFmtId="167" formatCode="_(* #,##0_);_(* \(#,##0\);_(* &quot;-&quot;??_);_(@_)"/>
  </numFmts>
  <fonts count="11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1.5"/>
      <name val="Times New Roman"/>
      <family val="1"/>
    </font>
    <font>
      <sz val="11.5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lightUp">
        <fgColor rgb="FF000000"/>
        <bgColor rgb="FFFFFFFF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164" fontId="1" fillId="0" borderId="0" applyFont="0" applyFill="0" applyBorder="0" applyAlignment="0" applyProtection="0"/>
  </cellStyleXfs>
  <cellXfs count="125">
    <xf numFmtId="0" fontId="0" fillId="0" borderId="0" xfId="0"/>
    <xf numFmtId="49" fontId="2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167" fontId="3" fillId="0" borderId="0" xfId="2" applyNumberFormat="1" applyFont="1" applyFill="1"/>
    <xf numFmtId="167" fontId="3" fillId="0" borderId="0" xfId="0" applyNumberFormat="1" applyFont="1"/>
    <xf numFmtId="49" fontId="6" fillId="3" borderId="1" xfId="0" applyNumberFormat="1" applyFont="1" applyFill="1" applyBorder="1" applyAlignment="1">
      <alignment horizontal="center"/>
    </xf>
    <xf numFmtId="0" fontId="6" fillId="3" borderId="2" xfId="0" applyFont="1" applyFill="1" applyBorder="1"/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49" fontId="6" fillId="3" borderId="4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49" fontId="6" fillId="3" borderId="7" xfId="0" applyNumberFormat="1" applyFont="1" applyFill="1" applyBorder="1" applyAlignment="1">
      <alignment horizontal="center"/>
    </xf>
    <xf numFmtId="0" fontId="6" fillId="3" borderId="8" xfId="0" applyFont="1" applyFill="1" applyBorder="1"/>
    <xf numFmtId="0" fontId="6" fillId="3" borderId="8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right"/>
    </xf>
    <xf numFmtId="0" fontId="5" fillId="4" borderId="0" xfId="0" applyFont="1" applyFill="1"/>
    <xf numFmtId="49" fontId="5" fillId="4" borderId="0" xfId="0" applyNumberFormat="1" applyFont="1" applyFill="1"/>
    <xf numFmtId="166" fontId="5" fillId="4" borderId="0" xfId="0" applyNumberFormat="1" applyFont="1" applyFill="1"/>
    <xf numFmtId="165" fontId="5" fillId="4" borderId="0" xfId="0" applyNumberFormat="1" applyFont="1" applyFill="1" applyAlignment="1">
      <alignment horizontal="right"/>
    </xf>
    <xf numFmtId="49" fontId="5" fillId="4" borderId="0" xfId="0" applyNumberFormat="1" applyFont="1" applyFill="1" applyAlignment="1">
      <alignment horizontal="center"/>
    </xf>
    <xf numFmtId="167" fontId="5" fillId="4" borderId="0" xfId="2" applyNumberFormat="1" applyFont="1" applyFill="1" applyBorder="1"/>
    <xf numFmtId="164" fontId="5" fillId="4" borderId="0" xfId="2" applyFont="1" applyFill="1" applyBorder="1"/>
    <xf numFmtId="49" fontId="3" fillId="4" borderId="0" xfId="0" applyNumberFormat="1" applyFont="1" applyFill="1" applyAlignment="1">
      <alignment horizontal="left"/>
    </xf>
    <xf numFmtId="0" fontId="3" fillId="4" borderId="0" xfId="0" applyFont="1" applyFill="1"/>
    <xf numFmtId="0" fontId="4" fillId="4" borderId="0" xfId="0" applyFont="1" applyFill="1"/>
    <xf numFmtId="167" fontId="6" fillId="4" borderId="0" xfId="2" applyNumberFormat="1" applyFont="1" applyFill="1" applyBorder="1"/>
    <xf numFmtId="164" fontId="6" fillId="4" borderId="0" xfId="2" applyFont="1" applyFill="1" applyBorder="1"/>
    <xf numFmtId="49" fontId="2" fillId="4" borderId="0" xfId="0" applyNumberFormat="1" applyFont="1" applyFill="1" applyAlignment="1">
      <alignment horizontal="center"/>
    </xf>
    <xf numFmtId="164" fontId="5" fillId="4" borderId="0" xfId="2" applyFont="1" applyFill="1" applyAlignment="1">
      <alignment horizontal="center"/>
    </xf>
    <xf numFmtId="167" fontId="5" fillId="4" borderId="0" xfId="0" applyNumberFormat="1" applyFont="1" applyFill="1"/>
    <xf numFmtId="167" fontId="5" fillId="4" borderId="0" xfId="0" applyNumberFormat="1" applyFont="1" applyFill="1" applyAlignment="1">
      <alignment horizontal="right"/>
    </xf>
    <xf numFmtId="49" fontId="3" fillId="4" borderId="0" xfId="0" applyNumberFormat="1" applyFont="1" applyFill="1" applyAlignment="1">
      <alignment horizontal="center"/>
    </xf>
    <xf numFmtId="49" fontId="5" fillId="4" borderId="0" xfId="0" applyNumberFormat="1" applyFont="1" applyFill="1" applyAlignment="1">
      <alignment horizontal="left"/>
    </xf>
    <xf numFmtId="49" fontId="7" fillId="4" borderId="0" xfId="0" applyNumberFormat="1" applyFont="1" applyFill="1" applyAlignment="1">
      <alignment horizontal="center"/>
    </xf>
    <xf numFmtId="0" fontId="7" fillId="4" borderId="2" xfId="0" applyFont="1" applyFill="1" applyBorder="1"/>
    <xf numFmtId="164" fontId="7" fillId="4" borderId="5" xfId="2" applyFont="1" applyFill="1" applyBorder="1"/>
    <xf numFmtId="49" fontId="8" fillId="4" borderId="0" xfId="0" applyNumberFormat="1" applyFont="1" applyFill="1" applyAlignment="1">
      <alignment horizontal="center"/>
    </xf>
    <xf numFmtId="0" fontId="8" fillId="4" borderId="5" xfId="0" applyFont="1" applyFill="1" applyBorder="1"/>
    <xf numFmtId="164" fontId="8" fillId="4" borderId="5" xfId="2" applyFont="1" applyFill="1" applyBorder="1"/>
    <xf numFmtId="49" fontId="8" fillId="4" borderId="10" xfId="0" applyNumberFormat="1" applyFont="1" applyFill="1" applyBorder="1" applyAlignment="1">
      <alignment horizontal="center"/>
    </xf>
    <xf numFmtId="0" fontId="8" fillId="4" borderId="8" xfId="0" applyFont="1" applyFill="1" applyBorder="1"/>
    <xf numFmtId="0" fontId="8" fillId="4" borderId="0" xfId="0" applyFont="1" applyFill="1"/>
    <xf numFmtId="167" fontId="8" fillId="4" borderId="0" xfId="2" applyNumberFormat="1" applyFont="1" applyFill="1" applyBorder="1"/>
    <xf numFmtId="164" fontId="8" fillId="4" borderId="0" xfId="2" applyFont="1" applyFill="1" applyBorder="1"/>
    <xf numFmtId="167" fontId="8" fillId="4" borderId="0" xfId="2" applyNumberFormat="1" applyFont="1" applyFill="1" applyBorder="1" applyAlignment="1">
      <alignment horizontal="right"/>
    </xf>
    <xf numFmtId="0" fontId="8" fillId="4" borderId="6" xfId="0" applyFont="1" applyFill="1" applyBorder="1"/>
    <xf numFmtId="164" fontId="8" fillId="4" borderId="6" xfId="2" applyFont="1" applyFill="1" applyBorder="1"/>
    <xf numFmtId="49" fontId="8" fillId="4" borderId="4" xfId="0" applyNumberFormat="1" applyFont="1" applyFill="1" applyBorder="1" applyAlignment="1">
      <alignment horizontal="center"/>
    </xf>
    <xf numFmtId="0" fontId="8" fillId="4" borderId="0" xfId="0" applyFont="1" applyFill="1" applyAlignment="1">
      <alignment horizontal="right"/>
    </xf>
    <xf numFmtId="164" fontId="8" fillId="4" borderId="8" xfId="2" applyFont="1" applyFill="1" applyBorder="1"/>
    <xf numFmtId="164" fontId="7" fillId="4" borderId="6" xfId="2" applyFont="1" applyFill="1" applyBorder="1"/>
    <xf numFmtId="164" fontId="8" fillId="4" borderId="4" xfId="2" applyFont="1" applyFill="1" applyBorder="1"/>
    <xf numFmtId="164" fontId="7" fillId="4" borderId="11" xfId="2" applyFont="1" applyFill="1" applyBorder="1"/>
    <xf numFmtId="164" fontId="7" fillId="4" borderId="12" xfId="2" applyFont="1" applyFill="1" applyBorder="1"/>
    <xf numFmtId="164" fontId="8" fillId="0" borderId="5" xfId="2" applyFont="1" applyFill="1" applyBorder="1"/>
    <xf numFmtId="43" fontId="8" fillId="4" borderId="0" xfId="0" applyNumberFormat="1" applyFont="1" applyFill="1"/>
    <xf numFmtId="43" fontId="4" fillId="4" borderId="0" xfId="0" applyNumberFormat="1" applyFont="1" applyFill="1"/>
    <xf numFmtId="49" fontId="8" fillId="0" borderId="0" xfId="0" applyNumberFormat="1" applyFont="1" applyAlignment="1">
      <alignment horizontal="center"/>
    </xf>
    <xf numFmtId="0" fontId="8" fillId="0" borderId="5" xfId="0" applyFont="1" applyBorder="1"/>
    <xf numFmtId="49" fontId="7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43" fontId="5" fillId="4" borderId="0" xfId="0" applyNumberFormat="1" applyFont="1" applyFill="1"/>
    <xf numFmtId="0" fontId="4" fillId="0" borderId="0" xfId="0" applyFont="1" applyAlignment="1">
      <alignment horizontal="center"/>
    </xf>
    <xf numFmtId="0" fontId="7" fillId="0" borderId="5" xfId="0" applyFont="1" applyBorder="1"/>
    <xf numFmtId="0" fontId="7" fillId="4" borderId="5" xfId="0" applyFont="1" applyFill="1" applyBorder="1"/>
    <xf numFmtId="164" fontId="7" fillId="4" borderId="5" xfId="2" applyFont="1" applyFill="1" applyBorder="1" applyAlignment="1"/>
    <xf numFmtId="164" fontId="7" fillId="4" borderId="5" xfId="2" applyFont="1" applyFill="1" applyBorder="1" applyAlignment="1">
      <alignment horizontal="center"/>
    </xf>
    <xf numFmtId="164" fontId="7" fillId="4" borderId="6" xfId="2" applyFont="1" applyFill="1" applyBorder="1" applyAlignment="1">
      <alignment horizontal="center"/>
    </xf>
    <xf numFmtId="164" fontId="8" fillId="4" borderId="5" xfId="2" applyFont="1" applyFill="1" applyBorder="1" applyAlignment="1">
      <alignment horizontal="center"/>
    </xf>
    <xf numFmtId="164" fontId="8" fillId="4" borderId="9" xfId="2" applyFont="1" applyFill="1" applyBorder="1"/>
    <xf numFmtId="164" fontId="8" fillId="5" borderId="5" xfId="2" applyFont="1" applyFill="1" applyBorder="1" applyAlignment="1"/>
    <xf numFmtId="0" fontId="7" fillId="4" borderId="6" xfId="0" applyFont="1" applyFill="1" applyBorder="1"/>
    <xf numFmtId="164" fontId="7" fillId="4" borderId="2" xfId="2" applyFont="1" applyFill="1" applyBorder="1"/>
    <xf numFmtId="164" fontId="7" fillId="4" borderId="0" xfId="2" applyFont="1" applyFill="1" applyBorder="1"/>
    <xf numFmtId="0" fontId="7" fillId="0" borderId="6" xfId="0" applyFont="1" applyBorder="1"/>
    <xf numFmtId="0" fontId="8" fillId="0" borderId="6" xfId="0" applyFont="1" applyBorder="1"/>
    <xf numFmtId="49" fontId="7" fillId="4" borderId="4" xfId="0" applyNumberFormat="1" applyFont="1" applyFill="1" applyBorder="1" applyAlignment="1">
      <alignment horizontal="center"/>
    </xf>
    <xf numFmtId="0" fontId="7" fillId="0" borderId="0" xfId="0" applyFont="1"/>
    <xf numFmtId="0" fontId="7" fillId="4" borderId="0" xfId="0" applyFont="1" applyFill="1"/>
    <xf numFmtId="49" fontId="7" fillId="4" borderId="10" xfId="0" applyNumberFormat="1" applyFont="1" applyFill="1" applyBorder="1" applyAlignment="1">
      <alignment horizontal="center"/>
    </xf>
    <xf numFmtId="0" fontId="7" fillId="0" borderId="8" xfId="0" applyFont="1" applyBorder="1"/>
    <xf numFmtId="164" fontId="7" fillId="4" borderId="8" xfId="2" applyFont="1" applyFill="1" applyBorder="1"/>
    <xf numFmtId="164" fontId="8" fillId="5" borderId="8" xfId="2" applyFont="1" applyFill="1" applyBorder="1" applyAlignment="1"/>
    <xf numFmtId="164" fontId="7" fillId="4" borderId="9" xfId="2" applyFont="1" applyFill="1" applyBorder="1"/>
    <xf numFmtId="0" fontId="9" fillId="0" borderId="0" xfId="0" applyFont="1" applyAlignment="1">
      <alignment horizontal="center"/>
    </xf>
    <xf numFmtId="0" fontId="1" fillId="0" borderId="0" xfId="0" applyFont="1"/>
    <xf numFmtId="164" fontId="4" fillId="4" borderId="0" xfId="2" applyFont="1" applyFill="1"/>
    <xf numFmtId="164" fontId="8" fillId="2" borderId="13" xfId="2" applyFont="1" applyFill="1" applyBorder="1" applyAlignment="1">
      <alignment horizontal="right" vertical="top" wrapText="1"/>
    </xf>
    <xf numFmtId="164" fontId="8" fillId="4" borderId="13" xfId="2" applyFont="1" applyFill="1" applyBorder="1" applyAlignment="1">
      <alignment horizontal="right" vertical="top" wrapText="1"/>
    </xf>
    <xf numFmtId="164" fontId="8" fillId="4" borderId="5" xfId="2" applyFont="1" applyFill="1" applyBorder="1" applyAlignment="1">
      <alignment horizontal="right" vertical="top" wrapText="1"/>
    </xf>
    <xf numFmtId="164" fontId="7" fillId="0" borderId="5" xfId="2" applyFont="1" applyFill="1" applyBorder="1" applyAlignment="1"/>
    <xf numFmtId="164" fontId="7" fillId="0" borderId="5" xfId="2" applyFont="1" applyFill="1" applyBorder="1"/>
    <xf numFmtId="164" fontId="8" fillId="0" borderId="8" xfId="2" applyFont="1" applyFill="1" applyBorder="1"/>
    <xf numFmtId="167" fontId="8" fillId="0" borderId="0" xfId="2" applyNumberFormat="1" applyFont="1" applyFill="1" applyBorder="1"/>
    <xf numFmtId="167" fontId="5" fillId="0" borderId="0" xfId="2" applyNumberFormat="1" applyFont="1" applyFill="1" applyBorder="1"/>
    <xf numFmtId="164" fontId="8" fillId="0" borderId="6" xfId="2" applyFont="1" applyFill="1" applyBorder="1"/>
    <xf numFmtId="164" fontId="7" fillId="0" borderId="11" xfId="2" applyFont="1" applyFill="1" applyBorder="1"/>
    <xf numFmtId="164" fontId="7" fillId="0" borderId="2" xfId="2" applyFont="1" applyFill="1" applyBorder="1"/>
    <xf numFmtId="164" fontId="8" fillId="0" borderId="8" xfId="2" applyFont="1" applyFill="1" applyBorder="1" applyAlignment="1"/>
    <xf numFmtId="164" fontId="4" fillId="0" borderId="0" xfId="2" applyFont="1" applyFill="1"/>
    <xf numFmtId="167" fontId="5" fillId="0" borderId="0" xfId="0" applyNumberFormat="1" applyFont="1"/>
    <xf numFmtId="43" fontId="8" fillId="0" borderId="0" xfId="0" applyNumberFormat="1" applyFont="1"/>
    <xf numFmtId="43" fontId="4" fillId="0" borderId="0" xfId="0" applyNumberFormat="1" applyFont="1"/>
    <xf numFmtId="43" fontId="5" fillId="0" borderId="0" xfId="0" applyNumberFormat="1" applyFont="1"/>
    <xf numFmtId="164" fontId="8" fillId="2" borderId="0" xfId="2" applyFont="1" applyFill="1" applyBorder="1" applyAlignment="1">
      <alignment horizontal="right" vertical="top" wrapText="1"/>
    </xf>
    <xf numFmtId="43" fontId="8" fillId="0" borderId="5" xfId="2" applyNumberFormat="1" applyFont="1" applyFill="1" applyBorder="1"/>
    <xf numFmtId="164" fontId="8" fillId="2" borderId="4" xfId="2" applyFont="1" applyFill="1" applyBorder="1" applyAlignment="1">
      <alignment horizontal="right" vertical="top" wrapText="1"/>
    </xf>
    <xf numFmtId="0" fontId="6" fillId="3" borderId="12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49" fontId="7" fillId="4" borderId="14" xfId="0" applyNumberFormat="1" applyFont="1" applyFill="1" applyBorder="1" applyAlignment="1">
      <alignment horizontal="left"/>
    </xf>
    <xf numFmtId="49" fontId="7" fillId="4" borderId="15" xfId="0" applyNumberFormat="1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4" borderId="0" xfId="1" applyFont="1" applyFill="1" applyAlignment="1">
      <alignment horizontal="center"/>
    </xf>
    <xf numFmtId="49" fontId="5" fillId="4" borderId="0" xfId="0" applyNumberFormat="1" applyFont="1" applyFill="1" applyAlignment="1">
      <alignment horizontal="center"/>
    </xf>
  </cellXfs>
  <cellStyles count="3">
    <cellStyle name="Normal" xfId="0" builtinId="0"/>
    <cellStyle name="Normal 4 2 3" xfId="1" xr:uid="{3C2EFF80-DAAA-4D9D-AB95-8C29CD71875D}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590559</xdr:colOff>
      <xdr:row>0</xdr:row>
      <xdr:rowOff>35721</xdr:rowOff>
    </xdr:from>
    <xdr:to>
      <xdr:col>4</xdr:col>
      <xdr:colOff>1190629</xdr:colOff>
      <xdr:row>1</xdr:row>
      <xdr:rowOff>345284</xdr:rowOff>
    </xdr:to>
    <xdr:pic>
      <xdr:nvPicPr>
        <xdr:cNvPr id="6865" name="Picture 1">
          <a:extLst>
            <a:ext uri="{FF2B5EF4-FFF2-40B4-BE49-F238E27FC236}">
              <a16:creationId xmlns:a16="http://schemas.microsoft.com/office/drawing/2014/main" id="{88A6B375-8B5F-EF1F-5EE4-6D73F0F7A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9747" y="35721"/>
          <a:ext cx="600070" cy="511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559596</xdr:colOff>
      <xdr:row>154</xdr:row>
      <xdr:rowOff>73816</xdr:rowOff>
    </xdr:from>
    <xdr:to>
      <xdr:col>4</xdr:col>
      <xdr:colOff>1178718</xdr:colOff>
      <xdr:row>156</xdr:row>
      <xdr:rowOff>173828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860E24-3BD3-400B-8860-6450C1CD7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8784" y="27934441"/>
          <a:ext cx="619122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597703</xdr:colOff>
      <xdr:row>311</xdr:row>
      <xdr:rowOff>50004</xdr:rowOff>
    </xdr:from>
    <xdr:to>
      <xdr:col>4</xdr:col>
      <xdr:colOff>1202536</xdr:colOff>
      <xdr:row>313</xdr:row>
      <xdr:rowOff>183354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254B7043-E58D-4FDA-871F-F1CCFBC8D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6891" y="56199879"/>
          <a:ext cx="604833" cy="5262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1345A-D510-4AD8-A032-456C64E72250}">
  <sheetPr>
    <pageSetUpPr fitToPage="1"/>
  </sheetPr>
  <dimension ref="A1:O490"/>
  <sheetViews>
    <sheetView showGridLines="0" tabSelected="1" topLeftCell="A302" zoomScale="80" zoomScaleNormal="80" workbookViewId="0">
      <selection activeCell="O331" sqref="O331:O338"/>
    </sheetView>
  </sheetViews>
  <sheetFormatPr defaultColWidth="9.140625" defaultRowHeight="12.75" x14ac:dyDescent="0.2"/>
  <cols>
    <col min="1" max="1" width="5.85546875" style="1" customWidth="1"/>
    <col min="2" max="2" width="62.28515625" style="2" customWidth="1"/>
    <col min="3" max="3" width="31.7109375" style="2" bestFit="1" customWidth="1"/>
    <col min="4" max="4" width="31" style="2" bestFit="1" customWidth="1"/>
    <col min="5" max="5" width="22.85546875" style="2" customWidth="1"/>
    <col min="6" max="6" width="29.28515625" style="2" bestFit="1" customWidth="1"/>
    <col min="7" max="7" width="11.140625" style="2" customWidth="1"/>
    <col min="8" max="8" width="23.140625" style="2" customWidth="1"/>
    <col min="9" max="9" width="22.85546875" style="2" customWidth="1"/>
    <col min="10" max="10" width="21.7109375" style="2" customWidth="1"/>
    <col min="11" max="11" width="10.42578125" style="2" customWidth="1"/>
    <col min="12" max="12" width="21.28515625" style="2" customWidth="1"/>
    <col min="13" max="14" width="9.140625" style="2"/>
    <col min="15" max="15" width="8.42578125" style="2" customWidth="1"/>
    <col min="16" max="16" width="14.85546875" style="2" bestFit="1" customWidth="1"/>
    <col min="17" max="17" width="13.42578125" style="2" bestFit="1" customWidth="1"/>
    <col min="18" max="18" width="9.28515625" style="2" bestFit="1" customWidth="1"/>
    <col min="19" max="16384" width="9.140625" style="2"/>
  </cols>
  <sheetData>
    <row r="1" spans="1:13" ht="15.75" x14ac:dyDescent="0.25">
      <c r="A1" s="26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3" ht="27.75" customHeight="1" x14ac:dyDescent="0.25">
      <c r="A2" s="26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3" s="3" customFormat="1" ht="16.5" customHeight="1" x14ac:dyDescent="0.25">
      <c r="A3" s="117" t="s">
        <v>0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</row>
    <row r="4" spans="1:13" s="3" customFormat="1" ht="15.75" x14ac:dyDescent="0.25">
      <c r="A4" s="117" t="s">
        <v>1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</row>
    <row r="5" spans="1:13" s="3" customFormat="1" ht="15.75" x14ac:dyDescent="0.25">
      <c r="A5" s="118" t="s">
        <v>2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4"/>
    </row>
    <row r="6" spans="1:13" s="3" customFormat="1" ht="15.75" x14ac:dyDescent="0.25">
      <c r="A6" s="117" t="s">
        <v>3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</row>
    <row r="7" spans="1:13" s="3" customFormat="1" ht="15.75" x14ac:dyDescent="0.25">
      <c r="A7" s="117" t="s">
        <v>290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3" ht="15.75" x14ac:dyDescent="0.25">
      <c r="A8" s="67"/>
      <c r="B8" s="26"/>
      <c r="C8" s="35"/>
      <c r="D8" s="35"/>
      <c r="E8" s="22"/>
      <c r="F8" s="35"/>
      <c r="G8" s="35"/>
      <c r="H8" s="35"/>
      <c r="I8" s="35"/>
      <c r="J8" s="35"/>
      <c r="K8" s="26"/>
      <c r="L8" s="21" t="s">
        <v>291</v>
      </c>
    </row>
    <row r="9" spans="1:13" s="5" customFormat="1" ht="15.75" x14ac:dyDescent="0.25">
      <c r="A9" s="23" t="s">
        <v>4</v>
      </c>
      <c r="B9" s="22"/>
      <c r="C9" s="36"/>
      <c r="D9" s="36"/>
      <c r="E9" s="107"/>
      <c r="F9" s="36"/>
      <c r="G9" s="36"/>
      <c r="H9" s="36"/>
      <c r="I9" s="36"/>
      <c r="J9" s="36"/>
      <c r="K9" s="37"/>
      <c r="L9" s="25">
        <v>1</v>
      </c>
    </row>
    <row r="10" spans="1:13" s="5" customFormat="1" ht="13.5" customHeight="1" x14ac:dyDescent="0.25">
      <c r="A10" s="8"/>
      <c r="B10" s="9"/>
      <c r="C10" s="10" t="s">
        <v>5</v>
      </c>
      <c r="D10" s="10" t="s">
        <v>5</v>
      </c>
      <c r="E10" s="114" t="s">
        <v>6</v>
      </c>
      <c r="F10" s="115"/>
      <c r="G10" s="116"/>
      <c r="H10" s="10" t="s">
        <v>7</v>
      </c>
      <c r="I10" s="114" t="s">
        <v>8</v>
      </c>
      <c r="J10" s="115"/>
      <c r="K10" s="115"/>
      <c r="L10" s="11" t="s">
        <v>7</v>
      </c>
    </row>
    <row r="11" spans="1:13" s="5" customFormat="1" ht="14.25" customHeight="1" x14ac:dyDescent="0.25">
      <c r="A11" s="12" t="s">
        <v>9</v>
      </c>
      <c r="B11" s="13" t="s">
        <v>10</v>
      </c>
      <c r="C11" s="13" t="s">
        <v>11</v>
      </c>
      <c r="D11" s="13" t="s">
        <v>12</v>
      </c>
      <c r="E11" s="13" t="s">
        <v>13</v>
      </c>
      <c r="F11" s="13" t="s">
        <v>14</v>
      </c>
      <c r="G11" s="13" t="s">
        <v>15</v>
      </c>
      <c r="H11" s="14"/>
      <c r="I11" s="13" t="s">
        <v>13</v>
      </c>
      <c r="J11" s="13" t="s">
        <v>14</v>
      </c>
      <c r="K11" s="13" t="s">
        <v>15</v>
      </c>
      <c r="L11" s="15"/>
    </row>
    <row r="12" spans="1:13" s="5" customFormat="1" ht="13.5" customHeight="1" x14ac:dyDescent="0.25">
      <c r="A12" s="16"/>
      <c r="B12" s="17"/>
      <c r="C12" s="17"/>
      <c r="D12" s="18" t="s">
        <v>16</v>
      </c>
      <c r="E12" s="18"/>
      <c r="F12" s="18" t="s">
        <v>17</v>
      </c>
      <c r="G12" s="18" t="s">
        <v>18</v>
      </c>
      <c r="H12" s="19" t="s">
        <v>19</v>
      </c>
      <c r="I12" s="18"/>
      <c r="J12" s="18" t="s">
        <v>20</v>
      </c>
      <c r="K12" s="18" t="s">
        <v>21</v>
      </c>
      <c r="L12" s="20" t="s">
        <v>22</v>
      </c>
    </row>
    <row r="13" spans="1:13" s="5" customFormat="1" ht="14.85" customHeight="1" x14ac:dyDescent="0.25">
      <c r="A13" s="40"/>
      <c r="B13" s="41" t="s">
        <v>23</v>
      </c>
      <c r="C13" s="72">
        <f>C14+C25+C29+C35+C64+C88+C102+C107+C118+C127+C148+C168+C178+C187+C193+C200+C211+C224+C243+C247+C262+C273+C277+C282+C293+C298+C304</f>
        <v>118116451099</v>
      </c>
      <c r="D13" s="72">
        <f>D14+D25+D29+D35+D64+D88+D102+D107+D118+D127+D148+D168+D178+D187+D193+D200+D211+D224+D243+D247+D262+D273+D277+D282+D293+D298+D304</f>
        <v>122554272316.22</v>
      </c>
      <c r="E13" s="97">
        <f>E14+E25+E29+E35+E64+E88+E102+E107+E118+E127+E148+E168+E178+E187+E193+E200+E211+E224+E243+E247+E262+E273+E277+E282+E293+E298+E304</f>
        <v>18942676884.379997</v>
      </c>
      <c r="F13" s="72">
        <f>F14+F25+F29+F35+F64+F88+F102+F107+F118+F127+F148+F168+F178+F187+F193+F200+F211+F224+F243+F247+F262+F273+F277+F282+F293+F298+F304</f>
        <v>57966148790.100006</v>
      </c>
      <c r="G13" s="73">
        <f t="shared" ref="G13:G44" si="0">(F13/$F$309)*100</f>
        <v>91.914241101306942</v>
      </c>
      <c r="H13" s="73">
        <f>D13-F13</f>
        <v>64588123526.119995</v>
      </c>
      <c r="I13" s="73">
        <f>I14+I25+I29+I35+I64+I88+I102+I107+I118+I127+I148+I168+I178+I187+I193+I200+I211+I224+I243+I247+I262+I273+I277+I282+I293+I298+I304</f>
        <v>19200355681.470005</v>
      </c>
      <c r="J13" s="73">
        <f>J14+J25+J29+J35+J64+J88+J102+J107+J118+J127+J148+J168+J178+J187+J193+J200+J211+J224+J243+J247+J262+J273+J277+J282+J293+J298+J304</f>
        <v>51197911350.019997</v>
      </c>
      <c r="K13" s="73">
        <f t="shared" ref="K13:K46" si="1">(J13/$J$309)*100</f>
        <v>91.345653749982674</v>
      </c>
      <c r="L13" s="74">
        <f>D13-J13</f>
        <v>71356360966.200012</v>
      </c>
    </row>
    <row r="14" spans="1:13" s="5" customFormat="1" ht="14.85" customHeight="1" x14ac:dyDescent="0.25">
      <c r="A14" s="40" t="s">
        <v>24</v>
      </c>
      <c r="B14" s="70" t="s">
        <v>25</v>
      </c>
      <c r="C14" s="42">
        <f>SUM(C15:C24)</f>
        <v>2815616524</v>
      </c>
      <c r="D14" s="42">
        <f>SUM(D15:D24)</f>
        <v>2933170898.1399999</v>
      </c>
      <c r="E14" s="98">
        <f>SUM(E15:E24)</f>
        <v>227152639.76999983</v>
      </c>
      <c r="F14" s="42">
        <f>SUM(F15:F24)</f>
        <v>1715018148.8300002</v>
      </c>
      <c r="G14" s="73">
        <f t="shared" si="0"/>
        <v>2.7194249560288197</v>
      </c>
      <c r="H14" s="42">
        <f t="shared" ref="H14:H79" si="2">D14-F14</f>
        <v>1218152749.3099997</v>
      </c>
      <c r="I14" s="42">
        <f>SUM(I15:I24)</f>
        <v>370643683.3599999</v>
      </c>
      <c r="J14" s="42">
        <f>SUM(J15:J24)</f>
        <v>950596190.27999997</v>
      </c>
      <c r="K14" s="42">
        <f t="shared" si="1"/>
        <v>1.6960229072574384</v>
      </c>
      <c r="L14" s="57">
        <f t="shared" ref="L14:L79" si="3">D14-J14</f>
        <v>1982574707.8599999</v>
      </c>
    </row>
    <row r="15" spans="1:13" s="5" customFormat="1" ht="14.85" customHeight="1" x14ac:dyDescent="0.25">
      <c r="A15" s="43" t="s">
        <v>26</v>
      </c>
      <c r="B15" s="44" t="s">
        <v>27</v>
      </c>
      <c r="C15" s="45">
        <v>275085</v>
      </c>
      <c r="D15" s="45">
        <v>148079459.13999999</v>
      </c>
      <c r="E15" s="61">
        <f t="shared" ref="E15:E21" si="4">F15-0</f>
        <v>29750001</v>
      </c>
      <c r="F15" s="45">
        <v>29750001</v>
      </c>
      <c r="G15" s="75">
        <f t="shared" si="0"/>
        <v>4.7173200596433908E-2</v>
      </c>
      <c r="H15" s="45">
        <f t="shared" si="2"/>
        <v>118329458.13999999</v>
      </c>
      <c r="I15" s="45">
        <f t="shared" ref="I15" si="5">J15-0</f>
        <v>29750000</v>
      </c>
      <c r="J15" s="45">
        <v>29750000</v>
      </c>
      <c r="K15" s="45">
        <f t="shared" si="1"/>
        <v>5.3078985595394278E-2</v>
      </c>
      <c r="L15" s="53">
        <f t="shared" si="3"/>
        <v>118329459.13999999</v>
      </c>
    </row>
    <row r="16" spans="1:13" s="5" customFormat="1" ht="14.85" customHeight="1" x14ac:dyDescent="0.25">
      <c r="A16" s="43" t="s">
        <v>28</v>
      </c>
      <c r="B16" s="44" t="s">
        <v>29</v>
      </c>
      <c r="C16" s="45">
        <v>51128305</v>
      </c>
      <c r="D16" s="45">
        <v>51128305</v>
      </c>
      <c r="E16" s="61">
        <f>F16-13940507.97</f>
        <v>-132376.58000000007</v>
      </c>
      <c r="F16" s="45">
        <v>13808131.390000001</v>
      </c>
      <c r="G16" s="45">
        <f t="shared" si="0"/>
        <v>2.1894915295041024E-2</v>
      </c>
      <c r="H16" s="45">
        <f t="shared" si="2"/>
        <v>37320173.609999999</v>
      </c>
      <c r="I16" s="45">
        <f>J16-1433601.02</f>
        <v>792126.33000000007</v>
      </c>
      <c r="J16" s="45">
        <v>2225727.35</v>
      </c>
      <c r="K16" s="45">
        <f t="shared" si="1"/>
        <v>3.9710705865521031E-3</v>
      </c>
      <c r="L16" s="53">
        <f t="shared" si="3"/>
        <v>48902577.649999999</v>
      </c>
    </row>
    <row r="17" spans="1:12" s="5" customFormat="1" ht="14.85" customHeight="1" x14ac:dyDescent="0.25">
      <c r="A17" s="43" t="s">
        <v>30</v>
      </c>
      <c r="B17" s="44" t="s">
        <v>31</v>
      </c>
      <c r="C17" s="45">
        <v>2586412054</v>
      </c>
      <c r="D17" s="45">
        <v>2585912054</v>
      </c>
      <c r="E17" s="61">
        <f>F17-1454546784.67</f>
        <v>195798256.42999983</v>
      </c>
      <c r="F17" s="45">
        <v>1650345041.0999999</v>
      </c>
      <c r="G17" s="45">
        <f t="shared" si="0"/>
        <v>2.6168758003450239</v>
      </c>
      <c r="H17" s="45">
        <f t="shared" si="2"/>
        <v>935567012.9000001</v>
      </c>
      <c r="I17" s="45">
        <f>J17-568729780.32</f>
        <v>337675197.41999996</v>
      </c>
      <c r="J17" s="45">
        <v>906404977.74000001</v>
      </c>
      <c r="K17" s="45">
        <f t="shared" si="1"/>
        <v>1.6171783783884077</v>
      </c>
      <c r="L17" s="53">
        <f t="shared" si="3"/>
        <v>1679507076.26</v>
      </c>
    </row>
    <row r="18" spans="1:12" s="5" customFormat="1" ht="14.85" customHeight="1" x14ac:dyDescent="0.25">
      <c r="A18" s="43" t="s">
        <v>32</v>
      </c>
      <c r="B18" s="44" t="s">
        <v>33</v>
      </c>
      <c r="C18" s="45">
        <v>64776932</v>
      </c>
      <c r="D18" s="45">
        <v>64776932</v>
      </c>
      <c r="E18" s="61">
        <f>F18-10842296.76</f>
        <v>149347.63000000082</v>
      </c>
      <c r="F18" s="45">
        <v>10991644.390000001</v>
      </c>
      <c r="G18" s="45">
        <f t="shared" si="0"/>
        <v>1.7428942126561188E-2</v>
      </c>
      <c r="H18" s="45">
        <f t="shared" si="2"/>
        <v>53785287.609999999</v>
      </c>
      <c r="I18" s="45">
        <f>J18-7204382.45</f>
        <v>419834.58999999985</v>
      </c>
      <c r="J18" s="45">
        <v>7624217.04</v>
      </c>
      <c r="K18" s="45">
        <f t="shared" si="1"/>
        <v>1.3602880888817465E-2</v>
      </c>
      <c r="L18" s="53">
        <f t="shared" si="3"/>
        <v>57152714.960000001</v>
      </c>
    </row>
    <row r="19" spans="1:12" s="5" customFormat="1" ht="14.85" customHeight="1" x14ac:dyDescent="0.25">
      <c r="A19" s="43" t="s">
        <v>34</v>
      </c>
      <c r="B19" s="44" t="s">
        <v>35</v>
      </c>
      <c r="C19" s="45">
        <v>75150589</v>
      </c>
      <c r="D19" s="45">
        <v>75150589</v>
      </c>
      <c r="E19" s="61">
        <f>F19-8455938.73</f>
        <v>1570261.0099999998</v>
      </c>
      <c r="F19" s="45">
        <v>10026199.74</v>
      </c>
      <c r="G19" s="45">
        <f t="shared" si="0"/>
        <v>1.5898081198549657E-2</v>
      </c>
      <c r="H19" s="45">
        <f t="shared" si="2"/>
        <v>65124389.259999998</v>
      </c>
      <c r="I19" s="45">
        <f>J19-2564762.2</f>
        <v>1977017.8199999994</v>
      </c>
      <c r="J19" s="45">
        <v>4541780.0199999996</v>
      </c>
      <c r="K19" s="45">
        <f t="shared" si="1"/>
        <v>8.1032966809757821E-3</v>
      </c>
      <c r="L19" s="53">
        <f t="shared" si="3"/>
        <v>70608808.980000004</v>
      </c>
    </row>
    <row r="20" spans="1:12" s="5" customFormat="1" ht="14.85" customHeight="1" x14ac:dyDescent="0.25">
      <c r="A20" s="43" t="s">
        <v>36</v>
      </c>
      <c r="B20" s="44" t="s">
        <v>37</v>
      </c>
      <c r="C20" s="45">
        <v>0</v>
      </c>
      <c r="D20" s="45">
        <v>0</v>
      </c>
      <c r="E20" s="61">
        <f t="shared" si="4"/>
        <v>0</v>
      </c>
      <c r="F20" s="45">
        <v>0</v>
      </c>
      <c r="G20" s="45">
        <f t="shared" si="0"/>
        <v>0</v>
      </c>
      <c r="H20" s="45">
        <f t="shared" si="2"/>
        <v>0</v>
      </c>
      <c r="I20" s="45">
        <f t="shared" ref="I20:I81" si="6">J20-0</f>
        <v>0</v>
      </c>
      <c r="J20" s="45">
        <v>0</v>
      </c>
      <c r="K20" s="45">
        <f t="shared" si="1"/>
        <v>0</v>
      </c>
      <c r="L20" s="53">
        <f t="shared" si="3"/>
        <v>0</v>
      </c>
    </row>
    <row r="21" spans="1:12" s="5" customFormat="1" ht="14.85" customHeight="1" x14ac:dyDescent="0.25">
      <c r="A21" s="43" t="s">
        <v>38</v>
      </c>
      <c r="B21" s="44" t="s">
        <v>39</v>
      </c>
      <c r="C21" s="45">
        <v>0</v>
      </c>
      <c r="D21" s="45">
        <v>0</v>
      </c>
      <c r="E21" s="61">
        <f t="shared" si="4"/>
        <v>0</v>
      </c>
      <c r="F21" s="45">
        <v>0</v>
      </c>
      <c r="G21" s="45">
        <f t="shared" si="0"/>
        <v>0</v>
      </c>
      <c r="H21" s="45">
        <f t="shared" si="2"/>
        <v>0</v>
      </c>
      <c r="I21" s="45">
        <f t="shared" si="6"/>
        <v>0</v>
      </c>
      <c r="J21" s="45">
        <v>0</v>
      </c>
      <c r="K21" s="45">
        <f t="shared" si="1"/>
        <v>0</v>
      </c>
      <c r="L21" s="53">
        <f t="shared" si="3"/>
        <v>0</v>
      </c>
    </row>
    <row r="22" spans="1:12" s="5" customFormat="1" ht="14.85" customHeight="1" x14ac:dyDescent="0.25">
      <c r="A22" s="43" t="s">
        <v>40</v>
      </c>
      <c r="B22" s="44" t="s">
        <v>41</v>
      </c>
      <c r="C22" s="45">
        <v>484911</v>
      </c>
      <c r="D22" s="45">
        <v>484911</v>
      </c>
      <c r="E22" s="61">
        <f>F22-79980.93</f>
        <v>17150.280000000013</v>
      </c>
      <c r="F22" s="45">
        <v>97131.21</v>
      </c>
      <c r="G22" s="45">
        <f t="shared" si="0"/>
        <v>1.5401646720967666E-4</v>
      </c>
      <c r="H22" s="45">
        <f t="shared" si="2"/>
        <v>387779.79</v>
      </c>
      <c r="I22" s="45">
        <f>J22-19980.93</f>
        <v>29507.199999999997</v>
      </c>
      <c r="J22" s="45">
        <v>49488.13</v>
      </c>
      <c r="K22" s="45">
        <f t="shared" si="1"/>
        <v>8.8295117291193245E-5</v>
      </c>
      <c r="L22" s="53">
        <f t="shared" si="3"/>
        <v>435422.87</v>
      </c>
    </row>
    <row r="23" spans="1:12" s="5" customFormat="1" ht="14.85" customHeight="1" x14ac:dyDescent="0.25">
      <c r="A23" s="43" t="s">
        <v>42</v>
      </c>
      <c r="B23" s="44" t="s">
        <v>43</v>
      </c>
      <c r="C23" s="45">
        <v>3253916</v>
      </c>
      <c r="D23" s="45">
        <v>3253916</v>
      </c>
      <c r="E23" s="61">
        <f>F23-0</f>
        <v>0</v>
      </c>
      <c r="F23" s="45">
        <v>0</v>
      </c>
      <c r="G23" s="45">
        <f t="shared" si="0"/>
        <v>0</v>
      </c>
      <c r="H23" s="45">
        <f t="shared" si="2"/>
        <v>3253916</v>
      </c>
      <c r="I23" s="45">
        <f t="shared" si="6"/>
        <v>0</v>
      </c>
      <c r="J23" s="45">
        <v>0</v>
      </c>
      <c r="K23" s="45">
        <f t="shared" si="1"/>
        <v>0</v>
      </c>
      <c r="L23" s="53">
        <f t="shared" si="3"/>
        <v>3253916</v>
      </c>
    </row>
    <row r="24" spans="1:12" s="5" customFormat="1" ht="14.85" customHeight="1" x14ac:dyDescent="0.25">
      <c r="A24" s="43" t="s">
        <v>44</v>
      </c>
      <c r="B24" s="44" t="s">
        <v>45</v>
      </c>
      <c r="C24" s="45">
        <v>34134732</v>
      </c>
      <c r="D24" s="45">
        <v>4384732</v>
      </c>
      <c r="E24" s="61">
        <f>F24-0</f>
        <v>0</v>
      </c>
      <c r="F24" s="45">
        <v>0</v>
      </c>
      <c r="G24" s="45">
        <f t="shared" si="0"/>
        <v>0</v>
      </c>
      <c r="H24" s="45">
        <f t="shared" si="2"/>
        <v>4384732</v>
      </c>
      <c r="I24" s="45">
        <f t="shared" si="6"/>
        <v>0</v>
      </c>
      <c r="J24" s="45">
        <v>0</v>
      </c>
      <c r="K24" s="45">
        <f t="shared" si="1"/>
        <v>0</v>
      </c>
      <c r="L24" s="53">
        <f t="shared" si="3"/>
        <v>4384732</v>
      </c>
    </row>
    <row r="25" spans="1:12" s="5" customFormat="1" ht="14.85" customHeight="1" x14ac:dyDescent="0.25">
      <c r="A25" s="40" t="s">
        <v>46</v>
      </c>
      <c r="B25" s="70" t="s">
        <v>47</v>
      </c>
      <c r="C25" s="42">
        <f>SUM(C26:C28)</f>
        <v>8766913194</v>
      </c>
      <c r="D25" s="42">
        <f>SUM(D26:D28)</f>
        <v>8933535194</v>
      </c>
      <c r="E25" s="98">
        <f>SUM(E26:E27)</f>
        <v>1448164298.6200004</v>
      </c>
      <c r="F25" s="42">
        <f>SUM(F26:F28)</f>
        <v>5338987565.5600004</v>
      </c>
      <c r="G25" s="45">
        <f t="shared" si="0"/>
        <v>8.4657856452518523</v>
      </c>
      <c r="H25" s="42">
        <f t="shared" si="2"/>
        <v>3594547628.4399996</v>
      </c>
      <c r="I25" s="42">
        <f>SUM(I26:I28)</f>
        <v>1564193333.45</v>
      </c>
      <c r="J25" s="42">
        <f>SUM(J26:J28)</f>
        <v>4125575513.9000001</v>
      </c>
      <c r="K25" s="42">
        <f t="shared" si="1"/>
        <v>7.3607180932776277</v>
      </c>
      <c r="L25" s="57">
        <f t="shared" si="3"/>
        <v>4807959680.1000004</v>
      </c>
    </row>
    <row r="26" spans="1:12" s="5" customFormat="1" ht="14.85" customHeight="1" x14ac:dyDescent="0.25">
      <c r="A26" s="43" t="s">
        <v>48</v>
      </c>
      <c r="B26" s="44" t="s">
        <v>49</v>
      </c>
      <c r="C26" s="45">
        <v>3967160000</v>
      </c>
      <c r="D26" s="45">
        <v>4006782000</v>
      </c>
      <c r="E26" s="61">
        <f>F26-2336802217</f>
        <v>464231564.53000021</v>
      </c>
      <c r="F26" s="45">
        <v>2801033781.5300002</v>
      </c>
      <c r="G26" s="45">
        <f t="shared" si="0"/>
        <v>4.4414697146901796</v>
      </c>
      <c r="H26" s="45">
        <f t="shared" si="2"/>
        <v>1205748218.4699998</v>
      </c>
      <c r="I26" s="45">
        <f>J26-1007361130.51</f>
        <v>580260599.3599999</v>
      </c>
      <c r="J26" s="45">
        <v>1587621729.8699999</v>
      </c>
      <c r="K26" s="45">
        <f t="shared" si="1"/>
        <v>2.8325832245615015</v>
      </c>
      <c r="L26" s="53">
        <f t="shared" si="3"/>
        <v>2419160270.1300001</v>
      </c>
    </row>
    <row r="27" spans="1:12" s="5" customFormat="1" ht="14.85" customHeight="1" x14ac:dyDescent="0.25">
      <c r="A27" s="43" t="s">
        <v>30</v>
      </c>
      <c r="B27" s="44" t="s">
        <v>31</v>
      </c>
      <c r="C27" s="45">
        <v>4799753194</v>
      </c>
      <c r="D27" s="45">
        <v>4926753194</v>
      </c>
      <c r="E27" s="61">
        <f>F27-1554021049.94</f>
        <v>983932734.09000015</v>
      </c>
      <c r="F27" s="45">
        <v>2537953784.0300002</v>
      </c>
      <c r="G27" s="45">
        <f t="shared" si="0"/>
        <v>4.0243159305616736</v>
      </c>
      <c r="H27" s="45">
        <f t="shared" si="2"/>
        <v>2388799409.9699998</v>
      </c>
      <c r="I27" s="45">
        <f>J27-1554021049.94</f>
        <v>983932734.09000015</v>
      </c>
      <c r="J27" s="45">
        <v>2537953784.0300002</v>
      </c>
      <c r="K27" s="45">
        <f t="shared" si="1"/>
        <v>4.5281348687161271</v>
      </c>
      <c r="L27" s="53">
        <f t="shared" si="3"/>
        <v>2388799409.9699998</v>
      </c>
    </row>
    <row r="28" spans="1:12" s="5" customFormat="1" ht="14.85" customHeight="1" x14ac:dyDescent="0.25">
      <c r="A28" s="43" t="s">
        <v>38</v>
      </c>
      <c r="B28" s="44" t="s">
        <v>39</v>
      </c>
      <c r="C28" s="45">
        <v>0</v>
      </c>
      <c r="D28" s="45">
        <v>0</v>
      </c>
      <c r="E28" s="61">
        <f>F28-0</f>
        <v>0</v>
      </c>
      <c r="F28" s="45">
        <v>0</v>
      </c>
      <c r="G28" s="45">
        <f t="shared" si="0"/>
        <v>0</v>
      </c>
      <c r="H28" s="45">
        <f t="shared" si="2"/>
        <v>0</v>
      </c>
      <c r="I28" s="45">
        <f t="shared" si="6"/>
        <v>0</v>
      </c>
      <c r="J28" s="45">
        <v>0</v>
      </c>
      <c r="K28" s="45">
        <f t="shared" si="1"/>
        <v>0</v>
      </c>
      <c r="L28" s="53">
        <f t="shared" si="3"/>
        <v>0</v>
      </c>
    </row>
    <row r="29" spans="1:12" s="5" customFormat="1" ht="14.85" customHeight="1" x14ac:dyDescent="0.25">
      <c r="A29" s="40" t="s">
        <v>50</v>
      </c>
      <c r="B29" s="70" t="s">
        <v>51</v>
      </c>
      <c r="C29" s="42">
        <f>SUM(C30:C34)</f>
        <v>6520886550</v>
      </c>
      <c r="D29" s="42">
        <f>SUM(D30:D34)</f>
        <v>6885381937.6299992</v>
      </c>
      <c r="E29" s="98">
        <f>SUM(E30:E34)</f>
        <v>424142626.00999981</v>
      </c>
      <c r="F29" s="42">
        <f>SUM(F30:F34)</f>
        <v>4303801814.8099995</v>
      </c>
      <c r="G29" s="42">
        <f t="shared" si="0"/>
        <v>6.8243394794282004</v>
      </c>
      <c r="H29" s="42">
        <f t="shared" si="2"/>
        <v>2581580122.8199997</v>
      </c>
      <c r="I29" s="42">
        <f>SUM(I30:I34)</f>
        <v>768408018.11000001</v>
      </c>
      <c r="J29" s="42">
        <f>SUM(J30:J34)</f>
        <v>2705518340.4099998</v>
      </c>
      <c r="K29" s="42">
        <f t="shared" si="1"/>
        <v>4.8270981182755435</v>
      </c>
      <c r="L29" s="57">
        <f t="shared" si="3"/>
        <v>4179863597.2199993</v>
      </c>
    </row>
    <row r="30" spans="1:12" s="5" customFormat="1" ht="14.85" customHeight="1" x14ac:dyDescent="0.25">
      <c r="A30" s="43" t="s">
        <v>52</v>
      </c>
      <c r="B30" s="44" t="s">
        <v>53</v>
      </c>
      <c r="C30" s="45">
        <v>134008077</v>
      </c>
      <c r="D30" s="45">
        <v>134008077</v>
      </c>
      <c r="E30" s="61">
        <f>F30-73169263.58</f>
        <v>19103004.150000006</v>
      </c>
      <c r="F30" s="45">
        <v>92272267.730000004</v>
      </c>
      <c r="G30" s="45">
        <f t="shared" si="0"/>
        <v>0.14631186718666483</v>
      </c>
      <c r="H30" s="45">
        <f t="shared" si="2"/>
        <v>41735809.269999996</v>
      </c>
      <c r="I30" s="45">
        <f>J30-9415200.58</f>
        <v>12410657.409999998</v>
      </c>
      <c r="J30" s="45">
        <v>21825857.989999998</v>
      </c>
      <c r="K30" s="45">
        <f t="shared" si="1"/>
        <v>3.8940988297759029E-2</v>
      </c>
      <c r="L30" s="53">
        <f t="shared" si="3"/>
        <v>112182219.01000001</v>
      </c>
    </row>
    <row r="31" spans="1:12" s="5" customFormat="1" ht="14.85" customHeight="1" x14ac:dyDescent="0.25">
      <c r="A31" s="43" t="s">
        <v>54</v>
      </c>
      <c r="B31" s="44" t="s">
        <v>55</v>
      </c>
      <c r="C31" s="45">
        <v>239049916</v>
      </c>
      <c r="D31" s="45">
        <v>371352930.32999998</v>
      </c>
      <c r="E31" s="61">
        <f>F31-101982134.17</f>
        <v>17714902.969999999</v>
      </c>
      <c r="F31" s="45">
        <v>119697037.14</v>
      </c>
      <c r="G31" s="45">
        <f t="shared" si="0"/>
        <v>0.18979805559683913</v>
      </c>
      <c r="H31" s="45">
        <f t="shared" si="2"/>
        <v>251655893.19</v>
      </c>
      <c r="I31" s="45">
        <f>J31-97671468.17</f>
        <v>18122407.340000004</v>
      </c>
      <c r="J31" s="45">
        <v>115793875.51000001</v>
      </c>
      <c r="K31" s="45">
        <f t="shared" si="1"/>
        <v>0.2065956789993334</v>
      </c>
      <c r="L31" s="53">
        <f t="shared" si="3"/>
        <v>255559054.81999999</v>
      </c>
    </row>
    <row r="32" spans="1:12" s="5" customFormat="1" ht="14.85" customHeight="1" x14ac:dyDescent="0.25">
      <c r="A32" s="43" t="s">
        <v>30</v>
      </c>
      <c r="B32" s="44" t="s">
        <v>31</v>
      </c>
      <c r="C32" s="45">
        <v>6065125363</v>
      </c>
      <c r="D32" s="45">
        <v>6240964296.6499996</v>
      </c>
      <c r="E32" s="61">
        <f>F32-3661512868.54</f>
        <v>383116376.92999983</v>
      </c>
      <c r="F32" s="45">
        <v>4044629245.4699998</v>
      </c>
      <c r="G32" s="45">
        <f t="shared" si="0"/>
        <v>6.4133815234076605</v>
      </c>
      <c r="H32" s="45">
        <f t="shared" si="2"/>
        <v>2196335051.1799998</v>
      </c>
      <c r="I32" s="45">
        <f>J32-1822098225.78</f>
        <v>728085035.77999997</v>
      </c>
      <c r="J32" s="45">
        <v>2550183261.5599999</v>
      </c>
      <c r="K32" s="45">
        <f t="shared" si="1"/>
        <v>4.5499543060826504</v>
      </c>
      <c r="L32" s="53">
        <f t="shared" si="3"/>
        <v>3690781035.0899997</v>
      </c>
    </row>
    <row r="33" spans="1:12" s="5" customFormat="1" ht="14.85" customHeight="1" x14ac:dyDescent="0.25">
      <c r="A33" s="43" t="s">
        <v>32</v>
      </c>
      <c r="B33" s="44" t="s">
        <v>56</v>
      </c>
      <c r="C33" s="45">
        <v>65883194</v>
      </c>
      <c r="D33" s="45">
        <v>119735633.65000001</v>
      </c>
      <c r="E33" s="61">
        <f>F33-38951709.64</f>
        <v>2772076.4600000009</v>
      </c>
      <c r="F33" s="45">
        <v>41723786.100000001</v>
      </c>
      <c r="G33" s="45">
        <f t="shared" si="0"/>
        <v>6.6159477821126828E-2</v>
      </c>
      <c r="H33" s="45">
        <f t="shared" si="2"/>
        <v>78011847.550000012</v>
      </c>
      <c r="I33" s="45">
        <f>J33-6157449.66</f>
        <v>8275719.3200000003</v>
      </c>
      <c r="J33" s="45">
        <v>14433168.98</v>
      </c>
      <c r="K33" s="45">
        <f t="shared" si="1"/>
        <v>2.5751192214632321E-2</v>
      </c>
      <c r="L33" s="53">
        <f t="shared" si="3"/>
        <v>105302464.67</v>
      </c>
    </row>
    <row r="34" spans="1:12" s="5" customFormat="1" ht="14.85" customHeight="1" x14ac:dyDescent="0.25">
      <c r="A34" s="43" t="s">
        <v>34</v>
      </c>
      <c r="B34" s="44" t="s">
        <v>35</v>
      </c>
      <c r="C34" s="45">
        <v>16820000</v>
      </c>
      <c r="D34" s="45">
        <v>19321000</v>
      </c>
      <c r="E34" s="61">
        <f>F34-4043212.87</f>
        <v>1436265.5</v>
      </c>
      <c r="F34" s="45">
        <v>5479478.3700000001</v>
      </c>
      <c r="G34" s="45">
        <f t="shared" si="0"/>
        <v>8.6885554159084125E-3</v>
      </c>
      <c r="H34" s="45">
        <f t="shared" si="2"/>
        <v>13841521.629999999</v>
      </c>
      <c r="I34" s="45">
        <f>J34-1767978.11</f>
        <v>1514198.26</v>
      </c>
      <c r="J34" s="45">
        <v>3282176.37</v>
      </c>
      <c r="K34" s="45">
        <f t="shared" si="1"/>
        <v>5.8559526811688568E-3</v>
      </c>
      <c r="L34" s="53">
        <f t="shared" si="3"/>
        <v>16038823.629999999</v>
      </c>
    </row>
    <row r="35" spans="1:12" s="5" customFormat="1" ht="14.85" customHeight="1" x14ac:dyDescent="0.25">
      <c r="A35" s="40" t="s">
        <v>57</v>
      </c>
      <c r="B35" s="70" t="s">
        <v>58</v>
      </c>
      <c r="C35" s="42">
        <f>SUM(C36:C63)</f>
        <v>6199795067</v>
      </c>
      <c r="D35" s="42">
        <f>SUM(D36:D63)</f>
        <v>6559587831.7999992</v>
      </c>
      <c r="E35" s="98">
        <f>SUM(E36:E63)</f>
        <v>1763098181.6499996</v>
      </c>
      <c r="F35" s="42">
        <f>SUM(F36:F63)</f>
        <v>3140226292.9499998</v>
      </c>
      <c r="G35" s="42">
        <f t="shared" si="0"/>
        <v>4.9793115918055388</v>
      </c>
      <c r="H35" s="42">
        <f t="shared" si="2"/>
        <v>3419361538.8499994</v>
      </c>
      <c r="I35" s="42">
        <f>SUM(I36:I63)</f>
        <v>1728488828.3699994</v>
      </c>
      <c r="J35" s="42">
        <f>SUM(J36:J63)</f>
        <v>2943663426.7800002</v>
      </c>
      <c r="K35" s="42">
        <f t="shared" si="1"/>
        <v>5.2519888614367929</v>
      </c>
      <c r="L35" s="57">
        <f t="shared" si="3"/>
        <v>3615924405.019999</v>
      </c>
    </row>
    <row r="36" spans="1:12" s="5" customFormat="1" ht="14.85" customHeight="1" x14ac:dyDescent="0.25">
      <c r="A36" s="43" t="s">
        <v>59</v>
      </c>
      <c r="B36" s="44" t="s">
        <v>60</v>
      </c>
      <c r="C36" s="45">
        <v>316039855</v>
      </c>
      <c r="D36" s="45">
        <v>198764.43</v>
      </c>
      <c r="E36" s="61">
        <f t="shared" ref="E36:E63" si="7">F36-0</f>
        <v>0</v>
      </c>
      <c r="F36" s="45">
        <v>0</v>
      </c>
      <c r="G36" s="45">
        <f t="shared" si="0"/>
        <v>0</v>
      </c>
      <c r="H36" s="45">
        <f t="shared" si="2"/>
        <v>198764.43</v>
      </c>
      <c r="I36" s="45">
        <f>J36-0</f>
        <v>0</v>
      </c>
      <c r="J36" s="45">
        <v>0</v>
      </c>
      <c r="K36" s="45">
        <f t="shared" si="1"/>
        <v>0</v>
      </c>
      <c r="L36" s="53">
        <f t="shared" si="3"/>
        <v>198764.43</v>
      </c>
    </row>
    <row r="37" spans="1:12" s="5" customFormat="1" ht="14.85" customHeight="1" x14ac:dyDescent="0.25">
      <c r="A37" s="43" t="s">
        <v>30</v>
      </c>
      <c r="B37" s="44" t="s">
        <v>31</v>
      </c>
      <c r="C37" s="45">
        <v>3701456337</v>
      </c>
      <c r="D37" s="45">
        <v>4190437557.77</v>
      </c>
      <c r="E37" s="61">
        <f>F37-714030545.82</f>
        <v>1378651027.7999997</v>
      </c>
      <c r="F37" s="45">
        <v>2092681573.6199999</v>
      </c>
      <c r="G37" s="45">
        <f t="shared" si="0"/>
        <v>3.3182683811283651</v>
      </c>
      <c r="H37" s="45">
        <f t="shared" si="2"/>
        <v>2097755984.1500001</v>
      </c>
      <c r="I37" s="45">
        <f>J37-618013321.57</f>
        <v>1361322189.6199999</v>
      </c>
      <c r="J37" s="45">
        <v>1979335511.1900001</v>
      </c>
      <c r="K37" s="45">
        <f t="shared" si="1"/>
        <v>3.531466255022063</v>
      </c>
      <c r="L37" s="53">
        <f t="shared" si="3"/>
        <v>2211102046.5799999</v>
      </c>
    </row>
    <row r="38" spans="1:12" s="5" customFormat="1" ht="14.85" customHeight="1" x14ac:dyDescent="0.25">
      <c r="A38" s="43" t="s">
        <v>61</v>
      </c>
      <c r="B38" s="44" t="s">
        <v>62</v>
      </c>
      <c r="C38" s="45">
        <v>17647437</v>
      </c>
      <c r="D38" s="45">
        <v>22861577</v>
      </c>
      <c r="E38" s="61">
        <f>F38-10319823.6</f>
        <v>-2376932</v>
      </c>
      <c r="F38" s="45">
        <v>7942891.5999999996</v>
      </c>
      <c r="G38" s="45">
        <f t="shared" si="0"/>
        <v>1.2594675837574926E-2</v>
      </c>
      <c r="H38" s="45">
        <f t="shared" si="2"/>
        <v>14918685.4</v>
      </c>
      <c r="I38" s="45">
        <f>J38-668653.46</f>
        <v>681079.26</v>
      </c>
      <c r="J38" s="45">
        <v>1349732.72</v>
      </c>
      <c r="K38" s="45">
        <f t="shared" si="1"/>
        <v>2.4081493647903304E-3</v>
      </c>
      <c r="L38" s="53">
        <f t="shared" si="3"/>
        <v>21511844.280000001</v>
      </c>
    </row>
    <row r="39" spans="1:12" s="5" customFormat="1" ht="14.85" customHeight="1" x14ac:dyDescent="0.25">
      <c r="A39" s="43" t="s">
        <v>63</v>
      </c>
      <c r="B39" s="44" t="s">
        <v>64</v>
      </c>
      <c r="C39" s="45">
        <v>100127</v>
      </c>
      <c r="D39" s="45">
        <v>100127</v>
      </c>
      <c r="E39" s="61">
        <f>F39-23792.5</f>
        <v>4057.9199999999983</v>
      </c>
      <c r="F39" s="45">
        <v>27850.42</v>
      </c>
      <c r="G39" s="45">
        <f t="shared" si="0"/>
        <v>4.4161122863657541E-5</v>
      </c>
      <c r="H39" s="45">
        <f t="shared" si="2"/>
        <v>72276.58</v>
      </c>
      <c r="I39" s="45">
        <f>J39-23792.5</f>
        <v>1857.9199999999983</v>
      </c>
      <c r="J39" s="45">
        <v>25650.42</v>
      </c>
      <c r="K39" s="45">
        <f t="shared" si="1"/>
        <v>4.5764647855321457E-5</v>
      </c>
      <c r="L39" s="53">
        <f t="shared" si="3"/>
        <v>74476.58</v>
      </c>
    </row>
    <row r="40" spans="1:12" s="5" customFormat="1" ht="14.85" customHeight="1" x14ac:dyDescent="0.25">
      <c r="A40" s="43" t="s">
        <v>65</v>
      </c>
      <c r="B40" s="44" t="s">
        <v>66</v>
      </c>
      <c r="C40" s="45">
        <v>14700439</v>
      </c>
      <c r="D40" s="45">
        <v>12550434.85</v>
      </c>
      <c r="E40" s="61">
        <f>F40-5006905.95</f>
        <v>3031731.05</v>
      </c>
      <c r="F40" s="45">
        <v>8038637</v>
      </c>
      <c r="G40" s="45">
        <f t="shared" si="0"/>
        <v>1.2746494889963723E-2</v>
      </c>
      <c r="H40" s="45">
        <f t="shared" si="2"/>
        <v>4511797.8499999996</v>
      </c>
      <c r="I40" s="45">
        <f>J40-3062790.94</f>
        <v>4647212.7200000007</v>
      </c>
      <c r="J40" s="45">
        <v>7710003.6600000001</v>
      </c>
      <c r="K40" s="45">
        <f t="shared" si="1"/>
        <v>1.3755938595279906E-2</v>
      </c>
      <c r="L40" s="53">
        <f t="shared" si="3"/>
        <v>4840431.1899999995</v>
      </c>
    </row>
    <row r="41" spans="1:12" s="5" customFormat="1" ht="14.85" customHeight="1" x14ac:dyDescent="0.25">
      <c r="A41" s="43" t="s">
        <v>32</v>
      </c>
      <c r="B41" s="44" t="s">
        <v>33</v>
      </c>
      <c r="C41" s="45">
        <v>163990313</v>
      </c>
      <c r="D41" s="45">
        <v>162094035.75999999</v>
      </c>
      <c r="E41" s="61">
        <f>F41-45484541.52</f>
        <v>10083770.189999998</v>
      </c>
      <c r="F41" s="45">
        <v>55568311.710000001</v>
      </c>
      <c r="G41" s="45">
        <f t="shared" si="0"/>
        <v>8.8112101747525914E-2</v>
      </c>
      <c r="H41" s="45">
        <f t="shared" si="2"/>
        <v>106525724.04999998</v>
      </c>
      <c r="I41" s="45">
        <f>J41-21857877.73</f>
        <v>27176424.620000001</v>
      </c>
      <c r="J41" s="45">
        <v>49034302.350000001</v>
      </c>
      <c r="K41" s="45">
        <f t="shared" si="1"/>
        <v>8.7485412709776736E-2</v>
      </c>
      <c r="L41" s="53">
        <f t="shared" si="3"/>
        <v>113059733.41</v>
      </c>
    </row>
    <row r="42" spans="1:12" s="5" customFormat="1" ht="14.85" customHeight="1" x14ac:dyDescent="0.25">
      <c r="A42" s="43" t="s">
        <v>67</v>
      </c>
      <c r="B42" s="44" t="s">
        <v>68</v>
      </c>
      <c r="C42" s="45">
        <v>58247641</v>
      </c>
      <c r="D42" s="45">
        <v>251734306.36000001</v>
      </c>
      <c r="E42" s="61">
        <f>F42-37736661.05</f>
        <v>42700165.960000008</v>
      </c>
      <c r="F42" s="45">
        <v>80436827.010000005</v>
      </c>
      <c r="G42" s="45">
        <f t="shared" si="0"/>
        <v>0.12754495624666984</v>
      </c>
      <c r="H42" s="45">
        <f t="shared" si="2"/>
        <v>171297479.35000002</v>
      </c>
      <c r="I42" s="45">
        <f>J42-19629851.64</f>
        <v>15473344.579999998</v>
      </c>
      <c r="J42" s="45">
        <v>35103196.219999999</v>
      </c>
      <c r="K42" s="45">
        <f t="shared" si="1"/>
        <v>6.2629984756762319E-2</v>
      </c>
      <c r="L42" s="53">
        <f t="shared" si="3"/>
        <v>216631110.14000002</v>
      </c>
    </row>
    <row r="43" spans="1:12" s="5" customFormat="1" ht="14.85" customHeight="1" x14ac:dyDescent="0.25">
      <c r="A43" s="43" t="s">
        <v>34</v>
      </c>
      <c r="B43" s="44" t="s">
        <v>35</v>
      </c>
      <c r="C43" s="45">
        <v>8379111</v>
      </c>
      <c r="D43" s="45">
        <v>6881857</v>
      </c>
      <c r="E43" s="61">
        <f>F43-658777.67</f>
        <v>530564.52999999991</v>
      </c>
      <c r="F43" s="45">
        <v>1189342.2</v>
      </c>
      <c r="G43" s="45">
        <f t="shared" si="0"/>
        <v>1.8858849173956E-3</v>
      </c>
      <c r="H43" s="45">
        <f t="shared" si="2"/>
        <v>5692514.7999999998</v>
      </c>
      <c r="I43" s="45">
        <f>J43-299188.08</f>
        <v>608417.06000000006</v>
      </c>
      <c r="J43" s="45">
        <v>907605.14</v>
      </c>
      <c r="K43" s="45">
        <f t="shared" si="1"/>
        <v>1.6193196689870861E-3</v>
      </c>
      <c r="L43" s="53">
        <f t="shared" si="3"/>
        <v>5974251.8600000003</v>
      </c>
    </row>
    <row r="44" spans="1:12" s="5" customFormat="1" ht="14.85" customHeight="1" x14ac:dyDescent="0.25">
      <c r="A44" s="43" t="s">
        <v>69</v>
      </c>
      <c r="B44" s="44" t="s">
        <v>70</v>
      </c>
      <c r="C44" s="45">
        <v>0</v>
      </c>
      <c r="D44" s="45">
        <v>0</v>
      </c>
      <c r="E44" s="61">
        <f t="shared" si="7"/>
        <v>0</v>
      </c>
      <c r="F44" s="45">
        <v>0</v>
      </c>
      <c r="G44" s="45">
        <f t="shared" si="0"/>
        <v>0</v>
      </c>
      <c r="H44" s="45">
        <f t="shared" si="2"/>
        <v>0</v>
      </c>
      <c r="I44" s="45">
        <f t="shared" si="6"/>
        <v>0</v>
      </c>
      <c r="J44" s="45">
        <v>0</v>
      </c>
      <c r="K44" s="45">
        <f t="shared" si="1"/>
        <v>0</v>
      </c>
      <c r="L44" s="53">
        <f t="shared" si="3"/>
        <v>0</v>
      </c>
    </row>
    <row r="45" spans="1:12" s="5" customFormat="1" ht="14.85" customHeight="1" x14ac:dyDescent="0.25">
      <c r="A45" s="43" t="s">
        <v>71</v>
      </c>
      <c r="B45" s="44" t="s">
        <v>72</v>
      </c>
      <c r="C45" s="45">
        <v>20791336</v>
      </c>
      <c r="D45" s="45">
        <v>25475627.52</v>
      </c>
      <c r="E45" s="61">
        <f>F45-7242575.91</f>
        <v>5963858.5199999996</v>
      </c>
      <c r="F45" s="94">
        <v>13206434.43</v>
      </c>
      <c r="G45" s="45">
        <f t="shared" ref="G45:G76" si="8">(F45/$F$309)*100</f>
        <v>2.0940832255099462E-2</v>
      </c>
      <c r="H45" s="45">
        <f t="shared" si="2"/>
        <v>12269193.09</v>
      </c>
      <c r="I45" s="45">
        <f>J45-4058934.1</f>
        <v>3136672.57</v>
      </c>
      <c r="J45" s="94">
        <v>7195606.6699999999</v>
      </c>
      <c r="K45" s="45">
        <f t="shared" si="1"/>
        <v>1.2838168160909344E-2</v>
      </c>
      <c r="L45" s="53">
        <f t="shared" si="3"/>
        <v>18280020.850000001</v>
      </c>
    </row>
    <row r="46" spans="1:12" s="5" customFormat="1" ht="14.85" customHeight="1" x14ac:dyDescent="0.25">
      <c r="A46" s="43" t="s">
        <v>36</v>
      </c>
      <c r="B46" s="44" t="s">
        <v>37</v>
      </c>
      <c r="C46" s="45">
        <v>58317023</v>
      </c>
      <c r="D46" s="45">
        <v>47626795.609999999</v>
      </c>
      <c r="E46" s="61">
        <f>F46-6189451.74</f>
        <v>212698.54999999981</v>
      </c>
      <c r="F46" s="94">
        <v>6402150.29</v>
      </c>
      <c r="G46" s="45">
        <f t="shared" si="8"/>
        <v>1.0151593604272065E-2</v>
      </c>
      <c r="H46" s="45">
        <f t="shared" si="2"/>
        <v>41224645.32</v>
      </c>
      <c r="I46" s="45">
        <f>J46-4634438.63</f>
        <v>1195211.6200000001</v>
      </c>
      <c r="J46" s="45">
        <v>5829650.25</v>
      </c>
      <c r="K46" s="45">
        <f t="shared" si="1"/>
        <v>1.0401072996502073E-2</v>
      </c>
      <c r="L46" s="53">
        <f t="shared" si="3"/>
        <v>41797145.359999999</v>
      </c>
    </row>
    <row r="47" spans="1:12" s="5" customFormat="1" ht="14.85" customHeight="1" x14ac:dyDescent="0.25">
      <c r="A47" s="43" t="s">
        <v>104</v>
      </c>
      <c r="B47" s="44" t="s">
        <v>105</v>
      </c>
      <c r="C47" s="45">
        <v>1630969</v>
      </c>
      <c r="D47" s="45">
        <v>1630969</v>
      </c>
      <c r="E47" s="61">
        <f>F47-168642.74</f>
        <v>183915.52000000002</v>
      </c>
      <c r="F47" s="111">
        <v>352558.26</v>
      </c>
      <c r="G47" s="45">
        <f t="shared" si="8"/>
        <v>5.5903532644955884E-4</v>
      </c>
      <c r="H47" s="45">
        <f t="shared" si="2"/>
        <v>1278410.74</v>
      </c>
      <c r="I47" s="45">
        <f>J47-60036.96</f>
        <v>73414.99000000002</v>
      </c>
      <c r="J47" s="111">
        <v>133451.95000000001</v>
      </c>
      <c r="K47" s="45"/>
      <c r="L47" s="53"/>
    </row>
    <row r="48" spans="1:12" s="5" customFormat="1" ht="14.85" customHeight="1" x14ac:dyDescent="0.25">
      <c r="A48" s="43" t="s">
        <v>73</v>
      </c>
      <c r="B48" s="44" t="s">
        <v>74</v>
      </c>
      <c r="C48" s="45">
        <v>261368</v>
      </c>
      <c r="D48" s="45">
        <v>261368</v>
      </c>
      <c r="E48" s="61">
        <f t="shared" si="7"/>
        <v>0</v>
      </c>
      <c r="F48" s="45">
        <v>0</v>
      </c>
      <c r="G48" s="45">
        <f t="shared" si="8"/>
        <v>0</v>
      </c>
      <c r="H48" s="45">
        <f t="shared" si="2"/>
        <v>261368</v>
      </c>
      <c r="I48" s="45">
        <f t="shared" si="6"/>
        <v>0</v>
      </c>
      <c r="J48" s="45">
        <v>0</v>
      </c>
      <c r="K48" s="45">
        <f t="shared" ref="K48:K79" si="9">(J48/$J$309)*100</f>
        <v>0</v>
      </c>
      <c r="L48" s="53">
        <f t="shared" si="3"/>
        <v>261368</v>
      </c>
    </row>
    <row r="49" spans="1:12" s="5" customFormat="1" ht="14.85" customHeight="1" x14ac:dyDescent="0.25">
      <c r="A49" s="43" t="s">
        <v>38</v>
      </c>
      <c r="B49" s="44" t="s">
        <v>39</v>
      </c>
      <c r="C49" s="45">
        <v>0</v>
      </c>
      <c r="D49" s="45">
        <v>0</v>
      </c>
      <c r="E49" s="61">
        <f>F49-0</f>
        <v>0</v>
      </c>
      <c r="F49" s="45">
        <v>0</v>
      </c>
      <c r="G49" s="45">
        <f t="shared" si="8"/>
        <v>0</v>
      </c>
      <c r="H49" s="45">
        <f t="shared" si="2"/>
        <v>0</v>
      </c>
      <c r="I49" s="45">
        <f t="shared" si="6"/>
        <v>0</v>
      </c>
      <c r="J49" s="45">
        <v>0</v>
      </c>
      <c r="K49" s="45">
        <f t="shared" si="9"/>
        <v>0</v>
      </c>
      <c r="L49" s="53">
        <f t="shared" si="3"/>
        <v>0</v>
      </c>
    </row>
    <row r="50" spans="1:12" s="5" customFormat="1" ht="14.85" customHeight="1" x14ac:dyDescent="0.25">
      <c r="A50" s="43" t="s">
        <v>75</v>
      </c>
      <c r="B50" s="44" t="s">
        <v>76</v>
      </c>
      <c r="C50" s="45">
        <v>0</v>
      </c>
      <c r="D50" s="45">
        <v>0</v>
      </c>
      <c r="E50" s="61">
        <f>F50-0</f>
        <v>0</v>
      </c>
      <c r="F50" s="45">
        <v>0</v>
      </c>
      <c r="G50" s="45">
        <f t="shared" si="8"/>
        <v>0</v>
      </c>
      <c r="H50" s="45">
        <f t="shared" si="2"/>
        <v>0</v>
      </c>
      <c r="I50" s="45">
        <f t="shared" si="6"/>
        <v>0</v>
      </c>
      <c r="J50" s="45">
        <v>0</v>
      </c>
      <c r="K50" s="45">
        <f t="shared" si="9"/>
        <v>0</v>
      </c>
      <c r="L50" s="53">
        <f t="shared" si="3"/>
        <v>0</v>
      </c>
    </row>
    <row r="51" spans="1:12" s="5" customFormat="1" ht="14.85" customHeight="1" x14ac:dyDescent="0.25">
      <c r="A51" s="43" t="s">
        <v>40</v>
      </c>
      <c r="B51" s="44" t="s">
        <v>41</v>
      </c>
      <c r="C51" s="45">
        <v>80032400</v>
      </c>
      <c r="D51" s="45">
        <v>77465322.799999997</v>
      </c>
      <c r="E51" s="61">
        <f>F51-56015680</f>
        <v>0</v>
      </c>
      <c r="F51" s="94">
        <v>56015680</v>
      </c>
      <c r="G51" s="45">
        <f t="shared" si="8"/>
        <v>8.882147295341776E-2</v>
      </c>
      <c r="H51" s="45">
        <f t="shared" si="2"/>
        <v>21449642.799999997</v>
      </c>
      <c r="I51" s="45">
        <f>J51-48615000</f>
        <v>3069040.799999997</v>
      </c>
      <c r="J51" s="94">
        <v>51684040.799999997</v>
      </c>
      <c r="K51" s="45">
        <f t="shared" si="9"/>
        <v>9.2212990155797314E-2</v>
      </c>
      <c r="L51" s="53">
        <f t="shared" si="3"/>
        <v>25781282</v>
      </c>
    </row>
    <row r="52" spans="1:12" s="5" customFormat="1" ht="14.85" customHeight="1" x14ac:dyDescent="0.25">
      <c r="A52" s="64" t="s">
        <v>77</v>
      </c>
      <c r="B52" s="44" t="s">
        <v>78</v>
      </c>
      <c r="C52" s="45">
        <v>0</v>
      </c>
      <c r="D52" s="45">
        <v>0</v>
      </c>
      <c r="E52" s="61">
        <f t="shared" si="7"/>
        <v>0</v>
      </c>
      <c r="F52" s="45">
        <v>0</v>
      </c>
      <c r="G52" s="45">
        <f t="shared" si="8"/>
        <v>0</v>
      </c>
      <c r="H52" s="45">
        <f t="shared" si="2"/>
        <v>0</v>
      </c>
      <c r="I52" s="45">
        <f t="shared" si="6"/>
        <v>0</v>
      </c>
      <c r="J52" s="45">
        <v>0</v>
      </c>
      <c r="K52" s="45">
        <f t="shared" si="9"/>
        <v>0</v>
      </c>
      <c r="L52" s="53">
        <f t="shared" si="3"/>
        <v>0</v>
      </c>
    </row>
    <row r="53" spans="1:12" s="5" customFormat="1" ht="14.85" customHeight="1" x14ac:dyDescent="0.25">
      <c r="A53" s="43" t="s">
        <v>79</v>
      </c>
      <c r="B53" s="44" t="s">
        <v>80</v>
      </c>
      <c r="C53" s="45">
        <v>0</v>
      </c>
      <c r="D53" s="45">
        <v>0</v>
      </c>
      <c r="E53" s="61">
        <f t="shared" si="7"/>
        <v>0</v>
      </c>
      <c r="F53" s="45">
        <v>0</v>
      </c>
      <c r="G53" s="45">
        <f t="shared" si="8"/>
        <v>0</v>
      </c>
      <c r="H53" s="45">
        <f t="shared" si="2"/>
        <v>0</v>
      </c>
      <c r="I53" s="45">
        <f t="shared" si="6"/>
        <v>0</v>
      </c>
      <c r="J53" s="45">
        <v>0</v>
      </c>
      <c r="K53" s="45">
        <f t="shared" si="9"/>
        <v>0</v>
      </c>
      <c r="L53" s="53">
        <f t="shared" si="3"/>
        <v>0</v>
      </c>
    </row>
    <row r="54" spans="1:12" s="5" customFormat="1" ht="14.85" customHeight="1" x14ac:dyDescent="0.25">
      <c r="A54" s="43" t="s">
        <v>81</v>
      </c>
      <c r="B54" s="44" t="s">
        <v>82</v>
      </c>
      <c r="C54" s="45">
        <v>0</v>
      </c>
      <c r="D54" s="45">
        <v>0</v>
      </c>
      <c r="E54" s="61">
        <f t="shared" si="7"/>
        <v>0</v>
      </c>
      <c r="F54" s="45">
        <v>0</v>
      </c>
      <c r="G54" s="45">
        <f t="shared" si="8"/>
        <v>0</v>
      </c>
      <c r="H54" s="45">
        <f t="shared" si="2"/>
        <v>0</v>
      </c>
      <c r="I54" s="45">
        <f t="shared" si="6"/>
        <v>0</v>
      </c>
      <c r="J54" s="45">
        <v>0</v>
      </c>
      <c r="K54" s="45">
        <f t="shared" si="9"/>
        <v>0</v>
      </c>
      <c r="L54" s="53">
        <f t="shared" si="3"/>
        <v>0</v>
      </c>
    </row>
    <row r="55" spans="1:12" s="5" customFormat="1" ht="14.85" customHeight="1" x14ac:dyDescent="0.25">
      <c r="A55" s="43" t="s">
        <v>83</v>
      </c>
      <c r="B55" s="44" t="s">
        <v>84</v>
      </c>
      <c r="C55" s="45">
        <v>0</v>
      </c>
      <c r="D55" s="45">
        <v>0</v>
      </c>
      <c r="E55" s="61">
        <f t="shared" si="7"/>
        <v>0</v>
      </c>
      <c r="F55" s="45">
        <v>0</v>
      </c>
      <c r="G55" s="45">
        <f t="shared" si="8"/>
        <v>0</v>
      </c>
      <c r="H55" s="45">
        <f t="shared" si="2"/>
        <v>0</v>
      </c>
      <c r="I55" s="45">
        <f t="shared" si="6"/>
        <v>0</v>
      </c>
      <c r="J55" s="45">
        <v>0</v>
      </c>
      <c r="K55" s="45">
        <f t="shared" si="9"/>
        <v>0</v>
      </c>
      <c r="L55" s="53">
        <f t="shared" si="3"/>
        <v>0</v>
      </c>
    </row>
    <row r="56" spans="1:12" s="5" customFormat="1" ht="14.85" customHeight="1" x14ac:dyDescent="0.25">
      <c r="A56" s="43" t="s">
        <v>85</v>
      </c>
      <c r="B56" s="44" t="s">
        <v>86</v>
      </c>
      <c r="C56" s="45">
        <v>909730</v>
      </c>
      <c r="D56" s="45">
        <v>908107.7</v>
      </c>
      <c r="E56" s="61">
        <f>F56-1559.5</f>
        <v>0</v>
      </c>
      <c r="F56" s="45">
        <v>1559.5</v>
      </c>
      <c r="G56" s="45">
        <f t="shared" si="8"/>
        <v>2.4728270204138375E-6</v>
      </c>
      <c r="H56" s="45">
        <f t="shared" si="2"/>
        <v>906548.2</v>
      </c>
      <c r="I56" s="45">
        <f>J56-1559.5</f>
        <v>0</v>
      </c>
      <c r="J56" s="45">
        <v>1559.5</v>
      </c>
      <c r="K56" s="45">
        <f t="shared" si="9"/>
        <v>2.7824093457484834E-6</v>
      </c>
      <c r="L56" s="53">
        <f t="shared" si="3"/>
        <v>906548.2</v>
      </c>
    </row>
    <row r="57" spans="1:12" s="5" customFormat="1" ht="14.85" customHeight="1" x14ac:dyDescent="0.25">
      <c r="A57" s="43" t="s">
        <v>87</v>
      </c>
      <c r="B57" s="44" t="s">
        <v>88</v>
      </c>
      <c r="C57" s="45">
        <v>0</v>
      </c>
      <c r="D57" s="45">
        <v>0</v>
      </c>
      <c r="E57" s="61">
        <f t="shared" si="7"/>
        <v>0</v>
      </c>
      <c r="F57" s="45">
        <v>0</v>
      </c>
      <c r="G57" s="45">
        <f t="shared" si="8"/>
        <v>0</v>
      </c>
      <c r="H57" s="45">
        <f t="shared" si="2"/>
        <v>0</v>
      </c>
      <c r="I57" s="45">
        <f t="shared" si="6"/>
        <v>0</v>
      </c>
      <c r="J57" s="45">
        <v>0</v>
      </c>
      <c r="K57" s="45">
        <f t="shared" si="9"/>
        <v>0</v>
      </c>
      <c r="L57" s="53">
        <f t="shared" si="3"/>
        <v>0</v>
      </c>
    </row>
    <row r="58" spans="1:12" s="5" customFormat="1" ht="14.85" customHeight="1" x14ac:dyDescent="0.25">
      <c r="A58" s="43" t="s">
        <v>89</v>
      </c>
      <c r="B58" s="44" t="s">
        <v>90</v>
      </c>
      <c r="C58" s="45">
        <v>0</v>
      </c>
      <c r="D58" s="45">
        <v>0</v>
      </c>
      <c r="E58" s="61">
        <f t="shared" si="7"/>
        <v>0</v>
      </c>
      <c r="F58" s="45">
        <v>0</v>
      </c>
      <c r="G58" s="45">
        <f t="shared" si="8"/>
        <v>0</v>
      </c>
      <c r="H58" s="45">
        <f t="shared" si="2"/>
        <v>0</v>
      </c>
      <c r="I58" s="45">
        <f t="shared" si="6"/>
        <v>0</v>
      </c>
      <c r="J58" s="45">
        <v>0</v>
      </c>
      <c r="K58" s="45">
        <f t="shared" si="9"/>
        <v>0</v>
      </c>
      <c r="L58" s="53">
        <f t="shared" si="3"/>
        <v>0</v>
      </c>
    </row>
    <row r="59" spans="1:12" s="5" customFormat="1" ht="14.85" customHeight="1" x14ac:dyDescent="0.25">
      <c r="A59" s="43" t="s">
        <v>91</v>
      </c>
      <c r="B59" s="44" t="s">
        <v>92</v>
      </c>
      <c r="C59" s="45">
        <v>0</v>
      </c>
      <c r="D59" s="45">
        <v>0</v>
      </c>
      <c r="E59" s="61">
        <f t="shared" si="7"/>
        <v>0</v>
      </c>
      <c r="F59" s="45">
        <v>0</v>
      </c>
      <c r="G59" s="45">
        <f t="shared" si="8"/>
        <v>0</v>
      </c>
      <c r="H59" s="45">
        <f t="shared" si="2"/>
        <v>0</v>
      </c>
      <c r="I59" s="45">
        <f t="shared" si="6"/>
        <v>0</v>
      </c>
      <c r="J59" s="45">
        <v>0</v>
      </c>
      <c r="K59" s="45">
        <f t="shared" si="9"/>
        <v>0</v>
      </c>
      <c r="L59" s="53">
        <f t="shared" si="3"/>
        <v>0</v>
      </c>
    </row>
    <row r="60" spans="1:12" s="5" customFormat="1" ht="14.85" customHeight="1" x14ac:dyDescent="0.25">
      <c r="A60" s="43" t="s">
        <v>93</v>
      </c>
      <c r="B60" s="44" t="s">
        <v>94</v>
      </c>
      <c r="C60" s="45">
        <v>1744782100</v>
      </c>
      <c r="D60" s="45">
        <v>1744782100</v>
      </c>
      <c r="E60" s="112">
        <f>F60-494249153.3</f>
        <v>309644442.60999995</v>
      </c>
      <c r="F60" s="94">
        <v>803893595.90999997</v>
      </c>
      <c r="G60" s="45">
        <f t="shared" si="8"/>
        <v>1.2746968935581215</v>
      </c>
      <c r="H60" s="45">
        <f t="shared" si="2"/>
        <v>940888504.09000003</v>
      </c>
      <c r="I60" s="45">
        <f>J60-494249153.3</f>
        <v>309644442.60999995</v>
      </c>
      <c r="J60" s="94">
        <v>803893595.90999997</v>
      </c>
      <c r="K60" s="45">
        <f t="shared" si="9"/>
        <v>1.4342808940348435</v>
      </c>
      <c r="L60" s="53">
        <f t="shared" si="3"/>
        <v>940888504.09000003</v>
      </c>
    </row>
    <row r="61" spans="1:12" s="5" customFormat="1" ht="14.85" customHeight="1" x14ac:dyDescent="0.25">
      <c r="A61" s="43" t="s">
        <v>95</v>
      </c>
      <c r="B61" s="44" t="s">
        <v>96</v>
      </c>
      <c r="C61" s="45">
        <v>0</v>
      </c>
      <c r="D61" s="45">
        <v>0</v>
      </c>
      <c r="E61" s="61">
        <f t="shared" si="7"/>
        <v>0</v>
      </c>
      <c r="F61" s="45">
        <v>0</v>
      </c>
      <c r="G61" s="45">
        <f t="shared" si="8"/>
        <v>0</v>
      </c>
      <c r="H61" s="45">
        <f t="shared" si="2"/>
        <v>0</v>
      </c>
      <c r="I61" s="45">
        <f t="shared" si="6"/>
        <v>0</v>
      </c>
      <c r="J61" s="45">
        <v>0</v>
      </c>
      <c r="K61" s="45">
        <f t="shared" si="9"/>
        <v>0</v>
      </c>
      <c r="L61" s="53">
        <f t="shared" si="3"/>
        <v>0</v>
      </c>
    </row>
    <row r="62" spans="1:12" s="5" customFormat="1" ht="14.85" customHeight="1" x14ac:dyDescent="0.25">
      <c r="A62" s="43" t="s">
        <v>97</v>
      </c>
      <c r="B62" s="44" t="s">
        <v>98</v>
      </c>
      <c r="C62" s="45">
        <v>0</v>
      </c>
      <c r="D62" s="45">
        <v>0</v>
      </c>
      <c r="E62" s="61">
        <f>F62-0</f>
        <v>0</v>
      </c>
      <c r="F62" s="45">
        <v>0</v>
      </c>
      <c r="G62" s="45">
        <f t="shared" si="8"/>
        <v>0</v>
      </c>
      <c r="H62" s="45">
        <f t="shared" si="2"/>
        <v>0</v>
      </c>
      <c r="I62" s="45">
        <f t="shared" si="6"/>
        <v>0</v>
      </c>
      <c r="J62" s="45">
        <v>0</v>
      </c>
      <c r="K62" s="45">
        <f t="shared" si="9"/>
        <v>0</v>
      </c>
      <c r="L62" s="53">
        <f t="shared" si="3"/>
        <v>0</v>
      </c>
    </row>
    <row r="63" spans="1:12" s="5" customFormat="1" ht="14.85" customHeight="1" x14ac:dyDescent="0.25">
      <c r="A63" s="43" t="s">
        <v>99</v>
      </c>
      <c r="B63" s="44" t="s">
        <v>100</v>
      </c>
      <c r="C63" s="45">
        <v>12508881</v>
      </c>
      <c r="D63" s="45">
        <v>14578881</v>
      </c>
      <c r="E63" s="61">
        <f t="shared" si="7"/>
        <v>14468881</v>
      </c>
      <c r="F63" s="45">
        <v>14468881</v>
      </c>
      <c r="G63" s="45">
        <f t="shared" si="8"/>
        <v>2.2942635390799861E-2</v>
      </c>
      <c r="H63" s="45">
        <f t="shared" si="2"/>
        <v>110000</v>
      </c>
      <c r="I63" s="45">
        <f t="shared" si="6"/>
        <v>1459520</v>
      </c>
      <c r="J63" s="45">
        <v>1459520</v>
      </c>
      <c r="K63" s="45">
        <f t="shared" si="9"/>
        <v>2.6040282707962977E-3</v>
      </c>
      <c r="L63" s="53">
        <f t="shared" si="3"/>
        <v>13119361</v>
      </c>
    </row>
    <row r="64" spans="1:12" s="5" customFormat="1" ht="14.85" customHeight="1" x14ac:dyDescent="0.25">
      <c r="A64" s="66" t="s">
        <v>101</v>
      </c>
      <c r="B64" s="70" t="s">
        <v>102</v>
      </c>
      <c r="C64" s="42">
        <f>SUM(C65:C87)</f>
        <v>18427888732</v>
      </c>
      <c r="D64" s="42">
        <f>SUM(D65:D87)</f>
        <v>19320004644.859997</v>
      </c>
      <c r="E64" s="98">
        <f>SUM(E65:E87)</f>
        <v>3017814970.7500005</v>
      </c>
      <c r="F64" s="42">
        <f>SUM(F65:F87)</f>
        <v>9117773564.579998</v>
      </c>
      <c r="G64" s="42">
        <f t="shared" si="8"/>
        <v>14.457631828476055</v>
      </c>
      <c r="H64" s="42">
        <f t="shared" si="2"/>
        <v>10202231080.279999</v>
      </c>
      <c r="I64" s="42">
        <f>SUM(I65:I87)</f>
        <v>3017416429.5500011</v>
      </c>
      <c r="J64" s="42">
        <f>SUM(J65:J87)</f>
        <v>8395189179.9899998</v>
      </c>
      <c r="K64" s="42">
        <f t="shared" si="9"/>
        <v>14.978424388413414</v>
      </c>
      <c r="L64" s="57">
        <f t="shared" si="3"/>
        <v>10924815464.869997</v>
      </c>
    </row>
    <row r="65" spans="1:12" s="5" customFormat="1" ht="14.85" customHeight="1" x14ac:dyDescent="0.25">
      <c r="A65" s="43" t="s">
        <v>48</v>
      </c>
      <c r="B65" s="44" t="s">
        <v>103</v>
      </c>
      <c r="C65" s="45">
        <v>0</v>
      </c>
      <c r="D65" s="45">
        <v>0</v>
      </c>
      <c r="E65" s="61">
        <f t="shared" ref="E65:E87" si="10">F65-0</f>
        <v>0</v>
      </c>
      <c r="F65" s="45">
        <v>0</v>
      </c>
      <c r="G65" s="45">
        <f t="shared" si="8"/>
        <v>0</v>
      </c>
      <c r="H65" s="45">
        <f t="shared" si="2"/>
        <v>0</v>
      </c>
      <c r="I65" s="45">
        <f t="shared" si="6"/>
        <v>0</v>
      </c>
      <c r="J65" s="45">
        <v>0</v>
      </c>
      <c r="K65" s="45">
        <f t="shared" si="9"/>
        <v>0</v>
      </c>
      <c r="L65" s="53">
        <f t="shared" si="3"/>
        <v>0</v>
      </c>
    </row>
    <row r="66" spans="1:12" s="5" customFormat="1" ht="14.85" customHeight="1" x14ac:dyDescent="0.25">
      <c r="A66" s="43" t="s">
        <v>30</v>
      </c>
      <c r="B66" s="44" t="s">
        <v>31</v>
      </c>
      <c r="C66" s="94">
        <v>16241275449</v>
      </c>
      <c r="D66" s="94">
        <v>16757412853.129999</v>
      </c>
      <c r="E66" s="61">
        <f>F66-5345801272.13</f>
        <v>2804804966.7200003</v>
      </c>
      <c r="F66" s="45">
        <v>8150606238.8500004</v>
      </c>
      <c r="G66" s="45">
        <f t="shared" si="8"/>
        <v>12.924039333236218</v>
      </c>
      <c r="H66" s="45">
        <f t="shared" si="2"/>
        <v>8606806614.2799988</v>
      </c>
      <c r="I66" s="45">
        <f>J66-5041059818.82</f>
        <v>2740897978.1800003</v>
      </c>
      <c r="J66" s="45">
        <v>7781957797</v>
      </c>
      <c r="K66" s="45">
        <f t="shared" si="9"/>
        <v>13.884316833980812</v>
      </c>
      <c r="L66" s="53">
        <f t="shared" si="3"/>
        <v>8975455056.1299992</v>
      </c>
    </row>
    <row r="67" spans="1:12" s="5" customFormat="1" ht="14.85" customHeight="1" x14ac:dyDescent="0.25">
      <c r="A67" s="43" t="s">
        <v>65</v>
      </c>
      <c r="B67" s="44" t="s">
        <v>66</v>
      </c>
      <c r="C67" s="45">
        <v>433633270</v>
      </c>
      <c r="D67" s="45">
        <v>395951520</v>
      </c>
      <c r="E67" s="61">
        <f>F67-169542232.35</f>
        <v>-5362090.2299999893</v>
      </c>
      <c r="F67" s="45">
        <v>164180142.12</v>
      </c>
      <c r="G67" s="45">
        <f t="shared" si="8"/>
        <v>0.26033285774268672</v>
      </c>
      <c r="H67" s="45">
        <f t="shared" si="2"/>
        <v>231771377.88</v>
      </c>
      <c r="I67" s="45">
        <f>J67-65852690</f>
        <v>26714612.510000005</v>
      </c>
      <c r="J67" s="45">
        <v>92567302.510000005</v>
      </c>
      <c r="K67" s="45">
        <f t="shared" si="9"/>
        <v>0.16515558038765699</v>
      </c>
      <c r="L67" s="53">
        <f t="shared" si="3"/>
        <v>303384217.49000001</v>
      </c>
    </row>
    <row r="68" spans="1:12" s="5" customFormat="1" ht="14.85" customHeight="1" x14ac:dyDescent="0.25">
      <c r="A68" s="64" t="s">
        <v>32</v>
      </c>
      <c r="B68" s="65" t="s">
        <v>33</v>
      </c>
      <c r="C68" s="45">
        <v>95386961</v>
      </c>
      <c r="D68" s="45">
        <v>213819583</v>
      </c>
      <c r="E68" s="61">
        <f>F68-73483160.16</f>
        <v>23446300.88000001</v>
      </c>
      <c r="F68" s="45">
        <v>96929461.040000007</v>
      </c>
      <c r="G68" s="45">
        <f t="shared" si="8"/>
        <v>0.1536965632150448</v>
      </c>
      <c r="H68" s="45">
        <f t="shared" si="2"/>
        <v>116890121.95999999</v>
      </c>
      <c r="I68" s="45">
        <f>J68-22247482.03</f>
        <v>24636521.979999997</v>
      </c>
      <c r="J68" s="45">
        <v>46884004.009999998</v>
      </c>
      <c r="K68" s="45">
        <f t="shared" si="9"/>
        <v>8.3648920117687306E-2</v>
      </c>
      <c r="L68" s="53">
        <f t="shared" si="3"/>
        <v>166935578.99000001</v>
      </c>
    </row>
    <row r="69" spans="1:12" s="5" customFormat="1" ht="14.85" customHeight="1" x14ac:dyDescent="0.25">
      <c r="A69" s="43" t="s">
        <v>34</v>
      </c>
      <c r="B69" s="44" t="s">
        <v>35</v>
      </c>
      <c r="C69" s="45">
        <v>6690000</v>
      </c>
      <c r="D69" s="45">
        <v>9184814.4000000004</v>
      </c>
      <c r="E69" s="61">
        <f>F69-4058774.44</f>
        <v>368297.92000000039</v>
      </c>
      <c r="F69" s="45">
        <v>4427072.3600000003</v>
      </c>
      <c r="G69" s="45">
        <f t="shared" si="8"/>
        <v>7.0198038814589655E-3</v>
      </c>
      <c r="H69" s="45">
        <f t="shared" si="2"/>
        <v>4757742.04</v>
      </c>
      <c r="I69" s="45">
        <f>J69-544498.28</f>
        <v>286180.44999999995</v>
      </c>
      <c r="J69" s="45">
        <v>830678.73</v>
      </c>
      <c r="K69" s="45">
        <f t="shared" si="9"/>
        <v>1.4820700619855602E-3</v>
      </c>
      <c r="L69" s="53">
        <f t="shared" si="3"/>
        <v>8354135.6699999999</v>
      </c>
    </row>
    <row r="70" spans="1:12" s="5" customFormat="1" ht="14.85" customHeight="1" x14ac:dyDescent="0.25">
      <c r="A70" s="43" t="s">
        <v>104</v>
      </c>
      <c r="B70" s="44" t="s">
        <v>105</v>
      </c>
      <c r="C70" s="45">
        <v>459500233</v>
      </c>
      <c r="D70" s="45">
        <v>480464880.17000002</v>
      </c>
      <c r="E70" s="61">
        <f>F70-60518750.07</f>
        <v>35815220.080000006</v>
      </c>
      <c r="F70" s="45">
        <v>96333970.150000006</v>
      </c>
      <c r="G70" s="45">
        <f t="shared" si="8"/>
        <v>0.15275232085326071</v>
      </c>
      <c r="H70" s="45">
        <f t="shared" si="2"/>
        <v>384130910.01999998</v>
      </c>
      <c r="I70" s="45">
        <f>J70-28839145.15</f>
        <v>13462757.550000004</v>
      </c>
      <c r="J70" s="45">
        <v>42301902.700000003</v>
      </c>
      <c r="K70" s="45">
        <f t="shared" si="9"/>
        <v>7.5473683498187241E-2</v>
      </c>
      <c r="L70" s="53">
        <f t="shared" si="3"/>
        <v>438162977.47000003</v>
      </c>
    </row>
    <row r="71" spans="1:12" s="5" customFormat="1" ht="14.85" customHeight="1" x14ac:dyDescent="0.25">
      <c r="A71" s="43" t="s">
        <v>106</v>
      </c>
      <c r="B71" s="44" t="s">
        <v>107</v>
      </c>
      <c r="C71" s="45">
        <v>270759677</v>
      </c>
      <c r="D71" s="45">
        <v>359951618.45999998</v>
      </c>
      <c r="E71" s="61">
        <f>F71-176068419.2</f>
        <v>36316895.980000019</v>
      </c>
      <c r="F71" s="45">
        <v>212385315.18000001</v>
      </c>
      <c r="G71" s="45">
        <f t="shared" si="8"/>
        <v>0.33676957109087091</v>
      </c>
      <c r="H71" s="45">
        <f t="shared" si="2"/>
        <v>147566303.27999997</v>
      </c>
      <c r="I71" s="45">
        <f>J71-82878885.18</f>
        <v>54061623.609999985</v>
      </c>
      <c r="J71" s="45">
        <v>136940508.78999999</v>
      </c>
      <c r="K71" s="45">
        <f t="shared" si="9"/>
        <v>0.24432481658791172</v>
      </c>
      <c r="L71" s="53">
        <f t="shared" si="3"/>
        <v>223011109.66999999</v>
      </c>
    </row>
    <row r="72" spans="1:12" s="5" customFormat="1" ht="14.85" customHeight="1" x14ac:dyDescent="0.25">
      <c r="A72" s="43" t="s">
        <v>73</v>
      </c>
      <c r="B72" s="44" t="s">
        <v>74</v>
      </c>
      <c r="C72" s="45">
        <v>2264158</v>
      </c>
      <c r="D72" s="45">
        <v>791247.4</v>
      </c>
      <c r="E72" s="61">
        <f t="shared" si="10"/>
        <v>0</v>
      </c>
      <c r="F72" s="45">
        <v>0</v>
      </c>
      <c r="G72" s="45">
        <f t="shared" si="8"/>
        <v>0</v>
      </c>
      <c r="H72" s="45">
        <f t="shared" si="2"/>
        <v>791247.4</v>
      </c>
      <c r="I72" s="45">
        <f t="shared" si="6"/>
        <v>0</v>
      </c>
      <c r="J72" s="45">
        <v>0</v>
      </c>
      <c r="K72" s="45">
        <f t="shared" si="9"/>
        <v>0</v>
      </c>
      <c r="L72" s="53">
        <f t="shared" si="3"/>
        <v>791247.4</v>
      </c>
    </row>
    <row r="73" spans="1:12" s="5" customFormat="1" ht="14.85" customHeight="1" x14ac:dyDescent="0.25">
      <c r="A73" s="43" t="s">
        <v>108</v>
      </c>
      <c r="B73" s="44" t="s">
        <v>109</v>
      </c>
      <c r="C73" s="45">
        <v>0</v>
      </c>
      <c r="D73" s="45">
        <v>0</v>
      </c>
      <c r="E73" s="61">
        <f t="shared" si="10"/>
        <v>0</v>
      </c>
      <c r="F73" s="45">
        <v>0</v>
      </c>
      <c r="G73" s="45">
        <f t="shared" si="8"/>
        <v>0</v>
      </c>
      <c r="H73" s="45">
        <f t="shared" si="2"/>
        <v>0</v>
      </c>
      <c r="I73" s="45">
        <f t="shared" si="6"/>
        <v>0</v>
      </c>
      <c r="J73" s="45">
        <v>0</v>
      </c>
      <c r="K73" s="45">
        <f t="shared" si="9"/>
        <v>0</v>
      </c>
      <c r="L73" s="53">
        <f t="shared" si="3"/>
        <v>0</v>
      </c>
    </row>
    <row r="74" spans="1:12" s="5" customFormat="1" ht="14.85" customHeight="1" x14ac:dyDescent="0.25">
      <c r="A74" s="43" t="s">
        <v>110</v>
      </c>
      <c r="B74" s="44" t="s">
        <v>111</v>
      </c>
      <c r="C74" s="45">
        <v>0</v>
      </c>
      <c r="D74" s="45">
        <v>0</v>
      </c>
      <c r="E74" s="61">
        <f t="shared" si="10"/>
        <v>0</v>
      </c>
      <c r="F74" s="45">
        <v>0</v>
      </c>
      <c r="G74" s="45">
        <f t="shared" si="8"/>
        <v>0</v>
      </c>
      <c r="H74" s="45">
        <f t="shared" si="2"/>
        <v>0</v>
      </c>
      <c r="I74" s="45">
        <f t="shared" si="6"/>
        <v>0</v>
      </c>
      <c r="J74" s="45">
        <v>0</v>
      </c>
      <c r="K74" s="45">
        <f t="shared" si="9"/>
        <v>0</v>
      </c>
      <c r="L74" s="53">
        <f t="shared" si="3"/>
        <v>0</v>
      </c>
    </row>
    <row r="75" spans="1:12" s="5" customFormat="1" ht="14.85" customHeight="1" x14ac:dyDescent="0.25">
      <c r="A75" s="43" t="s">
        <v>112</v>
      </c>
      <c r="B75" s="44" t="s">
        <v>113</v>
      </c>
      <c r="C75" s="45">
        <v>0</v>
      </c>
      <c r="D75" s="45">
        <v>0</v>
      </c>
      <c r="E75" s="61">
        <f t="shared" si="10"/>
        <v>0</v>
      </c>
      <c r="F75" s="45">
        <v>0</v>
      </c>
      <c r="G75" s="45">
        <f t="shared" si="8"/>
        <v>0</v>
      </c>
      <c r="H75" s="45">
        <f t="shared" si="2"/>
        <v>0</v>
      </c>
      <c r="I75" s="45">
        <f t="shared" si="6"/>
        <v>0</v>
      </c>
      <c r="J75" s="45">
        <v>0</v>
      </c>
      <c r="K75" s="45">
        <f t="shared" si="9"/>
        <v>0</v>
      </c>
      <c r="L75" s="53">
        <f t="shared" si="3"/>
        <v>0</v>
      </c>
    </row>
    <row r="76" spans="1:12" s="5" customFormat="1" ht="14.85" customHeight="1" x14ac:dyDescent="0.25">
      <c r="A76" s="43" t="s">
        <v>114</v>
      </c>
      <c r="B76" s="44" t="s">
        <v>115</v>
      </c>
      <c r="C76" s="45">
        <v>0</v>
      </c>
      <c r="D76" s="45">
        <v>0</v>
      </c>
      <c r="E76" s="61">
        <f t="shared" si="10"/>
        <v>0</v>
      </c>
      <c r="F76" s="45">
        <v>0</v>
      </c>
      <c r="G76" s="45">
        <f t="shared" si="8"/>
        <v>0</v>
      </c>
      <c r="H76" s="45">
        <f t="shared" si="2"/>
        <v>0</v>
      </c>
      <c r="I76" s="45">
        <f t="shared" si="6"/>
        <v>0</v>
      </c>
      <c r="J76" s="45">
        <v>0</v>
      </c>
      <c r="K76" s="45">
        <f t="shared" si="9"/>
        <v>0</v>
      </c>
      <c r="L76" s="53">
        <f t="shared" si="3"/>
        <v>0</v>
      </c>
    </row>
    <row r="77" spans="1:12" s="5" customFormat="1" ht="14.85" customHeight="1" x14ac:dyDescent="0.25">
      <c r="A77" s="43" t="s">
        <v>116</v>
      </c>
      <c r="B77" s="44" t="s">
        <v>117</v>
      </c>
      <c r="C77" s="94">
        <v>279966527</v>
      </c>
      <c r="D77" s="94">
        <v>493466527</v>
      </c>
      <c r="E77" s="61">
        <f>F77-74406183.46</f>
        <v>37594012.810000002</v>
      </c>
      <c r="F77" s="94">
        <v>112000196.27</v>
      </c>
      <c r="G77" s="45">
        <f t="shared" ref="G77:G108" si="11">(F77/$F$309)*100</f>
        <v>0.17759353102155118</v>
      </c>
      <c r="H77" s="45">
        <f t="shared" si="2"/>
        <v>381466330.73000002</v>
      </c>
      <c r="I77" s="45">
        <f>J77-15843580.74</f>
        <v>30082747.009999998</v>
      </c>
      <c r="J77" s="94">
        <v>45926327.75</v>
      </c>
      <c r="K77" s="45">
        <f t="shared" si="9"/>
        <v>8.1940265179549804E-2</v>
      </c>
      <c r="L77" s="53">
        <f t="shared" si="3"/>
        <v>447540199.25</v>
      </c>
    </row>
    <row r="78" spans="1:12" s="5" customFormat="1" ht="14.85" customHeight="1" x14ac:dyDescent="0.25">
      <c r="A78" s="43" t="s">
        <v>118</v>
      </c>
      <c r="B78" s="44" t="s">
        <v>119</v>
      </c>
      <c r="C78" s="94">
        <v>215796852</v>
      </c>
      <c r="D78" s="94">
        <v>215796852</v>
      </c>
      <c r="E78" s="61">
        <f>F78-78850882.34</f>
        <v>29226872.479999989</v>
      </c>
      <c r="F78" s="94">
        <v>108077754.81999999</v>
      </c>
      <c r="G78" s="45">
        <f t="shared" si="11"/>
        <v>0.17137389703402234</v>
      </c>
      <c r="H78" s="45">
        <f t="shared" si="2"/>
        <v>107719097.18000001</v>
      </c>
      <c r="I78" s="45">
        <f>J78-61912682.66</f>
        <v>43392296.260000005</v>
      </c>
      <c r="J78" s="94">
        <v>105304978.92</v>
      </c>
      <c r="K78" s="45">
        <f t="shared" si="9"/>
        <v>0.18788172972161271</v>
      </c>
      <c r="L78" s="53">
        <f t="shared" si="3"/>
        <v>110491873.08</v>
      </c>
    </row>
    <row r="79" spans="1:12" s="5" customFormat="1" ht="14.85" customHeight="1" x14ac:dyDescent="0.25">
      <c r="A79" s="43" t="s">
        <v>120</v>
      </c>
      <c r="B79" s="44" t="s">
        <v>121</v>
      </c>
      <c r="C79" s="45">
        <v>0</v>
      </c>
      <c r="D79" s="45">
        <v>0</v>
      </c>
      <c r="E79" s="61">
        <f t="shared" si="10"/>
        <v>0</v>
      </c>
      <c r="F79" s="45">
        <v>0</v>
      </c>
      <c r="G79" s="45">
        <f t="shared" si="11"/>
        <v>0</v>
      </c>
      <c r="H79" s="45">
        <f t="shared" si="2"/>
        <v>0</v>
      </c>
      <c r="I79" s="45">
        <f t="shared" si="6"/>
        <v>0</v>
      </c>
      <c r="J79" s="45">
        <v>0</v>
      </c>
      <c r="K79" s="45">
        <f t="shared" si="9"/>
        <v>0</v>
      </c>
      <c r="L79" s="53">
        <f t="shared" si="3"/>
        <v>0</v>
      </c>
    </row>
    <row r="80" spans="1:12" s="5" customFormat="1" ht="14.85" customHeight="1" x14ac:dyDescent="0.25">
      <c r="A80" s="43" t="s">
        <v>122</v>
      </c>
      <c r="B80" s="44" t="s">
        <v>123</v>
      </c>
      <c r="C80" s="45">
        <v>0</v>
      </c>
      <c r="D80" s="45">
        <v>0</v>
      </c>
      <c r="E80" s="61">
        <f t="shared" si="10"/>
        <v>0</v>
      </c>
      <c r="F80" s="45">
        <v>0</v>
      </c>
      <c r="G80" s="45">
        <f t="shared" si="11"/>
        <v>0</v>
      </c>
      <c r="H80" s="45">
        <f t="shared" ref="H80:H138" si="12">D80-F80</f>
        <v>0</v>
      </c>
      <c r="I80" s="45">
        <f t="shared" si="6"/>
        <v>0</v>
      </c>
      <c r="J80" s="45">
        <v>0</v>
      </c>
      <c r="K80" s="45">
        <f t="shared" ref="K80:K111" si="13">(J80/$J$309)*100</f>
        <v>0</v>
      </c>
      <c r="L80" s="53">
        <f t="shared" ref="L80:L138" si="14">D80-J80</f>
        <v>0</v>
      </c>
    </row>
    <row r="81" spans="1:12" s="5" customFormat="1" ht="14.85" customHeight="1" x14ac:dyDescent="0.25">
      <c r="A81" s="43" t="s">
        <v>124</v>
      </c>
      <c r="B81" s="44" t="s">
        <v>125</v>
      </c>
      <c r="C81" s="45">
        <v>0</v>
      </c>
      <c r="D81" s="45">
        <v>0</v>
      </c>
      <c r="E81" s="61">
        <f t="shared" si="10"/>
        <v>0</v>
      </c>
      <c r="F81" s="45">
        <v>0</v>
      </c>
      <c r="G81" s="45">
        <f t="shared" si="11"/>
        <v>0</v>
      </c>
      <c r="H81" s="45">
        <f t="shared" si="12"/>
        <v>0</v>
      </c>
      <c r="I81" s="45">
        <f t="shared" si="6"/>
        <v>0</v>
      </c>
      <c r="J81" s="45">
        <v>0</v>
      </c>
      <c r="K81" s="45">
        <f t="shared" si="13"/>
        <v>0</v>
      </c>
      <c r="L81" s="53">
        <f t="shared" si="14"/>
        <v>0</v>
      </c>
    </row>
    <row r="82" spans="1:12" s="5" customFormat="1" ht="14.85" customHeight="1" x14ac:dyDescent="0.25">
      <c r="A82" s="43" t="s">
        <v>75</v>
      </c>
      <c r="B82" s="44" t="s">
        <v>76</v>
      </c>
      <c r="C82" s="94">
        <v>165229878</v>
      </c>
      <c r="D82" s="94">
        <v>177200087.30000001</v>
      </c>
      <c r="E82" s="61">
        <f>F82-48036234.4</f>
        <v>13994123.810000002</v>
      </c>
      <c r="F82" s="94">
        <v>62030358.210000001</v>
      </c>
      <c r="G82" s="45">
        <f t="shared" si="11"/>
        <v>9.8358670001691129E-2</v>
      </c>
      <c r="H82" s="45">
        <f t="shared" si="12"/>
        <v>115169729.09</v>
      </c>
      <c r="I82" s="45">
        <f>J82-33436717.68</f>
        <v>23040714.18</v>
      </c>
      <c r="J82" s="94">
        <v>56477431.859999999</v>
      </c>
      <c r="K82" s="45">
        <f t="shared" si="13"/>
        <v>0.10076520309787568</v>
      </c>
      <c r="L82" s="53">
        <f t="shared" si="14"/>
        <v>120722655.44000001</v>
      </c>
    </row>
    <row r="83" spans="1:12" s="5" customFormat="1" ht="14.85" customHeight="1" x14ac:dyDescent="0.25">
      <c r="A83" s="43" t="s">
        <v>40</v>
      </c>
      <c r="B83" s="44" t="s">
        <v>41</v>
      </c>
      <c r="C83" s="94">
        <v>247787185</v>
      </c>
      <c r="D83" s="94">
        <v>206366120</v>
      </c>
      <c r="E83" s="61">
        <f>F83-66114639.38</f>
        <v>40105790.050000004</v>
      </c>
      <c r="F83" s="94">
        <v>106220429.43000001</v>
      </c>
      <c r="G83" s="45">
        <f t="shared" si="11"/>
        <v>0.16842882206762758</v>
      </c>
      <c r="H83" s="45">
        <f t="shared" si="12"/>
        <v>100145690.56999999</v>
      </c>
      <c r="I83" s="45">
        <f>J83-22325788.8</f>
        <v>60295526.760000005</v>
      </c>
      <c r="J83" s="94">
        <v>82621315.560000002</v>
      </c>
      <c r="K83" s="45">
        <f t="shared" si="13"/>
        <v>0.14741027289014336</v>
      </c>
      <c r="L83" s="53">
        <f t="shared" si="14"/>
        <v>123744804.44</v>
      </c>
    </row>
    <row r="84" spans="1:12" s="5" customFormat="1" ht="14.85" customHeight="1" x14ac:dyDescent="0.25">
      <c r="A84" s="43" t="s">
        <v>126</v>
      </c>
      <c r="B84" s="44" t="s">
        <v>127</v>
      </c>
      <c r="C84" s="94">
        <v>9598542</v>
      </c>
      <c r="D84" s="94">
        <v>9598542</v>
      </c>
      <c r="E84" s="61">
        <f>F84-3078045.9</f>
        <v>1504580.2500000005</v>
      </c>
      <c r="F84" s="94">
        <v>4582626.1500000004</v>
      </c>
      <c r="G84" s="45">
        <f t="shared" si="11"/>
        <v>7.2664583316287504E-3</v>
      </c>
      <c r="H84" s="45">
        <f t="shared" si="12"/>
        <v>5015915.8499999996</v>
      </c>
      <c r="I84" s="45">
        <f>J84-2831461.1</f>
        <v>545471.06000000006</v>
      </c>
      <c r="J84" s="94">
        <v>3376932.16</v>
      </c>
      <c r="K84" s="45">
        <f t="shared" si="13"/>
        <v>6.0250128899920572E-3</v>
      </c>
      <c r="L84" s="53">
        <f t="shared" si="14"/>
        <v>6221609.8399999999</v>
      </c>
    </row>
    <row r="85" spans="1:12" s="5" customFormat="1" ht="14.85" customHeight="1" x14ac:dyDescent="0.25">
      <c r="A85" s="43" t="s">
        <v>128</v>
      </c>
      <c r="B85" s="44" t="s">
        <v>129</v>
      </c>
      <c r="C85" s="45">
        <v>0</v>
      </c>
      <c r="D85" s="45">
        <v>0</v>
      </c>
      <c r="E85" s="61">
        <f t="shared" si="10"/>
        <v>0</v>
      </c>
      <c r="F85" s="45">
        <v>0</v>
      </c>
      <c r="G85" s="45">
        <f t="shared" si="11"/>
        <v>0</v>
      </c>
      <c r="H85" s="45">
        <f t="shared" si="12"/>
        <v>0</v>
      </c>
      <c r="I85" s="45">
        <f t="shared" ref="I85:I87" si="15">J85-0</f>
        <v>0</v>
      </c>
      <c r="J85" s="45">
        <v>0</v>
      </c>
      <c r="K85" s="45">
        <f t="shared" si="13"/>
        <v>0</v>
      </c>
      <c r="L85" s="53">
        <f t="shared" si="14"/>
        <v>0</v>
      </c>
    </row>
    <row r="86" spans="1:12" s="5" customFormat="1" ht="14.85" customHeight="1" x14ac:dyDescent="0.25">
      <c r="A86" s="43" t="s">
        <v>130</v>
      </c>
      <c r="B86" s="44" t="s">
        <v>131</v>
      </c>
      <c r="C86" s="45">
        <v>0</v>
      </c>
      <c r="D86" s="45">
        <v>0</v>
      </c>
      <c r="E86" s="61">
        <f t="shared" si="10"/>
        <v>0</v>
      </c>
      <c r="F86" s="45">
        <v>0</v>
      </c>
      <c r="G86" s="45">
        <f t="shared" si="11"/>
        <v>0</v>
      </c>
      <c r="H86" s="45">
        <f t="shared" si="12"/>
        <v>0</v>
      </c>
      <c r="I86" s="45">
        <f t="shared" si="15"/>
        <v>0</v>
      </c>
      <c r="J86" s="45">
        <v>0</v>
      </c>
      <c r="K86" s="45">
        <f t="shared" si="13"/>
        <v>0</v>
      </c>
      <c r="L86" s="53">
        <f t="shared" si="14"/>
        <v>0</v>
      </c>
    </row>
    <row r="87" spans="1:12" s="5" customFormat="1" ht="14.85" customHeight="1" x14ac:dyDescent="0.25">
      <c r="A87" s="43" t="s">
        <v>132</v>
      </c>
      <c r="B87" s="44" t="s">
        <v>133</v>
      </c>
      <c r="C87" s="45">
        <v>0</v>
      </c>
      <c r="D87" s="45">
        <v>0</v>
      </c>
      <c r="E87" s="61">
        <f t="shared" si="10"/>
        <v>0</v>
      </c>
      <c r="F87" s="45">
        <v>0</v>
      </c>
      <c r="G87" s="45">
        <f t="shared" si="11"/>
        <v>0</v>
      </c>
      <c r="H87" s="45">
        <f t="shared" si="12"/>
        <v>0</v>
      </c>
      <c r="I87" s="45">
        <f t="shared" si="15"/>
        <v>0</v>
      </c>
      <c r="J87" s="45">
        <v>0</v>
      </c>
      <c r="K87" s="45">
        <f t="shared" si="13"/>
        <v>0</v>
      </c>
      <c r="L87" s="53">
        <f t="shared" si="14"/>
        <v>0</v>
      </c>
    </row>
    <row r="88" spans="1:12" s="5" customFormat="1" ht="14.85" customHeight="1" x14ac:dyDescent="0.25">
      <c r="A88" s="40" t="s">
        <v>134</v>
      </c>
      <c r="B88" s="70" t="s">
        <v>135</v>
      </c>
      <c r="C88" s="42">
        <f>SUM(C89:C101)</f>
        <v>1277546768</v>
      </c>
      <c r="D88" s="42">
        <f>SUM(D89:D101)</f>
        <v>1477427711.3</v>
      </c>
      <c r="E88" s="98">
        <f>SUM(E89:E101)</f>
        <v>141027450.38</v>
      </c>
      <c r="F88" s="42">
        <f>SUM(F89:F101)</f>
        <v>567608879.7700001</v>
      </c>
      <c r="G88" s="42">
        <f t="shared" si="11"/>
        <v>0.90003114775382198</v>
      </c>
      <c r="H88" s="42">
        <f t="shared" si="12"/>
        <v>909818831.52999985</v>
      </c>
      <c r="I88" s="42">
        <f>SUM(I89:I101)</f>
        <v>134053749.38999997</v>
      </c>
      <c r="J88" s="42">
        <f>SUM(J89:J101)</f>
        <v>402298882.97000003</v>
      </c>
      <c r="K88" s="42">
        <f t="shared" si="13"/>
        <v>0.71776862568765853</v>
      </c>
      <c r="L88" s="57">
        <f t="shared" si="14"/>
        <v>1075128828.3299999</v>
      </c>
    </row>
    <row r="89" spans="1:12" s="5" customFormat="1" ht="14.85" customHeight="1" x14ac:dyDescent="0.25">
      <c r="A89" s="43" t="s">
        <v>30</v>
      </c>
      <c r="B89" s="44" t="s">
        <v>31</v>
      </c>
      <c r="C89" s="94">
        <v>154326353</v>
      </c>
      <c r="D89" s="94">
        <v>151512492.81</v>
      </c>
      <c r="E89" s="61">
        <f>F89-56781872.5</f>
        <v>27708402.019999996</v>
      </c>
      <c r="F89" s="94">
        <v>84490274.519999996</v>
      </c>
      <c r="G89" s="45">
        <f t="shared" si="11"/>
        <v>0.13397232048428262</v>
      </c>
      <c r="H89" s="45">
        <f t="shared" si="12"/>
        <v>67022218.290000007</v>
      </c>
      <c r="I89" s="45">
        <f>J89-43149263.64</f>
        <v>30365680.379999995</v>
      </c>
      <c r="J89" s="94">
        <v>73514944.019999996</v>
      </c>
      <c r="K89" s="45">
        <f t="shared" si="13"/>
        <v>0.13116297998937129</v>
      </c>
      <c r="L89" s="53">
        <f t="shared" si="14"/>
        <v>77997548.790000007</v>
      </c>
    </row>
    <row r="90" spans="1:12" s="5" customFormat="1" ht="14.85" customHeight="1" x14ac:dyDescent="0.25">
      <c r="A90" s="43" t="s">
        <v>34</v>
      </c>
      <c r="B90" s="44" t="s">
        <v>35</v>
      </c>
      <c r="C90" s="45">
        <v>0</v>
      </c>
      <c r="D90" s="45">
        <v>0</v>
      </c>
      <c r="E90" s="61">
        <f t="shared" ref="E90:E152" si="16">F90-0</f>
        <v>0</v>
      </c>
      <c r="F90" s="45">
        <v>0</v>
      </c>
      <c r="G90" s="45">
        <f t="shared" si="11"/>
        <v>0</v>
      </c>
      <c r="H90" s="45">
        <f t="shared" si="12"/>
        <v>0</v>
      </c>
      <c r="I90" s="45">
        <f t="shared" ref="I90:I101" si="17">J90-0</f>
        <v>0</v>
      </c>
      <c r="J90" s="45">
        <v>0</v>
      </c>
      <c r="K90" s="45">
        <f t="shared" si="13"/>
        <v>0</v>
      </c>
      <c r="L90" s="53">
        <f t="shared" si="14"/>
        <v>0</v>
      </c>
    </row>
    <row r="91" spans="1:12" s="5" customFormat="1" ht="14.85" customHeight="1" x14ac:dyDescent="0.25">
      <c r="A91" s="43" t="s">
        <v>36</v>
      </c>
      <c r="B91" s="44" t="s">
        <v>37</v>
      </c>
      <c r="C91" s="45">
        <v>0</v>
      </c>
      <c r="D91" s="45">
        <v>0</v>
      </c>
      <c r="E91" s="61">
        <f t="shared" si="16"/>
        <v>0</v>
      </c>
      <c r="F91" s="45">
        <v>0</v>
      </c>
      <c r="G91" s="45">
        <f t="shared" si="11"/>
        <v>0</v>
      </c>
      <c r="H91" s="45">
        <f t="shared" si="12"/>
        <v>0</v>
      </c>
      <c r="I91" s="45">
        <f t="shared" si="17"/>
        <v>0</v>
      </c>
      <c r="J91" s="45">
        <v>0</v>
      </c>
      <c r="K91" s="45">
        <f t="shared" si="13"/>
        <v>0</v>
      </c>
      <c r="L91" s="53">
        <f t="shared" si="14"/>
        <v>0</v>
      </c>
    </row>
    <row r="92" spans="1:12" s="5" customFormat="1" ht="14.85" customHeight="1" x14ac:dyDescent="0.25">
      <c r="A92" s="43" t="s">
        <v>104</v>
      </c>
      <c r="B92" s="44" t="s">
        <v>105</v>
      </c>
      <c r="C92" s="45">
        <v>88226291</v>
      </c>
      <c r="D92" s="45">
        <v>154626011</v>
      </c>
      <c r="E92" s="61">
        <f>F92-118913462.2</f>
        <v>8813622.700000003</v>
      </c>
      <c r="F92" s="45">
        <v>127727084.90000001</v>
      </c>
      <c r="G92" s="45">
        <f t="shared" si="11"/>
        <v>0.20253093092620217</v>
      </c>
      <c r="H92" s="45">
        <f t="shared" si="12"/>
        <v>26898926.099999994</v>
      </c>
      <c r="I92" s="45">
        <f>J92-67817568.52</f>
        <v>5584474.5300000012</v>
      </c>
      <c r="J92" s="45">
        <v>73402043.049999997</v>
      </c>
      <c r="K92" s="45">
        <f t="shared" si="13"/>
        <v>0.13096154573860372</v>
      </c>
      <c r="L92" s="53">
        <f t="shared" si="14"/>
        <v>81223967.950000003</v>
      </c>
    </row>
    <row r="93" spans="1:12" s="5" customFormat="1" ht="14.85" customHeight="1" x14ac:dyDescent="0.25">
      <c r="A93" s="43" t="s">
        <v>136</v>
      </c>
      <c r="B93" s="44" t="s">
        <v>137</v>
      </c>
      <c r="C93" s="94">
        <v>72434680</v>
      </c>
      <c r="D93" s="94">
        <v>72434680</v>
      </c>
      <c r="E93" s="61">
        <f>F93-15136438.89</f>
        <v>10047254.599999998</v>
      </c>
      <c r="F93" s="94">
        <v>25183693.489999998</v>
      </c>
      <c r="G93" s="45">
        <f t="shared" si="11"/>
        <v>3.9932617977487685E-2</v>
      </c>
      <c r="H93" s="45">
        <f t="shared" si="12"/>
        <v>47250986.510000005</v>
      </c>
      <c r="I93" s="45">
        <f>J93-14218866.51</f>
        <v>10200618.720000001</v>
      </c>
      <c r="J93" s="94">
        <v>24419485.23</v>
      </c>
      <c r="K93" s="45">
        <f t="shared" si="13"/>
        <v>4.3568453941852554E-2</v>
      </c>
      <c r="L93" s="53">
        <f t="shared" si="14"/>
        <v>48015194.769999996</v>
      </c>
    </row>
    <row r="94" spans="1:12" s="5" customFormat="1" ht="14.85" customHeight="1" x14ac:dyDescent="0.25">
      <c r="A94" s="43" t="s">
        <v>108</v>
      </c>
      <c r="B94" s="44" t="s">
        <v>109</v>
      </c>
      <c r="C94" s="45">
        <v>0</v>
      </c>
      <c r="D94" s="45">
        <v>0</v>
      </c>
      <c r="E94" s="61">
        <f t="shared" si="16"/>
        <v>0</v>
      </c>
      <c r="F94" s="45">
        <v>0</v>
      </c>
      <c r="G94" s="45">
        <f t="shared" si="11"/>
        <v>0</v>
      </c>
      <c r="H94" s="45">
        <f t="shared" si="12"/>
        <v>0</v>
      </c>
      <c r="I94" s="45">
        <f t="shared" si="17"/>
        <v>0</v>
      </c>
      <c r="J94" s="45">
        <v>0</v>
      </c>
      <c r="K94" s="45">
        <f t="shared" si="13"/>
        <v>0</v>
      </c>
      <c r="L94" s="53">
        <f t="shared" si="14"/>
        <v>0</v>
      </c>
    </row>
    <row r="95" spans="1:12" s="5" customFormat="1" ht="14.85" customHeight="1" x14ac:dyDescent="0.25">
      <c r="A95" s="43" t="s">
        <v>110</v>
      </c>
      <c r="B95" s="44" t="s">
        <v>111</v>
      </c>
      <c r="C95" s="94">
        <v>88430376</v>
      </c>
      <c r="D95" s="94">
        <v>98610255.030000001</v>
      </c>
      <c r="E95" s="61">
        <f>F95-17106143.58</f>
        <v>4683644.6800000034</v>
      </c>
      <c r="F95" s="94">
        <v>21789788.260000002</v>
      </c>
      <c r="G95" s="45">
        <f t="shared" si="11"/>
        <v>3.4551059428293826E-2</v>
      </c>
      <c r="H95" s="45">
        <f t="shared" si="12"/>
        <v>76820466.769999996</v>
      </c>
      <c r="I95" s="45">
        <f>J95-7688317.14</f>
        <v>5570536.1299999999</v>
      </c>
      <c r="J95" s="94">
        <v>13258853.27</v>
      </c>
      <c r="K95" s="45">
        <f t="shared" si="13"/>
        <v>2.3656016192597523E-2</v>
      </c>
      <c r="L95" s="53">
        <f t="shared" si="14"/>
        <v>85351401.760000005</v>
      </c>
    </row>
    <row r="96" spans="1:12" s="5" customFormat="1" ht="14.85" customHeight="1" x14ac:dyDescent="0.25">
      <c r="A96" s="43" t="s">
        <v>112</v>
      </c>
      <c r="B96" s="44" t="s">
        <v>113</v>
      </c>
      <c r="C96" s="94">
        <v>580138538</v>
      </c>
      <c r="D96" s="94">
        <v>696827996.20000005</v>
      </c>
      <c r="E96" s="61">
        <f>F96-134980340.56</f>
        <v>53596623.960000008</v>
      </c>
      <c r="F96" s="94">
        <v>188576964.52000001</v>
      </c>
      <c r="G96" s="45">
        <f t="shared" si="11"/>
        <v>0.29901777062691731</v>
      </c>
      <c r="H96" s="45">
        <f t="shared" si="12"/>
        <v>508251031.68000007</v>
      </c>
      <c r="I96" s="45">
        <f>J96-86526133.34</f>
        <v>63542377.949999988</v>
      </c>
      <c r="J96" s="94">
        <v>150068511.28999999</v>
      </c>
      <c r="K96" s="45">
        <f t="shared" si="13"/>
        <v>0.26774737307845964</v>
      </c>
      <c r="L96" s="53">
        <f t="shared" si="14"/>
        <v>546759484.91000009</v>
      </c>
    </row>
    <row r="97" spans="1:12" s="5" customFormat="1" ht="14.85" customHeight="1" x14ac:dyDescent="0.25">
      <c r="A97" s="43" t="s">
        <v>156</v>
      </c>
      <c r="B97" s="44" t="s">
        <v>155</v>
      </c>
      <c r="C97" s="45">
        <v>32830979</v>
      </c>
      <c r="D97" s="45">
        <v>32680979</v>
      </c>
      <c r="E97" s="61">
        <f>F97-7031070.25</f>
        <v>1664774.5199999996</v>
      </c>
      <c r="F97" s="45">
        <v>8695844.7699999996</v>
      </c>
      <c r="G97" s="45">
        <f t="shared" si="11"/>
        <v>1.3788598853850819E-2</v>
      </c>
      <c r="H97" s="45">
        <f t="shared" si="12"/>
        <v>23985134.23</v>
      </c>
      <c r="I97" s="61">
        <f>J97-7031070.25</f>
        <v>1664774.5199999996</v>
      </c>
      <c r="J97" s="61">
        <v>8695844.7699999996</v>
      </c>
      <c r="K97" s="45">
        <f t="shared" si="13"/>
        <v>1.5514844345768558E-2</v>
      </c>
      <c r="L97" s="53">
        <f t="shared" si="14"/>
        <v>23985134.23</v>
      </c>
    </row>
    <row r="98" spans="1:12" s="5" customFormat="1" ht="14.85" customHeight="1" x14ac:dyDescent="0.25">
      <c r="A98" s="43" t="s">
        <v>138</v>
      </c>
      <c r="B98" s="44" t="s">
        <v>139</v>
      </c>
      <c r="C98" s="45">
        <v>0</v>
      </c>
      <c r="D98" s="45">
        <v>0</v>
      </c>
      <c r="E98" s="61">
        <f t="shared" si="16"/>
        <v>0</v>
      </c>
      <c r="F98" s="45">
        <v>0</v>
      </c>
      <c r="G98" s="45">
        <f t="shared" si="11"/>
        <v>0</v>
      </c>
      <c r="H98" s="45">
        <f t="shared" si="12"/>
        <v>0</v>
      </c>
      <c r="I98" s="45">
        <f t="shared" si="17"/>
        <v>0</v>
      </c>
      <c r="J98" s="45">
        <v>0</v>
      </c>
      <c r="K98" s="45">
        <f t="shared" si="13"/>
        <v>0</v>
      </c>
      <c r="L98" s="53">
        <f t="shared" si="14"/>
        <v>0</v>
      </c>
    </row>
    <row r="99" spans="1:12" s="5" customFormat="1" ht="14.85" customHeight="1" x14ac:dyDescent="0.25">
      <c r="A99" s="43" t="s">
        <v>118</v>
      </c>
      <c r="B99" s="44" t="s">
        <v>119</v>
      </c>
      <c r="C99" s="94">
        <v>227798730</v>
      </c>
      <c r="D99" s="94">
        <v>234677356.81999999</v>
      </c>
      <c r="E99" s="61">
        <f>F99-75908662.09</f>
        <v>33846312.599999994</v>
      </c>
      <c r="F99" s="94">
        <v>109754974.69</v>
      </c>
      <c r="G99" s="45">
        <f t="shared" si="11"/>
        <v>0.17403338700754653</v>
      </c>
      <c r="H99" s="45">
        <f t="shared" si="12"/>
        <v>124922382.13</v>
      </c>
      <c r="I99" s="45">
        <f>J99-41090474.86</f>
        <v>16458471.859999999</v>
      </c>
      <c r="J99" s="94">
        <v>57548946.719999999</v>
      </c>
      <c r="K99" s="45">
        <f t="shared" si="13"/>
        <v>0.10267696517583169</v>
      </c>
      <c r="L99" s="53">
        <f t="shared" si="14"/>
        <v>177128410.09999999</v>
      </c>
    </row>
    <row r="100" spans="1:12" s="5" customFormat="1" ht="14.85" customHeight="1" x14ac:dyDescent="0.25">
      <c r="A100" s="43" t="s">
        <v>40</v>
      </c>
      <c r="B100" s="44" t="s">
        <v>41</v>
      </c>
      <c r="C100" s="94">
        <v>33360821</v>
      </c>
      <c r="D100" s="94">
        <v>36057940.439999998</v>
      </c>
      <c r="E100" s="61">
        <f>F100-723439.32</f>
        <v>666815.30000000016</v>
      </c>
      <c r="F100" s="45">
        <v>1390254.62</v>
      </c>
      <c r="G100" s="45">
        <f t="shared" si="11"/>
        <v>2.2044624492408927E-3</v>
      </c>
      <c r="H100" s="45">
        <f t="shared" si="12"/>
        <v>34667685.82</v>
      </c>
      <c r="I100" s="45">
        <f>J100-723439.32</f>
        <v>666815.30000000016</v>
      </c>
      <c r="J100" s="45">
        <v>1390254.62</v>
      </c>
      <c r="K100" s="45">
        <f t="shared" si="13"/>
        <v>2.4804472251734573E-3</v>
      </c>
      <c r="L100" s="53">
        <f t="shared" si="14"/>
        <v>34667685.82</v>
      </c>
    </row>
    <row r="101" spans="1:12" s="5" customFormat="1" ht="14.85" customHeight="1" x14ac:dyDescent="0.25">
      <c r="A101" s="43" t="s">
        <v>87</v>
      </c>
      <c r="B101" s="44" t="s">
        <v>88</v>
      </c>
      <c r="C101" s="45">
        <v>0</v>
      </c>
      <c r="D101" s="45">
        <v>0</v>
      </c>
      <c r="E101" s="61">
        <f t="shared" si="16"/>
        <v>0</v>
      </c>
      <c r="F101" s="45">
        <v>0</v>
      </c>
      <c r="G101" s="45">
        <f t="shared" si="11"/>
        <v>0</v>
      </c>
      <c r="H101" s="45">
        <f t="shared" si="12"/>
        <v>0</v>
      </c>
      <c r="I101" s="45">
        <f t="shared" si="17"/>
        <v>0</v>
      </c>
      <c r="J101" s="45">
        <v>0</v>
      </c>
      <c r="K101" s="45">
        <f t="shared" si="13"/>
        <v>0</v>
      </c>
      <c r="L101" s="53">
        <f t="shared" si="14"/>
        <v>0</v>
      </c>
    </row>
    <row r="102" spans="1:12" s="5" customFormat="1" ht="14.85" customHeight="1" x14ac:dyDescent="0.25">
      <c r="A102" s="40" t="s">
        <v>140</v>
      </c>
      <c r="B102" s="70" t="s">
        <v>141</v>
      </c>
      <c r="C102" s="42">
        <f>SUM(C103:C106)</f>
        <v>30452725177</v>
      </c>
      <c r="D102" s="42">
        <f>SUM(D103:D106)</f>
        <v>30815372296.620003</v>
      </c>
      <c r="E102" s="98">
        <f>SUM(E103:E106)</f>
        <v>5342443745.5300007</v>
      </c>
      <c r="F102" s="42">
        <f>SUM(F103:F106)</f>
        <v>14087522797.110001</v>
      </c>
      <c r="G102" s="42">
        <f t="shared" si="11"/>
        <v>22.337933326957057</v>
      </c>
      <c r="H102" s="42">
        <f t="shared" si="12"/>
        <v>16727849499.510002</v>
      </c>
      <c r="I102" s="42">
        <f>SUM(I103:I106)</f>
        <v>5178686362.25</v>
      </c>
      <c r="J102" s="42">
        <f>SUM(J103:J106)</f>
        <v>13748606233.08</v>
      </c>
      <c r="K102" s="42">
        <f t="shared" si="13"/>
        <v>24.529817553021893</v>
      </c>
      <c r="L102" s="57">
        <f t="shared" si="14"/>
        <v>17066766063.540003</v>
      </c>
    </row>
    <row r="103" spans="1:12" s="5" customFormat="1" ht="14.85" customHeight="1" x14ac:dyDescent="0.25">
      <c r="A103" s="43" t="s">
        <v>30</v>
      </c>
      <c r="B103" s="44" t="s">
        <v>31</v>
      </c>
      <c r="C103" s="45">
        <v>10783912246</v>
      </c>
      <c r="D103" s="45">
        <v>11236659365.620001</v>
      </c>
      <c r="E103" s="61">
        <f>F103-2964958871.59</f>
        <v>1853470220.3999996</v>
      </c>
      <c r="F103" s="94">
        <v>4818429091.9899998</v>
      </c>
      <c r="G103" s="45">
        <f t="shared" si="11"/>
        <v>7.6403601504462859</v>
      </c>
      <c r="H103" s="45">
        <f t="shared" si="12"/>
        <v>6418230273.6300011</v>
      </c>
      <c r="I103" s="45">
        <f>J103-2834644794.39</f>
        <v>1691848804.3399997</v>
      </c>
      <c r="J103" s="94">
        <v>4526493598.7299995</v>
      </c>
      <c r="K103" s="45">
        <f t="shared" si="13"/>
        <v>8.0760231436851786</v>
      </c>
      <c r="L103" s="53">
        <f t="shared" si="14"/>
        <v>6710165766.8900013</v>
      </c>
    </row>
    <row r="104" spans="1:12" s="5" customFormat="1" ht="14.85" customHeight="1" x14ac:dyDescent="0.25">
      <c r="A104" s="43" t="s">
        <v>63</v>
      </c>
      <c r="B104" s="44" t="s">
        <v>64</v>
      </c>
      <c r="C104" s="45">
        <v>14295127</v>
      </c>
      <c r="D104" s="45">
        <v>14295127</v>
      </c>
      <c r="E104" s="61">
        <f t="shared" si="16"/>
        <v>0</v>
      </c>
      <c r="F104" s="45">
        <v>0</v>
      </c>
      <c r="G104" s="45">
        <f t="shared" si="11"/>
        <v>0</v>
      </c>
      <c r="H104" s="45">
        <f t="shared" si="12"/>
        <v>14295127</v>
      </c>
      <c r="I104" s="45">
        <f t="shared" ref="I104:I106" si="18">J104-0</f>
        <v>0</v>
      </c>
      <c r="J104" s="45">
        <v>0</v>
      </c>
      <c r="K104" s="45">
        <f t="shared" si="13"/>
        <v>0</v>
      </c>
      <c r="L104" s="53">
        <f t="shared" si="14"/>
        <v>14295127</v>
      </c>
    </row>
    <row r="105" spans="1:12" s="5" customFormat="1" ht="14.85" customHeight="1" x14ac:dyDescent="0.25">
      <c r="A105" s="43" t="s">
        <v>142</v>
      </c>
      <c r="B105" s="44" t="s">
        <v>143</v>
      </c>
      <c r="C105" s="94">
        <v>19654517804</v>
      </c>
      <c r="D105" s="94">
        <v>19564417804</v>
      </c>
      <c r="E105" s="61">
        <f>F105-5780120179.99</f>
        <v>3488973525.1300011</v>
      </c>
      <c r="F105" s="94">
        <v>9269093705.1200008</v>
      </c>
      <c r="G105" s="45">
        <f t="shared" si="11"/>
        <v>14.697573176510772</v>
      </c>
      <c r="H105" s="45">
        <f t="shared" si="12"/>
        <v>10295324098.879999</v>
      </c>
      <c r="I105" s="45">
        <f>J105-5735275076.44</f>
        <v>3486837557.9100008</v>
      </c>
      <c r="J105" s="94">
        <v>9222112634.3500004</v>
      </c>
      <c r="K105" s="45">
        <f t="shared" si="13"/>
        <v>16.453794409336712</v>
      </c>
      <c r="L105" s="53">
        <f t="shared" si="14"/>
        <v>10342305169.65</v>
      </c>
    </row>
    <row r="106" spans="1:12" s="5" customFormat="1" ht="14.85" customHeight="1" x14ac:dyDescent="0.25">
      <c r="A106" s="43" t="s">
        <v>144</v>
      </c>
      <c r="B106" s="44" t="s">
        <v>145</v>
      </c>
      <c r="C106" s="45">
        <v>0</v>
      </c>
      <c r="D106" s="45">
        <v>0</v>
      </c>
      <c r="E106" s="61">
        <f t="shared" si="16"/>
        <v>0</v>
      </c>
      <c r="F106" s="45">
        <v>0</v>
      </c>
      <c r="G106" s="45">
        <f t="shared" si="11"/>
        <v>0</v>
      </c>
      <c r="H106" s="45">
        <f t="shared" si="12"/>
        <v>0</v>
      </c>
      <c r="I106" s="45">
        <f t="shared" si="18"/>
        <v>0</v>
      </c>
      <c r="J106" s="45">
        <v>0</v>
      </c>
      <c r="K106" s="45">
        <f t="shared" si="13"/>
        <v>0</v>
      </c>
      <c r="L106" s="53">
        <f t="shared" si="14"/>
        <v>0</v>
      </c>
    </row>
    <row r="107" spans="1:12" s="5" customFormat="1" ht="14.85" customHeight="1" x14ac:dyDescent="0.25">
      <c r="A107" s="40" t="s">
        <v>146</v>
      </c>
      <c r="B107" s="70" t="s">
        <v>147</v>
      </c>
      <c r="C107" s="42">
        <f>SUM(C108:C117)</f>
        <v>9727847278</v>
      </c>
      <c r="D107" s="42">
        <f>SUM(D108:D117)</f>
        <v>10035492063.02</v>
      </c>
      <c r="E107" s="98">
        <f>SUM(E108:E117)</f>
        <v>1910345646.5999997</v>
      </c>
      <c r="F107" s="42">
        <f>SUM(F108:F117)</f>
        <v>5461614845.9099998</v>
      </c>
      <c r="G107" s="42">
        <f t="shared" si="11"/>
        <v>8.660230051977944</v>
      </c>
      <c r="H107" s="42">
        <f t="shared" si="12"/>
        <v>4573877217.1100006</v>
      </c>
      <c r="I107" s="42">
        <f>SUM(I108:I117)</f>
        <v>1799333902.53</v>
      </c>
      <c r="J107" s="42">
        <f>SUM(J108:J117)</f>
        <v>4801716133.75</v>
      </c>
      <c r="K107" s="42">
        <f t="shared" si="13"/>
        <v>8.5670662687895298</v>
      </c>
      <c r="L107" s="57">
        <f t="shared" si="14"/>
        <v>5233775929.2700005</v>
      </c>
    </row>
    <row r="108" spans="1:12" s="5" customFormat="1" ht="14.85" customHeight="1" x14ac:dyDescent="0.25">
      <c r="A108" s="43" t="s">
        <v>30</v>
      </c>
      <c r="B108" s="44" t="s">
        <v>31</v>
      </c>
      <c r="C108" s="94">
        <v>1449445591</v>
      </c>
      <c r="D108" s="94">
        <v>1462927343.0599999</v>
      </c>
      <c r="E108" s="61">
        <f>F108-485435492.39</f>
        <v>238915994.86000001</v>
      </c>
      <c r="F108" s="94">
        <v>724351487.25</v>
      </c>
      <c r="G108" s="45">
        <f t="shared" si="11"/>
        <v>1.1485706508167677</v>
      </c>
      <c r="H108" s="45">
        <f t="shared" si="12"/>
        <v>738575855.80999994</v>
      </c>
      <c r="I108" s="45">
        <f>J108-402337291.5</f>
        <v>245420739.25999999</v>
      </c>
      <c r="J108" s="45">
        <v>647758030.75999999</v>
      </c>
      <c r="K108" s="45">
        <f t="shared" si="13"/>
        <v>1.1557088801348236</v>
      </c>
      <c r="L108" s="53">
        <f t="shared" si="14"/>
        <v>815169312.29999995</v>
      </c>
    </row>
    <row r="109" spans="1:12" s="5" customFormat="1" ht="14.85" customHeight="1" x14ac:dyDescent="0.25">
      <c r="A109" s="43" t="s">
        <v>34</v>
      </c>
      <c r="B109" s="44" t="s">
        <v>35</v>
      </c>
      <c r="C109" s="94">
        <v>17335929</v>
      </c>
      <c r="D109" s="94">
        <v>17491929</v>
      </c>
      <c r="E109" s="61">
        <f>F109-5019684.98</f>
        <v>3141854.5699999994</v>
      </c>
      <c r="F109" s="94">
        <v>8161539.5499999998</v>
      </c>
      <c r="G109" s="45">
        <f t="shared" ref="G109:G140" si="19">(F109/$F$309)*100</f>
        <v>1.2941375779042122E-2</v>
      </c>
      <c r="H109" s="45">
        <f t="shared" si="12"/>
        <v>9330389.4499999993</v>
      </c>
      <c r="I109" s="45">
        <f>J109-4739761.27</f>
        <v>3123966.1300000008</v>
      </c>
      <c r="J109" s="45">
        <v>7863727.4000000004</v>
      </c>
      <c r="K109" s="45">
        <f t="shared" si="13"/>
        <v>1.4030207508931337E-2</v>
      </c>
      <c r="L109" s="53">
        <f t="shared" si="14"/>
        <v>9628201.5999999996</v>
      </c>
    </row>
    <row r="110" spans="1:12" s="5" customFormat="1" ht="14.85" customHeight="1" x14ac:dyDescent="0.25">
      <c r="A110" s="43" t="s">
        <v>106</v>
      </c>
      <c r="B110" s="44" t="s">
        <v>107</v>
      </c>
      <c r="C110" s="94">
        <v>182484981</v>
      </c>
      <c r="D110" s="94">
        <v>182484981</v>
      </c>
      <c r="E110" s="61">
        <f>F110-53902825.26</f>
        <v>34392363.580000006</v>
      </c>
      <c r="F110" s="94">
        <v>88295188.840000004</v>
      </c>
      <c r="G110" s="45">
        <f t="shared" si="19"/>
        <v>0.14000559713760458</v>
      </c>
      <c r="H110" s="45">
        <f t="shared" si="12"/>
        <v>94189792.159999996</v>
      </c>
      <c r="I110" s="45">
        <f>J110-53902734.85</f>
        <v>34392363.580000006</v>
      </c>
      <c r="J110" s="45">
        <v>88295098.430000007</v>
      </c>
      <c r="K110" s="45">
        <f t="shared" si="13"/>
        <v>0.15753325235999632</v>
      </c>
      <c r="L110" s="53">
        <f t="shared" si="14"/>
        <v>94189882.569999993</v>
      </c>
    </row>
    <row r="111" spans="1:12" s="5" customFormat="1" ht="14.85" customHeight="1" x14ac:dyDescent="0.25">
      <c r="A111" s="43" t="s">
        <v>114</v>
      </c>
      <c r="B111" s="44" t="s">
        <v>115</v>
      </c>
      <c r="C111" s="45">
        <v>58230000</v>
      </c>
      <c r="D111" s="45">
        <v>57480000</v>
      </c>
      <c r="E111" s="61">
        <f>F111-9269.99</f>
        <v>6597</v>
      </c>
      <c r="F111" s="45">
        <v>15866.99</v>
      </c>
      <c r="G111" s="45">
        <f t="shared" si="19"/>
        <v>2.5159552167128024E-5</v>
      </c>
      <c r="H111" s="45">
        <f t="shared" si="12"/>
        <v>57464133.009999998</v>
      </c>
      <c r="I111" s="45">
        <f>J111-9269.99</f>
        <v>6597</v>
      </c>
      <c r="J111" s="45">
        <v>15866.99</v>
      </c>
      <c r="K111" s="45">
        <f t="shared" si="13"/>
        <v>2.8309369198395464E-5</v>
      </c>
      <c r="L111" s="53">
        <f t="shared" si="14"/>
        <v>57464133.009999998</v>
      </c>
    </row>
    <row r="112" spans="1:12" s="5" customFormat="1" ht="14.85" customHeight="1" x14ac:dyDescent="0.25">
      <c r="A112" s="43" t="s">
        <v>116</v>
      </c>
      <c r="B112" s="44" t="s">
        <v>117</v>
      </c>
      <c r="C112" s="45">
        <v>7633723973</v>
      </c>
      <c r="D112" s="45">
        <v>8008807576.5600004</v>
      </c>
      <c r="E112" s="61">
        <f>F112-2911068802.1</f>
        <v>1587581687.3399997</v>
      </c>
      <c r="F112" s="94">
        <v>4498650489.4399996</v>
      </c>
      <c r="G112" s="45">
        <f t="shared" si="19"/>
        <v>7.1333020106990483</v>
      </c>
      <c r="H112" s="45">
        <f t="shared" si="12"/>
        <v>3510157087.1200008</v>
      </c>
      <c r="I112" s="45">
        <f>J112-2467896596.03</f>
        <v>1483537739.6399999</v>
      </c>
      <c r="J112" s="45">
        <v>3951434335.6700001</v>
      </c>
      <c r="K112" s="45">
        <f t="shared" ref="K112:K143" si="20">(J112/$J$309)*100</f>
        <v>7.0500210482075385</v>
      </c>
      <c r="L112" s="53">
        <f t="shared" si="14"/>
        <v>4057373240.8900003</v>
      </c>
    </row>
    <row r="113" spans="1:12" s="5" customFormat="1" ht="14.85" customHeight="1" x14ac:dyDescent="0.25">
      <c r="A113" s="43" t="s">
        <v>138</v>
      </c>
      <c r="B113" s="44" t="s">
        <v>139</v>
      </c>
      <c r="C113" s="45">
        <v>292356545</v>
      </c>
      <c r="D113" s="45">
        <v>209160201</v>
      </c>
      <c r="E113" s="61">
        <f>F113-73493484.03</f>
        <v>35253948.489999995</v>
      </c>
      <c r="F113" s="94">
        <v>108747432.52</v>
      </c>
      <c r="G113" s="45">
        <f t="shared" si="19"/>
        <v>0.17243577398915449</v>
      </c>
      <c r="H113" s="45">
        <f t="shared" si="12"/>
        <v>100412768.48</v>
      </c>
      <c r="I113" s="45">
        <f>J113-54213824.24</f>
        <v>22344820.300000004</v>
      </c>
      <c r="J113" s="45">
        <v>76558644.540000007</v>
      </c>
      <c r="K113" s="45">
        <f t="shared" si="20"/>
        <v>0.13659345178963264</v>
      </c>
      <c r="L113" s="53">
        <f t="shared" si="14"/>
        <v>132601556.45999999</v>
      </c>
    </row>
    <row r="114" spans="1:12" s="5" customFormat="1" ht="14.85" customHeight="1" x14ac:dyDescent="0.25">
      <c r="A114" s="43" t="s">
        <v>148</v>
      </c>
      <c r="B114" s="44" t="s">
        <v>149</v>
      </c>
      <c r="C114" s="45">
        <v>3991748</v>
      </c>
      <c r="D114" s="45">
        <v>3614198.84</v>
      </c>
      <c r="E114" s="61">
        <f>F114-849262.75</f>
        <v>623341.43999999994</v>
      </c>
      <c r="F114" s="94">
        <v>1472604.19</v>
      </c>
      <c r="G114" s="45">
        <f t="shared" si="19"/>
        <v>2.3350403535791165E-3</v>
      </c>
      <c r="H114" s="45">
        <f t="shared" si="12"/>
        <v>2141594.65</v>
      </c>
      <c r="I114" s="45">
        <f>J114-699226.67</f>
        <v>394585.4</v>
      </c>
      <c r="J114" s="45">
        <v>1093812.07</v>
      </c>
      <c r="K114" s="45">
        <f t="shared" si="20"/>
        <v>1.9515440372301985E-3</v>
      </c>
      <c r="L114" s="53">
        <f t="shared" si="14"/>
        <v>2520386.7699999996</v>
      </c>
    </row>
    <row r="115" spans="1:12" s="5" customFormat="1" ht="14.85" customHeight="1" x14ac:dyDescent="0.25">
      <c r="A115" s="43" t="s">
        <v>150</v>
      </c>
      <c r="B115" s="44" t="s">
        <v>151</v>
      </c>
      <c r="C115" s="45">
        <v>89799637</v>
      </c>
      <c r="D115" s="45">
        <v>93046959.560000002</v>
      </c>
      <c r="E115" s="61">
        <f>F115-21481287.81</f>
        <v>10424889.32</v>
      </c>
      <c r="F115" s="94">
        <v>31906177.129999999</v>
      </c>
      <c r="G115" s="45">
        <f t="shared" si="19"/>
        <v>5.0592149358880428E-2</v>
      </c>
      <c r="H115" s="45">
        <f t="shared" si="12"/>
        <v>61140782.430000007</v>
      </c>
      <c r="I115" s="45">
        <f>J115-18581708.67</f>
        <v>10105819.219999999</v>
      </c>
      <c r="J115" s="45">
        <v>28687527.890000001</v>
      </c>
      <c r="K115" s="45">
        <f t="shared" si="20"/>
        <v>5.1183357298849805E-2</v>
      </c>
      <c r="L115" s="53">
        <f t="shared" si="14"/>
        <v>64359431.670000002</v>
      </c>
    </row>
    <row r="116" spans="1:12" s="5" customFormat="1" ht="14.85" customHeight="1" x14ac:dyDescent="0.25">
      <c r="A116" s="43" t="s">
        <v>118</v>
      </c>
      <c r="B116" s="44" t="s">
        <v>119</v>
      </c>
      <c r="C116" s="45">
        <v>232500</v>
      </c>
      <c r="D116" s="45">
        <v>232500</v>
      </c>
      <c r="E116" s="61">
        <f>F116-9090</f>
        <v>4970</v>
      </c>
      <c r="F116" s="45">
        <v>14060</v>
      </c>
      <c r="G116" s="45">
        <f t="shared" si="19"/>
        <v>2.2294291700556942E-5</v>
      </c>
      <c r="H116" s="45">
        <f t="shared" si="12"/>
        <v>218440</v>
      </c>
      <c r="I116" s="45">
        <f>J116-1818</f>
        <v>7272</v>
      </c>
      <c r="J116" s="45">
        <v>9090</v>
      </c>
      <c r="K116" s="45">
        <f t="shared" si="20"/>
        <v>1.621808332981963E-5</v>
      </c>
      <c r="L116" s="53">
        <f t="shared" si="14"/>
        <v>223410</v>
      </c>
    </row>
    <row r="117" spans="1:12" s="5" customFormat="1" ht="14.85" customHeight="1" x14ac:dyDescent="0.25">
      <c r="A117" s="43" t="s">
        <v>89</v>
      </c>
      <c r="B117" s="44" t="s">
        <v>152</v>
      </c>
      <c r="C117" s="45">
        <v>246374</v>
      </c>
      <c r="D117" s="45">
        <v>246374</v>
      </c>
      <c r="E117" s="61">
        <f t="shared" si="16"/>
        <v>0</v>
      </c>
      <c r="F117" s="45">
        <v>0</v>
      </c>
      <c r="G117" s="45">
        <f t="shared" si="19"/>
        <v>0</v>
      </c>
      <c r="H117" s="45">
        <f t="shared" si="12"/>
        <v>246374</v>
      </c>
      <c r="I117" s="45">
        <f t="shared" ref="I117" si="21">J117-0</f>
        <v>0</v>
      </c>
      <c r="J117" s="45">
        <v>0</v>
      </c>
      <c r="K117" s="45">
        <f t="shared" si="20"/>
        <v>0</v>
      </c>
      <c r="L117" s="53">
        <f t="shared" si="14"/>
        <v>246374</v>
      </c>
    </row>
    <row r="118" spans="1:12" s="5" customFormat="1" ht="14.85" customHeight="1" x14ac:dyDescent="0.25">
      <c r="A118" s="40" t="s">
        <v>153</v>
      </c>
      <c r="B118" s="70" t="s">
        <v>154</v>
      </c>
      <c r="C118" s="42">
        <f>SUM(C119:C126)</f>
        <v>104939502</v>
      </c>
      <c r="D118" s="42">
        <f>SUM(D119:D126)</f>
        <v>149533279.38</v>
      </c>
      <c r="E118" s="98">
        <f>SUM(E119:E126)</f>
        <v>7758233.8400000017</v>
      </c>
      <c r="F118" s="42">
        <f>SUM(F119:F126)</f>
        <v>25067243.350000001</v>
      </c>
      <c r="G118" s="42">
        <f t="shared" si="19"/>
        <v>3.9747968376511116E-2</v>
      </c>
      <c r="H118" s="42">
        <f t="shared" si="12"/>
        <v>124466036.03</v>
      </c>
      <c r="I118" s="42">
        <f>SUM(I119:I126)</f>
        <v>6893324.2200000007</v>
      </c>
      <c r="J118" s="42">
        <f>SUM(J119:J126)</f>
        <v>23507559.189999998</v>
      </c>
      <c r="K118" s="42">
        <f t="shared" si="20"/>
        <v>4.1941425063155909E-2</v>
      </c>
      <c r="L118" s="57">
        <f t="shared" si="14"/>
        <v>126025720.19</v>
      </c>
    </row>
    <row r="119" spans="1:12" s="5" customFormat="1" ht="14.85" customHeight="1" x14ac:dyDescent="0.25">
      <c r="A119" s="43" t="s">
        <v>59</v>
      </c>
      <c r="B119" s="44" t="s">
        <v>60</v>
      </c>
      <c r="C119" s="45">
        <v>0</v>
      </c>
      <c r="D119" s="45">
        <v>0</v>
      </c>
      <c r="E119" s="61">
        <f t="shared" si="16"/>
        <v>0</v>
      </c>
      <c r="F119" s="45">
        <v>0</v>
      </c>
      <c r="G119" s="42">
        <f t="shared" si="19"/>
        <v>0</v>
      </c>
      <c r="H119" s="45">
        <f t="shared" si="12"/>
        <v>0</v>
      </c>
      <c r="I119" s="45">
        <f t="shared" ref="I119:I126" si="22">J119-0</f>
        <v>0</v>
      </c>
      <c r="J119" s="45">
        <v>0</v>
      </c>
      <c r="K119" s="42">
        <f t="shared" si="20"/>
        <v>0</v>
      </c>
      <c r="L119" s="53">
        <f t="shared" si="14"/>
        <v>0</v>
      </c>
    </row>
    <row r="120" spans="1:12" s="5" customFormat="1" ht="14.85" customHeight="1" x14ac:dyDescent="0.25">
      <c r="A120" s="43" t="s">
        <v>30</v>
      </c>
      <c r="B120" s="44" t="s">
        <v>31</v>
      </c>
      <c r="C120" s="94">
        <v>30241059</v>
      </c>
      <c r="D120" s="94">
        <v>29241961.129999999</v>
      </c>
      <c r="E120" s="61">
        <f>F120-10855474.83</f>
        <v>7514260.0900000017</v>
      </c>
      <c r="F120" s="94">
        <v>18369734.920000002</v>
      </c>
      <c r="G120" s="45">
        <f t="shared" si="19"/>
        <v>2.9128039030468501E-2</v>
      </c>
      <c r="H120" s="45">
        <f t="shared" si="12"/>
        <v>10872226.209999997</v>
      </c>
      <c r="I120" s="45">
        <f>J120-10214086.28</f>
        <v>6711790.9199999999</v>
      </c>
      <c r="J120" s="94">
        <v>16925877.199999999</v>
      </c>
      <c r="K120" s="45">
        <f t="shared" si="20"/>
        <v>3.0198601414729825E-2</v>
      </c>
      <c r="L120" s="53">
        <f t="shared" si="14"/>
        <v>12316083.93</v>
      </c>
    </row>
    <row r="121" spans="1:12" s="5" customFormat="1" ht="14.85" customHeight="1" x14ac:dyDescent="0.25">
      <c r="A121" s="43" t="s">
        <v>32</v>
      </c>
      <c r="B121" s="44" t="s">
        <v>33</v>
      </c>
      <c r="C121" s="94">
        <v>50516</v>
      </c>
      <c r="D121" s="94">
        <v>50516</v>
      </c>
      <c r="E121" s="61">
        <f t="shared" si="16"/>
        <v>0</v>
      </c>
      <c r="F121" s="45">
        <v>0</v>
      </c>
      <c r="G121" s="45">
        <f t="shared" si="19"/>
        <v>0</v>
      </c>
      <c r="H121" s="45">
        <f t="shared" si="12"/>
        <v>50516</v>
      </c>
      <c r="I121" s="45">
        <f t="shared" si="22"/>
        <v>0</v>
      </c>
      <c r="J121" s="45">
        <v>0</v>
      </c>
      <c r="K121" s="45">
        <f t="shared" si="20"/>
        <v>0</v>
      </c>
      <c r="L121" s="53">
        <f t="shared" si="14"/>
        <v>50516</v>
      </c>
    </row>
    <row r="122" spans="1:12" s="5" customFormat="1" ht="14.85" customHeight="1" x14ac:dyDescent="0.25">
      <c r="A122" s="43" t="s">
        <v>108</v>
      </c>
      <c r="B122" s="44" t="s">
        <v>155</v>
      </c>
      <c r="C122" s="94">
        <v>99509</v>
      </c>
      <c r="D122" s="94">
        <v>99509</v>
      </c>
      <c r="E122" s="61">
        <f>F122-6000</f>
        <v>11784.810000000001</v>
      </c>
      <c r="F122" s="45">
        <v>17784.810000000001</v>
      </c>
      <c r="G122" s="45">
        <f t="shared" si="19"/>
        <v>2.8200550638618931E-5</v>
      </c>
      <c r="H122" s="45">
        <f t="shared" si="12"/>
        <v>81724.19</v>
      </c>
      <c r="I122" s="45">
        <f>J122-5472.34</f>
        <v>3070.1100000000006</v>
      </c>
      <c r="J122" s="45">
        <v>8542.4500000000007</v>
      </c>
      <c r="K122" s="45">
        <f t="shared" si="20"/>
        <v>1.5241162369726919E-5</v>
      </c>
      <c r="L122" s="53">
        <f t="shared" si="14"/>
        <v>90966.55</v>
      </c>
    </row>
    <row r="123" spans="1:12" s="5" customFormat="1" ht="14.85" customHeight="1" x14ac:dyDescent="0.25">
      <c r="A123" s="43" t="s">
        <v>156</v>
      </c>
      <c r="B123" s="44" t="s">
        <v>157</v>
      </c>
      <c r="C123" s="45">
        <v>10000</v>
      </c>
      <c r="D123" s="45">
        <v>10000</v>
      </c>
      <c r="E123" s="61">
        <f t="shared" si="16"/>
        <v>0</v>
      </c>
      <c r="F123" s="45">
        <v>0</v>
      </c>
      <c r="G123" s="45">
        <f t="shared" si="19"/>
        <v>0</v>
      </c>
      <c r="H123" s="45">
        <f t="shared" si="12"/>
        <v>10000</v>
      </c>
      <c r="I123" s="45">
        <f t="shared" si="22"/>
        <v>0</v>
      </c>
      <c r="J123" s="45">
        <v>0</v>
      </c>
      <c r="K123" s="45">
        <f t="shared" si="20"/>
        <v>0</v>
      </c>
      <c r="L123" s="53">
        <f t="shared" si="14"/>
        <v>10000</v>
      </c>
    </row>
    <row r="124" spans="1:12" s="5" customFormat="1" ht="14.85" customHeight="1" x14ac:dyDescent="0.25">
      <c r="A124" s="43" t="s">
        <v>158</v>
      </c>
      <c r="B124" s="44" t="s">
        <v>159</v>
      </c>
      <c r="C124" s="94">
        <v>73533089</v>
      </c>
      <c r="D124" s="94">
        <v>119125964.25</v>
      </c>
      <c r="E124" s="61">
        <f>F124-6447534.68</f>
        <v>232188.94000000041</v>
      </c>
      <c r="F124" s="94">
        <v>6679723.6200000001</v>
      </c>
      <c r="G124" s="45">
        <f t="shared" si="19"/>
        <v>1.0591728795403996E-2</v>
      </c>
      <c r="H124" s="45">
        <f t="shared" si="12"/>
        <v>112446240.63</v>
      </c>
      <c r="I124" s="45">
        <f>J124-6394676.35</f>
        <v>178463.19000000041</v>
      </c>
      <c r="J124" s="45">
        <v>6573139.54</v>
      </c>
      <c r="K124" s="45">
        <f t="shared" si="20"/>
        <v>1.1727582486056355E-2</v>
      </c>
      <c r="L124" s="53">
        <f t="shared" si="14"/>
        <v>112552824.70999999</v>
      </c>
    </row>
    <row r="125" spans="1:12" s="5" customFormat="1" ht="14.85" customHeight="1" x14ac:dyDescent="0.25">
      <c r="A125" s="43" t="s">
        <v>122</v>
      </c>
      <c r="B125" s="44" t="s">
        <v>123</v>
      </c>
      <c r="C125" s="94">
        <v>1005329</v>
      </c>
      <c r="D125" s="94">
        <v>1005329</v>
      </c>
      <c r="E125" s="61">
        <f t="shared" si="16"/>
        <v>0</v>
      </c>
      <c r="F125" s="45">
        <v>0</v>
      </c>
      <c r="G125" s="45">
        <f t="shared" si="19"/>
        <v>0</v>
      </c>
      <c r="H125" s="45">
        <f t="shared" si="12"/>
        <v>1005329</v>
      </c>
      <c r="I125" s="45">
        <f t="shared" si="22"/>
        <v>0</v>
      </c>
      <c r="J125" s="45">
        <v>0</v>
      </c>
      <c r="K125" s="45">
        <f t="shared" si="20"/>
        <v>0</v>
      </c>
      <c r="L125" s="53">
        <f t="shared" si="14"/>
        <v>1005329</v>
      </c>
    </row>
    <row r="126" spans="1:12" s="5" customFormat="1" ht="14.85" customHeight="1" x14ac:dyDescent="0.25">
      <c r="A126" s="43" t="s">
        <v>40</v>
      </c>
      <c r="B126" s="44" t="s">
        <v>41</v>
      </c>
      <c r="C126" s="45">
        <v>0</v>
      </c>
      <c r="D126" s="45">
        <v>0</v>
      </c>
      <c r="E126" s="61">
        <f t="shared" si="16"/>
        <v>0</v>
      </c>
      <c r="F126" s="45">
        <v>0</v>
      </c>
      <c r="G126" s="45">
        <f t="shared" si="19"/>
        <v>0</v>
      </c>
      <c r="H126" s="45">
        <f t="shared" si="12"/>
        <v>0</v>
      </c>
      <c r="I126" s="45">
        <f t="shared" si="22"/>
        <v>0</v>
      </c>
      <c r="J126" s="45">
        <v>0</v>
      </c>
      <c r="K126" s="45">
        <f t="shared" si="20"/>
        <v>0</v>
      </c>
      <c r="L126" s="53">
        <f t="shared" si="14"/>
        <v>0</v>
      </c>
    </row>
    <row r="127" spans="1:12" s="5" customFormat="1" ht="14.85" customHeight="1" x14ac:dyDescent="0.25">
      <c r="A127" s="40" t="s">
        <v>160</v>
      </c>
      <c r="B127" s="70" t="s">
        <v>161</v>
      </c>
      <c r="C127" s="42">
        <f>SUM(C128:C147)</f>
        <v>9914371610</v>
      </c>
      <c r="D127" s="42">
        <f>SUM(D128:D147)</f>
        <v>10250407976.41</v>
      </c>
      <c r="E127" s="98">
        <f>SUM(E128:E147)</f>
        <v>1764337237.6200001</v>
      </c>
      <c r="F127" s="42">
        <f>SUM(F128:F147)</f>
        <v>4701483949.8100014</v>
      </c>
      <c r="G127" s="42">
        <f t="shared" si="19"/>
        <v>7.4549256474075953</v>
      </c>
      <c r="H127" s="42">
        <f t="shared" si="12"/>
        <v>5548924026.5999985</v>
      </c>
      <c r="I127" s="42">
        <f>SUM(I128:I147)</f>
        <v>1768406633.4699998</v>
      </c>
      <c r="J127" s="42">
        <f>SUM(J128:J147)</f>
        <v>4443976300.9899998</v>
      </c>
      <c r="K127" s="42">
        <f t="shared" si="20"/>
        <v>7.9287984560175371</v>
      </c>
      <c r="L127" s="57">
        <f t="shared" si="14"/>
        <v>5806431675.4200001</v>
      </c>
    </row>
    <row r="128" spans="1:12" s="5" customFormat="1" ht="14.85" customHeight="1" x14ac:dyDescent="0.25">
      <c r="A128" s="43" t="s">
        <v>30</v>
      </c>
      <c r="B128" s="44" t="s">
        <v>31</v>
      </c>
      <c r="C128" s="94">
        <v>3697565705</v>
      </c>
      <c r="D128" s="94">
        <v>3744437115.1300001</v>
      </c>
      <c r="E128" s="61">
        <f>F128-1027059653.74</f>
        <v>556217484.01999998</v>
      </c>
      <c r="F128" s="94">
        <v>1583277137.76</v>
      </c>
      <c r="G128" s="45">
        <f t="shared" si="19"/>
        <v>2.5105293280259118</v>
      </c>
      <c r="H128" s="45">
        <f t="shared" si="12"/>
        <v>2161159977.3699999</v>
      </c>
      <c r="I128" s="45">
        <f>J128-922973078.57</f>
        <v>554906819.39999998</v>
      </c>
      <c r="J128" s="94">
        <v>1477879897.97</v>
      </c>
      <c r="K128" s="45">
        <f t="shared" si="20"/>
        <v>2.6367854055822657</v>
      </c>
      <c r="L128" s="53">
        <f t="shared" si="14"/>
        <v>2266557217.1599998</v>
      </c>
    </row>
    <row r="129" spans="1:12" s="5" customFormat="1" ht="14.85" customHeight="1" x14ac:dyDescent="0.25">
      <c r="A129" s="43" t="s">
        <v>32</v>
      </c>
      <c r="B129" s="44" t="s">
        <v>33</v>
      </c>
      <c r="C129" s="94">
        <v>5000</v>
      </c>
      <c r="D129" s="94">
        <v>5000</v>
      </c>
      <c r="E129" s="61">
        <f t="shared" si="16"/>
        <v>0</v>
      </c>
      <c r="F129" s="45">
        <v>0</v>
      </c>
      <c r="G129" s="45">
        <f t="shared" si="19"/>
        <v>0</v>
      </c>
      <c r="H129" s="45">
        <f t="shared" si="12"/>
        <v>5000</v>
      </c>
      <c r="I129" s="45">
        <f t="shared" ref="I129:I152" si="23">J129-0</f>
        <v>0</v>
      </c>
      <c r="J129" s="45">
        <v>0</v>
      </c>
      <c r="K129" s="45">
        <f t="shared" si="20"/>
        <v>0</v>
      </c>
      <c r="L129" s="53">
        <f t="shared" si="14"/>
        <v>5000</v>
      </c>
    </row>
    <row r="130" spans="1:12" s="5" customFormat="1" ht="14.85" customHeight="1" x14ac:dyDescent="0.25">
      <c r="A130" s="43" t="s">
        <v>34</v>
      </c>
      <c r="B130" s="44" t="s">
        <v>35</v>
      </c>
      <c r="C130" s="94">
        <v>69523575</v>
      </c>
      <c r="D130" s="94">
        <v>126392261.13</v>
      </c>
      <c r="E130" s="61">
        <f t="shared" si="16"/>
        <v>1600</v>
      </c>
      <c r="F130" s="45">
        <v>1600</v>
      </c>
      <c r="G130" s="45">
        <f t="shared" si="19"/>
        <v>2.5370459972184289E-6</v>
      </c>
      <c r="H130" s="45">
        <f t="shared" si="12"/>
        <v>126390661.13</v>
      </c>
      <c r="I130" s="45">
        <f t="shared" si="23"/>
        <v>1600</v>
      </c>
      <c r="J130" s="45">
        <v>1600</v>
      </c>
      <c r="K130" s="45">
        <f t="shared" si="20"/>
        <v>2.8546681328615409E-6</v>
      </c>
      <c r="L130" s="53">
        <f t="shared" si="14"/>
        <v>126390661.13</v>
      </c>
    </row>
    <row r="131" spans="1:12" s="5" customFormat="1" ht="14.85" customHeight="1" x14ac:dyDescent="0.25">
      <c r="A131" s="43" t="s">
        <v>110</v>
      </c>
      <c r="B131" s="44" t="s">
        <v>111</v>
      </c>
      <c r="C131" s="94">
        <v>148316475</v>
      </c>
      <c r="D131" s="94">
        <v>146975973.11000001</v>
      </c>
      <c r="E131" s="61">
        <f>F131-35173356.39</f>
        <v>11873631.530000001</v>
      </c>
      <c r="F131" s="94">
        <v>47046987.920000002</v>
      </c>
      <c r="G131" s="45">
        <f t="shared" si="19"/>
        <v>7.4600232739762365E-2</v>
      </c>
      <c r="H131" s="45">
        <f t="shared" si="12"/>
        <v>99928985.190000013</v>
      </c>
      <c r="I131" s="45">
        <f>J131-20296337.06</f>
        <v>15077965.180000003</v>
      </c>
      <c r="J131" s="45">
        <v>35374302.240000002</v>
      </c>
      <c r="K131" s="45">
        <f t="shared" si="20"/>
        <v>6.3113683329212883E-2</v>
      </c>
      <c r="L131" s="53">
        <f t="shared" si="14"/>
        <v>111601670.87</v>
      </c>
    </row>
    <row r="132" spans="1:12" s="5" customFormat="1" ht="14.85" customHeight="1" x14ac:dyDescent="0.25">
      <c r="A132" s="43" t="s">
        <v>116</v>
      </c>
      <c r="B132" s="44" t="s">
        <v>117</v>
      </c>
      <c r="C132" s="94">
        <v>1427418</v>
      </c>
      <c r="D132" s="94">
        <v>1427418</v>
      </c>
      <c r="E132" s="61">
        <f t="shared" si="16"/>
        <v>0</v>
      </c>
      <c r="F132" s="45">
        <v>0</v>
      </c>
      <c r="G132" s="45">
        <f t="shared" si="19"/>
        <v>0</v>
      </c>
      <c r="H132" s="45">
        <f t="shared" si="12"/>
        <v>1427418</v>
      </c>
      <c r="I132" s="45">
        <f t="shared" si="23"/>
        <v>0</v>
      </c>
      <c r="J132" s="45">
        <v>0</v>
      </c>
      <c r="K132" s="45">
        <f t="shared" si="20"/>
        <v>0</v>
      </c>
      <c r="L132" s="53">
        <f t="shared" si="14"/>
        <v>1427418</v>
      </c>
    </row>
    <row r="133" spans="1:12" s="5" customFormat="1" ht="14.85" customHeight="1" x14ac:dyDescent="0.25">
      <c r="A133" s="43" t="s">
        <v>118</v>
      </c>
      <c r="B133" s="44" t="s">
        <v>119</v>
      </c>
      <c r="C133" s="94">
        <v>280780879</v>
      </c>
      <c r="D133" s="94">
        <v>271801664.16000003</v>
      </c>
      <c r="E133" s="61">
        <f>F133-77851444.95</f>
        <v>49987119.560000002</v>
      </c>
      <c r="F133" s="45">
        <v>127838564.51000001</v>
      </c>
      <c r="G133" s="45">
        <f t="shared" si="19"/>
        <v>0.20270769898765337</v>
      </c>
      <c r="H133" s="45">
        <f t="shared" si="12"/>
        <v>143963099.65000004</v>
      </c>
      <c r="I133" s="45">
        <f>J133-72550185.44</f>
        <v>51382633.969999999</v>
      </c>
      <c r="J133" s="94">
        <v>123932819.41</v>
      </c>
      <c r="K133" s="45">
        <f t="shared" si="20"/>
        <v>0.22111691886588203</v>
      </c>
      <c r="L133" s="53">
        <f t="shared" si="14"/>
        <v>147868844.75000003</v>
      </c>
    </row>
    <row r="134" spans="1:12" s="5" customFormat="1" ht="14.85" customHeight="1" x14ac:dyDescent="0.25">
      <c r="A134" s="43" t="s">
        <v>120</v>
      </c>
      <c r="B134" s="44" t="s">
        <v>121</v>
      </c>
      <c r="C134" s="45">
        <v>0</v>
      </c>
      <c r="D134" s="45">
        <v>0</v>
      </c>
      <c r="E134" s="61">
        <f t="shared" si="16"/>
        <v>0</v>
      </c>
      <c r="F134" s="45">
        <v>0</v>
      </c>
      <c r="G134" s="45">
        <f t="shared" si="19"/>
        <v>0</v>
      </c>
      <c r="H134" s="45">
        <f t="shared" si="12"/>
        <v>0</v>
      </c>
      <c r="I134" s="45">
        <f t="shared" si="23"/>
        <v>0</v>
      </c>
      <c r="J134" s="45">
        <v>0</v>
      </c>
      <c r="K134" s="45">
        <f t="shared" si="20"/>
        <v>0</v>
      </c>
      <c r="L134" s="53">
        <f t="shared" si="14"/>
        <v>0</v>
      </c>
    </row>
    <row r="135" spans="1:12" s="5" customFormat="1" ht="14.85" customHeight="1" x14ac:dyDescent="0.25">
      <c r="A135" s="43" t="s">
        <v>162</v>
      </c>
      <c r="B135" s="44" t="s">
        <v>163</v>
      </c>
      <c r="C135" s="94">
        <v>1145294811</v>
      </c>
      <c r="D135" s="94">
        <v>1147176082.52</v>
      </c>
      <c r="E135" s="61">
        <f>F135-398133485.7</f>
        <v>205895653.32999998</v>
      </c>
      <c r="F135" s="94">
        <v>604029139.02999997</v>
      </c>
      <c r="G135" s="45">
        <f t="shared" si="19"/>
        <v>0.95778106836209709</v>
      </c>
      <c r="H135" s="45">
        <f t="shared" si="12"/>
        <v>543146943.49000001</v>
      </c>
      <c r="I135" s="45">
        <f>J135-398133485.7</f>
        <v>205895653.32999998</v>
      </c>
      <c r="J135" s="94">
        <v>604029139.02999997</v>
      </c>
      <c r="K135" s="45">
        <f t="shared" si="20"/>
        <v>1.0776892090679588</v>
      </c>
      <c r="L135" s="53">
        <f t="shared" si="14"/>
        <v>543146943.49000001</v>
      </c>
    </row>
    <row r="136" spans="1:12" s="5" customFormat="1" ht="14.85" customHeight="1" x14ac:dyDescent="0.25">
      <c r="A136" s="43" t="s">
        <v>164</v>
      </c>
      <c r="B136" s="44" t="s">
        <v>165</v>
      </c>
      <c r="C136" s="94">
        <v>2683508469</v>
      </c>
      <c r="D136" s="94">
        <v>2701749543.2800002</v>
      </c>
      <c r="E136" s="61">
        <f>F136-891868790.46</f>
        <v>589559736.67000008</v>
      </c>
      <c r="F136" s="94">
        <v>1481428527.1300001</v>
      </c>
      <c r="G136" s="45">
        <f t="shared" si="19"/>
        <v>2.3490326968252249</v>
      </c>
      <c r="H136" s="45">
        <f t="shared" si="12"/>
        <v>1220321016.1500001</v>
      </c>
      <c r="I136" s="45">
        <f>J136-891319878.74</f>
        <v>590000582.56999993</v>
      </c>
      <c r="J136" s="94">
        <v>1481320461.3099999</v>
      </c>
      <c r="K136" s="45">
        <f t="shared" si="20"/>
        <v>2.6429239471608841</v>
      </c>
      <c r="L136" s="53">
        <f t="shared" si="14"/>
        <v>1220429081.9700003</v>
      </c>
    </row>
    <row r="137" spans="1:12" s="5" customFormat="1" ht="14.85" customHeight="1" x14ac:dyDescent="0.25">
      <c r="A137" s="43" t="s">
        <v>166</v>
      </c>
      <c r="B137" s="44" t="s">
        <v>167</v>
      </c>
      <c r="C137" s="94">
        <v>62992847</v>
      </c>
      <c r="D137" s="94">
        <v>178813266.63</v>
      </c>
      <c r="E137" s="61">
        <f>F137-51318021.97</f>
        <v>34080860.120000005</v>
      </c>
      <c r="F137" s="94">
        <v>85398882.090000004</v>
      </c>
      <c r="G137" s="45">
        <f t="shared" si="19"/>
        <v>0.13541305748335195</v>
      </c>
      <c r="H137" s="45">
        <f t="shared" si="12"/>
        <v>93414384.539999992</v>
      </c>
      <c r="I137" s="45">
        <f>J137-24374196.13</f>
        <v>56162104.300000012</v>
      </c>
      <c r="J137" s="94">
        <v>80536300.430000007</v>
      </c>
      <c r="K137" s="45">
        <f t="shared" si="20"/>
        <v>0.14369025648505265</v>
      </c>
      <c r="L137" s="53">
        <f t="shared" si="14"/>
        <v>98276966.199999988</v>
      </c>
    </row>
    <row r="138" spans="1:12" s="5" customFormat="1" ht="14.85" customHeight="1" x14ac:dyDescent="0.25">
      <c r="A138" s="43" t="s">
        <v>168</v>
      </c>
      <c r="B138" s="44" t="s">
        <v>169</v>
      </c>
      <c r="C138" s="94">
        <v>594041468</v>
      </c>
      <c r="D138" s="94">
        <v>610719852.79999995</v>
      </c>
      <c r="E138" s="61">
        <f>F138-167492194.48</f>
        <v>86857460.630000025</v>
      </c>
      <c r="F138" s="94">
        <v>254349655.11000001</v>
      </c>
      <c r="G138" s="45">
        <f t="shared" si="19"/>
        <v>0.40331048399419589</v>
      </c>
      <c r="H138" s="45">
        <f t="shared" si="12"/>
        <v>356370197.68999994</v>
      </c>
      <c r="I138" s="45">
        <f>J138-146670222.67</f>
        <v>92060032.660000026</v>
      </c>
      <c r="J138" s="94">
        <v>238730255.33000001</v>
      </c>
      <c r="K138" s="45">
        <f t="shared" si="20"/>
        <v>0.42593478265028134</v>
      </c>
      <c r="L138" s="53">
        <f t="shared" si="14"/>
        <v>371989597.46999991</v>
      </c>
    </row>
    <row r="139" spans="1:12" s="5" customFormat="1" ht="14.85" customHeight="1" x14ac:dyDescent="0.25">
      <c r="A139" s="43" t="s">
        <v>124</v>
      </c>
      <c r="B139" s="44" t="s">
        <v>125</v>
      </c>
      <c r="C139" s="94">
        <v>26509154</v>
      </c>
      <c r="D139" s="94">
        <v>26509154</v>
      </c>
      <c r="E139" s="61">
        <f>F139-4475380.65</f>
        <v>4402532.5999999996</v>
      </c>
      <c r="F139" s="94">
        <v>8877913.25</v>
      </c>
      <c r="G139" s="45">
        <f t="shared" si="19"/>
        <v>1.4077296421603096E-2</v>
      </c>
      <c r="H139" s="45">
        <f t="shared" ref="H139:H152" si="24">D139-F139</f>
        <v>17631240.75</v>
      </c>
      <c r="I139" s="45">
        <f>J139-3862617.13</f>
        <v>3117083.49</v>
      </c>
      <c r="J139" s="94">
        <v>6979700.6200000001</v>
      </c>
      <c r="K139" s="45">
        <f t="shared" si="20"/>
        <v>1.2452955585517463E-2</v>
      </c>
      <c r="L139" s="53">
        <f t="shared" ref="L139:L152" si="25">D139-J139</f>
        <v>19529453.379999999</v>
      </c>
    </row>
    <row r="140" spans="1:12" s="5" customFormat="1" ht="14.85" customHeight="1" x14ac:dyDescent="0.25">
      <c r="A140" s="43" t="s">
        <v>170</v>
      </c>
      <c r="B140" s="44" t="s">
        <v>171</v>
      </c>
      <c r="C140" s="94">
        <v>76391497</v>
      </c>
      <c r="D140" s="94">
        <v>124744497</v>
      </c>
      <c r="E140" s="61">
        <f>F140-22940844.39</f>
        <v>13442551.82</v>
      </c>
      <c r="F140" s="94">
        <v>36383396.210000001</v>
      </c>
      <c r="G140" s="45">
        <f t="shared" si="19"/>
        <v>5.7691468574870411E-2</v>
      </c>
      <c r="H140" s="45">
        <f t="shared" si="24"/>
        <v>88361100.789999992</v>
      </c>
      <c r="I140" s="45">
        <f>J140-11565115.5</f>
        <v>9029767.0799999982</v>
      </c>
      <c r="J140" s="45">
        <v>20594882.579999998</v>
      </c>
      <c r="K140" s="45">
        <f t="shared" si="20"/>
        <v>3.6744721875719547E-2</v>
      </c>
      <c r="L140" s="53">
        <f t="shared" si="25"/>
        <v>104149614.42</v>
      </c>
    </row>
    <row r="141" spans="1:12" s="5" customFormat="1" ht="14.85" customHeight="1" x14ac:dyDescent="0.25">
      <c r="A141" s="43" t="s">
        <v>172</v>
      </c>
      <c r="B141" s="44" t="s">
        <v>173</v>
      </c>
      <c r="C141" s="94">
        <v>1059997610</v>
      </c>
      <c r="D141" s="94">
        <v>1117978925.6500001</v>
      </c>
      <c r="E141" s="61">
        <f>F141-260520123.39</f>
        <v>211885288.13999999</v>
      </c>
      <c r="F141" s="94">
        <v>472405411.52999997</v>
      </c>
      <c r="G141" s="45">
        <f t="shared" ref="G141:G152" si="26">(F141/$F$309)*100</f>
        <v>0.74907141149156942</v>
      </c>
      <c r="H141" s="45">
        <f t="shared" si="24"/>
        <v>645573514.12000012</v>
      </c>
      <c r="I141" s="45">
        <f>J141-183516108.18</f>
        <v>190634098.62</v>
      </c>
      <c r="J141" s="94">
        <v>374150206.80000001</v>
      </c>
      <c r="K141" s="45">
        <f t="shared" si="20"/>
        <v>0.66754667015969715</v>
      </c>
      <c r="L141" s="53">
        <f t="shared" si="25"/>
        <v>743828718.85000014</v>
      </c>
    </row>
    <row r="142" spans="1:12" s="5" customFormat="1" ht="14.85" customHeight="1" x14ac:dyDescent="0.25">
      <c r="A142" s="43" t="s">
        <v>38</v>
      </c>
      <c r="B142" s="44" t="s">
        <v>39</v>
      </c>
      <c r="C142" s="94">
        <v>50160000</v>
      </c>
      <c r="D142" s="94">
        <v>50160000</v>
      </c>
      <c r="E142" s="61">
        <f t="shared" si="16"/>
        <v>0</v>
      </c>
      <c r="F142" s="45">
        <v>0</v>
      </c>
      <c r="G142" s="45">
        <f t="shared" si="26"/>
        <v>0</v>
      </c>
      <c r="H142" s="45">
        <f t="shared" si="24"/>
        <v>50160000</v>
      </c>
      <c r="I142" s="45">
        <f t="shared" si="23"/>
        <v>0</v>
      </c>
      <c r="J142" s="45">
        <v>0</v>
      </c>
      <c r="K142" s="45">
        <f t="shared" si="20"/>
        <v>0</v>
      </c>
      <c r="L142" s="53">
        <f t="shared" si="25"/>
        <v>50160000</v>
      </c>
    </row>
    <row r="143" spans="1:12" s="5" customFormat="1" ht="14.85" customHeight="1" x14ac:dyDescent="0.25">
      <c r="A143" s="43" t="s">
        <v>40</v>
      </c>
      <c r="B143" s="44" t="s">
        <v>41</v>
      </c>
      <c r="C143" s="94">
        <v>50000</v>
      </c>
      <c r="D143" s="94">
        <v>50000</v>
      </c>
      <c r="E143" s="61">
        <f t="shared" si="16"/>
        <v>0</v>
      </c>
      <c r="F143" s="50">
        <v>0</v>
      </c>
      <c r="G143" s="45">
        <f t="shared" si="26"/>
        <v>0</v>
      </c>
      <c r="H143" s="45">
        <f t="shared" si="24"/>
        <v>50000</v>
      </c>
      <c r="I143" s="45">
        <f t="shared" si="23"/>
        <v>0</v>
      </c>
      <c r="J143" s="45">
        <v>0</v>
      </c>
      <c r="K143" s="45">
        <f t="shared" si="20"/>
        <v>0</v>
      </c>
      <c r="L143" s="53">
        <f t="shared" si="25"/>
        <v>50000</v>
      </c>
    </row>
    <row r="144" spans="1:12" s="5" customFormat="1" ht="14.85" customHeight="1" x14ac:dyDescent="0.25">
      <c r="A144" s="43" t="s">
        <v>85</v>
      </c>
      <c r="B144" s="44" t="s">
        <v>86</v>
      </c>
      <c r="C144" s="94">
        <v>10000</v>
      </c>
      <c r="D144" s="94">
        <v>10000</v>
      </c>
      <c r="E144" s="61">
        <f t="shared" si="16"/>
        <v>0</v>
      </c>
      <c r="F144" s="50">
        <v>0</v>
      </c>
      <c r="G144" s="45">
        <f t="shared" si="26"/>
        <v>0</v>
      </c>
      <c r="H144" s="45">
        <f t="shared" si="24"/>
        <v>10000</v>
      </c>
      <c r="I144" s="45">
        <f t="shared" si="23"/>
        <v>0</v>
      </c>
      <c r="J144" s="45">
        <v>0</v>
      </c>
      <c r="K144" s="45">
        <f t="shared" ref="K144:K152" si="27">(J144/$J$309)*100</f>
        <v>0</v>
      </c>
      <c r="L144" s="53">
        <f t="shared" si="25"/>
        <v>10000</v>
      </c>
    </row>
    <row r="145" spans="1:12" s="5" customFormat="1" ht="14.85" customHeight="1" x14ac:dyDescent="0.25">
      <c r="A145" s="43" t="s">
        <v>87</v>
      </c>
      <c r="B145" s="44" t="s">
        <v>88</v>
      </c>
      <c r="C145" s="94">
        <v>16590479</v>
      </c>
      <c r="D145" s="94">
        <v>251000</v>
      </c>
      <c r="E145" s="61">
        <f t="shared" si="16"/>
        <v>0</v>
      </c>
      <c r="F145" s="94">
        <v>0</v>
      </c>
      <c r="G145" s="45">
        <f t="shared" si="26"/>
        <v>0</v>
      </c>
      <c r="H145" s="45">
        <f t="shared" si="24"/>
        <v>251000</v>
      </c>
      <c r="I145" s="45">
        <f t="shared" si="23"/>
        <v>0</v>
      </c>
      <c r="J145" s="94">
        <v>0</v>
      </c>
      <c r="K145" s="45">
        <f t="shared" si="27"/>
        <v>0</v>
      </c>
      <c r="L145" s="53">
        <f t="shared" si="25"/>
        <v>251000</v>
      </c>
    </row>
    <row r="146" spans="1:12" s="5" customFormat="1" ht="14.85" customHeight="1" x14ac:dyDescent="0.25">
      <c r="A146" s="43" t="s">
        <v>89</v>
      </c>
      <c r="B146" s="44" t="s">
        <v>90</v>
      </c>
      <c r="C146" s="94">
        <v>1056223</v>
      </c>
      <c r="D146" s="94">
        <v>1056223</v>
      </c>
      <c r="E146" s="61">
        <f>F146-313416.07</f>
        <v>133319.20000000001</v>
      </c>
      <c r="F146" s="94">
        <v>446735.27</v>
      </c>
      <c r="G146" s="45">
        <f t="shared" si="26"/>
        <v>7.083674553561213E-4</v>
      </c>
      <c r="H146" s="45">
        <f t="shared" si="24"/>
        <v>609487.73</v>
      </c>
      <c r="I146" s="45">
        <f>J146-308442.4</f>
        <v>138292.87</v>
      </c>
      <c r="J146" s="94">
        <v>446735.27</v>
      </c>
      <c r="K146" s="45">
        <f t="shared" si="27"/>
        <v>7.9705058693393526E-4</v>
      </c>
      <c r="L146" s="53">
        <f t="shared" si="25"/>
        <v>609487.73</v>
      </c>
    </row>
    <row r="147" spans="1:12" s="5" customFormat="1" ht="14.85" customHeight="1" x14ac:dyDescent="0.25">
      <c r="A147" s="43" t="s">
        <v>132</v>
      </c>
      <c r="B147" s="44" t="s">
        <v>133</v>
      </c>
      <c r="C147" s="94">
        <v>150000</v>
      </c>
      <c r="D147" s="94">
        <v>150000</v>
      </c>
      <c r="E147" s="61">
        <f t="shared" si="16"/>
        <v>0</v>
      </c>
      <c r="F147" s="45">
        <v>0</v>
      </c>
      <c r="G147" s="45">
        <f t="shared" si="26"/>
        <v>0</v>
      </c>
      <c r="H147" s="45">
        <f t="shared" si="24"/>
        <v>150000</v>
      </c>
      <c r="I147" s="45">
        <f t="shared" si="23"/>
        <v>0</v>
      </c>
      <c r="J147" s="45">
        <v>0</v>
      </c>
      <c r="K147" s="45">
        <f t="shared" si="27"/>
        <v>0</v>
      </c>
      <c r="L147" s="53">
        <f t="shared" si="25"/>
        <v>150000</v>
      </c>
    </row>
    <row r="148" spans="1:12" s="5" customFormat="1" ht="14.85" customHeight="1" x14ac:dyDescent="0.25">
      <c r="A148" s="40" t="s">
        <v>174</v>
      </c>
      <c r="B148" s="70" t="s">
        <v>175</v>
      </c>
      <c r="C148" s="42">
        <f>SUM(C149:C152)</f>
        <v>664687573</v>
      </c>
      <c r="D148" s="42">
        <f>SUM(D149:D152)</f>
        <v>840069738.28999996</v>
      </c>
      <c r="E148" s="98">
        <f>SUM(E149:E152)</f>
        <v>38818281.709999993</v>
      </c>
      <c r="F148" s="42">
        <f>SUM(F149:F152)</f>
        <v>218593771.26999998</v>
      </c>
      <c r="G148" s="42">
        <f t="shared" si="26"/>
        <v>0.34661403276089642</v>
      </c>
      <c r="H148" s="42">
        <f t="shared" si="24"/>
        <v>621475967.01999998</v>
      </c>
      <c r="I148" s="42">
        <f>SUM(I149:I152)</f>
        <v>46876190.200000003</v>
      </c>
      <c r="J148" s="42">
        <f>SUM(J149:J152)</f>
        <v>186239052.91</v>
      </c>
      <c r="K148" s="42">
        <f t="shared" si="27"/>
        <v>0.33228168089780713</v>
      </c>
      <c r="L148" s="57">
        <f t="shared" si="25"/>
        <v>653830685.38</v>
      </c>
    </row>
    <row r="149" spans="1:12" s="5" customFormat="1" ht="14.85" customHeight="1" x14ac:dyDescent="0.25">
      <c r="A149" s="43" t="s">
        <v>30</v>
      </c>
      <c r="B149" s="44" t="s">
        <v>31</v>
      </c>
      <c r="C149" s="94">
        <v>178377240</v>
      </c>
      <c r="D149" s="94">
        <v>176132890.68000001</v>
      </c>
      <c r="E149" s="61">
        <f>F149-42829931.48</f>
        <v>25397442.330000006</v>
      </c>
      <c r="F149" s="94">
        <v>68227373.810000002</v>
      </c>
      <c r="G149" s="45">
        <f t="shared" si="26"/>
        <v>0.10818499101586623</v>
      </c>
      <c r="H149" s="45">
        <f t="shared" si="24"/>
        <v>107905516.87</v>
      </c>
      <c r="I149" s="45">
        <f>J149-39399942.11</f>
        <v>24882285.340000004</v>
      </c>
      <c r="J149" s="94">
        <v>64282227.450000003</v>
      </c>
      <c r="K149" s="45">
        <f t="shared" si="27"/>
        <v>0.11469026638179525</v>
      </c>
      <c r="L149" s="53">
        <f t="shared" si="25"/>
        <v>111850663.23</v>
      </c>
    </row>
    <row r="150" spans="1:12" s="5" customFormat="1" ht="14.85" customHeight="1" x14ac:dyDescent="0.25">
      <c r="A150" s="43" t="s">
        <v>176</v>
      </c>
      <c r="B150" s="44" t="s">
        <v>177</v>
      </c>
      <c r="C150" s="94">
        <v>30860394</v>
      </c>
      <c r="D150" s="94">
        <v>30845394</v>
      </c>
      <c r="E150" s="61">
        <f>F150-22453.56</f>
        <v>271359.8</v>
      </c>
      <c r="F150" s="94">
        <v>293813.36</v>
      </c>
      <c r="G150" s="45">
        <f t="shared" si="26"/>
        <v>4.6588625557331072E-4</v>
      </c>
      <c r="H150" s="45">
        <f t="shared" si="24"/>
        <v>30551580.640000001</v>
      </c>
      <c r="I150" s="45">
        <f>J150-22453.56</f>
        <v>270899.7</v>
      </c>
      <c r="J150" s="94">
        <v>293353.26</v>
      </c>
      <c r="K150" s="45">
        <f t="shared" si="27"/>
        <v>5.2339137687065394E-4</v>
      </c>
      <c r="L150" s="53">
        <f t="shared" si="25"/>
        <v>30552040.739999998</v>
      </c>
    </row>
    <row r="151" spans="1:12" s="5" customFormat="1" ht="14.85" customHeight="1" x14ac:dyDescent="0.25">
      <c r="A151" s="43" t="s">
        <v>38</v>
      </c>
      <c r="B151" s="44" t="s">
        <v>39</v>
      </c>
      <c r="C151" s="94">
        <v>455449939</v>
      </c>
      <c r="D151" s="94">
        <v>633091453.61000001</v>
      </c>
      <c r="E151" s="61">
        <f>F151-136923104.52</f>
        <v>13149479.579999983</v>
      </c>
      <c r="F151" s="94">
        <v>150072584.09999999</v>
      </c>
      <c r="G151" s="45">
        <f t="shared" si="26"/>
        <v>0.23796315548945687</v>
      </c>
      <c r="H151" s="45">
        <f t="shared" si="24"/>
        <v>483018869.50999999</v>
      </c>
      <c r="I151" s="45">
        <f>J151-99940467.04</f>
        <v>21723005.159999996</v>
      </c>
      <c r="J151" s="94">
        <v>121663472.2</v>
      </c>
      <c r="K151" s="45">
        <f t="shared" si="27"/>
        <v>0.21706802313914125</v>
      </c>
      <c r="L151" s="53">
        <f t="shared" si="25"/>
        <v>511427981.41000003</v>
      </c>
    </row>
    <row r="152" spans="1:12" s="5" customFormat="1" ht="14.85" customHeight="1" x14ac:dyDescent="0.25">
      <c r="A152" s="46" t="s">
        <v>95</v>
      </c>
      <c r="B152" s="47" t="s">
        <v>96</v>
      </c>
      <c r="C152" s="56">
        <v>0</v>
      </c>
      <c r="D152" s="56">
        <v>0</v>
      </c>
      <c r="E152" s="99">
        <f t="shared" si="16"/>
        <v>0</v>
      </c>
      <c r="F152" s="56">
        <v>0</v>
      </c>
      <c r="G152" s="56">
        <f t="shared" si="26"/>
        <v>0</v>
      </c>
      <c r="H152" s="56">
        <f t="shared" si="24"/>
        <v>0</v>
      </c>
      <c r="I152" s="56">
        <f t="shared" si="23"/>
        <v>0</v>
      </c>
      <c r="J152" s="56">
        <v>0</v>
      </c>
      <c r="K152" s="56">
        <f t="shared" si="27"/>
        <v>0</v>
      </c>
      <c r="L152" s="76">
        <f t="shared" si="25"/>
        <v>0</v>
      </c>
    </row>
    <row r="153" spans="1:12" s="5" customFormat="1" ht="15" customHeight="1" x14ac:dyDescent="0.25">
      <c r="A153" s="43"/>
      <c r="B153" s="48"/>
      <c r="C153" s="49"/>
      <c r="D153" s="49"/>
      <c r="E153" s="100"/>
      <c r="F153" s="49"/>
      <c r="G153" s="50"/>
      <c r="H153" s="49"/>
      <c r="I153" s="49"/>
      <c r="J153" s="49"/>
      <c r="K153" s="50"/>
      <c r="L153" s="51" t="s">
        <v>178</v>
      </c>
    </row>
    <row r="154" spans="1:12" s="5" customFormat="1" ht="13.5" customHeight="1" x14ac:dyDescent="0.25">
      <c r="A154" s="26"/>
      <c r="B154" s="22"/>
      <c r="C154" s="27"/>
      <c r="D154" s="27"/>
      <c r="E154" s="101"/>
      <c r="F154" s="27"/>
      <c r="G154" s="28"/>
      <c r="H154" s="27"/>
      <c r="I154" s="27"/>
      <c r="J154" s="27"/>
      <c r="K154" s="28"/>
      <c r="L154" s="27"/>
    </row>
    <row r="155" spans="1:12" s="5" customFormat="1" ht="15.75" x14ac:dyDescent="0.25">
      <c r="A155" s="26"/>
      <c r="B155" s="22"/>
      <c r="C155" s="27"/>
      <c r="D155" s="27"/>
      <c r="E155" s="101"/>
      <c r="F155" s="27"/>
      <c r="G155" s="28"/>
      <c r="H155" s="27"/>
      <c r="I155" s="27"/>
      <c r="J155" s="27"/>
      <c r="K155" s="28"/>
      <c r="L155" s="27"/>
    </row>
    <row r="156" spans="1:12" s="5" customFormat="1" ht="15.75" x14ac:dyDescent="0.25">
      <c r="A156" s="26"/>
      <c r="B156" s="22"/>
      <c r="C156" s="27"/>
      <c r="D156" s="27"/>
      <c r="E156" s="101"/>
      <c r="F156" s="27"/>
      <c r="G156" s="28"/>
      <c r="H156" s="27"/>
      <c r="I156" s="27"/>
      <c r="J156" s="27"/>
      <c r="K156" s="28"/>
      <c r="L156" s="27"/>
    </row>
    <row r="157" spans="1:12" s="5" customFormat="1" ht="17.25" customHeight="1" x14ac:dyDescent="0.25">
      <c r="A157" s="26"/>
      <c r="B157" s="22"/>
      <c r="C157" s="27"/>
      <c r="D157" s="27"/>
      <c r="E157" s="101"/>
      <c r="F157" s="27"/>
      <c r="G157" s="28"/>
      <c r="H157" s="27"/>
      <c r="I157" s="27"/>
      <c r="J157" s="27"/>
      <c r="K157" s="28"/>
      <c r="L157" s="21" t="s">
        <v>179</v>
      </c>
    </row>
    <row r="158" spans="1:12" s="5" customFormat="1" ht="15.75" x14ac:dyDescent="0.25">
      <c r="A158" s="117" t="s">
        <v>0</v>
      </c>
      <c r="B158" s="117"/>
      <c r="C158" s="117"/>
      <c r="D158" s="117"/>
      <c r="E158" s="117"/>
      <c r="F158" s="117"/>
      <c r="G158" s="117"/>
      <c r="H158" s="117"/>
      <c r="I158" s="117"/>
      <c r="J158" s="117"/>
      <c r="K158" s="117"/>
      <c r="L158" s="117"/>
    </row>
    <row r="159" spans="1:12" s="5" customFormat="1" ht="15.75" x14ac:dyDescent="0.25">
      <c r="A159" s="117" t="s">
        <v>1</v>
      </c>
      <c r="B159" s="117"/>
      <c r="C159" s="117"/>
      <c r="D159" s="117"/>
      <c r="E159" s="117"/>
      <c r="F159" s="117"/>
      <c r="G159" s="117"/>
      <c r="H159" s="117"/>
      <c r="I159" s="117"/>
      <c r="J159" s="117"/>
      <c r="K159" s="117"/>
      <c r="L159" s="117"/>
    </row>
    <row r="160" spans="1:12" s="5" customFormat="1" ht="15.75" x14ac:dyDescent="0.25">
      <c r="A160" s="118" t="s">
        <v>2</v>
      </c>
      <c r="B160" s="118"/>
      <c r="C160" s="118"/>
      <c r="D160" s="118"/>
      <c r="E160" s="118"/>
      <c r="F160" s="118"/>
      <c r="G160" s="118"/>
      <c r="H160" s="118"/>
      <c r="I160" s="118"/>
      <c r="J160" s="118"/>
      <c r="K160" s="118"/>
      <c r="L160" s="118"/>
    </row>
    <row r="161" spans="1:12" s="5" customFormat="1" ht="15.75" x14ac:dyDescent="0.25">
      <c r="A161" s="117" t="s">
        <v>3</v>
      </c>
      <c r="B161" s="117"/>
      <c r="C161" s="117"/>
      <c r="D161" s="117"/>
      <c r="E161" s="117"/>
      <c r="F161" s="117"/>
      <c r="G161" s="117"/>
      <c r="H161" s="117"/>
      <c r="I161" s="117"/>
      <c r="J161" s="117"/>
      <c r="K161" s="117"/>
      <c r="L161" s="117"/>
    </row>
    <row r="162" spans="1:12" s="5" customFormat="1" ht="15.75" x14ac:dyDescent="0.25">
      <c r="A162" s="117" t="str">
        <f>A7</f>
        <v>JANEIRO A JUNHO  2026/BIMESTRE MAIO - JUNHO</v>
      </c>
      <c r="B162" s="117"/>
      <c r="C162" s="117"/>
      <c r="D162" s="117"/>
      <c r="E162" s="117"/>
      <c r="F162" s="117"/>
      <c r="G162" s="117"/>
      <c r="H162" s="117"/>
      <c r="I162" s="117"/>
      <c r="J162" s="117"/>
      <c r="K162" s="117"/>
      <c r="L162" s="117"/>
    </row>
    <row r="163" spans="1:12" s="5" customFormat="1" ht="15.75" x14ac:dyDescent="0.25">
      <c r="A163" s="26"/>
      <c r="B163" s="26"/>
      <c r="C163" s="26"/>
      <c r="D163" s="26"/>
      <c r="E163" s="67"/>
      <c r="F163" s="26"/>
      <c r="G163" s="26"/>
      <c r="H163" s="26"/>
      <c r="I163" s="26"/>
      <c r="J163" s="26"/>
      <c r="K163" s="26"/>
      <c r="L163" s="21" t="str">
        <f>L8</f>
        <v>Emissão: 17/07/2026</v>
      </c>
    </row>
    <row r="164" spans="1:12" s="5" customFormat="1" ht="15.75" x14ac:dyDescent="0.25">
      <c r="A164" s="23" t="s">
        <v>4</v>
      </c>
      <c r="B164" s="22"/>
      <c r="C164" s="22"/>
      <c r="D164" s="22"/>
      <c r="E164" s="3"/>
      <c r="F164" s="24"/>
      <c r="G164" s="24"/>
      <c r="H164" s="24"/>
      <c r="I164" s="22"/>
      <c r="J164" s="22"/>
      <c r="K164" s="21"/>
      <c r="L164" s="25">
        <v>1</v>
      </c>
    </row>
    <row r="165" spans="1:12" s="5" customFormat="1" ht="13.5" customHeight="1" x14ac:dyDescent="0.25">
      <c r="A165" s="8"/>
      <c r="B165" s="9"/>
      <c r="C165" s="10" t="s">
        <v>5</v>
      </c>
      <c r="D165" s="10" t="s">
        <v>5</v>
      </c>
      <c r="E165" s="114" t="s">
        <v>6</v>
      </c>
      <c r="F165" s="115"/>
      <c r="G165" s="116"/>
      <c r="H165" s="10" t="s">
        <v>7</v>
      </c>
      <c r="I165" s="114" t="s">
        <v>8</v>
      </c>
      <c r="J165" s="115"/>
      <c r="K165" s="116"/>
      <c r="L165" s="11" t="s">
        <v>7</v>
      </c>
    </row>
    <row r="166" spans="1:12" s="5" customFormat="1" ht="14.25" customHeight="1" x14ac:dyDescent="0.25">
      <c r="A166" s="12" t="s">
        <v>9</v>
      </c>
      <c r="B166" s="13" t="s">
        <v>10</v>
      </c>
      <c r="C166" s="13" t="s">
        <v>11</v>
      </c>
      <c r="D166" s="13" t="s">
        <v>12</v>
      </c>
      <c r="E166" s="13" t="s">
        <v>13</v>
      </c>
      <c r="F166" s="13" t="s">
        <v>14</v>
      </c>
      <c r="G166" s="13" t="s">
        <v>15</v>
      </c>
      <c r="H166" s="14"/>
      <c r="I166" s="13" t="s">
        <v>13</v>
      </c>
      <c r="J166" s="13" t="s">
        <v>14</v>
      </c>
      <c r="K166" s="13" t="s">
        <v>15</v>
      </c>
      <c r="L166" s="15"/>
    </row>
    <row r="167" spans="1:12" s="5" customFormat="1" ht="13.5" customHeight="1" x14ac:dyDescent="0.25">
      <c r="A167" s="16"/>
      <c r="B167" s="17"/>
      <c r="C167" s="17"/>
      <c r="D167" s="18" t="s">
        <v>16</v>
      </c>
      <c r="E167" s="18"/>
      <c r="F167" s="18" t="s">
        <v>17</v>
      </c>
      <c r="G167" s="18" t="s">
        <v>18</v>
      </c>
      <c r="H167" s="19" t="s">
        <v>19</v>
      </c>
      <c r="I167" s="18"/>
      <c r="J167" s="18" t="s">
        <v>20</v>
      </c>
      <c r="K167" s="18" t="s">
        <v>21</v>
      </c>
      <c r="L167" s="20" t="s">
        <v>22</v>
      </c>
    </row>
    <row r="168" spans="1:12" s="5" customFormat="1" ht="14.85" customHeight="1" x14ac:dyDescent="0.25">
      <c r="A168" s="40" t="s">
        <v>180</v>
      </c>
      <c r="B168" s="70" t="s">
        <v>181</v>
      </c>
      <c r="C168" s="42">
        <f>SUM(C169:C177)</f>
        <v>416243950</v>
      </c>
      <c r="D168" s="42">
        <f>SUM(D169:D177)</f>
        <v>463357379.47000003</v>
      </c>
      <c r="E168" s="98">
        <f>SUM(E169:E177)</f>
        <v>96991128.670000017</v>
      </c>
      <c r="F168" s="42">
        <f>SUM(F169:F177)</f>
        <v>262908348.92000002</v>
      </c>
      <c r="G168" s="42">
        <f t="shared" ref="G168:G199" si="28">(F168/$F$309)*100</f>
        <v>0.41688160891424508</v>
      </c>
      <c r="H168" s="42">
        <f t="shared" ref="H168:H237" si="29">D168-F168</f>
        <v>200449030.55000001</v>
      </c>
      <c r="I168" s="42">
        <f>SUM(I169:I177)</f>
        <v>98705028.769999981</v>
      </c>
      <c r="J168" s="42">
        <f>SUM(J169:J177)</f>
        <v>239826790.69</v>
      </c>
      <c r="K168" s="42">
        <f t="shared" ref="K168:K199" si="30">(J168/$J$309)*100</f>
        <v>0.42789118549324867</v>
      </c>
      <c r="L168" s="57">
        <f t="shared" ref="L168:L237" si="31">D168-J168</f>
        <v>223530588.78000003</v>
      </c>
    </row>
    <row r="169" spans="1:12" s="5" customFormat="1" ht="14.85" customHeight="1" x14ac:dyDescent="0.25">
      <c r="A169" s="43" t="s">
        <v>48</v>
      </c>
      <c r="B169" s="44" t="s">
        <v>49</v>
      </c>
      <c r="C169" s="94">
        <v>10000</v>
      </c>
      <c r="D169" s="94">
        <v>7000</v>
      </c>
      <c r="E169" s="61">
        <f t="shared" ref="E169:E232" si="32">F169-0</f>
        <v>0</v>
      </c>
      <c r="F169" s="42">
        <v>0</v>
      </c>
      <c r="G169" s="45">
        <f t="shared" si="28"/>
        <v>0</v>
      </c>
      <c r="H169" s="45">
        <f t="shared" si="29"/>
        <v>7000</v>
      </c>
      <c r="I169" s="45">
        <f>J169-0</f>
        <v>0</v>
      </c>
      <c r="J169" s="45">
        <v>0</v>
      </c>
      <c r="K169" s="45">
        <f t="shared" si="30"/>
        <v>0</v>
      </c>
      <c r="L169" s="53">
        <f t="shared" si="31"/>
        <v>7000</v>
      </c>
    </row>
    <row r="170" spans="1:12" s="5" customFormat="1" ht="14.85" customHeight="1" x14ac:dyDescent="0.25">
      <c r="A170" s="43" t="s">
        <v>30</v>
      </c>
      <c r="B170" s="44" t="s">
        <v>31</v>
      </c>
      <c r="C170" s="94">
        <v>35255258</v>
      </c>
      <c r="D170" s="94">
        <v>36994111.490000002</v>
      </c>
      <c r="E170" s="61">
        <f>F170-12753772.71</f>
        <v>5982786.3599999994</v>
      </c>
      <c r="F170" s="94">
        <v>18736559.07</v>
      </c>
      <c r="G170" s="45">
        <f t="shared" si="28"/>
        <v>2.9709695118868843E-2</v>
      </c>
      <c r="H170" s="45">
        <f t="shared" si="29"/>
        <v>18257552.420000002</v>
      </c>
      <c r="I170" s="45">
        <f>J170-10319173.8</f>
        <v>6384501.5399999991</v>
      </c>
      <c r="J170" s="94">
        <v>16703675.34</v>
      </c>
      <c r="K170" s="45">
        <f t="shared" si="30"/>
        <v>2.9802156059226981E-2</v>
      </c>
      <c r="L170" s="53">
        <f t="shared" si="31"/>
        <v>20290436.150000002</v>
      </c>
    </row>
    <row r="171" spans="1:12" s="5" customFormat="1" ht="14.85" customHeight="1" x14ac:dyDescent="0.25">
      <c r="A171" s="43" t="s">
        <v>65</v>
      </c>
      <c r="B171" s="44" t="s">
        <v>66</v>
      </c>
      <c r="C171" s="94">
        <v>230658734</v>
      </c>
      <c r="D171" s="94">
        <v>261766589.75999999</v>
      </c>
      <c r="E171" s="61">
        <f>F171-107898278.85</f>
        <v>84545973.200000018</v>
      </c>
      <c r="F171" s="94">
        <v>192444252.05000001</v>
      </c>
      <c r="G171" s="45">
        <f t="shared" si="28"/>
        <v>0.30514994959446684</v>
      </c>
      <c r="H171" s="45">
        <f t="shared" si="29"/>
        <v>69322337.709999979</v>
      </c>
      <c r="I171" s="45">
        <f>J171-107843609.97</f>
        <v>82338810.75999999</v>
      </c>
      <c r="J171" s="94">
        <v>190182420.72999999</v>
      </c>
      <c r="K171" s="45">
        <f t="shared" si="30"/>
        <v>0.33931730993024817</v>
      </c>
      <c r="L171" s="53">
        <f t="shared" si="31"/>
        <v>71584169.030000001</v>
      </c>
    </row>
    <row r="172" spans="1:12" s="5" customFormat="1" ht="14.85" customHeight="1" x14ac:dyDescent="0.25">
      <c r="A172" s="43" t="s">
        <v>136</v>
      </c>
      <c r="B172" s="44" t="s">
        <v>137</v>
      </c>
      <c r="C172" s="45">
        <v>0</v>
      </c>
      <c r="D172" s="45">
        <v>0</v>
      </c>
      <c r="E172" s="61">
        <f t="shared" si="32"/>
        <v>0</v>
      </c>
      <c r="F172" s="45">
        <v>0</v>
      </c>
      <c r="G172" s="45">
        <f t="shared" si="28"/>
        <v>0</v>
      </c>
      <c r="H172" s="45">
        <f t="shared" si="29"/>
        <v>0</v>
      </c>
      <c r="I172" s="45">
        <f t="shared" ref="I172:I176" si="33">J172-0</f>
        <v>0</v>
      </c>
      <c r="J172" s="45">
        <v>0</v>
      </c>
      <c r="K172" s="45">
        <f t="shared" si="30"/>
        <v>0</v>
      </c>
      <c r="L172" s="53">
        <f t="shared" si="31"/>
        <v>0</v>
      </c>
    </row>
    <row r="173" spans="1:12" s="5" customFormat="1" ht="14.85" customHeight="1" x14ac:dyDescent="0.25">
      <c r="A173" s="43" t="s">
        <v>108</v>
      </c>
      <c r="B173" s="44" t="s">
        <v>109</v>
      </c>
      <c r="C173" s="45">
        <v>0</v>
      </c>
      <c r="D173" s="45">
        <v>0</v>
      </c>
      <c r="E173" s="61">
        <f t="shared" si="32"/>
        <v>0</v>
      </c>
      <c r="F173" s="45">
        <v>0</v>
      </c>
      <c r="G173" s="45">
        <f t="shared" si="28"/>
        <v>0</v>
      </c>
      <c r="H173" s="45">
        <f t="shared" si="29"/>
        <v>0</v>
      </c>
      <c r="I173" s="45">
        <f t="shared" si="33"/>
        <v>0</v>
      </c>
      <c r="J173" s="45">
        <v>0</v>
      </c>
      <c r="K173" s="45">
        <f t="shared" si="30"/>
        <v>0</v>
      </c>
      <c r="L173" s="53">
        <f t="shared" si="31"/>
        <v>0</v>
      </c>
    </row>
    <row r="174" spans="1:12" s="5" customFormat="1" ht="14.85" customHeight="1" x14ac:dyDescent="0.25">
      <c r="A174" s="43" t="s">
        <v>110</v>
      </c>
      <c r="B174" s="44" t="s">
        <v>111</v>
      </c>
      <c r="C174" s="45">
        <v>2386455</v>
      </c>
      <c r="D174" s="45">
        <v>14886455</v>
      </c>
      <c r="E174" s="61">
        <f>F174-5545933.61</f>
        <v>727074.3599999994</v>
      </c>
      <c r="F174" s="45">
        <v>6273007.9699999997</v>
      </c>
      <c r="G174" s="45">
        <f t="shared" si="28"/>
        <v>9.9468186005048764E-3</v>
      </c>
      <c r="H174" s="45">
        <f t="shared" si="29"/>
        <v>8613447.0300000012</v>
      </c>
      <c r="I174" s="45">
        <f>J174-2192943.2</f>
        <v>2518426.16</v>
      </c>
      <c r="J174" s="45">
        <v>4711369.3600000003</v>
      </c>
      <c r="K174" s="45">
        <f t="shared" si="30"/>
        <v>8.4058724838326718E-3</v>
      </c>
      <c r="L174" s="53">
        <f t="shared" si="31"/>
        <v>10175085.640000001</v>
      </c>
    </row>
    <row r="175" spans="1:12" s="5" customFormat="1" ht="14.85" customHeight="1" x14ac:dyDescent="0.25">
      <c r="A175" s="43" t="s">
        <v>176</v>
      </c>
      <c r="B175" s="44" t="s">
        <v>182</v>
      </c>
      <c r="C175" s="45">
        <v>0</v>
      </c>
      <c r="D175" s="45">
        <v>0</v>
      </c>
      <c r="E175" s="61">
        <f t="shared" si="32"/>
        <v>0</v>
      </c>
      <c r="F175" s="45">
        <v>0</v>
      </c>
      <c r="G175" s="45">
        <f t="shared" si="28"/>
        <v>0</v>
      </c>
      <c r="H175" s="45">
        <f t="shared" si="29"/>
        <v>0</v>
      </c>
      <c r="I175" s="45">
        <f t="shared" si="33"/>
        <v>0</v>
      </c>
      <c r="J175" s="45">
        <v>0</v>
      </c>
      <c r="K175" s="45">
        <f t="shared" si="30"/>
        <v>0</v>
      </c>
      <c r="L175" s="53">
        <f t="shared" si="31"/>
        <v>0</v>
      </c>
    </row>
    <row r="176" spans="1:12" s="5" customFormat="1" ht="14.85" customHeight="1" x14ac:dyDescent="0.25">
      <c r="A176" s="43" t="s">
        <v>75</v>
      </c>
      <c r="B176" s="52" t="s">
        <v>76</v>
      </c>
      <c r="C176" s="53">
        <v>0</v>
      </c>
      <c r="D176" s="53">
        <v>0</v>
      </c>
      <c r="E176" s="102">
        <f t="shared" si="32"/>
        <v>0</v>
      </c>
      <c r="F176" s="53">
        <v>0</v>
      </c>
      <c r="G176" s="45">
        <f t="shared" si="28"/>
        <v>0</v>
      </c>
      <c r="H176" s="53">
        <f t="shared" si="29"/>
        <v>0</v>
      </c>
      <c r="I176" s="53">
        <f t="shared" si="33"/>
        <v>0</v>
      </c>
      <c r="J176" s="53">
        <v>0</v>
      </c>
      <c r="K176" s="45">
        <f t="shared" si="30"/>
        <v>0</v>
      </c>
      <c r="L176" s="53">
        <f t="shared" si="31"/>
        <v>0</v>
      </c>
    </row>
    <row r="177" spans="1:15" s="5" customFormat="1" ht="14.85" customHeight="1" x14ac:dyDescent="0.25">
      <c r="A177" s="43" t="s">
        <v>40</v>
      </c>
      <c r="B177" s="52" t="s">
        <v>41</v>
      </c>
      <c r="C177" s="94">
        <v>147933503</v>
      </c>
      <c r="D177" s="94">
        <v>149703223.22</v>
      </c>
      <c r="E177" s="102">
        <f>F177-39719235.08</f>
        <v>5735294.75</v>
      </c>
      <c r="F177" s="94">
        <v>45454529.829999998</v>
      </c>
      <c r="G177" s="53">
        <f t="shared" si="28"/>
        <v>7.2075145600404483E-2</v>
      </c>
      <c r="H177" s="53">
        <f t="shared" si="29"/>
        <v>104248693.39</v>
      </c>
      <c r="I177" s="53">
        <f>J177-20766034.95</f>
        <v>7463290.3100000024</v>
      </c>
      <c r="J177" s="94">
        <v>28229325.260000002</v>
      </c>
      <c r="K177" s="53">
        <f t="shared" si="30"/>
        <v>5.0365847019940839E-2</v>
      </c>
      <c r="L177" s="53">
        <f t="shared" si="31"/>
        <v>121473897.95999999</v>
      </c>
    </row>
    <row r="178" spans="1:15" s="5" customFormat="1" ht="14.85" customHeight="1" x14ac:dyDescent="0.25">
      <c r="A178" s="40" t="s">
        <v>183</v>
      </c>
      <c r="B178" s="70" t="s">
        <v>184</v>
      </c>
      <c r="C178" s="42">
        <f>SUM(C179:C186)</f>
        <v>1395946373</v>
      </c>
      <c r="D178" s="42">
        <f>SUM(D179:D186)</f>
        <v>1703396398.04</v>
      </c>
      <c r="E178" s="98">
        <f>SUM(E179:E186)</f>
        <v>293772346.64999998</v>
      </c>
      <c r="F178" s="42">
        <f>SUM(F179:F186)</f>
        <v>1083511736.01</v>
      </c>
      <c r="G178" s="42">
        <f t="shared" si="28"/>
        <v>1.7180744454896011</v>
      </c>
      <c r="H178" s="42">
        <f t="shared" si="29"/>
        <v>619884662.02999997</v>
      </c>
      <c r="I178" s="42">
        <f>SUM(I179:I186)</f>
        <v>266313059.10999998</v>
      </c>
      <c r="J178" s="42">
        <f>SUM(J179:J186)</f>
        <v>790094111.88</v>
      </c>
      <c r="K178" s="42">
        <f t="shared" si="30"/>
        <v>1.4096603019658607</v>
      </c>
      <c r="L178" s="57">
        <f t="shared" si="31"/>
        <v>913302286.15999997</v>
      </c>
    </row>
    <row r="179" spans="1:15" s="5" customFormat="1" ht="14.85" customHeight="1" x14ac:dyDescent="0.25">
      <c r="A179" s="43" t="s">
        <v>30</v>
      </c>
      <c r="B179" s="44" t="s">
        <v>31</v>
      </c>
      <c r="C179" s="94">
        <v>283684874</v>
      </c>
      <c r="D179" s="94">
        <v>397109689.70999998</v>
      </c>
      <c r="E179" s="61">
        <f>F179-249549328.83</f>
        <v>47915294.879999965</v>
      </c>
      <c r="F179" s="94">
        <v>297464623.70999998</v>
      </c>
      <c r="G179" s="45">
        <f t="shared" si="28"/>
        <v>0.47167589556096357</v>
      </c>
      <c r="H179" s="45">
        <f t="shared" si="29"/>
        <v>99645066</v>
      </c>
      <c r="I179" s="45">
        <f>J179-185825704.6</f>
        <v>49176291.640000015</v>
      </c>
      <c r="J179" s="94">
        <v>235001996.24000001</v>
      </c>
      <c r="K179" s="45">
        <f t="shared" si="30"/>
        <v>0.41928294364073482</v>
      </c>
      <c r="L179" s="53">
        <f t="shared" si="31"/>
        <v>162107693.46999997</v>
      </c>
    </row>
    <row r="180" spans="1:15" s="5" customFormat="1" ht="14.85" customHeight="1" x14ac:dyDescent="0.25">
      <c r="A180" s="43" t="s">
        <v>32</v>
      </c>
      <c r="B180" s="44" t="s">
        <v>33</v>
      </c>
      <c r="C180" s="45">
        <v>0</v>
      </c>
      <c r="D180" s="45">
        <v>0</v>
      </c>
      <c r="E180" s="61">
        <f t="shared" si="32"/>
        <v>0</v>
      </c>
      <c r="F180" s="45">
        <v>0</v>
      </c>
      <c r="G180" s="45">
        <f t="shared" si="28"/>
        <v>0</v>
      </c>
      <c r="H180" s="45">
        <f t="shared" si="29"/>
        <v>0</v>
      </c>
      <c r="I180" s="45">
        <f t="shared" ref="I180:I186" si="34">J180-0</f>
        <v>0</v>
      </c>
      <c r="J180" s="45">
        <v>0</v>
      </c>
      <c r="K180" s="45">
        <f t="shared" si="30"/>
        <v>0</v>
      </c>
      <c r="L180" s="53">
        <f t="shared" si="31"/>
        <v>0</v>
      </c>
    </row>
    <row r="181" spans="1:15" s="5" customFormat="1" ht="14.85" customHeight="1" x14ac:dyDescent="0.25">
      <c r="A181" s="43" t="s">
        <v>67</v>
      </c>
      <c r="B181" s="44" t="s">
        <v>68</v>
      </c>
      <c r="C181" s="45">
        <v>0</v>
      </c>
      <c r="D181" s="45">
        <v>0</v>
      </c>
      <c r="E181" s="61">
        <f t="shared" si="32"/>
        <v>0</v>
      </c>
      <c r="F181" s="45">
        <v>0</v>
      </c>
      <c r="G181" s="45">
        <f t="shared" si="28"/>
        <v>0</v>
      </c>
      <c r="H181" s="45">
        <f t="shared" si="29"/>
        <v>0</v>
      </c>
      <c r="I181" s="45">
        <f t="shared" si="34"/>
        <v>0</v>
      </c>
      <c r="J181" s="45">
        <v>0</v>
      </c>
      <c r="K181" s="45">
        <f t="shared" si="30"/>
        <v>0</v>
      </c>
      <c r="L181" s="53">
        <f t="shared" si="31"/>
        <v>0</v>
      </c>
    </row>
    <row r="182" spans="1:15" s="5" customFormat="1" ht="14.85" customHeight="1" x14ac:dyDescent="0.25">
      <c r="A182" s="43" t="s">
        <v>34</v>
      </c>
      <c r="B182" s="44" t="s">
        <v>35</v>
      </c>
      <c r="C182" s="45">
        <v>0</v>
      </c>
      <c r="D182" s="45">
        <v>0</v>
      </c>
      <c r="E182" s="61">
        <f t="shared" si="32"/>
        <v>0</v>
      </c>
      <c r="F182" s="45">
        <v>0</v>
      </c>
      <c r="G182" s="45">
        <f t="shared" si="28"/>
        <v>0</v>
      </c>
      <c r="H182" s="45">
        <f t="shared" si="29"/>
        <v>0</v>
      </c>
      <c r="I182" s="45">
        <f t="shared" si="34"/>
        <v>0</v>
      </c>
      <c r="J182" s="45">
        <v>0</v>
      </c>
      <c r="K182" s="45">
        <f t="shared" si="30"/>
        <v>0</v>
      </c>
      <c r="L182" s="53">
        <f t="shared" si="31"/>
        <v>0</v>
      </c>
    </row>
    <row r="183" spans="1:15" s="5" customFormat="1" ht="14.85" customHeight="1" x14ac:dyDescent="0.25">
      <c r="A183" s="43" t="s">
        <v>77</v>
      </c>
      <c r="B183" s="44" t="s">
        <v>78</v>
      </c>
      <c r="C183" s="94">
        <v>1112261499</v>
      </c>
      <c r="D183" s="94">
        <v>1306286708.3299999</v>
      </c>
      <c r="E183" s="61">
        <f>F183-540190060.53</f>
        <v>245857051.76999998</v>
      </c>
      <c r="F183" s="94">
        <v>786047112.29999995</v>
      </c>
      <c r="G183" s="45">
        <f t="shared" si="28"/>
        <v>1.2463985499286374</v>
      </c>
      <c r="H183" s="45">
        <f t="shared" si="29"/>
        <v>520239596.02999997</v>
      </c>
      <c r="I183" s="45">
        <f>J183-337955348.17</f>
        <v>217136767.46999997</v>
      </c>
      <c r="J183" s="94">
        <v>555092115.63999999</v>
      </c>
      <c r="K183" s="45">
        <f t="shared" si="30"/>
        <v>0.99037735832512597</v>
      </c>
      <c r="L183" s="53">
        <f t="shared" si="31"/>
        <v>751194592.68999994</v>
      </c>
    </row>
    <row r="184" spans="1:15" s="5" customFormat="1" ht="14.85" customHeight="1" x14ac:dyDescent="0.25">
      <c r="A184" s="43" t="s">
        <v>185</v>
      </c>
      <c r="B184" s="44" t="s">
        <v>186</v>
      </c>
      <c r="C184" s="45">
        <v>0</v>
      </c>
      <c r="D184" s="45">
        <v>0</v>
      </c>
      <c r="E184" s="61">
        <f t="shared" si="32"/>
        <v>0</v>
      </c>
      <c r="F184" s="45">
        <v>0</v>
      </c>
      <c r="G184" s="45">
        <f t="shared" si="28"/>
        <v>0</v>
      </c>
      <c r="H184" s="45">
        <f t="shared" si="29"/>
        <v>0</v>
      </c>
      <c r="I184" s="45">
        <f t="shared" si="34"/>
        <v>0</v>
      </c>
      <c r="J184" s="45">
        <v>0</v>
      </c>
      <c r="K184" s="45">
        <f t="shared" si="30"/>
        <v>0</v>
      </c>
      <c r="L184" s="53">
        <f t="shared" si="31"/>
        <v>0</v>
      </c>
    </row>
    <row r="185" spans="1:15" s="5" customFormat="1" ht="14.85" customHeight="1" x14ac:dyDescent="0.25">
      <c r="A185" s="43" t="s">
        <v>187</v>
      </c>
      <c r="B185" s="44" t="s">
        <v>188</v>
      </c>
      <c r="C185" s="45">
        <v>0</v>
      </c>
      <c r="D185" s="45">
        <v>0</v>
      </c>
      <c r="E185" s="61">
        <f t="shared" si="32"/>
        <v>0</v>
      </c>
      <c r="F185" s="45">
        <v>0</v>
      </c>
      <c r="G185" s="45">
        <f t="shared" si="28"/>
        <v>0</v>
      </c>
      <c r="H185" s="45">
        <f t="shared" si="29"/>
        <v>0</v>
      </c>
      <c r="I185" s="45">
        <f t="shared" si="34"/>
        <v>0</v>
      </c>
      <c r="J185" s="45">
        <v>0</v>
      </c>
      <c r="K185" s="45">
        <f t="shared" si="30"/>
        <v>0</v>
      </c>
      <c r="L185" s="53">
        <f t="shared" si="31"/>
        <v>0</v>
      </c>
      <c r="M185" s="122"/>
      <c r="N185" s="122"/>
      <c r="O185" s="122"/>
    </row>
    <row r="186" spans="1:15" s="5" customFormat="1" ht="14.85" customHeight="1" x14ac:dyDescent="0.25">
      <c r="A186" s="43" t="s">
        <v>95</v>
      </c>
      <c r="B186" s="44" t="s">
        <v>96</v>
      </c>
      <c r="C186" s="45">
        <v>0</v>
      </c>
      <c r="D186" s="45">
        <v>0</v>
      </c>
      <c r="E186" s="61">
        <f t="shared" si="32"/>
        <v>0</v>
      </c>
      <c r="F186" s="45">
        <v>0</v>
      </c>
      <c r="G186" s="45">
        <f t="shared" si="28"/>
        <v>0</v>
      </c>
      <c r="H186" s="45">
        <f t="shared" si="29"/>
        <v>0</v>
      </c>
      <c r="I186" s="45">
        <f t="shared" si="34"/>
        <v>0</v>
      </c>
      <c r="J186" s="45">
        <v>0</v>
      </c>
      <c r="K186" s="45">
        <f t="shared" si="30"/>
        <v>0</v>
      </c>
      <c r="L186" s="53">
        <f t="shared" si="31"/>
        <v>0</v>
      </c>
      <c r="M186" s="91"/>
      <c r="N186" s="91"/>
      <c r="O186" s="91"/>
    </row>
    <row r="187" spans="1:15" s="5" customFormat="1" ht="14.85" customHeight="1" x14ac:dyDescent="0.25">
      <c r="A187" s="40" t="s">
        <v>189</v>
      </c>
      <c r="B187" s="70" t="s">
        <v>190</v>
      </c>
      <c r="C187" s="42">
        <f>SUM(C188:C192)</f>
        <v>362108992</v>
      </c>
      <c r="D187" s="42">
        <f>SUM(D188:D192)</f>
        <v>347329841.06999999</v>
      </c>
      <c r="E187" s="98">
        <f>SUM(E188:E192)</f>
        <v>38504836.730000019</v>
      </c>
      <c r="F187" s="42">
        <f>SUM(F188:F192)</f>
        <v>163837254.04000002</v>
      </c>
      <c r="G187" s="42">
        <f t="shared" si="28"/>
        <v>0.25978915597340058</v>
      </c>
      <c r="H187" s="42">
        <f t="shared" si="29"/>
        <v>183492587.02999997</v>
      </c>
      <c r="I187" s="42">
        <f>SUM(I188:I192)</f>
        <v>54540113.169999994</v>
      </c>
      <c r="J187" s="42">
        <f>SUM(J188:J192)</f>
        <v>152028978.5</v>
      </c>
      <c r="K187" s="42">
        <f t="shared" si="30"/>
        <v>0.27124517512215146</v>
      </c>
      <c r="L187" s="57">
        <f t="shared" si="31"/>
        <v>195300862.56999999</v>
      </c>
    </row>
    <row r="188" spans="1:15" s="5" customFormat="1" ht="14.85" customHeight="1" x14ac:dyDescent="0.25">
      <c r="A188" s="43" t="s">
        <v>30</v>
      </c>
      <c r="B188" s="44" t="s">
        <v>31</v>
      </c>
      <c r="C188" s="94">
        <v>100442879</v>
      </c>
      <c r="D188" s="94">
        <v>101382879</v>
      </c>
      <c r="E188" s="61">
        <f>F188-29921950.45</f>
        <v>15093620.73</v>
      </c>
      <c r="F188" s="94">
        <v>45015571.18</v>
      </c>
      <c r="G188" s="45">
        <f t="shared" si="28"/>
        <v>7.1379109171700164E-2</v>
      </c>
      <c r="H188" s="45">
        <f t="shared" si="29"/>
        <v>56367307.82</v>
      </c>
      <c r="I188" s="45">
        <f>J188-29337662.36</f>
        <v>15526790.640000001</v>
      </c>
      <c r="J188" s="94">
        <v>44864453</v>
      </c>
      <c r="K188" s="45">
        <f t="shared" si="30"/>
        <v>8.0045702673352731E-2</v>
      </c>
      <c r="L188" s="53">
        <f t="shared" si="31"/>
        <v>56518426</v>
      </c>
    </row>
    <row r="189" spans="1:15" s="5" customFormat="1" ht="14.85" customHeight="1" x14ac:dyDescent="0.25">
      <c r="A189" s="43" t="s">
        <v>32</v>
      </c>
      <c r="B189" s="44" t="s">
        <v>33</v>
      </c>
      <c r="C189" s="45">
        <v>0</v>
      </c>
      <c r="D189" s="45">
        <v>0</v>
      </c>
      <c r="E189" s="61">
        <f t="shared" si="32"/>
        <v>0</v>
      </c>
      <c r="F189" s="45">
        <v>0</v>
      </c>
      <c r="G189" s="45">
        <f t="shared" si="28"/>
        <v>0</v>
      </c>
      <c r="H189" s="45">
        <f t="shared" si="29"/>
        <v>0</v>
      </c>
      <c r="I189" s="45">
        <f t="shared" ref="I189:I190" si="35">J189-0</f>
        <v>0</v>
      </c>
      <c r="J189" s="45">
        <v>0</v>
      </c>
      <c r="K189" s="45">
        <f t="shared" si="30"/>
        <v>0</v>
      </c>
      <c r="L189" s="53">
        <f t="shared" si="31"/>
        <v>0</v>
      </c>
    </row>
    <row r="190" spans="1:15" s="5" customFormat="1" ht="14.85" customHeight="1" x14ac:dyDescent="0.25">
      <c r="A190" s="43" t="s">
        <v>116</v>
      </c>
      <c r="B190" s="44" t="s">
        <v>117</v>
      </c>
      <c r="C190" s="45">
        <v>0</v>
      </c>
      <c r="D190" s="45">
        <v>0</v>
      </c>
      <c r="E190" s="61">
        <f t="shared" si="32"/>
        <v>0</v>
      </c>
      <c r="F190" s="45">
        <v>0</v>
      </c>
      <c r="G190" s="45">
        <f t="shared" si="28"/>
        <v>0</v>
      </c>
      <c r="H190" s="45">
        <f t="shared" si="29"/>
        <v>0</v>
      </c>
      <c r="I190" s="45">
        <f t="shared" si="35"/>
        <v>0</v>
      </c>
      <c r="J190" s="45">
        <v>0</v>
      </c>
      <c r="K190" s="45">
        <f t="shared" si="30"/>
        <v>0</v>
      </c>
      <c r="L190" s="53">
        <f t="shared" si="31"/>
        <v>0</v>
      </c>
    </row>
    <row r="191" spans="1:15" s="5" customFormat="1" ht="14.85" customHeight="1" x14ac:dyDescent="0.25">
      <c r="A191" s="43" t="s">
        <v>77</v>
      </c>
      <c r="B191" s="44" t="s">
        <v>78</v>
      </c>
      <c r="C191" s="94">
        <v>40265058</v>
      </c>
      <c r="D191" s="94">
        <v>54003870.829999998</v>
      </c>
      <c r="E191" s="61">
        <f>F191-21796236.15</f>
        <v>4764095.6700000018</v>
      </c>
      <c r="F191" s="45">
        <v>26560331.82</v>
      </c>
      <c r="G191" s="45">
        <f t="shared" si="28"/>
        <v>4.2115489705452668E-2</v>
      </c>
      <c r="H191" s="45">
        <f t="shared" si="29"/>
        <v>27443539.009999998</v>
      </c>
      <c r="I191" s="45">
        <f>J191-6915974.45</f>
        <v>17629879.670000002</v>
      </c>
      <c r="J191" s="45">
        <v>24545854.120000001</v>
      </c>
      <c r="K191" s="45">
        <f t="shared" si="30"/>
        <v>4.3793917218895098E-2</v>
      </c>
      <c r="L191" s="53">
        <f t="shared" si="31"/>
        <v>29458016.709999997</v>
      </c>
    </row>
    <row r="192" spans="1:15" s="5" customFormat="1" ht="14.85" customHeight="1" x14ac:dyDescent="0.25">
      <c r="A192" s="43" t="s">
        <v>81</v>
      </c>
      <c r="B192" s="44" t="s">
        <v>82</v>
      </c>
      <c r="C192" s="94">
        <v>221401055</v>
      </c>
      <c r="D192" s="94">
        <v>191943091.24000001</v>
      </c>
      <c r="E192" s="61">
        <f>F192-73614230.71</f>
        <v>18647120.330000013</v>
      </c>
      <c r="F192" s="94">
        <v>92261351.040000007</v>
      </c>
      <c r="G192" s="45">
        <f t="shared" si="28"/>
        <v>0.14629455709624772</v>
      </c>
      <c r="H192" s="45">
        <f t="shared" si="29"/>
        <v>99681740.200000003</v>
      </c>
      <c r="I192" s="45">
        <f>J192-61235228.52</f>
        <v>21383442.859999992</v>
      </c>
      <c r="J192" s="94">
        <v>82618671.379999995</v>
      </c>
      <c r="K192" s="45">
        <f t="shared" si="30"/>
        <v>0.14740555522990362</v>
      </c>
      <c r="L192" s="53">
        <f t="shared" si="31"/>
        <v>109324419.86000001</v>
      </c>
    </row>
    <row r="193" spans="1:15" s="5" customFormat="1" ht="14.85" customHeight="1" x14ac:dyDescent="0.25">
      <c r="A193" s="40" t="s">
        <v>191</v>
      </c>
      <c r="B193" s="71" t="s">
        <v>192</v>
      </c>
      <c r="C193" s="42">
        <f>SUM(C194:C199)</f>
        <v>206866507</v>
      </c>
      <c r="D193" s="42">
        <f>SUM(D194:D199)</f>
        <v>128417507</v>
      </c>
      <c r="E193" s="98">
        <f>SUM(E194:E199)</f>
        <v>12496627.579999998</v>
      </c>
      <c r="F193" s="42">
        <f>SUM(F194:F199)</f>
        <v>64211215.670000002</v>
      </c>
      <c r="G193" s="42">
        <f t="shared" si="28"/>
        <v>0.10181675480756423</v>
      </c>
      <c r="H193" s="42">
        <f t="shared" si="29"/>
        <v>64206291.329999998</v>
      </c>
      <c r="I193" s="42">
        <f>SUM(I196:I199)</f>
        <v>12529541.67</v>
      </c>
      <c r="J193" s="42">
        <f>SUM(J196:J199)</f>
        <v>23851642.34</v>
      </c>
      <c r="K193" s="42">
        <f t="shared" si="30"/>
        <v>4.2555327065255673E-2</v>
      </c>
      <c r="L193" s="57">
        <f t="shared" si="31"/>
        <v>104565864.66</v>
      </c>
    </row>
    <row r="194" spans="1:15" s="5" customFormat="1" ht="14.85" customHeight="1" x14ac:dyDescent="0.25">
      <c r="A194" s="43" t="s">
        <v>30</v>
      </c>
      <c r="B194" s="44" t="s">
        <v>31</v>
      </c>
      <c r="C194" s="94">
        <v>10000</v>
      </c>
      <c r="D194" s="94">
        <v>10000</v>
      </c>
      <c r="E194" s="98">
        <f t="shared" si="32"/>
        <v>0</v>
      </c>
      <c r="F194" s="42">
        <v>0</v>
      </c>
      <c r="G194" s="42">
        <f t="shared" si="28"/>
        <v>0</v>
      </c>
      <c r="H194" s="42">
        <v>0</v>
      </c>
      <c r="I194" s="42">
        <f t="shared" ref="I194:I199" si="36">J194-0</f>
        <v>0</v>
      </c>
      <c r="J194" s="42">
        <v>0</v>
      </c>
      <c r="K194" s="45">
        <f t="shared" si="30"/>
        <v>0</v>
      </c>
      <c r="L194" s="57"/>
    </row>
    <row r="195" spans="1:15" s="5" customFormat="1" ht="14.85" customHeight="1" x14ac:dyDescent="0.25">
      <c r="A195" s="43" t="s">
        <v>67</v>
      </c>
      <c r="B195" s="44" t="s">
        <v>68</v>
      </c>
      <c r="C195" s="45">
        <v>0</v>
      </c>
      <c r="D195" s="45">
        <v>0</v>
      </c>
      <c r="E195" s="98">
        <f t="shared" si="32"/>
        <v>0</v>
      </c>
      <c r="F195" s="42">
        <v>0</v>
      </c>
      <c r="G195" s="42">
        <f t="shared" si="28"/>
        <v>0</v>
      </c>
      <c r="H195" s="45">
        <f t="shared" si="29"/>
        <v>0</v>
      </c>
      <c r="I195" s="42">
        <f t="shared" si="36"/>
        <v>0</v>
      </c>
      <c r="J195" s="42">
        <v>0</v>
      </c>
      <c r="K195" s="42">
        <f t="shared" si="30"/>
        <v>0</v>
      </c>
      <c r="L195" s="53">
        <f t="shared" si="31"/>
        <v>0</v>
      </c>
    </row>
    <row r="196" spans="1:15" s="5" customFormat="1" ht="14.85" customHeight="1" x14ac:dyDescent="0.25">
      <c r="A196" s="43" t="s">
        <v>83</v>
      </c>
      <c r="B196" s="44" t="s">
        <v>84</v>
      </c>
      <c r="C196" s="94">
        <v>196508528</v>
      </c>
      <c r="D196" s="94">
        <v>122508528</v>
      </c>
      <c r="E196" s="61">
        <f>F196-51577088.09</f>
        <v>12451642.469999999</v>
      </c>
      <c r="F196" s="94">
        <v>64028730.560000002</v>
      </c>
      <c r="G196" s="45">
        <f t="shared" si="28"/>
        <v>0.10152739660889082</v>
      </c>
      <c r="H196" s="45">
        <f t="shared" si="29"/>
        <v>58479797.439999998</v>
      </c>
      <c r="I196" s="45">
        <f>J196-11322100.67</f>
        <v>12484556.560000001</v>
      </c>
      <c r="J196" s="94">
        <v>23806657.23</v>
      </c>
      <c r="K196" s="45">
        <f t="shared" si="30"/>
        <v>4.2475066090274252E-2</v>
      </c>
      <c r="L196" s="53">
        <f t="shared" si="31"/>
        <v>98701870.769999996</v>
      </c>
    </row>
    <row r="197" spans="1:15" s="5" customFormat="1" ht="14.85" customHeight="1" x14ac:dyDescent="0.25">
      <c r="A197" s="43" t="s">
        <v>85</v>
      </c>
      <c r="B197" s="44" t="s">
        <v>86</v>
      </c>
      <c r="C197" s="45">
        <v>0</v>
      </c>
      <c r="D197" s="45">
        <v>0</v>
      </c>
      <c r="E197" s="61">
        <f t="shared" si="32"/>
        <v>0</v>
      </c>
      <c r="F197" s="45">
        <v>0</v>
      </c>
      <c r="G197" s="45">
        <f t="shared" si="28"/>
        <v>0</v>
      </c>
      <c r="H197" s="45">
        <f t="shared" si="29"/>
        <v>0</v>
      </c>
      <c r="I197" s="45">
        <f t="shared" si="36"/>
        <v>0</v>
      </c>
      <c r="J197" s="45">
        <v>0</v>
      </c>
      <c r="K197" s="45">
        <f t="shared" si="30"/>
        <v>0</v>
      </c>
      <c r="L197" s="53">
        <f t="shared" si="31"/>
        <v>0</v>
      </c>
    </row>
    <row r="198" spans="1:15" s="5" customFormat="1" ht="14.85" customHeight="1" x14ac:dyDescent="0.25">
      <c r="A198" s="43" t="s">
        <v>193</v>
      </c>
      <c r="B198" s="44" t="s">
        <v>194</v>
      </c>
      <c r="C198" s="45">
        <v>0</v>
      </c>
      <c r="D198" s="45">
        <v>0</v>
      </c>
      <c r="E198" s="61">
        <f t="shared" si="32"/>
        <v>0</v>
      </c>
      <c r="F198" s="45">
        <v>0</v>
      </c>
      <c r="G198" s="45">
        <f t="shared" si="28"/>
        <v>0</v>
      </c>
      <c r="H198" s="45">
        <f t="shared" si="29"/>
        <v>0</v>
      </c>
      <c r="I198" s="45">
        <f t="shared" si="36"/>
        <v>0</v>
      </c>
      <c r="J198" s="45">
        <v>0</v>
      </c>
      <c r="K198" s="45">
        <f t="shared" si="30"/>
        <v>0</v>
      </c>
      <c r="L198" s="53">
        <f t="shared" si="31"/>
        <v>0</v>
      </c>
      <c r="O198" s="6"/>
    </row>
    <row r="199" spans="1:15" s="5" customFormat="1" ht="14.85" customHeight="1" x14ac:dyDescent="0.25">
      <c r="A199" s="43" t="s">
        <v>91</v>
      </c>
      <c r="B199" s="44" t="s">
        <v>92</v>
      </c>
      <c r="C199" s="94">
        <v>10347979</v>
      </c>
      <c r="D199" s="94">
        <v>5898979</v>
      </c>
      <c r="E199" s="61">
        <f>F199-137500</f>
        <v>44985.109999999986</v>
      </c>
      <c r="F199" s="45">
        <v>182485.11</v>
      </c>
      <c r="G199" s="45">
        <f t="shared" si="28"/>
        <v>2.8935819867341542E-4</v>
      </c>
      <c r="H199" s="45">
        <f t="shared" si="29"/>
        <v>5716493.8899999997</v>
      </c>
      <c r="I199" s="45">
        <f t="shared" si="36"/>
        <v>44985.11</v>
      </c>
      <c r="J199" s="45">
        <v>44985.11</v>
      </c>
      <c r="K199" s="45">
        <f t="shared" si="30"/>
        <v>8.0260974981419392E-5</v>
      </c>
      <c r="L199" s="53">
        <f t="shared" si="31"/>
        <v>5853993.8899999997</v>
      </c>
      <c r="O199" s="6"/>
    </row>
    <row r="200" spans="1:15" s="5" customFormat="1" ht="14.85" customHeight="1" x14ac:dyDescent="0.25">
      <c r="A200" s="40" t="s">
        <v>195</v>
      </c>
      <c r="B200" s="70" t="s">
        <v>196</v>
      </c>
      <c r="C200" s="42">
        <f>SUM(C201:C210)</f>
        <v>1147129508</v>
      </c>
      <c r="D200" s="42">
        <f>SUM(D201:D210)</f>
        <v>1362413741.3199999</v>
      </c>
      <c r="E200" s="98">
        <f>SUM(E201:E210)</f>
        <v>116266270.77999999</v>
      </c>
      <c r="F200" s="42">
        <f>SUM(F201:F210)</f>
        <v>503119910.68000001</v>
      </c>
      <c r="G200" s="42">
        <f t="shared" ref="G200:G231" si="37">(F200/$F$309)*100</f>
        <v>0.79777397219474211</v>
      </c>
      <c r="H200" s="42">
        <f t="shared" si="29"/>
        <v>859293830.63999987</v>
      </c>
      <c r="I200" s="42">
        <f>SUM(I201:I209)</f>
        <v>118842450.79000001</v>
      </c>
      <c r="J200" s="42">
        <f>SUM(J201:J209)</f>
        <v>430402449.99999994</v>
      </c>
      <c r="K200" s="42">
        <f t="shared" ref="K200:K231" si="38">(J200/$J$309)*100</f>
        <v>0.76791009895033291</v>
      </c>
      <c r="L200" s="57">
        <f t="shared" si="31"/>
        <v>932011291.31999993</v>
      </c>
      <c r="O200" s="7"/>
    </row>
    <row r="201" spans="1:15" s="5" customFormat="1" ht="14.85" customHeight="1" x14ac:dyDescent="0.25">
      <c r="A201" s="43" t="s">
        <v>30</v>
      </c>
      <c r="B201" s="44" t="s">
        <v>31</v>
      </c>
      <c r="C201" s="94">
        <v>231139816</v>
      </c>
      <c r="D201" s="94">
        <v>236752692.37</v>
      </c>
      <c r="E201" s="61">
        <f>F201-78255693.43</f>
        <v>32568183.5</v>
      </c>
      <c r="F201" s="94">
        <v>110823876.93000001</v>
      </c>
      <c r="G201" s="45">
        <f t="shared" si="37"/>
        <v>0.1757282958509277</v>
      </c>
      <c r="H201" s="45">
        <f t="shared" si="29"/>
        <v>125928815.44</v>
      </c>
      <c r="I201" s="45">
        <f>J201-68834691.31</f>
        <v>33112665.450000003</v>
      </c>
      <c r="J201" s="94">
        <v>101947356.76000001</v>
      </c>
      <c r="K201" s="45">
        <f t="shared" si="38"/>
        <v>0.18189116910764913</v>
      </c>
      <c r="L201" s="53">
        <f t="shared" si="31"/>
        <v>134805335.61000001</v>
      </c>
    </row>
    <row r="202" spans="1:15" s="5" customFormat="1" ht="14.85" customHeight="1" x14ac:dyDescent="0.25">
      <c r="A202" s="43" t="s">
        <v>34</v>
      </c>
      <c r="B202" s="44" t="s">
        <v>35</v>
      </c>
      <c r="C202" s="45">
        <v>0</v>
      </c>
      <c r="D202" s="45">
        <v>0</v>
      </c>
      <c r="E202" s="61">
        <f t="shared" si="32"/>
        <v>0</v>
      </c>
      <c r="F202" s="45">
        <v>0</v>
      </c>
      <c r="G202" s="45">
        <f t="shared" si="37"/>
        <v>0</v>
      </c>
      <c r="H202" s="45">
        <f t="shared" si="29"/>
        <v>0</v>
      </c>
      <c r="I202" s="45">
        <f t="shared" ref="I202:I210" si="39">J202-0</f>
        <v>0</v>
      </c>
      <c r="J202" s="45">
        <v>0</v>
      </c>
      <c r="K202" s="45">
        <f t="shared" si="38"/>
        <v>0</v>
      </c>
      <c r="L202" s="53">
        <f t="shared" si="31"/>
        <v>0</v>
      </c>
    </row>
    <row r="203" spans="1:15" s="5" customFormat="1" ht="14.85" customHeight="1" x14ac:dyDescent="0.25">
      <c r="A203" s="43" t="s">
        <v>79</v>
      </c>
      <c r="B203" s="44" t="s">
        <v>80</v>
      </c>
      <c r="C203" s="45">
        <v>0</v>
      </c>
      <c r="D203" s="45">
        <v>0</v>
      </c>
      <c r="E203" s="61">
        <f t="shared" si="32"/>
        <v>0</v>
      </c>
      <c r="F203" s="45">
        <v>0</v>
      </c>
      <c r="G203" s="45">
        <f t="shared" si="37"/>
        <v>0</v>
      </c>
      <c r="H203" s="45">
        <f t="shared" si="29"/>
        <v>0</v>
      </c>
      <c r="I203" s="45">
        <f t="shared" si="39"/>
        <v>0</v>
      </c>
      <c r="J203" s="45">
        <v>0</v>
      </c>
      <c r="K203" s="45">
        <f t="shared" si="38"/>
        <v>0</v>
      </c>
      <c r="L203" s="53">
        <f t="shared" si="31"/>
        <v>0</v>
      </c>
    </row>
    <row r="204" spans="1:15" s="5" customFormat="1" ht="14.85" customHeight="1" x14ac:dyDescent="0.25">
      <c r="A204" s="43" t="s">
        <v>85</v>
      </c>
      <c r="B204" s="44" t="s">
        <v>86</v>
      </c>
      <c r="C204" s="94">
        <v>110836572</v>
      </c>
      <c r="D204" s="94">
        <v>293388184.69</v>
      </c>
      <c r="E204" s="61">
        <f>F204-101832825.19</f>
        <v>20314272.75</v>
      </c>
      <c r="F204" s="94">
        <v>122147097.94</v>
      </c>
      <c r="G204" s="45">
        <f t="shared" si="37"/>
        <v>0.19368300368782773</v>
      </c>
      <c r="H204" s="45">
        <f t="shared" si="29"/>
        <v>171241086.75</v>
      </c>
      <c r="I204" s="45">
        <f>J204-65874219.94</f>
        <v>13510198.920000002</v>
      </c>
      <c r="J204" s="94">
        <v>79384418.859999999</v>
      </c>
      <c r="K204" s="45">
        <f t="shared" si="38"/>
        <v>0.14163510672835919</v>
      </c>
      <c r="L204" s="53">
        <f t="shared" si="31"/>
        <v>214003765.82999998</v>
      </c>
    </row>
    <row r="205" spans="1:15" s="5" customFormat="1" ht="14.85" customHeight="1" x14ac:dyDescent="0.25">
      <c r="A205" s="43" t="s">
        <v>42</v>
      </c>
      <c r="B205" s="44" t="s">
        <v>43</v>
      </c>
      <c r="C205" s="94">
        <v>28000000</v>
      </c>
      <c r="D205" s="94">
        <v>46300000</v>
      </c>
      <c r="E205" s="61">
        <f>F205-14572180</f>
        <v>9048651.0199999996</v>
      </c>
      <c r="F205" s="94">
        <v>23620831.02</v>
      </c>
      <c r="G205" s="45">
        <f t="shared" si="37"/>
        <v>3.7454459243914939E-2</v>
      </c>
      <c r="H205" s="45">
        <f t="shared" si="29"/>
        <v>22679168.98</v>
      </c>
      <c r="I205" s="45">
        <f>J205-12991962.16</f>
        <v>5564501.5399999991</v>
      </c>
      <c r="J205" s="94">
        <v>18556463.699999999</v>
      </c>
      <c r="K205" s="45">
        <f t="shared" si="38"/>
        <v>3.3107840989369974E-2</v>
      </c>
      <c r="L205" s="53">
        <f t="shared" si="31"/>
        <v>27743536.300000001</v>
      </c>
    </row>
    <row r="206" spans="1:15" s="5" customFormat="1" ht="14.85" customHeight="1" x14ac:dyDescent="0.25">
      <c r="A206" s="43" t="s">
        <v>197</v>
      </c>
      <c r="B206" s="44" t="s">
        <v>198</v>
      </c>
      <c r="C206" s="94">
        <v>619549964</v>
      </c>
      <c r="D206" s="94">
        <v>635393521.22000003</v>
      </c>
      <c r="E206" s="61">
        <f>F206-171235076.83</f>
        <v>43055812.379999995</v>
      </c>
      <c r="F206" s="94">
        <v>214290889.21000001</v>
      </c>
      <c r="G206" s="45">
        <f t="shared" si="37"/>
        <v>0.33979115169413021</v>
      </c>
      <c r="H206" s="45">
        <f t="shared" si="29"/>
        <v>421102632.00999999</v>
      </c>
      <c r="I206" s="45">
        <f>J206-145593777.6</f>
        <v>55573632.360000014</v>
      </c>
      <c r="J206" s="94">
        <v>201167409.96000001</v>
      </c>
      <c r="K206" s="45">
        <f t="shared" si="38"/>
        <v>0.3589163716144409</v>
      </c>
      <c r="L206" s="53">
        <f t="shared" si="31"/>
        <v>434226111.25999999</v>
      </c>
    </row>
    <row r="207" spans="1:15" s="5" customFormat="1" ht="14.85" customHeight="1" x14ac:dyDescent="0.25">
      <c r="A207" s="54" t="s">
        <v>193</v>
      </c>
      <c r="B207" s="44" t="s">
        <v>194</v>
      </c>
      <c r="C207" s="94">
        <v>116921144</v>
      </c>
      <c r="D207" s="94">
        <v>104397331.04000001</v>
      </c>
      <c r="E207" s="61">
        <f>F207-2650926.54</f>
        <v>683332.10000000009</v>
      </c>
      <c r="F207" s="94">
        <v>3334258.64</v>
      </c>
      <c r="G207" s="45">
        <f t="shared" si="37"/>
        <v>5.2869797101893516E-3</v>
      </c>
      <c r="H207" s="45">
        <f t="shared" si="29"/>
        <v>101063072.40000001</v>
      </c>
      <c r="I207" s="45">
        <f>J207-1165893.25</f>
        <v>766769.64999999991</v>
      </c>
      <c r="J207" s="45">
        <v>1932662.9</v>
      </c>
      <c r="K207" s="45">
        <f t="shared" si="38"/>
        <v>3.4481944951211068E-3</v>
      </c>
      <c r="L207" s="53">
        <f t="shared" si="31"/>
        <v>102464668.14</v>
      </c>
    </row>
    <row r="208" spans="1:15" s="5" customFormat="1" ht="14.85" customHeight="1" x14ac:dyDescent="0.25">
      <c r="A208" s="54" t="s">
        <v>44</v>
      </c>
      <c r="B208" s="44" t="s">
        <v>45</v>
      </c>
      <c r="C208" s="94">
        <v>18000000</v>
      </c>
      <c r="D208" s="94">
        <v>24500000</v>
      </c>
      <c r="E208" s="61">
        <f>F208-7808000</f>
        <v>5385016.4800000004</v>
      </c>
      <c r="F208" s="94">
        <v>13193016.48</v>
      </c>
      <c r="G208" s="45">
        <f t="shared" si="37"/>
        <v>2.091955603238798E-2</v>
      </c>
      <c r="H208" s="45">
        <f t="shared" si="29"/>
        <v>11306983.52</v>
      </c>
      <c r="I208" s="45">
        <f>J208-6600517.04</f>
        <v>5103680.3199999994</v>
      </c>
      <c r="J208" s="94">
        <v>11704197.359999999</v>
      </c>
      <c r="K208" s="45">
        <f t="shared" si="38"/>
        <v>2.088224951519636E-2</v>
      </c>
      <c r="L208" s="53">
        <f t="shared" si="31"/>
        <v>12795802.640000001</v>
      </c>
    </row>
    <row r="209" spans="1:12" s="5" customFormat="1" ht="14.85" customHeight="1" x14ac:dyDescent="0.25">
      <c r="A209" s="54" t="s">
        <v>89</v>
      </c>
      <c r="B209" s="44" t="s">
        <v>90</v>
      </c>
      <c r="C209" s="94">
        <v>22682012</v>
      </c>
      <c r="D209" s="94">
        <v>21682012</v>
      </c>
      <c r="E209" s="61">
        <f>F209-10498937.91</f>
        <v>5211002.5500000007</v>
      </c>
      <c r="F209" s="94">
        <v>15709940.460000001</v>
      </c>
      <c r="G209" s="45">
        <f t="shared" si="37"/>
        <v>2.4910525975364282E-2</v>
      </c>
      <c r="H209" s="45">
        <f t="shared" si="29"/>
        <v>5972071.5399999991</v>
      </c>
      <c r="I209" s="45">
        <f>J209-10498937.91</f>
        <v>5211002.5500000007</v>
      </c>
      <c r="J209" s="94">
        <v>15709940.460000001</v>
      </c>
      <c r="K209" s="45">
        <f t="shared" si="38"/>
        <v>2.8029166500196361E-2</v>
      </c>
      <c r="L209" s="53">
        <f t="shared" si="31"/>
        <v>5972071.5399999991</v>
      </c>
    </row>
    <row r="210" spans="1:12" s="5" customFormat="1" ht="14.85" customHeight="1" x14ac:dyDescent="0.25">
      <c r="A210" s="43" t="s">
        <v>199</v>
      </c>
      <c r="B210" s="44" t="s">
        <v>200</v>
      </c>
      <c r="C210" s="58">
        <v>0</v>
      </c>
      <c r="D210" s="45">
        <v>0</v>
      </c>
      <c r="E210" s="61">
        <f t="shared" si="32"/>
        <v>0</v>
      </c>
      <c r="F210" s="45">
        <v>0</v>
      </c>
      <c r="G210" s="45">
        <f t="shared" si="37"/>
        <v>0</v>
      </c>
      <c r="H210" s="45">
        <f t="shared" si="29"/>
        <v>0</v>
      </c>
      <c r="I210" s="45">
        <f t="shared" si="39"/>
        <v>0</v>
      </c>
      <c r="J210" s="45">
        <v>0</v>
      </c>
      <c r="K210" s="45">
        <f t="shared" si="38"/>
        <v>0</v>
      </c>
      <c r="L210" s="53">
        <f t="shared" si="31"/>
        <v>0</v>
      </c>
    </row>
    <row r="211" spans="1:12" ht="14.85" customHeight="1" x14ac:dyDescent="0.2">
      <c r="A211" s="40" t="s">
        <v>201</v>
      </c>
      <c r="B211" s="70" t="s">
        <v>202</v>
      </c>
      <c r="C211" s="42">
        <f>SUM(C212:C223)</f>
        <v>932786325</v>
      </c>
      <c r="D211" s="42">
        <f>SUM(D212:D223)</f>
        <v>1131872984.53</v>
      </c>
      <c r="E211" s="98">
        <f>SUM(E212:E223)</f>
        <v>236731551.60999998</v>
      </c>
      <c r="F211" s="42">
        <f>SUM(F212:F223)</f>
        <v>493389271.23000002</v>
      </c>
      <c r="G211" s="42">
        <f t="shared" si="37"/>
        <v>0.78234454727786829</v>
      </c>
      <c r="H211" s="42">
        <f t="shared" si="29"/>
        <v>638483713.29999995</v>
      </c>
      <c r="I211" s="42">
        <f>SUM(I212:I223)</f>
        <v>119608170.19</v>
      </c>
      <c r="J211" s="42">
        <f>SUM(J212:J223)</f>
        <v>341059652.81999999</v>
      </c>
      <c r="K211" s="42">
        <f t="shared" si="38"/>
        <v>0.60850757644379672</v>
      </c>
      <c r="L211" s="57">
        <f t="shared" si="31"/>
        <v>790813331.71000004</v>
      </c>
    </row>
    <row r="212" spans="1:12" ht="14.85" customHeight="1" x14ac:dyDescent="0.25">
      <c r="A212" s="43" t="s">
        <v>30</v>
      </c>
      <c r="B212" s="44" t="s">
        <v>31</v>
      </c>
      <c r="C212" s="94">
        <v>160292477</v>
      </c>
      <c r="D212" s="94">
        <v>148570515.09</v>
      </c>
      <c r="E212" s="61">
        <f>F212-42810956.24</f>
        <v>22157307.199999996</v>
      </c>
      <c r="F212" s="94">
        <v>64968263.439999998</v>
      </c>
      <c r="G212" s="45">
        <f t="shared" si="37"/>
        <v>0.10301717044167774</v>
      </c>
      <c r="H212" s="45">
        <f t="shared" si="29"/>
        <v>83602251.650000006</v>
      </c>
      <c r="I212" s="45">
        <f>J212-35519127.19</f>
        <v>22809084.330000006</v>
      </c>
      <c r="J212" s="94">
        <v>58328211.520000003</v>
      </c>
      <c r="K212" s="45">
        <f t="shared" si="38"/>
        <v>0.10406730417059464</v>
      </c>
      <c r="L212" s="53">
        <f t="shared" si="31"/>
        <v>90242303.569999993</v>
      </c>
    </row>
    <row r="213" spans="1:12" ht="14.85" customHeight="1" x14ac:dyDescent="0.25">
      <c r="A213" s="43" t="s">
        <v>32</v>
      </c>
      <c r="B213" s="44" t="s">
        <v>33</v>
      </c>
      <c r="C213" s="94">
        <v>99590158</v>
      </c>
      <c r="D213" s="94">
        <v>116842736.91</v>
      </c>
      <c r="E213" s="61">
        <f>F213-13862018.66</f>
        <v>8359775.9899999984</v>
      </c>
      <c r="F213" s="94">
        <v>22221794.649999999</v>
      </c>
      <c r="G213" s="45">
        <f t="shared" si="37"/>
        <v>3.5236071979870248E-2</v>
      </c>
      <c r="H213" s="45">
        <f t="shared" si="29"/>
        <v>94620942.25999999</v>
      </c>
      <c r="I213" s="45">
        <f>J213-10594564.74</f>
        <v>2536385.8599999994</v>
      </c>
      <c r="J213" s="94">
        <v>13130950.6</v>
      </c>
      <c r="K213" s="45">
        <f t="shared" si="38"/>
        <v>2.3427816394999457E-2</v>
      </c>
      <c r="L213" s="53">
        <f t="shared" si="31"/>
        <v>103711786.31</v>
      </c>
    </row>
    <row r="214" spans="1:12" ht="14.85" customHeight="1" x14ac:dyDescent="0.25">
      <c r="A214" s="43" t="s">
        <v>67</v>
      </c>
      <c r="B214" s="44" t="s">
        <v>68</v>
      </c>
      <c r="C214" s="94">
        <v>0</v>
      </c>
      <c r="D214" s="94">
        <v>0</v>
      </c>
      <c r="E214" s="61">
        <f t="shared" si="32"/>
        <v>0</v>
      </c>
      <c r="F214" s="45">
        <v>0</v>
      </c>
      <c r="G214" s="45">
        <f t="shared" si="37"/>
        <v>0</v>
      </c>
      <c r="H214" s="45">
        <f t="shared" si="29"/>
        <v>0</v>
      </c>
      <c r="I214" s="45">
        <f t="shared" ref="I214:I223" si="40">J214-0</f>
        <v>0</v>
      </c>
      <c r="J214" s="45">
        <v>0</v>
      </c>
      <c r="K214" s="45">
        <f t="shared" si="38"/>
        <v>0</v>
      </c>
      <c r="L214" s="53">
        <f t="shared" si="31"/>
        <v>0</v>
      </c>
    </row>
    <row r="215" spans="1:12" ht="14.85" customHeight="1" x14ac:dyDescent="0.25">
      <c r="A215" s="43" t="s">
        <v>34</v>
      </c>
      <c r="B215" s="44" t="s">
        <v>35</v>
      </c>
      <c r="C215" s="94">
        <v>569385</v>
      </c>
      <c r="D215" s="94">
        <v>138768</v>
      </c>
      <c r="E215" s="61">
        <f>F215-2643.2</f>
        <v>0</v>
      </c>
      <c r="F215" s="94">
        <v>2643.2</v>
      </c>
      <c r="G215" s="45">
        <f t="shared" si="37"/>
        <v>4.1911999874048443E-6</v>
      </c>
      <c r="H215" s="45">
        <f t="shared" si="29"/>
        <v>136124.79999999999</v>
      </c>
      <c r="I215" s="45">
        <f t="shared" si="40"/>
        <v>0</v>
      </c>
      <c r="J215" s="45">
        <v>0</v>
      </c>
      <c r="K215" s="45">
        <f t="shared" si="38"/>
        <v>0</v>
      </c>
      <c r="L215" s="53">
        <f t="shared" si="31"/>
        <v>138768</v>
      </c>
    </row>
    <row r="216" spans="1:12" ht="14.85" customHeight="1" x14ac:dyDescent="0.25">
      <c r="A216" s="43" t="s">
        <v>104</v>
      </c>
      <c r="B216" s="44" t="s">
        <v>105</v>
      </c>
      <c r="C216" s="94">
        <v>0</v>
      </c>
      <c r="D216" s="45">
        <v>0</v>
      </c>
      <c r="E216" s="61">
        <f t="shared" si="32"/>
        <v>0</v>
      </c>
      <c r="F216" s="45">
        <v>0</v>
      </c>
      <c r="G216" s="45">
        <f t="shared" si="37"/>
        <v>0</v>
      </c>
      <c r="H216" s="45">
        <f t="shared" si="29"/>
        <v>0</v>
      </c>
      <c r="I216" s="45">
        <f t="shared" si="40"/>
        <v>0</v>
      </c>
      <c r="J216" s="45">
        <v>0</v>
      </c>
      <c r="K216" s="45">
        <f t="shared" si="38"/>
        <v>0</v>
      </c>
      <c r="L216" s="53">
        <f t="shared" si="31"/>
        <v>0</v>
      </c>
    </row>
    <row r="217" spans="1:12" ht="14.85" customHeight="1" x14ac:dyDescent="0.25">
      <c r="A217" s="43" t="s">
        <v>73</v>
      </c>
      <c r="B217" s="44" t="s">
        <v>74</v>
      </c>
      <c r="C217" s="94">
        <v>0</v>
      </c>
      <c r="D217" s="45">
        <v>0</v>
      </c>
      <c r="E217" s="61">
        <f t="shared" si="32"/>
        <v>0</v>
      </c>
      <c r="F217" s="45">
        <v>0</v>
      </c>
      <c r="G217" s="45">
        <f t="shared" si="37"/>
        <v>0</v>
      </c>
      <c r="H217" s="45">
        <f t="shared" si="29"/>
        <v>0</v>
      </c>
      <c r="I217" s="45">
        <f t="shared" si="40"/>
        <v>0</v>
      </c>
      <c r="J217" s="45">
        <v>0</v>
      </c>
      <c r="K217" s="45">
        <f t="shared" si="38"/>
        <v>0</v>
      </c>
      <c r="L217" s="53">
        <f t="shared" si="31"/>
        <v>0</v>
      </c>
    </row>
    <row r="218" spans="1:12" ht="14.85" customHeight="1" x14ac:dyDescent="0.25">
      <c r="A218" s="43" t="s">
        <v>168</v>
      </c>
      <c r="B218" s="44" t="s">
        <v>169</v>
      </c>
      <c r="C218" s="45">
        <v>0</v>
      </c>
      <c r="D218" s="45">
        <v>0</v>
      </c>
      <c r="E218" s="61">
        <f t="shared" si="32"/>
        <v>0</v>
      </c>
      <c r="F218" s="45">
        <v>0</v>
      </c>
      <c r="G218" s="45">
        <f t="shared" si="37"/>
        <v>0</v>
      </c>
      <c r="H218" s="45">
        <f t="shared" si="29"/>
        <v>0</v>
      </c>
      <c r="I218" s="45">
        <f t="shared" si="40"/>
        <v>0</v>
      </c>
      <c r="J218" s="45">
        <v>0</v>
      </c>
      <c r="K218" s="45">
        <f t="shared" si="38"/>
        <v>0</v>
      </c>
      <c r="L218" s="53">
        <f t="shared" si="31"/>
        <v>0</v>
      </c>
    </row>
    <row r="219" spans="1:12" ht="14.85" customHeight="1" x14ac:dyDescent="0.25">
      <c r="A219" s="43" t="s">
        <v>170</v>
      </c>
      <c r="B219" s="44" t="s">
        <v>171</v>
      </c>
      <c r="C219" s="45">
        <v>0</v>
      </c>
      <c r="D219" s="45">
        <v>0</v>
      </c>
      <c r="E219" s="61">
        <f t="shared" si="32"/>
        <v>0</v>
      </c>
      <c r="F219" s="45">
        <v>0</v>
      </c>
      <c r="G219" s="45">
        <f t="shared" si="37"/>
        <v>0</v>
      </c>
      <c r="H219" s="45">
        <f t="shared" si="29"/>
        <v>0</v>
      </c>
      <c r="I219" s="45">
        <f t="shared" si="40"/>
        <v>0</v>
      </c>
      <c r="J219" s="45">
        <v>0</v>
      </c>
      <c r="K219" s="45">
        <f t="shared" si="38"/>
        <v>0</v>
      </c>
      <c r="L219" s="53">
        <f t="shared" si="31"/>
        <v>0</v>
      </c>
    </row>
    <row r="220" spans="1:12" ht="14.85" customHeight="1" x14ac:dyDescent="0.25">
      <c r="A220" s="43" t="s">
        <v>87</v>
      </c>
      <c r="B220" s="44" t="s">
        <v>88</v>
      </c>
      <c r="C220" s="94">
        <v>219000</v>
      </c>
      <c r="D220" s="94">
        <v>219000</v>
      </c>
      <c r="E220" s="61">
        <f>F220-5000</f>
        <v>0</v>
      </c>
      <c r="F220" s="45">
        <v>5000</v>
      </c>
      <c r="G220" s="45">
        <f t="shared" si="37"/>
        <v>7.9282687413075898E-6</v>
      </c>
      <c r="H220" s="45">
        <f t="shared" si="29"/>
        <v>214000</v>
      </c>
      <c r="I220" s="45">
        <f>J220-3000</f>
        <v>0</v>
      </c>
      <c r="J220" s="45">
        <v>3000</v>
      </c>
      <c r="K220" s="45">
        <f t="shared" si="38"/>
        <v>5.3525027491153893E-6</v>
      </c>
      <c r="L220" s="53">
        <f t="shared" si="31"/>
        <v>216000</v>
      </c>
    </row>
    <row r="221" spans="1:12" ht="14.85" customHeight="1" x14ac:dyDescent="0.25">
      <c r="A221" s="43" t="s">
        <v>44</v>
      </c>
      <c r="B221" s="44" t="s">
        <v>45</v>
      </c>
      <c r="C221" s="45">
        <v>0</v>
      </c>
      <c r="D221" s="45">
        <v>0</v>
      </c>
      <c r="E221" s="61">
        <f t="shared" si="32"/>
        <v>0</v>
      </c>
      <c r="F221" s="45">
        <v>0</v>
      </c>
      <c r="G221" s="45">
        <f t="shared" si="37"/>
        <v>0</v>
      </c>
      <c r="H221" s="45">
        <f t="shared" si="29"/>
        <v>0</v>
      </c>
      <c r="I221" s="45">
        <f t="shared" si="40"/>
        <v>0</v>
      </c>
      <c r="J221" s="45">
        <v>0</v>
      </c>
      <c r="K221" s="45">
        <f t="shared" si="38"/>
        <v>0</v>
      </c>
      <c r="L221" s="53">
        <f t="shared" si="31"/>
        <v>0</v>
      </c>
    </row>
    <row r="222" spans="1:12" ht="14.85" customHeight="1" x14ac:dyDescent="0.25">
      <c r="A222" s="43" t="s">
        <v>89</v>
      </c>
      <c r="B222" s="44" t="s">
        <v>152</v>
      </c>
      <c r="C222" s="94">
        <v>672115305</v>
      </c>
      <c r="D222" s="94">
        <v>866101964.52999997</v>
      </c>
      <c r="E222" s="61">
        <f>F222-199977101.52</f>
        <v>206214468.41999999</v>
      </c>
      <c r="F222" s="45">
        <v>406191569.94</v>
      </c>
      <c r="G222" s="45">
        <f t="shared" si="37"/>
        <v>0.64407918538759157</v>
      </c>
      <c r="H222" s="45">
        <f t="shared" si="29"/>
        <v>459910394.58999997</v>
      </c>
      <c r="I222" s="45">
        <f>J222-175334790.7</f>
        <v>94262700</v>
      </c>
      <c r="J222" s="94">
        <v>269597490.69999999</v>
      </c>
      <c r="K222" s="45">
        <f t="shared" si="38"/>
        <v>0.48100710337545349</v>
      </c>
      <c r="L222" s="53">
        <f t="shared" si="31"/>
        <v>596504473.82999992</v>
      </c>
    </row>
    <row r="223" spans="1:12" ht="14.85" customHeight="1" x14ac:dyDescent="0.25">
      <c r="A223" s="43" t="s">
        <v>203</v>
      </c>
      <c r="B223" s="44" t="s">
        <v>204</v>
      </c>
      <c r="C223" s="94">
        <v>0</v>
      </c>
      <c r="D223" s="94">
        <v>0</v>
      </c>
      <c r="E223" s="61">
        <f t="shared" si="32"/>
        <v>0</v>
      </c>
      <c r="F223" s="45">
        <v>0</v>
      </c>
      <c r="G223" s="45">
        <f t="shared" si="37"/>
        <v>0</v>
      </c>
      <c r="H223" s="45">
        <f t="shared" si="29"/>
        <v>0</v>
      </c>
      <c r="I223" s="45">
        <f t="shared" si="40"/>
        <v>0</v>
      </c>
      <c r="J223" s="45">
        <v>0</v>
      </c>
      <c r="K223" s="45">
        <f t="shared" si="38"/>
        <v>0</v>
      </c>
      <c r="L223" s="53">
        <f t="shared" si="31"/>
        <v>0</v>
      </c>
    </row>
    <row r="224" spans="1:12" ht="14.85" customHeight="1" x14ac:dyDescent="0.2">
      <c r="A224" s="40" t="s">
        <v>205</v>
      </c>
      <c r="B224" s="70" t="s">
        <v>206</v>
      </c>
      <c r="C224" s="42">
        <f>SUM(C225:C242)</f>
        <v>862167546</v>
      </c>
      <c r="D224" s="42">
        <f>SUM(D225:D242)</f>
        <v>939900793.69000006</v>
      </c>
      <c r="E224" s="98">
        <f>SUM(E225:E242)</f>
        <v>124355022.04000002</v>
      </c>
      <c r="F224" s="42">
        <f>SUM(F225:F242)</f>
        <v>412976891.09000003</v>
      </c>
      <c r="G224" s="42">
        <f t="shared" si="37"/>
        <v>0.65483835530224732</v>
      </c>
      <c r="H224" s="42">
        <f t="shared" si="29"/>
        <v>526923902.60000002</v>
      </c>
      <c r="I224" s="42">
        <f>SUM(I225:I242)</f>
        <v>127319822.39</v>
      </c>
      <c r="J224" s="42">
        <f>SUM(J225:J242)</f>
        <v>353393437.09000003</v>
      </c>
      <c r="K224" s="42">
        <f t="shared" si="38"/>
        <v>0.63051311451452052</v>
      </c>
      <c r="L224" s="57">
        <f t="shared" si="31"/>
        <v>586507356.60000002</v>
      </c>
    </row>
    <row r="225" spans="1:13" ht="14.85" customHeight="1" x14ac:dyDescent="0.25">
      <c r="A225" s="43" t="s">
        <v>30</v>
      </c>
      <c r="B225" s="44" t="s">
        <v>31</v>
      </c>
      <c r="C225" s="94">
        <v>509423001</v>
      </c>
      <c r="D225" s="94">
        <v>532964567.93000001</v>
      </c>
      <c r="E225" s="61">
        <f>F225-153503595.92</f>
        <v>75218047.550000012</v>
      </c>
      <c r="F225" s="94">
        <v>228721643.47</v>
      </c>
      <c r="G225" s="45">
        <f t="shared" si="37"/>
        <v>0.36267333127674006</v>
      </c>
      <c r="H225" s="45">
        <f t="shared" si="29"/>
        <v>304242924.46000004</v>
      </c>
      <c r="I225" s="45">
        <f>J225-145943502.37</f>
        <v>76355949.719999999</v>
      </c>
      <c r="J225" s="94">
        <v>222299452.09</v>
      </c>
      <c r="K225" s="45">
        <f t="shared" si="38"/>
        <v>0.39661947614618986</v>
      </c>
      <c r="L225" s="53">
        <f t="shared" si="31"/>
        <v>310665115.84000003</v>
      </c>
    </row>
    <row r="226" spans="1:13" ht="14.85" customHeight="1" x14ac:dyDescent="0.25">
      <c r="A226" s="43" t="s">
        <v>32</v>
      </c>
      <c r="B226" s="44" t="s">
        <v>33</v>
      </c>
      <c r="C226" s="45">
        <v>0</v>
      </c>
      <c r="D226" s="45">
        <v>0</v>
      </c>
      <c r="E226" s="61">
        <f t="shared" si="32"/>
        <v>0</v>
      </c>
      <c r="F226" s="45">
        <v>0</v>
      </c>
      <c r="G226" s="45">
        <f t="shared" si="37"/>
        <v>0</v>
      </c>
      <c r="H226" s="45">
        <f t="shared" si="29"/>
        <v>0</v>
      </c>
      <c r="I226" s="45">
        <f t="shared" ref="I226:I241" si="41">J226-0</f>
        <v>0</v>
      </c>
      <c r="J226" s="45">
        <v>0</v>
      </c>
      <c r="K226" s="45">
        <f t="shared" si="38"/>
        <v>0</v>
      </c>
      <c r="L226" s="53">
        <f t="shared" si="31"/>
        <v>0</v>
      </c>
    </row>
    <row r="227" spans="1:13" ht="14.85" customHeight="1" x14ac:dyDescent="0.25">
      <c r="A227" s="43" t="s">
        <v>67</v>
      </c>
      <c r="B227" s="44" t="s">
        <v>68</v>
      </c>
      <c r="C227" s="45">
        <v>0</v>
      </c>
      <c r="D227" s="45">
        <v>0</v>
      </c>
      <c r="E227" s="61">
        <f t="shared" si="32"/>
        <v>0</v>
      </c>
      <c r="F227" s="45">
        <v>0</v>
      </c>
      <c r="G227" s="45">
        <f t="shared" si="37"/>
        <v>0</v>
      </c>
      <c r="H227" s="45">
        <f t="shared" si="29"/>
        <v>0</v>
      </c>
      <c r="I227" s="45">
        <f t="shared" si="41"/>
        <v>0</v>
      </c>
      <c r="J227" s="45">
        <v>0</v>
      </c>
      <c r="K227" s="45">
        <f t="shared" si="38"/>
        <v>0</v>
      </c>
      <c r="L227" s="53">
        <f t="shared" si="31"/>
        <v>0</v>
      </c>
    </row>
    <row r="228" spans="1:13" ht="14.85" customHeight="1" x14ac:dyDescent="0.25">
      <c r="A228" s="43" t="s">
        <v>34</v>
      </c>
      <c r="B228" s="44" t="s">
        <v>207</v>
      </c>
      <c r="C228" s="45">
        <v>0</v>
      </c>
      <c r="D228" s="45">
        <v>0</v>
      </c>
      <c r="E228" s="61">
        <f t="shared" si="32"/>
        <v>0</v>
      </c>
      <c r="F228" s="45">
        <v>0</v>
      </c>
      <c r="G228" s="45">
        <f t="shared" si="37"/>
        <v>0</v>
      </c>
      <c r="H228" s="45">
        <f t="shared" si="29"/>
        <v>0</v>
      </c>
      <c r="I228" s="45">
        <f t="shared" si="41"/>
        <v>0</v>
      </c>
      <c r="J228" s="45">
        <v>0</v>
      </c>
      <c r="K228" s="45">
        <f t="shared" si="38"/>
        <v>0</v>
      </c>
      <c r="L228" s="53">
        <f t="shared" si="31"/>
        <v>0</v>
      </c>
    </row>
    <row r="229" spans="1:13" ht="14.85" customHeight="1" x14ac:dyDescent="0.25">
      <c r="A229" s="43" t="s">
        <v>148</v>
      </c>
      <c r="B229" s="44" t="s">
        <v>149</v>
      </c>
      <c r="C229" s="45">
        <v>0</v>
      </c>
      <c r="D229" s="45">
        <v>0</v>
      </c>
      <c r="E229" s="61">
        <f t="shared" si="32"/>
        <v>0</v>
      </c>
      <c r="F229" s="45">
        <v>0</v>
      </c>
      <c r="G229" s="45">
        <f t="shared" si="37"/>
        <v>0</v>
      </c>
      <c r="H229" s="45">
        <f t="shared" si="29"/>
        <v>0</v>
      </c>
      <c r="I229" s="45">
        <f t="shared" si="41"/>
        <v>0</v>
      </c>
      <c r="J229" s="45">
        <v>0</v>
      </c>
      <c r="K229" s="45">
        <f t="shared" si="38"/>
        <v>0</v>
      </c>
      <c r="L229" s="53">
        <f t="shared" si="31"/>
        <v>0</v>
      </c>
    </row>
    <row r="230" spans="1:13" ht="14.85" customHeight="1" x14ac:dyDescent="0.25">
      <c r="A230" s="43" t="s">
        <v>118</v>
      </c>
      <c r="B230" s="44" t="s">
        <v>119</v>
      </c>
      <c r="C230" s="94">
        <v>1418910</v>
      </c>
      <c r="D230" s="94">
        <v>1418910</v>
      </c>
      <c r="E230" s="61">
        <f>F230-605.8</f>
        <v>4085.5</v>
      </c>
      <c r="F230" s="45">
        <v>4691.3</v>
      </c>
      <c r="G230" s="45">
        <f t="shared" si="37"/>
        <v>7.4387774292192596E-6</v>
      </c>
      <c r="H230" s="45">
        <f t="shared" si="29"/>
        <v>1414218.7</v>
      </c>
      <c r="I230" s="45">
        <f>J230-605.8</f>
        <v>4085.5</v>
      </c>
      <c r="J230" s="45">
        <v>4691.3</v>
      </c>
      <c r="K230" s="45">
        <f t="shared" si="38"/>
        <v>8.3700653823083417E-6</v>
      </c>
      <c r="L230" s="53">
        <f t="shared" si="31"/>
        <v>1414218.7</v>
      </c>
    </row>
    <row r="231" spans="1:13" ht="14.85" customHeight="1" x14ac:dyDescent="0.25">
      <c r="A231" s="43" t="s">
        <v>122</v>
      </c>
      <c r="B231" s="44" t="s">
        <v>123</v>
      </c>
      <c r="C231" s="45">
        <v>0</v>
      </c>
      <c r="D231" s="45">
        <v>0</v>
      </c>
      <c r="E231" s="61">
        <f t="shared" si="32"/>
        <v>0</v>
      </c>
      <c r="F231" s="45">
        <v>0</v>
      </c>
      <c r="G231" s="45">
        <f t="shared" si="37"/>
        <v>0</v>
      </c>
      <c r="H231" s="45">
        <f t="shared" si="29"/>
        <v>0</v>
      </c>
      <c r="I231" s="45">
        <f t="shared" si="41"/>
        <v>0</v>
      </c>
      <c r="J231" s="45">
        <v>0</v>
      </c>
      <c r="K231" s="45">
        <f t="shared" si="38"/>
        <v>0</v>
      </c>
      <c r="L231" s="53">
        <f t="shared" si="31"/>
        <v>0</v>
      </c>
    </row>
    <row r="232" spans="1:13" ht="14.85" customHeight="1" x14ac:dyDescent="0.25">
      <c r="A232" s="43" t="s">
        <v>77</v>
      </c>
      <c r="B232" s="44" t="s">
        <v>78</v>
      </c>
      <c r="C232" s="45">
        <v>0</v>
      </c>
      <c r="D232" s="45">
        <v>0</v>
      </c>
      <c r="E232" s="61">
        <f t="shared" si="32"/>
        <v>0</v>
      </c>
      <c r="F232" s="45">
        <v>0</v>
      </c>
      <c r="G232" s="45">
        <f t="shared" ref="G232:G263" si="42">(F232/$F$309)*100</f>
        <v>0</v>
      </c>
      <c r="H232" s="45">
        <f t="shared" si="29"/>
        <v>0</v>
      </c>
      <c r="I232" s="45">
        <f t="shared" si="41"/>
        <v>0</v>
      </c>
      <c r="J232" s="45">
        <v>0</v>
      </c>
      <c r="K232" s="45">
        <f t="shared" ref="K232:K263" si="43">(J232/$J$309)*100</f>
        <v>0</v>
      </c>
      <c r="L232" s="53">
        <f t="shared" si="31"/>
        <v>0</v>
      </c>
    </row>
    <row r="233" spans="1:13" ht="14.85" customHeight="1" x14ac:dyDescent="0.25">
      <c r="A233" s="43" t="s">
        <v>87</v>
      </c>
      <c r="B233" s="44" t="s">
        <v>88</v>
      </c>
      <c r="C233" s="94">
        <v>10000</v>
      </c>
      <c r="D233" s="45">
        <v>10000</v>
      </c>
      <c r="E233" s="61">
        <f t="shared" ref="E233:E241" si="44">F233-0</f>
        <v>0</v>
      </c>
      <c r="F233" s="45">
        <v>0</v>
      </c>
      <c r="G233" s="45">
        <f t="shared" si="42"/>
        <v>0</v>
      </c>
      <c r="H233" s="45">
        <f t="shared" si="29"/>
        <v>10000</v>
      </c>
      <c r="I233" s="45">
        <f t="shared" si="41"/>
        <v>0</v>
      </c>
      <c r="J233" s="45">
        <v>0</v>
      </c>
      <c r="K233" s="45">
        <f t="shared" si="43"/>
        <v>0</v>
      </c>
      <c r="L233" s="53">
        <f t="shared" si="31"/>
        <v>10000</v>
      </c>
    </row>
    <row r="234" spans="1:13" ht="14.85" customHeight="1" x14ac:dyDescent="0.25">
      <c r="A234" s="43" t="s">
        <v>44</v>
      </c>
      <c r="B234" s="44" t="s">
        <v>45</v>
      </c>
      <c r="C234" s="45">
        <v>65128</v>
      </c>
      <c r="D234" s="45">
        <v>1674003.63</v>
      </c>
      <c r="E234" s="61">
        <f>F234-78980.06</f>
        <v>9900</v>
      </c>
      <c r="F234" s="45">
        <v>88880.06</v>
      </c>
      <c r="G234" s="45">
        <f t="shared" si="42"/>
        <v>1.409330002847086E-4</v>
      </c>
      <c r="H234" s="45">
        <f t="shared" si="29"/>
        <v>1585123.5699999998</v>
      </c>
      <c r="I234" s="45">
        <f t="shared" si="41"/>
        <v>78980.06</v>
      </c>
      <c r="J234" s="45">
        <v>78980.06</v>
      </c>
      <c r="K234" s="45">
        <f t="shared" si="43"/>
        <v>1.4091366275843279E-4</v>
      </c>
      <c r="L234" s="53">
        <f t="shared" si="31"/>
        <v>1595023.5699999998</v>
      </c>
    </row>
    <row r="235" spans="1:13" ht="14.85" customHeight="1" x14ac:dyDescent="0.25">
      <c r="A235" s="43" t="s">
        <v>208</v>
      </c>
      <c r="B235" s="44" t="s">
        <v>209</v>
      </c>
      <c r="C235" s="45">
        <v>0</v>
      </c>
      <c r="D235" s="45">
        <v>0</v>
      </c>
      <c r="E235" s="61">
        <f t="shared" si="44"/>
        <v>0</v>
      </c>
      <c r="F235" s="45">
        <v>0</v>
      </c>
      <c r="G235" s="45">
        <f t="shared" si="42"/>
        <v>0</v>
      </c>
      <c r="H235" s="45">
        <f t="shared" si="29"/>
        <v>0</v>
      </c>
      <c r="I235" s="45">
        <f t="shared" si="41"/>
        <v>0</v>
      </c>
      <c r="J235" s="45">
        <v>0</v>
      </c>
      <c r="K235" s="45">
        <f t="shared" si="43"/>
        <v>0</v>
      </c>
      <c r="L235" s="53">
        <f t="shared" si="31"/>
        <v>0</v>
      </c>
    </row>
    <row r="236" spans="1:13" ht="14.85" customHeight="1" x14ac:dyDescent="0.25">
      <c r="A236" s="43" t="s">
        <v>210</v>
      </c>
      <c r="B236" s="44" t="s">
        <v>211</v>
      </c>
      <c r="C236" s="45">
        <v>0</v>
      </c>
      <c r="D236" s="45">
        <v>0</v>
      </c>
      <c r="E236" s="61">
        <f t="shared" si="44"/>
        <v>0</v>
      </c>
      <c r="F236" s="45">
        <v>0</v>
      </c>
      <c r="G236" s="45">
        <f t="shared" si="42"/>
        <v>0</v>
      </c>
      <c r="H236" s="45">
        <f t="shared" si="29"/>
        <v>0</v>
      </c>
      <c r="I236" s="45">
        <f t="shared" si="41"/>
        <v>0</v>
      </c>
      <c r="J236" s="45">
        <v>0</v>
      </c>
      <c r="K236" s="45">
        <f t="shared" si="43"/>
        <v>0</v>
      </c>
      <c r="L236" s="53">
        <f t="shared" si="31"/>
        <v>0</v>
      </c>
      <c r="M236" s="92"/>
    </row>
    <row r="237" spans="1:13" ht="14.85" customHeight="1" x14ac:dyDescent="0.25">
      <c r="A237" s="43" t="s">
        <v>212</v>
      </c>
      <c r="B237" s="44" t="s">
        <v>213</v>
      </c>
      <c r="C237" s="94">
        <v>1951755</v>
      </c>
      <c r="D237" s="94">
        <v>1381755</v>
      </c>
      <c r="E237" s="61">
        <f>F237-94400</f>
        <v>25800</v>
      </c>
      <c r="F237" s="45">
        <v>120200</v>
      </c>
      <c r="G237" s="45">
        <f t="shared" si="42"/>
        <v>1.9059558054103446E-4</v>
      </c>
      <c r="H237" s="45">
        <f t="shared" si="29"/>
        <v>1261555</v>
      </c>
      <c r="I237" s="45">
        <f>J237-94400</f>
        <v>25800</v>
      </c>
      <c r="J237" s="45">
        <v>120200</v>
      </c>
      <c r="K237" s="45">
        <f t="shared" si="43"/>
        <v>2.1445694348122326E-4</v>
      </c>
      <c r="L237" s="53">
        <f t="shared" si="31"/>
        <v>1261555</v>
      </c>
      <c r="M237" s="92"/>
    </row>
    <row r="238" spans="1:13" ht="14.85" customHeight="1" x14ac:dyDescent="0.25">
      <c r="A238" s="43" t="s">
        <v>214</v>
      </c>
      <c r="B238" s="44" t="s">
        <v>215</v>
      </c>
      <c r="C238" s="94">
        <v>187375513</v>
      </c>
      <c r="D238" s="94">
        <v>187375513</v>
      </c>
      <c r="E238" s="61">
        <f>F238-32696728.03</f>
        <v>2669004.1499999985</v>
      </c>
      <c r="F238" s="94">
        <v>35365732.18</v>
      </c>
      <c r="G238" s="45">
        <f t="shared" si="42"/>
        <v>5.6077805791229993E-2</v>
      </c>
      <c r="H238" s="45">
        <f t="shared" ref="H238:H301" si="45">D238-F238</f>
        <v>152009780.81999999</v>
      </c>
      <c r="I238" s="45">
        <f>J238-21847436.92</f>
        <v>8751098.5699999966</v>
      </c>
      <c r="J238" s="45">
        <v>30598535.489999998</v>
      </c>
      <c r="K238" s="45">
        <f t="shared" si="43"/>
        <v>5.4592915109709934E-2</v>
      </c>
      <c r="L238" s="53">
        <f t="shared" ref="L238:L301" si="46">D238-J238</f>
        <v>156776977.50999999</v>
      </c>
      <c r="M238" s="92"/>
    </row>
    <row r="239" spans="1:13" ht="14.85" customHeight="1" x14ac:dyDescent="0.25">
      <c r="A239" s="43" t="s">
        <v>216</v>
      </c>
      <c r="B239" s="44" t="s">
        <v>217</v>
      </c>
      <c r="C239" s="94">
        <v>12059500</v>
      </c>
      <c r="D239" s="94">
        <v>18706016.82</v>
      </c>
      <c r="E239" s="61">
        <f>F239-3128951.92</f>
        <v>7067577.6999999993</v>
      </c>
      <c r="F239" s="94">
        <v>10196529.619999999</v>
      </c>
      <c r="G239" s="45">
        <f t="shared" si="42"/>
        <v>1.616816541121259E-2</v>
      </c>
      <c r="H239" s="45">
        <f t="shared" si="45"/>
        <v>8509487.2000000011</v>
      </c>
      <c r="I239" s="45">
        <f>J239-948629.04</f>
        <v>1628142.85</v>
      </c>
      <c r="J239" s="94">
        <v>2576771.89</v>
      </c>
      <c r="K239" s="45">
        <f t="shared" si="43"/>
        <v>4.5973928750227527E-3</v>
      </c>
      <c r="L239" s="53">
        <f t="shared" si="46"/>
        <v>16129244.93</v>
      </c>
      <c r="M239" s="92"/>
    </row>
    <row r="240" spans="1:13" ht="14.85" customHeight="1" x14ac:dyDescent="0.25">
      <c r="A240" s="43" t="s">
        <v>218</v>
      </c>
      <c r="B240" s="44" t="s">
        <v>219</v>
      </c>
      <c r="C240" s="94">
        <v>60235605</v>
      </c>
      <c r="D240" s="94">
        <v>57391643.310000002</v>
      </c>
      <c r="E240" s="61">
        <f>F240-1409583.11</f>
        <v>1577823.8099999998</v>
      </c>
      <c r="F240" s="94">
        <v>2987406.92</v>
      </c>
      <c r="G240" s="45">
        <f t="shared" si="42"/>
        <v>4.7369929802803974E-3</v>
      </c>
      <c r="H240" s="45">
        <f t="shared" si="45"/>
        <v>54404236.390000001</v>
      </c>
      <c r="I240" s="45">
        <f>J240-776785.66</f>
        <v>1095423.1499999999</v>
      </c>
      <c r="J240" s="94">
        <v>1872208.81</v>
      </c>
      <c r="K240" s="45">
        <f t="shared" si="43"/>
        <v>3.3403342674810169E-3</v>
      </c>
      <c r="L240" s="53">
        <f t="shared" si="46"/>
        <v>55519434.5</v>
      </c>
      <c r="M240" s="92"/>
    </row>
    <row r="241" spans="1:13" ht="14.85" customHeight="1" x14ac:dyDescent="0.25">
      <c r="A241" s="43" t="s">
        <v>220</v>
      </c>
      <c r="B241" s="44" t="s">
        <v>221</v>
      </c>
      <c r="C241" s="45">
        <v>0</v>
      </c>
      <c r="D241" s="45">
        <v>0</v>
      </c>
      <c r="E241" s="61">
        <f t="shared" si="44"/>
        <v>0</v>
      </c>
      <c r="F241" s="45">
        <v>0</v>
      </c>
      <c r="G241" s="45">
        <f t="shared" si="42"/>
        <v>0</v>
      </c>
      <c r="H241" s="45">
        <f t="shared" si="45"/>
        <v>0</v>
      </c>
      <c r="I241" s="45">
        <f t="shared" si="41"/>
        <v>0</v>
      </c>
      <c r="J241" s="45">
        <v>0</v>
      </c>
      <c r="K241" s="45">
        <f t="shared" si="43"/>
        <v>0</v>
      </c>
      <c r="L241" s="53">
        <f t="shared" si="46"/>
        <v>0</v>
      </c>
      <c r="M241" s="92"/>
    </row>
    <row r="242" spans="1:13" ht="14.85" customHeight="1" x14ac:dyDescent="0.25">
      <c r="A242" s="43" t="s">
        <v>128</v>
      </c>
      <c r="B242" s="44" t="s">
        <v>129</v>
      </c>
      <c r="C242" s="94">
        <v>89628134</v>
      </c>
      <c r="D242" s="94">
        <v>138978384</v>
      </c>
      <c r="E242" s="61">
        <f>F242-97709024.21</f>
        <v>37782783.329999998</v>
      </c>
      <c r="F242" s="94">
        <v>135491807.53999999</v>
      </c>
      <c r="G242" s="45">
        <f t="shared" si="42"/>
        <v>0.21484309248452921</v>
      </c>
      <c r="H242" s="45">
        <f t="shared" si="45"/>
        <v>3486576.4600000083</v>
      </c>
      <c r="I242" s="45">
        <f>J242-56462254.91</f>
        <v>39380342.540000007</v>
      </c>
      <c r="J242" s="94">
        <v>95842597.450000003</v>
      </c>
      <c r="K242" s="45">
        <f t="shared" si="43"/>
        <v>0.17099925544449487</v>
      </c>
      <c r="L242" s="53">
        <f t="shared" si="46"/>
        <v>43135786.549999997</v>
      </c>
      <c r="M242" s="92"/>
    </row>
    <row r="243" spans="1:13" ht="14.85" customHeight="1" x14ac:dyDescent="0.2">
      <c r="A243" s="40" t="s">
        <v>222</v>
      </c>
      <c r="B243" s="70" t="s">
        <v>223</v>
      </c>
      <c r="C243" s="42">
        <f>SUM(C244:C246)</f>
        <v>88380499</v>
      </c>
      <c r="D243" s="42">
        <f>SUM(D244:D246)</f>
        <v>93849215.260000005</v>
      </c>
      <c r="E243" s="98">
        <f>SUM(E244:E246)</f>
        <v>9923216.5700000003</v>
      </c>
      <c r="F243" s="42">
        <f>SUM(F244:F246)</f>
        <v>41121880.310000002</v>
      </c>
      <c r="G243" s="42">
        <f t="shared" si="42"/>
        <v>6.5205063649113021E-2</v>
      </c>
      <c r="H243" s="42">
        <f t="shared" si="45"/>
        <v>52727334.950000003</v>
      </c>
      <c r="I243" s="42">
        <f>SUM(I244:I246)</f>
        <v>8118314.910000002</v>
      </c>
      <c r="J243" s="42">
        <f>SUM(J244:J246)</f>
        <v>38717069.980000004</v>
      </c>
      <c r="K243" s="42">
        <f t="shared" si="43"/>
        <v>6.9077741168547646E-2</v>
      </c>
      <c r="L243" s="57">
        <f t="shared" si="46"/>
        <v>55132145.280000001</v>
      </c>
      <c r="M243" s="92"/>
    </row>
    <row r="244" spans="1:13" ht="14.85" customHeight="1" x14ac:dyDescent="0.25">
      <c r="A244" s="43" t="s">
        <v>30</v>
      </c>
      <c r="B244" s="44" t="s">
        <v>31</v>
      </c>
      <c r="C244" s="94">
        <v>19640534</v>
      </c>
      <c r="D244" s="94">
        <v>23849654.620000001</v>
      </c>
      <c r="E244" s="61">
        <f>F244-7157538.94</f>
        <v>5006074.7700000005</v>
      </c>
      <c r="F244" s="94">
        <v>12163613.710000001</v>
      </c>
      <c r="G244" s="45">
        <f t="shared" si="42"/>
        <v>1.9287279671666692E-2</v>
      </c>
      <c r="H244" s="45">
        <f t="shared" si="45"/>
        <v>11686040.91</v>
      </c>
      <c r="I244" s="45">
        <f>J244-6919782.49</f>
        <v>3743254.9399999995</v>
      </c>
      <c r="J244" s="94">
        <v>10663037.43</v>
      </c>
      <c r="K244" s="45">
        <f t="shared" si="43"/>
        <v>1.9024645719331764E-2</v>
      </c>
      <c r="L244" s="53">
        <f t="shared" si="46"/>
        <v>13186617.190000001</v>
      </c>
    </row>
    <row r="245" spans="1:13" ht="14.85" customHeight="1" x14ac:dyDescent="0.25">
      <c r="A245" s="43" t="s">
        <v>81</v>
      </c>
      <c r="B245" s="44" t="s">
        <v>82</v>
      </c>
      <c r="C245" s="94">
        <v>7310000</v>
      </c>
      <c r="D245" s="94">
        <v>3355000</v>
      </c>
      <c r="E245" s="61">
        <f t="shared" ref="E245" si="47">F245-0</f>
        <v>0</v>
      </c>
      <c r="F245" s="94">
        <v>0</v>
      </c>
      <c r="G245" s="45">
        <f t="shared" si="42"/>
        <v>0</v>
      </c>
      <c r="H245" s="45">
        <f t="shared" si="45"/>
        <v>3355000</v>
      </c>
      <c r="I245" s="45">
        <f t="shared" ref="I245" si="48">J245-0</f>
        <v>0</v>
      </c>
      <c r="J245" s="94">
        <v>0</v>
      </c>
      <c r="K245" s="45">
        <f t="shared" si="43"/>
        <v>0</v>
      </c>
      <c r="L245" s="53">
        <f t="shared" si="46"/>
        <v>3355000</v>
      </c>
    </row>
    <row r="246" spans="1:13" ht="14.85" customHeight="1" x14ac:dyDescent="0.25">
      <c r="A246" s="43" t="s">
        <v>224</v>
      </c>
      <c r="B246" s="44" t="s">
        <v>225</v>
      </c>
      <c r="C246" s="94">
        <v>61429965</v>
      </c>
      <c r="D246" s="94">
        <v>66644560.640000001</v>
      </c>
      <c r="E246" s="61">
        <f>F246-24041124.8</f>
        <v>4917141.8000000007</v>
      </c>
      <c r="F246" s="94">
        <v>28958266.600000001</v>
      </c>
      <c r="G246" s="45">
        <f t="shared" si="42"/>
        <v>4.5917783977446329E-2</v>
      </c>
      <c r="H246" s="45">
        <f t="shared" si="45"/>
        <v>37686294.039999999</v>
      </c>
      <c r="I246" s="45">
        <f>J246-23678972.58</f>
        <v>4375059.9700000025</v>
      </c>
      <c r="J246" s="94">
        <v>28054032.550000001</v>
      </c>
      <c r="K246" s="45">
        <f t="shared" si="43"/>
        <v>5.0053095449215872E-2</v>
      </c>
      <c r="L246" s="53">
        <f t="shared" si="46"/>
        <v>38590528.090000004</v>
      </c>
    </row>
    <row r="247" spans="1:13" ht="14.85" customHeight="1" x14ac:dyDescent="0.2">
      <c r="A247" s="40" t="s">
        <v>226</v>
      </c>
      <c r="B247" s="70" t="s">
        <v>227</v>
      </c>
      <c r="C247" s="42">
        <f>SUM(C248:C261)</f>
        <v>308254256</v>
      </c>
      <c r="D247" s="42">
        <f>SUM(D248:D261)</f>
        <v>320604641.39999998</v>
      </c>
      <c r="E247" s="98">
        <f>SUM(E248:E261)</f>
        <v>24511279.88000001</v>
      </c>
      <c r="F247" s="42">
        <f>SUM(F248:F261)</f>
        <v>85805795.650000006</v>
      </c>
      <c r="G247" s="42">
        <f t="shared" si="42"/>
        <v>0.13605828149498436</v>
      </c>
      <c r="H247" s="42">
        <f t="shared" si="45"/>
        <v>234798845.74999997</v>
      </c>
      <c r="I247" s="42">
        <f>SUM(I248:I261)</f>
        <v>23898424.110000003</v>
      </c>
      <c r="J247" s="42">
        <f>SUM(J248:J261)</f>
        <v>76991895.069999993</v>
      </c>
      <c r="K247" s="42">
        <f t="shared" si="43"/>
        <v>0.13736644334059284</v>
      </c>
      <c r="L247" s="57">
        <f t="shared" si="46"/>
        <v>243612746.32999998</v>
      </c>
    </row>
    <row r="248" spans="1:13" ht="14.85" customHeight="1" x14ac:dyDescent="0.25">
      <c r="A248" s="43" t="s">
        <v>30</v>
      </c>
      <c r="B248" s="44" t="s">
        <v>31</v>
      </c>
      <c r="C248" s="94">
        <v>131229067</v>
      </c>
      <c r="D248" s="94">
        <v>141342800.33000001</v>
      </c>
      <c r="E248" s="61">
        <f>F248-44383164.8</f>
        <v>24111355.38000001</v>
      </c>
      <c r="F248" s="94">
        <v>68494520.180000007</v>
      </c>
      <c r="G248" s="45">
        <f t="shared" si="42"/>
        <v>0.10860859265879119</v>
      </c>
      <c r="H248" s="45">
        <f t="shared" si="45"/>
        <v>72848280.150000006</v>
      </c>
      <c r="I248" s="45">
        <f>J248-40708127.08</f>
        <v>22463260.590000004</v>
      </c>
      <c r="J248" s="94">
        <v>63171387.670000002</v>
      </c>
      <c r="K248" s="45">
        <f t="shared" si="43"/>
        <v>0.11270834205636968</v>
      </c>
      <c r="L248" s="53">
        <f t="shared" si="46"/>
        <v>78171412.660000011</v>
      </c>
    </row>
    <row r="249" spans="1:13" ht="14.85" customHeight="1" x14ac:dyDescent="0.25">
      <c r="A249" s="43" t="s">
        <v>63</v>
      </c>
      <c r="B249" s="44" t="s">
        <v>64</v>
      </c>
      <c r="C249" s="45">
        <v>0</v>
      </c>
      <c r="D249" s="45">
        <v>0</v>
      </c>
      <c r="E249" s="61">
        <f t="shared" ref="E249:E260" si="49">F249-0</f>
        <v>0</v>
      </c>
      <c r="F249" s="45">
        <v>0</v>
      </c>
      <c r="G249" s="45">
        <f t="shared" si="42"/>
        <v>0</v>
      </c>
      <c r="H249" s="45">
        <f t="shared" si="45"/>
        <v>0</v>
      </c>
      <c r="I249" s="45">
        <f t="shared" ref="I249:I260" si="50">J249-0</f>
        <v>0</v>
      </c>
      <c r="J249" s="45">
        <v>0</v>
      </c>
      <c r="K249" s="45">
        <f t="shared" si="43"/>
        <v>0</v>
      </c>
      <c r="L249" s="53">
        <f t="shared" si="46"/>
        <v>0</v>
      </c>
      <c r="M249" s="92"/>
    </row>
    <row r="250" spans="1:13" ht="14.85" customHeight="1" x14ac:dyDescent="0.25">
      <c r="A250" s="43" t="s">
        <v>65</v>
      </c>
      <c r="B250" s="44" t="s">
        <v>66</v>
      </c>
      <c r="C250" s="94">
        <v>20000</v>
      </c>
      <c r="D250" s="94">
        <v>282266.67</v>
      </c>
      <c r="E250" s="61">
        <f>F250-7241.52</f>
        <v>220180</v>
      </c>
      <c r="F250" s="45">
        <v>227421.52</v>
      </c>
      <c r="G250" s="45">
        <f t="shared" si="42"/>
        <v>3.6061178562333179E-4</v>
      </c>
      <c r="H250" s="45">
        <f t="shared" si="45"/>
        <v>54845.149999999994</v>
      </c>
      <c r="I250" s="45">
        <f t="shared" si="50"/>
        <v>227421.52</v>
      </c>
      <c r="J250" s="45">
        <v>227421.52</v>
      </c>
      <c r="K250" s="45">
        <f t="shared" si="43"/>
        <v>4.0575810366933347E-4</v>
      </c>
      <c r="L250" s="53">
        <f t="shared" si="46"/>
        <v>54845.149999999994</v>
      </c>
      <c r="M250" s="92"/>
    </row>
    <row r="251" spans="1:13" ht="14.85" customHeight="1" x14ac:dyDescent="0.25">
      <c r="A251" s="43" t="s">
        <v>32</v>
      </c>
      <c r="B251" s="44" t="s">
        <v>33</v>
      </c>
      <c r="C251" s="45">
        <v>0</v>
      </c>
      <c r="D251" s="45">
        <v>0</v>
      </c>
      <c r="E251" s="61">
        <f t="shared" si="49"/>
        <v>0</v>
      </c>
      <c r="F251" s="45">
        <v>0</v>
      </c>
      <c r="G251" s="45">
        <f t="shared" si="42"/>
        <v>0</v>
      </c>
      <c r="H251" s="45">
        <f t="shared" si="45"/>
        <v>0</v>
      </c>
      <c r="I251" s="45">
        <f t="shared" si="50"/>
        <v>0</v>
      </c>
      <c r="J251" s="45">
        <v>0</v>
      </c>
      <c r="K251" s="45">
        <f t="shared" si="43"/>
        <v>0</v>
      </c>
      <c r="L251" s="53">
        <f t="shared" si="46"/>
        <v>0</v>
      </c>
      <c r="M251" s="92"/>
    </row>
    <row r="252" spans="1:13" ht="14.85" customHeight="1" x14ac:dyDescent="0.25">
      <c r="A252" s="43" t="s">
        <v>44</v>
      </c>
      <c r="B252" s="44" t="s">
        <v>45</v>
      </c>
      <c r="C252" s="45">
        <v>0</v>
      </c>
      <c r="D252" s="45">
        <v>0</v>
      </c>
      <c r="E252" s="61">
        <f t="shared" si="49"/>
        <v>0</v>
      </c>
      <c r="F252" s="45">
        <v>0</v>
      </c>
      <c r="G252" s="45">
        <f t="shared" si="42"/>
        <v>0</v>
      </c>
      <c r="H252" s="45">
        <f t="shared" si="45"/>
        <v>0</v>
      </c>
      <c r="I252" s="45">
        <f t="shared" si="50"/>
        <v>0</v>
      </c>
      <c r="J252" s="45">
        <v>0</v>
      </c>
      <c r="K252" s="45">
        <f t="shared" si="43"/>
        <v>0</v>
      </c>
      <c r="L252" s="53">
        <f t="shared" si="46"/>
        <v>0</v>
      </c>
      <c r="M252" s="92"/>
    </row>
    <row r="253" spans="1:13" ht="14.85" customHeight="1" x14ac:dyDescent="0.25">
      <c r="A253" s="43" t="s">
        <v>89</v>
      </c>
      <c r="B253" s="44" t="s">
        <v>152</v>
      </c>
      <c r="C253" s="45">
        <v>0</v>
      </c>
      <c r="D253" s="45">
        <v>0</v>
      </c>
      <c r="E253" s="61">
        <f t="shared" si="49"/>
        <v>0</v>
      </c>
      <c r="F253" s="45">
        <v>0</v>
      </c>
      <c r="G253" s="45">
        <f t="shared" si="42"/>
        <v>0</v>
      </c>
      <c r="H253" s="45">
        <f t="shared" si="45"/>
        <v>0</v>
      </c>
      <c r="I253" s="45">
        <f t="shared" si="50"/>
        <v>0</v>
      </c>
      <c r="J253" s="45">
        <v>0</v>
      </c>
      <c r="K253" s="45">
        <f t="shared" si="43"/>
        <v>0</v>
      </c>
      <c r="L253" s="53">
        <f t="shared" si="46"/>
        <v>0</v>
      </c>
      <c r="M253" s="92"/>
    </row>
    <row r="254" spans="1:13" ht="14.85" customHeight="1" x14ac:dyDescent="0.25">
      <c r="A254" s="43" t="s">
        <v>91</v>
      </c>
      <c r="B254" s="44" t="s">
        <v>92</v>
      </c>
      <c r="C254" s="94">
        <v>17199183</v>
      </c>
      <c r="D254" s="94">
        <v>19173568.399999999</v>
      </c>
      <c r="E254" s="61">
        <f>F254-11882115.45</f>
        <v>24744.5</v>
      </c>
      <c r="F254" s="94">
        <v>11906859.949999999</v>
      </c>
      <c r="G254" s="45">
        <f t="shared" si="42"/>
        <v>1.8880157109742449E-2</v>
      </c>
      <c r="H254" s="45">
        <f t="shared" si="45"/>
        <v>7266708.4499999993</v>
      </c>
      <c r="I254" s="45">
        <f>J254-11873207.25</f>
        <v>24828.5</v>
      </c>
      <c r="J254" s="94">
        <v>11898035.75</v>
      </c>
      <c r="K254" s="45">
        <f t="shared" si="43"/>
        <v>2.122808968698273E-2</v>
      </c>
      <c r="L254" s="53">
        <f t="shared" si="46"/>
        <v>7275532.6499999985</v>
      </c>
      <c r="M254" s="92"/>
    </row>
    <row r="255" spans="1:13" ht="14.85" customHeight="1" x14ac:dyDescent="0.25">
      <c r="A255" s="43" t="s">
        <v>228</v>
      </c>
      <c r="B255" s="44" t="s">
        <v>229</v>
      </c>
      <c r="C255" s="94">
        <v>10000</v>
      </c>
      <c r="D255" s="94">
        <v>10000</v>
      </c>
      <c r="E255" s="61">
        <f>F255-9994</f>
        <v>0</v>
      </c>
      <c r="F255" s="94">
        <v>9994</v>
      </c>
      <c r="G255" s="45">
        <f t="shared" si="42"/>
        <v>1.5847023560125611E-5</v>
      </c>
      <c r="H255" s="45">
        <f t="shared" si="45"/>
        <v>6</v>
      </c>
      <c r="I255" s="45">
        <f>J255-9994</f>
        <v>0</v>
      </c>
      <c r="J255" s="94">
        <v>9994</v>
      </c>
      <c r="K255" s="45">
        <f t="shared" si="43"/>
        <v>1.7830970824886401E-5</v>
      </c>
      <c r="L255" s="53">
        <f t="shared" si="46"/>
        <v>6</v>
      </c>
      <c r="M255" s="92"/>
    </row>
    <row r="256" spans="1:13" ht="14.85" customHeight="1" x14ac:dyDescent="0.25">
      <c r="A256" s="43" t="s">
        <v>230</v>
      </c>
      <c r="B256" s="44" t="s">
        <v>231</v>
      </c>
      <c r="C256" s="45">
        <v>0</v>
      </c>
      <c r="D256" s="45">
        <v>0</v>
      </c>
      <c r="E256" s="61">
        <f t="shared" si="49"/>
        <v>0</v>
      </c>
      <c r="F256" s="45">
        <v>0</v>
      </c>
      <c r="G256" s="45">
        <f t="shared" si="42"/>
        <v>0</v>
      </c>
      <c r="H256" s="45">
        <f t="shared" si="45"/>
        <v>0</v>
      </c>
      <c r="I256" s="45">
        <f t="shared" si="50"/>
        <v>0</v>
      </c>
      <c r="J256" s="45">
        <v>0</v>
      </c>
      <c r="K256" s="45">
        <f t="shared" si="43"/>
        <v>0</v>
      </c>
      <c r="L256" s="53">
        <f t="shared" si="46"/>
        <v>0</v>
      </c>
      <c r="M256" s="92"/>
    </row>
    <row r="257" spans="1:13" ht="14.85" customHeight="1" x14ac:dyDescent="0.25">
      <c r="A257" s="43" t="s">
        <v>232</v>
      </c>
      <c r="B257" s="44" t="s">
        <v>233</v>
      </c>
      <c r="C257" s="94">
        <v>159786006</v>
      </c>
      <c r="D257" s="94">
        <v>159786006</v>
      </c>
      <c r="E257" s="61">
        <f>F257-5005000</f>
        <v>155000</v>
      </c>
      <c r="F257" s="94">
        <v>5160000</v>
      </c>
      <c r="G257" s="45">
        <f t="shared" si="42"/>
        <v>8.1819733410294325E-3</v>
      </c>
      <c r="H257" s="45">
        <f t="shared" si="45"/>
        <v>154626006</v>
      </c>
      <c r="I257" s="45">
        <f>J257-495142.63</f>
        <v>1182913.5</v>
      </c>
      <c r="J257" s="94">
        <v>1678056.13</v>
      </c>
      <c r="K257" s="45">
        <f t="shared" si="43"/>
        <v>2.9939333496649769E-3</v>
      </c>
      <c r="L257" s="53">
        <f t="shared" si="46"/>
        <v>158107949.87</v>
      </c>
      <c r="M257" s="92"/>
    </row>
    <row r="258" spans="1:13" ht="14.85" customHeight="1" x14ac:dyDescent="0.25">
      <c r="A258" s="43" t="s">
        <v>95</v>
      </c>
      <c r="B258" s="44" t="s">
        <v>96</v>
      </c>
      <c r="C258" s="45">
        <v>0</v>
      </c>
      <c r="D258" s="45">
        <v>0</v>
      </c>
      <c r="E258" s="61">
        <f t="shared" si="49"/>
        <v>0</v>
      </c>
      <c r="F258" s="45"/>
      <c r="G258" s="45">
        <f t="shared" si="42"/>
        <v>0</v>
      </c>
      <c r="H258" s="45">
        <f t="shared" si="45"/>
        <v>0</v>
      </c>
      <c r="I258" s="45">
        <f t="shared" si="50"/>
        <v>0</v>
      </c>
      <c r="J258" s="45">
        <v>0</v>
      </c>
      <c r="K258" s="45">
        <f t="shared" si="43"/>
        <v>0</v>
      </c>
      <c r="L258" s="53">
        <f t="shared" si="46"/>
        <v>0</v>
      </c>
      <c r="M258" s="92"/>
    </row>
    <row r="259" spans="1:13" ht="14.85" customHeight="1" x14ac:dyDescent="0.25">
      <c r="A259" s="43" t="s">
        <v>203</v>
      </c>
      <c r="B259" s="44" t="s">
        <v>204</v>
      </c>
      <c r="C259" s="45">
        <v>0</v>
      </c>
      <c r="D259" s="45">
        <v>0</v>
      </c>
      <c r="E259" s="61">
        <f t="shared" si="49"/>
        <v>0</v>
      </c>
      <c r="F259" s="45">
        <v>0</v>
      </c>
      <c r="G259" s="45">
        <f t="shared" si="42"/>
        <v>0</v>
      </c>
      <c r="H259" s="45">
        <f t="shared" si="45"/>
        <v>0</v>
      </c>
      <c r="I259" s="45">
        <f t="shared" si="50"/>
        <v>0</v>
      </c>
      <c r="J259" s="45">
        <v>0</v>
      </c>
      <c r="K259" s="45">
        <f t="shared" si="43"/>
        <v>0</v>
      </c>
      <c r="L259" s="53">
        <f t="shared" si="46"/>
        <v>0</v>
      </c>
    </row>
    <row r="260" spans="1:13" ht="14.85" customHeight="1" x14ac:dyDescent="0.25">
      <c r="A260" s="43" t="s">
        <v>234</v>
      </c>
      <c r="B260" s="44" t="s">
        <v>235</v>
      </c>
      <c r="C260" s="45">
        <v>0</v>
      </c>
      <c r="D260" s="45">
        <v>0</v>
      </c>
      <c r="E260" s="61">
        <f t="shared" si="49"/>
        <v>0</v>
      </c>
      <c r="F260" s="45">
        <v>0</v>
      </c>
      <c r="G260" s="45">
        <f t="shared" si="42"/>
        <v>0</v>
      </c>
      <c r="H260" s="45">
        <f t="shared" si="45"/>
        <v>0</v>
      </c>
      <c r="I260" s="45">
        <f t="shared" si="50"/>
        <v>0</v>
      </c>
      <c r="J260" s="45">
        <v>0</v>
      </c>
      <c r="K260" s="45">
        <f t="shared" si="43"/>
        <v>0</v>
      </c>
      <c r="L260" s="53">
        <f t="shared" si="46"/>
        <v>0</v>
      </c>
    </row>
    <row r="261" spans="1:13" ht="14.85" customHeight="1" x14ac:dyDescent="0.25">
      <c r="A261" s="43" t="s">
        <v>236</v>
      </c>
      <c r="B261" s="44" t="s">
        <v>237</v>
      </c>
      <c r="C261" s="94">
        <v>10000</v>
      </c>
      <c r="D261" s="94">
        <v>10000</v>
      </c>
      <c r="E261" s="61">
        <f>F261-7000</f>
        <v>0</v>
      </c>
      <c r="F261" s="61">
        <v>7000</v>
      </c>
      <c r="G261" s="45">
        <f t="shared" si="42"/>
        <v>1.1099576237830626E-5</v>
      </c>
      <c r="H261" s="45">
        <f t="shared" si="45"/>
        <v>3000</v>
      </c>
      <c r="I261" s="45">
        <f>J261-7000</f>
        <v>0</v>
      </c>
      <c r="J261" s="45">
        <v>7000</v>
      </c>
      <c r="K261" s="45">
        <f t="shared" si="43"/>
        <v>1.248917308126924E-5</v>
      </c>
      <c r="L261" s="53">
        <f t="shared" si="46"/>
        <v>3000</v>
      </c>
    </row>
    <row r="262" spans="1:13" ht="14.85" customHeight="1" x14ac:dyDescent="0.2">
      <c r="A262" s="40" t="s">
        <v>238</v>
      </c>
      <c r="B262" s="70" t="s">
        <v>239</v>
      </c>
      <c r="C262" s="42">
        <f>SUM(C263:C272)</f>
        <v>615541222</v>
      </c>
      <c r="D262" s="42">
        <f>SUM(D263:D272)</f>
        <v>699031089.87</v>
      </c>
      <c r="E262" s="98">
        <f>SUM(E263:E272)</f>
        <v>53367690.449999996</v>
      </c>
      <c r="F262" s="42">
        <f>SUM(F263:F272)</f>
        <v>165687624.69</v>
      </c>
      <c r="G262" s="42">
        <f t="shared" si="42"/>
        <v>0.26272320313024611</v>
      </c>
      <c r="H262" s="42">
        <f t="shared" si="45"/>
        <v>533343465.18000001</v>
      </c>
      <c r="I262" s="42">
        <f>SUM(I263:I272)</f>
        <v>50141545.719999999</v>
      </c>
      <c r="J262" s="42">
        <f>SUM(J263:J272)</f>
        <v>133740425.7</v>
      </c>
      <c r="K262" s="42">
        <f t="shared" si="43"/>
        <v>0.23861533207570415</v>
      </c>
      <c r="L262" s="57">
        <f t="shared" si="46"/>
        <v>565290664.16999996</v>
      </c>
    </row>
    <row r="263" spans="1:13" ht="14.85" customHeight="1" x14ac:dyDescent="0.25">
      <c r="A263" s="43" t="s">
        <v>30</v>
      </c>
      <c r="B263" s="44" t="s">
        <v>31</v>
      </c>
      <c r="C263" s="94">
        <v>171206303</v>
      </c>
      <c r="D263" s="94">
        <v>250309385.94999999</v>
      </c>
      <c r="E263" s="61">
        <f>F263-51697392.46</f>
        <v>25999888.619999997</v>
      </c>
      <c r="F263" s="94">
        <v>77697281.079999998</v>
      </c>
      <c r="G263" s="45">
        <f t="shared" si="42"/>
        <v>0.12320098497423072</v>
      </c>
      <c r="H263" s="45">
        <f t="shared" si="45"/>
        <v>172612104.87</v>
      </c>
      <c r="I263" s="45">
        <f>J263-35172461.51</f>
        <v>23293740.160000004</v>
      </c>
      <c r="J263" s="94">
        <v>58466201.670000002</v>
      </c>
      <c r="K263" s="45">
        <f t="shared" si="43"/>
        <v>0.10431350172300327</v>
      </c>
      <c r="L263" s="53">
        <f t="shared" si="46"/>
        <v>191843184.27999997</v>
      </c>
    </row>
    <row r="264" spans="1:13" ht="14.85" customHeight="1" x14ac:dyDescent="0.25">
      <c r="A264" s="43" t="s">
        <v>61</v>
      </c>
      <c r="B264" s="44" t="s">
        <v>62</v>
      </c>
      <c r="C264" s="94">
        <v>20000</v>
      </c>
      <c r="D264" s="94">
        <v>20000</v>
      </c>
      <c r="E264" s="61">
        <f t="shared" ref="E264:E276" si="51">F264-0</f>
        <v>0</v>
      </c>
      <c r="F264" s="45">
        <v>0</v>
      </c>
      <c r="G264" s="45">
        <f t="shared" ref="G264:G295" si="52">(F264/$F$309)*100</f>
        <v>0</v>
      </c>
      <c r="H264" s="45">
        <f t="shared" si="45"/>
        <v>20000</v>
      </c>
      <c r="I264" s="45">
        <f t="shared" ref="I264:I276" si="53">J264-0</f>
        <v>0</v>
      </c>
      <c r="J264" s="45">
        <v>0</v>
      </c>
      <c r="K264" s="45">
        <f t="shared" ref="K264:K295" si="54">(J264/$J$309)*100</f>
        <v>0</v>
      </c>
      <c r="L264" s="53">
        <f t="shared" si="46"/>
        <v>20000</v>
      </c>
    </row>
    <row r="265" spans="1:13" ht="14.85" customHeight="1" x14ac:dyDescent="0.25">
      <c r="A265" s="43" t="s">
        <v>65</v>
      </c>
      <c r="B265" s="44" t="s">
        <v>66</v>
      </c>
      <c r="C265" s="94">
        <v>51167889</v>
      </c>
      <c r="D265" s="94">
        <v>29428689</v>
      </c>
      <c r="E265" s="61">
        <f>F265-70923.34</f>
        <v>0</v>
      </c>
      <c r="F265" s="45">
        <v>70923.34</v>
      </c>
      <c r="G265" s="45">
        <f t="shared" si="52"/>
        <v>1.1245985991022605E-4</v>
      </c>
      <c r="H265" s="45">
        <f t="shared" si="45"/>
        <v>29357765.66</v>
      </c>
      <c r="I265" s="45">
        <f>J265-16118.94</f>
        <v>10745.960000000001</v>
      </c>
      <c r="J265" s="45">
        <v>26864.9</v>
      </c>
      <c r="K265" s="45">
        <f t="shared" si="54"/>
        <v>4.7931483701570014E-5</v>
      </c>
      <c r="L265" s="53">
        <f t="shared" si="46"/>
        <v>29401824.100000001</v>
      </c>
    </row>
    <row r="266" spans="1:13" ht="14.85" customHeight="1" x14ac:dyDescent="0.25">
      <c r="A266" s="43" t="s">
        <v>108</v>
      </c>
      <c r="B266" s="44" t="s">
        <v>109</v>
      </c>
      <c r="C266" s="94">
        <v>2000000</v>
      </c>
      <c r="D266" s="94">
        <v>2000000</v>
      </c>
      <c r="E266" s="61">
        <f t="shared" si="51"/>
        <v>0</v>
      </c>
      <c r="F266" s="45">
        <v>0</v>
      </c>
      <c r="G266" s="45">
        <f t="shared" si="52"/>
        <v>0</v>
      </c>
      <c r="H266" s="45">
        <f t="shared" si="45"/>
        <v>2000000</v>
      </c>
      <c r="I266" s="45">
        <f t="shared" si="53"/>
        <v>0</v>
      </c>
      <c r="J266" s="45">
        <v>0</v>
      </c>
      <c r="K266" s="45">
        <f t="shared" si="54"/>
        <v>0</v>
      </c>
      <c r="L266" s="53">
        <f t="shared" si="46"/>
        <v>2000000</v>
      </c>
    </row>
    <row r="267" spans="1:13" ht="14.85" customHeight="1" x14ac:dyDescent="0.25">
      <c r="A267" s="43" t="s">
        <v>112</v>
      </c>
      <c r="B267" s="44" t="s">
        <v>113</v>
      </c>
      <c r="C267" s="94">
        <v>52195519</v>
      </c>
      <c r="D267" s="94">
        <v>76514933.180000007</v>
      </c>
      <c r="E267" s="61">
        <f>F267-1972098.81</f>
        <v>1558781.1400000001</v>
      </c>
      <c r="F267" s="94">
        <v>3530879.95</v>
      </c>
      <c r="G267" s="45">
        <f t="shared" si="52"/>
        <v>5.5987530273789417E-3</v>
      </c>
      <c r="H267" s="45">
        <f t="shared" si="45"/>
        <v>72984053.230000004</v>
      </c>
      <c r="I267" s="45">
        <f>J267-1972098.81</f>
        <v>1558781.1400000001</v>
      </c>
      <c r="J267" s="94">
        <v>3530879.95</v>
      </c>
      <c r="K267" s="45">
        <f t="shared" si="54"/>
        <v>6.2996815463904699E-3</v>
      </c>
      <c r="L267" s="53">
        <f t="shared" si="46"/>
        <v>72984053.230000004</v>
      </c>
    </row>
    <row r="268" spans="1:13" ht="14.85" customHeight="1" x14ac:dyDescent="0.25">
      <c r="A268" s="43" t="s">
        <v>40</v>
      </c>
      <c r="B268" s="44" t="s">
        <v>41</v>
      </c>
      <c r="C268" s="45">
        <v>0</v>
      </c>
      <c r="D268" s="45">
        <v>0</v>
      </c>
      <c r="E268" s="61">
        <f t="shared" si="51"/>
        <v>0</v>
      </c>
      <c r="F268" s="45">
        <v>0</v>
      </c>
      <c r="G268" s="45">
        <f t="shared" si="52"/>
        <v>0</v>
      </c>
      <c r="H268" s="45">
        <f t="shared" si="45"/>
        <v>0</v>
      </c>
      <c r="I268" s="45">
        <f t="shared" si="53"/>
        <v>0</v>
      </c>
      <c r="J268" s="45">
        <v>0</v>
      </c>
      <c r="K268" s="45">
        <f t="shared" si="54"/>
        <v>0</v>
      </c>
      <c r="L268" s="53">
        <f t="shared" si="46"/>
        <v>0</v>
      </c>
    </row>
    <row r="269" spans="1:13" ht="14.85" customHeight="1" x14ac:dyDescent="0.25">
      <c r="A269" s="43" t="s">
        <v>232</v>
      </c>
      <c r="B269" s="44" t="s">
        <v>233</v>
      </c>
      <c r="C269" s="94">
        <v>28322497</v>
      </c>
      <c r="D269" s="94">
        <v>30129067.739999998</v>
      </c>
      <c r="E269" s="61">
        <f>F269-12044332.94</f>
        <v>3944827.9299999997</v>
      </c>
      <c r="F269" s="94">
        <v>15989160.869999999</v>
      </c>
      <c r="G269" s="45">
        <f t="shared" si="52"/>
        <v>2.5353272865071892E-2</v>
      </c>
      <c r="H269" s="45">
        <f t="shared" si="45"/>
        <v>14139906.869999999</v>
      </c>
      <c r="I269" s="45">
        <f>J269-9605837.29</f>
        <v>1945290.1600000001</v>
      </c>
      <c r="J269" s="94">
        <v>11551127.449999999</v>
      </c>
      <c r="K269" s="45">
        <f t="shared" si="54"/>
        <v>2.0609147143835743E-2</v>
      </c>
      <c r="L269" s="53">
        <f t="shared" si="46"/>
        <v>18577940.289999999</v>
      </c>
    </row>
    <row r="270" spans="1:13" ht="14.85" customHeight="1" x14ac:dyDescent="0.25">
      <c r="A270" s="43" t="s">
        <v>240</v>
      </c>
      <c r="B270" s="44" t="s">
        <v>241</v>
      </c>
      <c r="C270" s="94">
        <v>1010000</v>
      </c>
      <c r="D270" s="94">
        <v>1010000</v>
      </c>
      <c r="E270" s="61">
        <f>F270-35026.6</f>
        <v>33510.6</v>
      </c>
      <c r="F270" s="45">
        <v>68537.2</v>
      </c>
      <c r="G270" s="45">
        <f t="shared" si="52"/>
        <v>1.086762680753493E-4</v>
      </c>
      <c r="H270" s="45">
        <f t="shared" si="45"/>
        <v>941462.8</v>
      </c>
      <c r="I270" s="45">
        <f>J270-35026.6</f>
        <v>33510.6</v>
      </c>
      <c r="J270" s="45">
        <v>68537.2</v>
      </c>
      <c r="K270" s="45">
        <f t="shared" si="54"/>
        <v>1.2228185047222375E-4</v>
      </c>
      <c r="L270" s="53">
        <f t="shared" si="46"/>
        <v>941462.8</v>
      </c>
    </row>
    <row r="271" spans="1:13" ht="14.85" customHeight="1" x14ac:dyDescent="0.25">
      <c r="A271" s="43" t="s">
        <v>93</v>
      </c>
      <c r="B271" s="44" t="s">
        <v>94</v>
      </c>
      <c r="C271" s="94">
        <v>217637944</v>
      </c>
      <c r="D271" s="94">
        <v>217637944</v>
      </c>
      <c r="E271" s="61">
        <f>F271-20496.7</f>
        <v>0</v>
      </c>
      <c r="F271" s="45">
        <v>20496.7</v>
      </c>
      <c r="G271" s="45">
        <f t="shared" si="52"/>
        <v>3.2500669181991853E-5</v>
      </c>
      <c r="H271" s="45">
        <f t="shared" si="45"/>
        <v>217617447.30000001</v>
      </c>
      <c r="I271" s="45">
        <f>J271-20496.7</f>
        <v>0</v>
      </c>
      <c r="J271" s="45">
        <v>20496.7</v>
      </c>
      <c r="K271" s="45">
        <f t="shared" si="54"/>
        <v>3.656954769926447E-5</v>
      </c>
      <c r="L271" s="53">
        <f t="shared" si="46"/>
        <v>217617447.30000001</v>
      </c>
    </row>
    <row r="272" spans="1:13" ht="14.85" customHeight="1" x14ac:dyDescent="0.25">
      <c r="A272" s="43" t="s">
        <v>95</v>
      </c>
      <c r="B272" s="44" t="s">
        <v>96</v>
      </c>
      <c r="C272" s="94">
        <v>91981070</v>
      </c>
      <c r="D272" s="94">
        <v>91981070</v>
      </c>
      <c r="E272" s="61">
        <f>F272-46479663.39</f>
        <v>21830682.159999996</v>
      </c>
      <c r="F272" s="94">
        <v>68310345.549999997</v>
      </c>
      <c r="G272" s="45">
        <f t="shared" si="52"/>
        <v>0.108316555466397</v>
      </c>
      <c r="H272" s="45">
        <f t="shared" si="45"/>
        <v>23670724.450000003</v>
      </c>
      <c r="I272" s="45">
        <f>J272-36776840.13</f>
        <v>23299477.699999996</v>
      </c>
      <c r="J272" s="94">
        <v>60076317.829999998</v>
      </c>
      <c r="K272" s="45">
        <f t="shared" si="54"/>
        <v>0.10718621878060162</v>
      </c>
      <c r="L272" s="53">
        <f t="shared" si="46"/>
        <v>31904752.170000002</v>
      </c>
    </row>
    <row r="273" spans="1:12" ht="14.85" customHeight="1" x14ac:dyDescent="0.2">
      <c r="A273" s="40" t="s">
        <v>242</v>
      </c>
      <c r="B273" s="70" t="s">
        <v>243</v>
      </c>
      <c r="C273" s="42">
        <f>SUM(C274:C276)</f>
        <v>0</v>
      </c>
      <c r="D273" s="42">
        <f>SUM(D274:D276)</f>
        <v>0</v>
      </c>
      <c r="E273" s="98">
        <f t="shared" si="51"/>
        <v>0</v>
      </c>
      <c r="F273" s="42">
        <f>SUM(F274:F276)</f>
        <v>0</v>
      </c>
      <c r="G273" s="42">
        <f t="shared" si="52"/>
        <v>0</v>
      </c>
      <c r="H273" s="42">
        <f t="shared" si="45"/>
        <v>0</v>
      </c>
      <c r="I273" s="42">
        <f t="shared" si="53"/>
        <v>0</v>
      </c>
      <c r="J273" s="42">
        <f>SUM(J274:J276)</f>
        <v>0</v>
      </c>
      <c r="K273" s="42">
        <f t="shared" si="54"/>
        <v>0</v>
      </c>
      <c r="L273" s="57">
        <f t="shared" si="46"/>
        <v>0</v>
      </c>
    </row>
    <row r="274" spans="1:12" ht="14.85" customHeight="1" x14ac:dyDescent="0.25">
      <c r="A274" s="43" t="s">
        <v>30</v>
      </c>
      <c r="B274" s="44" t="s">
        <v>31</v>
      </c>
      <c r="C274" s="45">
        <v>0</v>
      </c>
      <c r="D274" s="45">
        <v>0</v>
      </c>
      <c r="E274" s="61">
        <f t="shared" si="51"/>
        <v>0</v>
      </c>
      <c r="F274" s="45">
        <v>0</v>
      </c>
      <c r="G274" s="45">
        <f t="shared" si="52"/>
        <v>0</v>
      </c>
      <c r="H274" s="45">
        <f t="shared" si="45"/>
        <v>0</v>
      </c>
      <c r="I274" s="45">
        <f t="shared" si="53"/>
        <v>0</v>
      </c>
      <c r="J274" s="45">
        <v>0</v>
      </c>
      <c r="K274" s="45">
        <f t="shared" si="54"/>
        <v>0</v>
      </c>
      <c r="L274" s="53">
        <f t="shared" si="46"/>
        <v>0</v>
      </c>
    </row>
    <row r="275" spans="1:12" ht="14.85" customHeight="1" x14ac:dyDescent="0.25">
      <c r="A275" s="43" t="s">
        <v>36</v>
      </c>
      <c r="B275" s="44" t="s">
        <v>37</v>
      </c>
      <c r="C275" s="45">
        <v>0</v>
      </c>
      <c r="D275" s="45">
        <v>0</v>
      </c>
      <c r="E275" s="61">
        <f t="shared" si="51"/>
        <v>0</v>
      </c>
      <c r="F275" s="45">
        <v>0</v>
      </c>
      <c r="G275" s="45">
        <f t="shared" si="52"/>
        <v>0</v>
      </c>
      <c r="H275" s="45">
        <f t="shared" si="45"/>
        <v>0</v>
      </c>
      <c r="I275" s="45">
        <f t="shared" si="53"/>
        <v>0</v>
      </c>
      <c r="J275" s="45">
        <v>0</v>
      </c>
      <c r="K275" s="45">
        <f t="shared" si="54"/>
        <v>0</v>
      </c>
      <c r="L275" s="53">
        <f t="shared" si="46"/>
        <v>0</v>
      </c>
    </row>
    <row r="276" spans="1:12" ht="14.85" customHeight="1" x14ac:dyDescent="0.25">
      <c r="A276" s="43" t="s">
        <v>38</v>
      </c>
      <c r="B276" s="44" t="s">
        <v>39</v>
      </c>
      <c r="C276" s="45">
        <v>0</v>
      </c>
      <c r="D276" s="45">
        <v>0</v>
      </c>
      <c r="E276" s="61">
        <f t="shared" si="51"/>
        <v>0</v>
      </c>
      <c r="F276" s="45">
        <v>0</v>
      </c>
      <c r="G276" s="45">
        <f t="shared" si="52"/>
        <v>0</v>
      </c>
      <c r="H276" s="45">
        <f t="shared" si="45"/>
        <v>0</v>
      </c>
      <c r="I276" s="45">
        <f t="shared" si="53"/>
        <v>0</v>
      </c>
      <c r="J276" s="45">
        <v>0</v>
      </c>
      <c r="K276" s="45">
        <f t="shared" si="54"/>
        <v>0</v>
      </c>
      <c r="L276" s="53">
        <f t="shared" si="46"/>
        <v>0</v>
      </c>
    </row>
    <row r="277" spans="1:12" ht="14.85" customHeight="1" x14ac:dyDescent="0.2">
      <c r="A277" s="40" t="s">
        <v>244</v>
      </c>
      <c r="B277" s="70" t="s">
        <v>245</v>
      </c>
      <c r="C277" s="42">
        <f>SUM(C278:C281)</f>
        <v>26183668</v>
      </c>
      <c r="D277" s="42">
        <f>SUM(D278:D281)</f>
        <v>31341895.09</v>
      </c>
      <c r="E277" s="98">
        <f>SUM(E278:E281)</f>
        <v>10775386.469999999</v>
      </c>
      <c r="F277" s="42">
        <f>SUM(F278:F281)</f>
        <v>20681685.239999998</v>
      </c>
      <c r="G277" s="42">
        <f t="shared" si="52"/>
        <v>3.2793991721170909E-2</v>
      </c>
      <c r="H277" s="42">
        <f t="shared" si="45"/>
        <v>10660209.850000001</v>
      </c>
      <c r="I277" s="42">
        <f>SUM(I278:I281)</f>
        <v>5278363.54</v>
      </c>
      <c r="J277" s="42">
        <f>SUM(J278:J281)</f>
        <v>13036418.24</v>
      </c>
      <c r="K277" s="42">
        <f t="shared" si="54"/>
        <v>2.3259154822739336E-2</v>
      </c>
      <c r="L277" s="57">
        <f t="shared" si="46"/>
        <v>18305476.850000001</v>
      </c>
    </row>
    <row r="278" spans="1:12" ht="14.85" customHeight="1" x14ac:dyDescent="0.25">
      <c r="A278" s="43" t="s">
        <v>30</v>
      </c>
      <c r="B278" s="44" t="s">
        <v>31</v>
      </c>
      <c r="C278" s="94">
        <v>17800267</v>
      </c>
      <c r="D278" s="94">
        <v>24956874.789999999</v>
      </c>
      <c r="E278" s="61">
        <f>F278-9906298.77</f>
        <v>10775386.469999999</v>
      </c>
      <c r="F278" s="94">
        <v>20681685.239999998</v>
      </c>
      <c r="G278" s="45">
        <f t="shared" si="52"/>
        <v>3.2793991721170909E-2</v>
      </c>
      <c r="H278" s="45">
        <f t="shared" si="45"/>
        <v>4275189.5500000007</v>
      </c>
      <c r="I278" s="45">
        <f>J278-7758054.7</f>
        <v>5278363.54</v>
      </c>
      <c r="J278" s="94">
        <v>13036418.24</v>
      </c>
      <c r="K278" s="45">
        <f t="shared" si="54"/>
        <v>2.3259154822739336E-2</v>
      </c>
      <c r="L278" s="53">
        <f t="shared" si="46"/>
        <v>11920456.549999999</v>
      </c>
    </row>
    <row r="279" spans="1:12" ht="14.85" customHeight="1" x14ac:dyDescent="0.25">
      <c r="A279" s="43" t="s">
        <v>32</v>
      </c>
      <c r="B279" s="44" t="s">
        <v>33</v>
      </c>
      <c r="C279" s="94">
        <v>800000</v>
      </c>
      <c r="D279" s="94">
        <v>260000</v>
      </c>
      <c r="E279" s="61">
        <f t="shared" ref="E279:E281" si="55">F279-0</f>
        <v>0</v>
      </c>
      <c r="F279" s="45">
        <v>0</v>
      </c>
      <c r="G279" s="45">
        <f t="shared" si="52"/>
        <v>0</v>
      </c>
      <c r="H279" s="45">
        <f t="shared" si="45"/>
        <v>260000</v>
      </c>
      <c r="I279" s="45">
        <f t="shared" ref="I279:I281" si="56">J279-0</f>
        <v>0</v>
      </c>
      <c r="J279" s="45">
        <v>0</v>
      </c>
      <c r="K279" s="45">
        <f t="shared" si="54"/>
        <v>0</v>
      </c>
      <c r="L279" s="53">
        <f t="shared" si="46"/>
        <v>260000</v>
      </c>
    </row>
    <row r="280" spans="1:12" ht="14.85" customHeight="1" x14ac:dyDescent="0.25">
      <c r="A280" s="43" t="s">
        <v>91</v>
      </c>
      <c r="B280" s="44" t="s">
        <v>92</v>
      </c>
      <c r="C280" s="94">
        <v>5500000</v>
      </c>
      <c r="D280" s="94">
        <v>5500000</v>
      </c>
      <c r="E280" s="61">
        <f t="shared" si="55"/>
        <v>0</v>
      </c>
      <c r="F280" s="45">
        <v>0</v>
      </c>
      <c r="G280" s="45">
        <f t="shared" si="52"/>
        <v>0</v>
      </c>
      <c r="H280" s="45">
        <f t="shared" si="45"/>
        <v>5500000</v>
      </c>
      <c r="I280" s="45">
        <f t="shared" si="56"/>
        <v>0</v>
      </c>
      <c r="J280" s="45">
        <v>0</v>
      </c>
      <c r="K280" s="45">
        <f t="shared" si="54"/>
        <v>0</v>
      </c>
      <c r="L280" s="53">
        <f t="shared" si="46"/>
        <v>5500000</v>
      </c>
    </row>
    <row r="281" spans="1:12" ht="14.85" customHeight="1" x14ac:dyDescent="0.25">
      <c r="A281" s="43" t="s">
        <v>203</v>
      </c>
      <c r="B281" s="44" t="s">
        <v>204</v>
      </c>
      <c r="C281" s="94">
        <v>2083401</v>
      </c>
      <c r="D281" s="94">
        <v>625020.30000000005</v>
      </c>
      <c r="E281" s="61">
        <f t="shared" si="55"/>
        <v>0</v>
      </c>
      <c r="F281" s="45">
        <v>0</v>
      </c>
      <c r="G281" s="45">
        <f t="shared" si="52"/>
        <v>0</v>
      </c>
      <c r="H281" s="45">
        <f t="shared" si="45"/>
        <v>625020.30000000005</v>
      </c>
      <c r="I281" s="45">
        <f t="shared" si="56"/>
        <v>0</v>
      </c>
      <c r="J281" s="45">
        <v>0</v>
      </c>
      <c r="K281" s="45">
        <f t="shared" si="54"/>
        <v>0</v>
      </c>
      <c r="L281" s="53">
        <f t="shared" si="46"/>
        <v>625020.30000000005</v>
      </c>
    </row>
    <row r="282" spans="1:12" ht="14.85" customHeight="1" x14ac:dyDescent="0.2">
      <c r="A282" s="40" t="s">
        <v>246</v>
      </c>
      <c r="B282" s="70" t="s">
        <v>247</v>
      </c>
      <c r="C282" s="42">
        <f>SUM(C283:C292)</f>
        <v>2945132944</v>
      </c>
      <c r="D282" s="42">
        <f>SUM(D283:D292)</f>
        <v>3690280467.6099997</v>
      </c>
      <c r="E282" s="98">
        <f>SUM(E283:E292)</f>
        <v>613643168.77999997</v>
      </c>
      <c r="F282" s="42">
        <f>SUM(F283:F292)</f>
        <v>1868033356.2</v>
      </c>
      <c r="G282" s="42">
        <f t="shared" si="52"/>
        <v>2.9620540931360737</v>
      </c>
      <c r="H282" s="42">
        <f t="shared" si="45"/>
        <v>1822247111.4099996</v>
      </c>
      <c r="I282" s="42">
        <f>SUM(I283:I292)</f>
        <v>648428912.13</v>
      </c>
      <c r="J282" s="42">
        <f>SUM(J283:J292)</f>
        <v>1779231428.1699998</v>
      </c>
      <c r="K282" s="42">
        <f t="shared" si="54"/>
        <v>3.1744470368641413</v>
      </c>
      <c r="L282" s="57">
        <f t="shared" si="46"/>
        <v>1911049039.4399998</v>
      </c>
    </row>
    <row r="283" spans="1:12" ht="14.85" customHeight="1" x14ac:dyDescent="0.25">
      <c r="A283" s="43" t="s">
        <v>30</v>
      </c>
      <c r="B283" s="44" t="s">
        <v>31</v>
      </c>
      <c r="C283" s="94">
        <v>885836985</v>
      </c>
      <c r="D283" s="94">
        <v>952581103.87</v>
      </c>
      <c r="E283" s="61">
        <f>F283-431734675.48</f>
        <v>222008523.39999998</v>
      </c>
      <c r="F283" s="94">
        <v>653743198.88</v>
      </c>
      <c r="G283" s="45">
        <f t="shared" si="52"/>
        <v>1.036610353704547</v>
      </c>
      <c r="H283" s="45">
        <f t="shared" si="45"/>
        <v>298837904.99000001</v>
      </c>
      <c r="I283" s="45">
        <f>J283-414056391.82</f>
        <v>225008871.88000005</v>
      </c>
      <c r="J283" s="94">
        <v>639065263.70000005</v>
      </c>
      <c r="K283" s="45">
        <f t="shared" si="54"/>
        <v>1.1401995269394671</v>
      </c>
      <c r="L283" s="53">
        <f t="shared" si="46"/>
        <v>313515840.16999996</v>
      </c>
    </row>
    <row r="284" spans="1:12" ht="14.85" customHeight="1" x14ac:dyDescent="0.25">
      <c r="A284" s="43" t="s">
        <v>34</v>
      </c>
      <c r="B284" s="44" t="s">
        <v>35</v>
      </c>
      <c r="C284" s="45">
        <v>0</v>
      </c>
      <c r="D284" s="45">
        <v>0</v>
      </c>
      <c r="E284" s="61">
        <f t="shared" ref="E284:E292" si="57">F284-0</f>
        <v>0</v>
      </c>
      <c r="F284" s="45">
        <v>0</v>
      </c>
      <c r="G284" s="45">
        <f t="shared" si="52"/>
        <v>0</v>
      </c>
      <c r="H284" s="45">
        <f t="shared" si="45"/>
        <v>0</v>
      </c>
      <c r="I284" s="45">
        <f t="shared" ref="I284:I292" si="58">J284-0</f>
        <v>0</v>
      </c>
      <c r="J284" s="45">
        <v>0</v>
      </c>
      <c r="K284" s="45">
        <f t="shared" si="54"/>
        <v>0</v>
      </c>
      <c r="L284" s="53">
        <f t="shared" si="46"/>
        <v>0</v>
      </c>
    </row>
    <row r="285" spans="1:12" ht="14.85" customHeight="1" x14ac:dyDescent="0.25">
      <c r="A285" s="43" t="s">
        <v>71</v>
      </c>
      <c r="B285" s="44" t="s">
        <v>72</v>
      </c>
      <c r="C285" s="45">
        <v>0</v>
      </c>
      <c r="D285" s="45">
        <v>0</v>
      </c>
      <c r="E285" s="61">
        <f t="shared" si="57"/>
        <v>0</v>
      </c>
      <c r="F285" s="45">
        <v>0</v>
      </c>
      <c r="G285" s="45">
        <f t="shared" si="52"/>
        <v>0</v>
      </c>
      <c r="H285" s="45">
        <f t="shared" si="45"/>
        <v>0</v>
      </c>
      <c r="I285" s="45">
        <f t="shared" si="58"/>
        <v>0</v>
      </c>
      <c r="J285" s="45">
        <v>0</v>
      </c>
      <c r="K285" s="45">
        <f t="shared" si="54"/>
        <v>0</v>
      </c>
      <c r="L285" s="53">
        <f t="shared" si="46"/>
        <v>0</v>
      </c>
    </row>
    <row r="286" spans="1:12" ht="14.85" customHeight="1" x14ac:dyDescent="0.25">
      <c r="A286" s="43" t="s">
        <v>112</v>
      </c>
      <c r="B286" s="44" t="s">
        <v>113</v>
      </c>
      <c r="C286" s="45">
        <v>0</v>
      </c>
      <c r="D286" s="45">
        <v>0</v>
      </c>
      <c r="E286" s="61">
        <f t="shared" si="57"/>
        <v>0</v>
      </c>
      <c r="F286" s="45">
        <v>0</v>
      </c>
      <c r="G286" s="45">
        <f t="shared" si="52"/>
        <v>0</v>
      </c>
      <c r="H286" s="45">
        <f t="shared" si="45"/>
        <v>0</v>
      </c>
      <c r="I286" s="45">
        <f t="shared" si="58"/>
        <v>0</v>
      </c>
      <c r="J286" s="45">
        <v>0</v>
      </c>
      <c r="K286" s="45">
        <f t="shared" si="54"/>
        <v>0</v>
      </c>
      <c r="L286" s="53">
        <f t="shared" si="46"/>
        <v>0</v>
      </c>
    </row>
    <row r="287" spans="1:12" ht="14.85" customHeight="1" x14ac:dyDescent="0.25">
      <c r="A287" s="43" t="s">
        <v>77</v>
      </c>
      <c r="B287" s="44" t="s">
        <v>78</v>
      </c>
      <c r="C287" s="94">
        <v>35181007</v>
      </c>
      <c r="D287" s="94">
        <v>183214673.5</v>
      </c>
      <c r="E287" s="61">
        <f>F287-50963830.5</f>
        <v>72634478.359999999</v>
      </c>
      <c r="F287" s="45">
        <v>123598308.86</v>
      </c>
      <c r="G287" s="45">
        <f t="shared" si="52"/>
        <v>0.19598412172264382</v>
      </c>
      <c r="H287" s="45">
        <f t="shared" si="45"/>
        <v>59616364.640000001</v>
      </c>
      <c r="I287" s="45">
        <f>J287-29010284.07</f>
        <v>54027253.720000006</v>
      </c>
      <c r="J287" s="45">
        <v>83037537.790000007</v>
      </c>
      <c r="K287" s="45">
        <f t="shared" si="54"/>
        <v>0.14815288310024935</v>
      </c>
      <c r="L287" s="53">
        <f t="shared" si="46"/>
        <v>100177135.70999999</v>
      </c>
    </row>
    <row r="288" spans="1:12" ht="14.85" customHeight="1" x14ac:dyDescent="0.25">
      <c r="A288" s="43" t="s">
        <v>79</v>
      </c>
      <c r="B288" s="44" t="s">
        <v>80</v>
      </c>
      <c r="C288" s="94">
        <v>1520900444</v>
      </c>
      <c r="D288" s="94">
        <v>1945246132.9200001</v>
      </c>
      <c r="E288" s="61">
        <f>F288-476825158.36</f>
        <v>296492855.74000001</v>
      </c>
      <c r="F288" s="94">
        <v>773318014.10000002</v>
      </c>
      <c r="G288" s="45">
        <f t="shared" si="52"/>
        <v>1.2262146076558185</v>
      </c>
      <c r="H288" s="45">
        <f t="shared" si="45"/>
        <v>1171928118.8200002</v>
      </c>
      <c r="I288" s="45">
        <f>J288-472390439.23</f>
        <v>295927311.18999994</v>
      </c>
      <c r="J288" s="94">
        <v>768317750.41999996</v>
      </c>
      <c r="K288" s="45">
        <f t="shared" si="54"/>
        <v>1.3708076237724005</v>
      </c>
      <c r="L288" s="53">
        <f t="shared" si="46"/>
        <v>1176928382.5</v>
      </c>
    </row>
    <row r="289" spans="1:12" ht="14.85" customHeight="1" x14ac:dyDescent="0.25">
      <c r="A289" s="43" t="s">
        <v>126</v>
      </c>
      <c r="B289" s="44" t="s">
        <v>127</v>
      </c>
      <c r="C289" s="94">
        <v>10000</v>
      </c>
      <c r="D289" s="94">
        <v>10000</v>
      </c>
      <c r="E289" s="61">
        <f t="shared" si="57"/>
        <v>0</v>
      </c>
      <c r="F289" s="45">
        <v>0</v>
      </c>
      <c r="G289" s="45">
        <f t="shared" si="52"/>
        <v>0</v>
      </c>
      <c r="H289" s="45">
        <f t="shared" si="45"/>
        <v>10000</v>
      </c>
      <c r="I289" s="45">
        <f t="shared" si="58"/>
        <v>0</v>
      </c>
      <c r="J289" s="45">
        <v>0</v>
      </c>
      <c r="K289" s="45">
        <f t="shared" si="54"/>
        <v>0</v>
      </c>
      <c r="L289" s="53">
        <f t="shared" si="46"/>
        <v>10000</v>
      </c>
    </row>
    <row r="290" spans="1:12" ht="14.85" customHeight="1" x14ac:dyDescent="0.25">
      <c r="A290" s="43" t="s">
        <v>128</v>
      </c>
      <c r="B290" s="44" t="s">
        <v>129</v>
      </c>
      <c r="C290" s="94">
        <v>501515443</v>
      </c>
      <c r="D290" s="94">
        <v>596439158.99000001</v>
      </c>
      <c r="E290" s="61">
        <f>F290-294866523.08</f>
        <v>22400327.980000019</v>
      </c>
      <c r="F290" s="94">
        <v>317266851.06</v>
      </c>
      <c r="G290" s="45">
        <f t="shared" si="52"/>
        <v>0.50307537158241777</v>
      </c>
      <c r="H290" s="45">
        <f t="shared" si="45"/>
        <v>279172307.93000001</v>
      </c>
      <c r="I290" s="45">
        <f>J290-215345400.92</f>
        <v>73358492.050000042</v>
      </c>
      <c r="J290" s="45">
        <v>288703892.97000003</v>
      </c>
      <c r="K290" s="45">
        <f t="shared" si="54"/>
        <v>0.51509612693408013</v>
      </c>
      <c r="L290" s="53">
        <f t="shared" si="46"/>
        <v>307735266.01999998</v>
      </c>
    </row>
    <row r="291" spans="1:12" ht="14.85" customHeight="1" x14ac:dyDescent="0.25">
      <c r="A291" s="43" t="s">
        <v>97</v>
      </c>
      <c r="B291" s="44" t="s">
        <v>98</v>
      </c>
      <c r="C291" s="94">
        <v>20000</v>
      </c>
      <c r="D291" s="94">
        <v>20000</v>
      </c>
      <c r="E291" s="61">
        <f t="shared" si="57"/>
        <v>0</v>
      </c>
      <c r="F291" s="45">
        <v>0</v>
      </c>
      <c r="G291" s="45">
        <f t="shared" si="52"/>
        <v>0</v>
      </c>
      <c r="H291" s="45">
        <f t="shared" si="45"/>
        <v>20000</v>
      </c>
      <c r="I291" s="45">
        <f t="shared" si="58"/>
        <v>0</v>
      </c>
      <c r="J291" s="45">
        <v>0</v>
      </c>
      <c r="K291" s="45">
        <f t="shared" si="54"/>
        <v>0</v>
      </c>
      <c r="L291" s="53">
        <f t="shared" si="46"/>
        <v>20000</v>
      </c>
    </row>
    <row r="292" spans="1:12" ht="14.85" customHeight="1" x14ac:dyDescent="0.25">
      <c r="A292" s="43" t="s">
        <v>199</v>
      </c>
      <c r="B292" s="44" t="s">
        <v>200</v>
      </c>
      <c r="C292" s="94">
        <v>1669065</v>
      </c>
      <c r="D292" s="94">
        <v>12769398.33</v>
      </c>
      <c r="E292" s="61">
        <f t="shared" si="57"/>
        <v>106983.3</v>
      </c>
      <c r="F292" s="45">
        <v>106983.3</v>
      </c>
      <c r="G292" s="45">
        <f t="shared" si="52"/>
        <v>1.6963847064638645E-4</v>
      </c>
      <c r="H292" s="45">
        <f t="shared" si="45"/>
        <v>12662415.029999999</v>
      </c>
      <c r="I292" s="45">
        <f t="shared" si="58"/>
        <v>106983.29</v>
      </c>
      <c r="J292" s="45">
        <v>106983.29</v>
      </c>
      <c r="K292" s="45">
        <f t="shared" si="54"/>
        <v>1.9087611794480297E-4</v>
      </c>
      <c r="L292" s="53">
        <f t="shared" si="46"/>
        <v>12662415.040000001</v>
      </c>
    </row>
    <row r="293" spans="1:12" ht="14.85" customHeight="1" x14ac:dyDescent="0.2">
      <c r="A293" s="40" t="s">
        <v>248</v>
      </c>
      <c r="B293" s="70" t="s">
        <v>249</v>
      </c>
      <c r="C293" s="42">
        <f>SUM(C294:C297)</f>
        <v>136504356</v>
      </c>
      <c r="D293" s="42">
        <f>SUM(D294:D297)</f>
        <v>201940452.25</v>
      </c>
      <c r="E293" s="98">
        <f>SUM(E294:E297)</f>
        <v>30958776.420000006</v>
      </c>
      <c r="F293" s="42">
        <f>SUM(F294:F297)</f>
        <v>117048218.48</v>
      </c>
      <c r="G293" s="42">
        <f t="shared" si="52"/>
        <v>0.18559794636014509</v>
      </c>
      <c r="H293" s="42">
        <f t="shared" si="45"/>
        <v>84892233.769999996</v>
      </c>
      <c r="I293" s="42">
        <f>SUM(I294:I297)</f>
        <v>31095280.849999994</v>
      </c>
      <c r="J293" s="42">
        <f>SUM(J294:J297)</f>
        <v>102991002.23999999</v>
      </c>
      <c r="K293" s="42">
        <f t="shared" si="54"/>
        <v>0.18375320754124971</v>
      </c>
      <c r="L293" s="57">
        <f t="shared" si="46"/>
        <v>98949450.010000005</v>
      </c>
    </row>
    <row r="294" spans="1:12" ht="14.85" customHeight="1" x14ac:dyDescent="0.25">
      <c r="A294" s="43" t="s">
        <v>30</v>
      </c>
      <c r="B294" s="44" t="s">
        <v>31</v>
      </c>
      <c r="C294" s="94">
        <v>37939096</v>
      </c>
      <c r="D294" s="94">
        <v>38139096</v>
      </c>
      <c r="E294" s="61">
        <f>F294-15368593.75</f>
        <v>8867575.4400000013</v>
      </c>
      <c r="F294" s="94">
        <v>24236169.190000001</v>
      </c>
      <c r="G294" s="45">
        <f t="shared" si="52"/>
        <v>3.8430172519623822E-2</v>
      </c>
      <c r="H294" s="45">
        <f t="shared" si="45"/>
        <v>13902926.809999999</v>
      </c>
      <c r="I294" s="45">
        <f>J294-13981074.72</f>
        <v>9135358.9500000011</v>
      </c>
      <c r="J294" s="94">
        <v>23116433.670000002</v>
      </c>
      <c r="K294" s="45">
        <f t="shared" si="54"/>
        <v>4.1243591589472849E-2</v>
      </c>
      <c r="L294" s="53">
        <f t="shared" si="46"/>
        <v>15022662.329999998</v>
      </c>
    </row>
    <row r="295" spans="1:12" ht="14.85" customHeight="1" x14ac:dyDescent="0.25">
      <c r="A295" s="43" t="s">
        <v>250</v>
      </c>
      <c r="B295" s="44" t="s">
        <v>251</v>
      </c>
      <c r="C295" s="94">
        <v>15750000</v>
      </c>
      <c r="D295" s="94">
        <v>10920000</v>
      </c>
      <c r="E295" s="61">
        <f>F295-7069220</f>
        <v>3493360</v>
      </c>
      <c r="F295" s="94">
        <v>10562580</v>
      </c>
      <c r="G295" s="45">
        <f t="shared" si="52"/>
        <v>1.6748594568312146E-2</v>
      </c>
      <c r="H295" s="45">
        <f t="shared" si="45"/>
        <v>357420</v>
      </c>
      <c r="I295" s="45">
        <f>J295-6880940</f>
        <v>3036900</v>
      </c>
      <c r="J295" s="94">
        <v>9917840</v>
      </c>
      <c r="K295" s="45">
        <f t="shared" si="54"/>
        <v>1.7695088621762192E-2</v>
      </c>
      <c r="L295" s="53">
        <f t="shared" si="46"/>
        <v>1002160</v>
      </c>
    </row>
    <row r="296" spans="1:12" ht="14.85" customHeight="1" x14ac:dyDescent="0.25">
      <c r="A296" s="43" t="s">
        <v>132</v>
      </c>
      <c r="B296" s="44" t="s">
        <v>133</v>
      </c>
      <c r="C296" s="94">
        <v>82805260</v>
      </c>
      <c r="D296" s="94">
        <v>152774356.25</v>
      </c>
      <c r="E296" s="61">
        <f>F296-63651628.31</f>
        <v>18597840.980000004</v>
      </c>
      <c r="F296" s="94">
        <v>82249469.290000007</v>
      </c>
      <c r="G296" s="45">
        <f t="shared" ref="G296" si="59">(F296/$F$309)*100</f>
        <v>0.13041917927220911</v>
      </c>
      <c r="H296" s="45">
        <f t="shared" si="45"/>
        <v>70524886.959999993</v>
      </c>
      <c r="I296" s="45">
        <f>J296-51033706.67</f>
        <v>18923021.899999991</v>
      </c>
      <c r="J296" s="94">
        <v>69956728.569999993</v>
      </c>
      <c r="K296" s="45">
        <f t="shared" ref="K296" si="60">(J296/$J$309)*100</f>
        <v>0.12481452733001468</v>
      </c>
      <c r="L296" s="53">
        <f t="shared" si="46"/>
        <v>82817627.680000007</v>
      </c>
    </row>
    <row r="297" spans="1:12" ht="14.85" customHeight="1" x14ac:dyDescent="0.25">
      <c r="A297" s="43" t="s">
        <v>252</v>
      </c>
      <c r="B297" s="44" t="s">
        <v>253</v>
      </c>
      <c r="C297" s="94">
        <v>10000</v>
      </c>
      <c r="D297" s="94">
        <v>107000</v>
      </c>
      <c r="E297" s="61">
        <f t="shared" ref="E297:E302" si="61">F297-0</f>
        <v>0</v>
      </c>
      <c r="F297" s="45">
        <v>0</v>
      </c>
      <c r="G297" s="45">
        <f t="shared" ref="G297:G303" si="62">(F297/$F$309)*100</f>
        <v>0</v>
      </c>
      <c r="H297" s="45">
        <f t="shared" si="45"/>
        <v>107000</v>
      </c>
      <c r="I297" s="45">
        <f t="shared" ref="I297" si="63">J297-0</f>
        <v>0</v>
      </c>
      <c r="J297" s="45">
        <v>0</v>
      </c>
      <c r="K297" s="45">
        <f t="shared" ref="K297:K301" si="64">(J297/$J$309)*100</f>
        <v>0</v>
      </c>
      <c r="L297" s="53">
        <f t="shared" si="46"/>
        <v>107000</v>
      </c>
    </row>
    <row r="298" spans="1:12" ht="14.85" customHeight="1" x14ac:dyDescent="0.2">
      <c r="A298" s="40" t="s">
        <v>254</v>
      </c>
      <c r="B298" s="70" t="s">
        <v>255</v>
      </c>
      <c r="C298" s="42">
        <f>SUM(C299:C303)</f>
        <v>12880328553</v>
      </c>
      <c r="D298" s="42">
        <f>SUM(D299:D303)</f>
        <v>12345361456.17</v>
      </c>
      <c r="E298" s="98">
        <f>SUM(E299:E303)</f>
        <v>1195276269.27</v>
      </c>
      <c r="F298" s="42">
        <f>SUM(F299:F303)</f>
        <v>4006116727.9400005</v>
      </c>
      <c r="G298" s="42">
        <f t="shared" si="62"/>
        <v>6.3523140056312295</v>
      </c>
      <c r="H298" s="42">
        <f t="shared" si="45"/>
        <v>8339244728.2299995</v>
      </c>
      <c r="I298" s="42">
        <f>SUM(I299:I303)</f>
        <v>1252136199.2199998</v>
      </c>
      <c r="J298" s="42">
        <f>SUM(J299:J303)</f>
        <v>3995659233.0500002</v>
      </c>
      <c r="K298" s="42">
        <f t="shared" si="64"/>
        <v>7.1289256764761371</v>
      </c>
      <c r="L298" s="57">
        <f t="shared" si="46"/>
        <v>8349702223.1199999</v>
      </c>
    </row>
    <row r="299" spans="1:12" ht="14.85" customHeight="1" x14ac:dyDescent="0.25">
      <c r="A299" s="43" t="s">
        <v>61</v>
      </c>
      <c r="B299" s="44" t="s">
        <v>62</v>
      </c>
      <c r="C299" s="94">
        <v>729944573</v>
      </c>
      <c r="D299" s="94">
        <v>459344573</v>
      </c>
      <c r="E299" s="61">
        <f>F299-41946012.89</f>
        <v>33607075.450000003</v>
      </c>
      <c r="F299" s="94">
        <v>75553088.340000004</v>
      </c>
      <c r="G299" s="45">
        <f t="shared" si="62"/>
        <v>0.11980103771905459</v>
      </c>
      <c r="H299" s="45">
        <f t="shared" si="45"/>
        <v>383791484.65999997</v>
      </c>
      <c r="I299" s="45">
        <f>J299-40528562.54</f>
        <v>35020542.869999997</v>
      </c>
      <c r="J299" s="94">
        <v>75549105.409999996</v>
      </c>
      <c r="K299" s="45">
        <f t="shared" si="64"/>
        <v>0.13479226480007778</v>
      </c>
      <c r="L299" s="53">
        <f t="shared" si="46"/>
        <v>383795467.59000003</v>
      </c>
    </row>
    <row r="300" spans="1:12" ht="14.85" customHeight="1" x14ac:dyDescent="0.25">
      <c r="A300" s="43" t="s">
        <v>256</v>
      </c>
      <c r="B300" s="44" t="s">
        <v>257</v>
      </c>
      <c r="C300" s="94">
        <v>9997573021</v>
      </c>
      <c r="D300" s="94">
        <v>9366205924.1700001</v>
      </c>
      <c r="E300" s="61">
        <f>F300-1850215046.15</f>
        <v>765687590.50999975</v>
      </c>
      <c r="F300" s="94">
        <v>2615902636.6599998</v>
      </c>
      <c r="G300" s="45">
        <f t="shared" si="62"/>
        <v>4.1479158209071167</v>
      </c>
      <c r="H300" s="45">
        <f t="shared" si="45"/>
        <v>6750303287.5100002</v>
      </c>
      <c r="I300" s="45">
        <f>J300-1850215046.15</f>
        <v>765687590.50999975</v>
      </c>
      <c r="J300" s="94">
        <v>2615902636.6599998</v>
      </c>
      <c r="K300" s="45">
        <f t="shared" si="64"/>
        <v>4.6672086847136152</v>
      </c>
      <c r="L300" s="53">
        <f t="shared" si="46"/>
        <v>6750303287.5100002</v>
      </c>
    </row>
    <row r="301" spans="1:12" ht="14.85" customHeight="1" x14ac:dyDescent="0.25">
      <c r="A301" s="43" t="s">
        <v>258</v>
      </c>
      <c r="B301" s="44" t="s">
        <v>259</v>
      </c>
      <c r="C301" s="94">
        <v>416296601</v>
      </c>
      <c r="D301" s="94">
        <v>783296601</v>
      </c>
      <c r="E301" s="61">
        <f>F301-249253225.37</f>
        <v>53050867.100000024</v>
      </c>
      <c r="F301" s="94">
        <v>302304092.47000003</v>
      </c>
      <c r="G301" s="45">
        <f t="shared" si="62"/>
        <v>0.4793496173398521</v>
      </c>
      <c r="H301" s="45">
        <f t="shared" si="45"/>
        <v>480992508.52999997</v>
      </c>
      <c r="I301" s="45">
        <f>J301-249253225.37</f>
        <v>53050867.100000024</v>
      </c>
      <c r="J301" s="94">
        <v>302304092.47000003</v>
      </c>
      <c r="K301" s="45">
        <f t="shared" si="64"/>
        <v>0.53936116200483608</v>
      </c>
      <c r="L301" s="53">
        <f t="shared" si="46"/>
        <v>480992508.52999997</v>
      </c>
    </row>
    <row r="302" spans="1:12" ht="14.85" customHeight="1" x14ac:dyDescent="0.25">
      <c r="A302" s="43" t="s">
        <v>260</v>
      </c>
      <c r="B302" s="44" t="s">
        <v>261</v>
      </c>
      <c r="C302" s="94">
        <v>1444328</v>
      </c>
      <c r="D302" s="94">
        <v>1444328</v>
      </c>
      <c r="E302" s="61">
        <f t="shared" si="61"/>
        <v>0</v>
      </c>
      <c r="F302" s="45">
        <v>0</v>
      </c>
      <c r="G302" s="45">
        <f t="shared" si="62"/>
        <v>0</v>
      </c>
      <c r="H302" s="45">
        <f t="shared" ref="H302:H307" si="65">D302-F302</f>
        <v>1444328</v>
      </c>
      <c r="I302" s="45">
        <f t="shared" ref="I302" si="66">J302-0</f>
        <v>0</v>
      </c>
      <c r="J302" s="45">
        <v>0</v>
      </c>
      <c r="K302" s="45">
        <f t="shared" ref="K302:K308" si="67">(J302/$J$309)*100</f>
        <v>0</v>
      </c>
      <c r="L302" s="53">
        <f t="shared" ref="L302:L307" si="68">D302-J302</f>
        <v>1444328</v>
      </c>
    </row>
    <row r="303" spans="1:12" ht="14.85" customHeight="1" x14ac:dyDescent="0.25">
      <c r="A303" s="43" t="s">
        <v>262</v>
      </c>
      <c r="B303" s="44" t="s">
        <v>263</v>
      </c>
      <c r="C303" s="94">
        <v>1735070030</v>
      </c>
      <c r="D303" s="94">
        <v>1735070030</v>
      </c>
      <c r="E303" s="61">
        <f>F303-669426174.26</f>
        <v>342930736.21000004</v>
      </c>
      <c r="F303" s="94">
        <v>1012356910.47</v>
      </c>
      <c r="G303" s="45">
        <f t="shared" si="62"/>
        <v>1.6052475296652058</v>
      </c>
      <c r="H303" s="45">
        <f t="shared" si="65"/>
        <v>722713119.52999997</v>
      </c>
      <c r="I303" s="45">
        <f>J303-603526199.77</f>
        <v>398377198.74000001</v>
      </c>
      <c r="J303" s="94">
        <v>1001903398.51</v>
      </c>
      <c r="K303" s="45">
        <f t="shared" si="67"/>
        <v>1.7875635649576087</v>
      </c>
      <c r="L303" s="53">
        <f t="shared" si="68"/>
        <v>733166631.49000001</v>
      </c>
    </row>
    <row r="304" spans="1:12" ht="14.85" customHeight="1" x14ac:dyDescent="0.25">
      <c r="A304" s="40" t="s">
        <v>264</v>
      </c>
      <c r="B304" s="70" t="s">
        <v>265</v>
      </c>
      <c r="C304" s="42">
        <f>SUM(C305:C307)</f>
        <v>919658425</v>
      </c>
      <c r="D304" s="57">
        <f>SUM(D305:D307)</f>
        <v>895190882</v>
      </c>
      <c r="E304" s="77"/>
      <c r="F304" s="77"/>
      <c r="G304" s="77"/>
      <c r="H304" s="42">
        <f t="shared" si="65"/>
        <v>895190882</v>
      </c>
      <c r="I304" s="77"/>
      <c r="J304" s="77"/>
      <c r="K304" s="77"/>
      <c r="L304" s="57">
        <f t="shared" si="68"/>
        <v>895190882</v>
      </c>
    </row>
    <row r="305" spans="1:12" ht="14.85" customHeight="1" x14ac:dyDescent="0.25">
      <c r="A305" s="43" t="s">
        <v>30</v>
      </c>
      <c r="B305" s="52" t="s">
        <v>31</v>
      </c>
      <c r="C305" s="94">
        <v>24467543</v>
      </c>
      <c r="D305" s="94">
        <v>0</v>
      </c>
      <c r="E305" s="77"/>
      <c r="F305" s="77"/>
      <c r="G305" s="77"/>
      <c r="H305" s="45">
        <f t="shared" si="65"/>
        <v>0</v>
      </c>
      <c r="I305" s="77"/>
      <c r="J305" s="77"/>
      <c r="K305" s="77"/>
      <c r="L305" s="53">
        <f t="shared" si="68"/>
        <v>0</v>
      </c>
    </row>
    <row r="306" spans="1:12" ht="14.85" customHeight="1" x14ac:dyDescent="0.25">
      <c r="A306" s="43" t="s">
        <v>266</v>
      </c>
      <c r="B306" s="52" t="s">
        <v>267</v>
      </c>
      <c r="C306" s="94">
        <v>895180882</v>
      </c>
      <c r="D306" s="94">
        <v>895180882</v>
      </c>
      <c r="E306" s="77"/>
      <c r="F306" s="77"/>
      <c r="G306" s="77"/>
      <c r="H306" s="45">
        <f t="shared" si="65"/>
        <v>895180882</v>
      </c>
      <c r="I306" s="77"/>
      <c r="J306" s="77"/>
      <c r="K306" s="77"/>
      <c r="L306" s="53">
        <f t="shared" si="68"/>
        <v>895180882</v>
      </c>
    </row>
    <row r="307" spans="1:12" ht="14.85" customHeight="1" x14ac:dyDescent="0.25">
      <c r="A307" s="43" t="s">
        <v>268</v>
      </c>
      <c r="B307" s="44" t="s">
        <v>269</v>
      </c>
      <c r="C307" s="94">
        <v>10000</v>
      </c>
      <c r="D307" s="94">
        <v>10000</v>
      </c>
      <c r="E307" s="77"/>
      <c r="F307" s="77"/>
      <c r="G307" s="77"/>
      <c r="H307" s="45">
        <f t="shared" si="65"/>
        <v>10000</v>
      </c>
      <c r="I307" s="77"/>
      <c r="J307" s="77"/>
      <c r="K307" s="77"/>
      <c r="L307" s="53">
        <f t="shared" si="68"/>
        <v>10000</v>
      </c>
    </row>
    <row r="308" spans="1:12" ht="14.85" customHeight="1" x14ac:dyDescent="0.2">
      <c r="A308" s="40"/>
      <c r="B308" s="70" t="s">
        <v>270</v>
      </c>
      <c r="C308" s="42">
        <f>C325</f>
        <v>8455219897</v>
      </c>
      <c r="D308" s="42">
        <f>D325</f>
        <v>8758689508.4099979</v>
      </c>
      <c r="E308" s="98">
        <f>E325</f>
        <v>1357665904.5100002</v>
      </c>
      <c r="F308" s="42">
        <f>F325</f>
        <v>5099321909.0599995</v>
      </c>
      <c r="G308" s="42">
        <f>(F308/$F$309)*100</f>
        <v>8.0857588986930686</v>
      </c>
      <c r="H308" s="42">
        <f>D308-F308</f>
        <v>3659367599.3499985</v>
      </c>
      <c r="I308" s="42">
        <f>I325</f>
        <v>1463592676.1400001</v>
      </c>
      <c r="J308" s="42">
        <f>J325</f>
        <v>4850635294.7399988</v>
      </c>
      <c r="K308" s="42">
        <f t="shared" si="67"/>
        <v>8.6543462500173263</v>
      </c>
      <c r="L308" s="57">
        <f>D308-J308</f>
        <v>3908054213.6699991</v>
      </c>
    </row>
    <row r="309" spans="1:12" ht="14.85" customHeight="1" x14ac:dyDescent="0.2">
      <c r="A309" s="119" t="s">
        <v>271</v>
      </c>
      <c r="B309" s="120"/>
      <c r="C309" s="59">
        <f t="shared" ref="C309:L309" si="69">C13+C308</f>
        <v>126571670996</v>
      </c>
      <c r="D309" s="59">
        <f t="shared" si="69"/>
        <v>131312961824.63</v>
      </c>
      <c r="E309" s="103">
        <f t="shared" si="69"/>
        <v>20300342788.889999</v>
      </c>
      <c r="F309" s="59">
        <f t="shared" si="69"/>
        <v>63065470699.160004</v>
      </c>
      <c r="G309" s="59">
        <f t="shared" si="69"/>
        <v>100.00000000000001</v>
      </c>
      <c r="H309" s="59">
        <f t="shared" si="69"/>
        <v>68247491125.469994</v>
      </c>
      <c r="I309" s="59">
        <f t="shared" si="69"/>
        <v>20663948357.610004</v>
      </c>
      <c r="J309" s="59">
        <f t="shared" si="69"/>
        <v>56048546644.759995</v>
      </c>
      <c r="K309" s="59">
        <f t="shared" si="69"/>
        <v>100</v>
      </c>
      <c r="L309" s="60">
        <f t="shared" si="69"/>
        <v>75264415179.87001</v>
      </c>
    </row>
    <row r="310" spans="1:12" ht="15" x14ac:dyDescent="0.25">
      <c r="A310" s="48"/>
      <c r="B310" s="48"/>
      <c r="C310" s="62"/>
      <c r="D310" s="62"/>
      <c r="E310" s="108"/>
      <c r="F310" s="62"/>
      <c r="G310" s="62"/>
      <c r="H310" s="62"/>
      <c r="I310" s="62"/>
      <c r="J310" s="62"/>
      <c r="K310" s="62"/>
      <c r="L310" s="51" t="s">
        <v>272</v>
      </c>
    </row>
    <row r="311" spans="1:12" ht="15" x14ac:dyDescent="0.25">
      <c r="A311" s="48"/>
      <c r="B311" s="48"/>
      <c r="C311" s="62"/>
      <c r="D311" s="62"/>
      <c r="E311" s="62"/>
      <c r="F311" s="62"/>
      <c r="G311" s="62"/>
      <c r="H311" s="62"/>
      <c r="I311" s="62"/>
      <c r="J311" s="62"/>
      <c r="K311" s="62"/>
      <c r="L311" s="62"/>
    </row>
    <row r="312" spans="1:12" ht="15" x14ac:dyDescent="0.25">
      <c r="A312" s="29"/>
      <c r="B312" s="30"/>
      <c r="C312" s="63"/>
      <c r="D312" s="63"/>
      <c r="E312" s="63"/>
      <c r="F312" s="63"/>
      <c r="G312" s="63"/>
      <c r="H312" s="63"/>
      <c r="I312" s="63"/>
      <c r="J312" s="63"/>
      <c r="K312" s="63"/>
      <c r="L312" s="63"/>
    </row>
    <row r="313" spans="1:12" ht="15.75" x14ac:dyDescent="0.25">
      <c r="A313" s="29"/>
      <c r="B313" s="30"/>
      <c r="C313" s="31"/>
      <c r="D313" s="31"/>
      <c r="F313" s="32"/>
      <c r="G313" s="33"/>
      <c r="H313" s="32"/>
      <c r="I313" s="32"/>
      <c r="J313" s="32"/>
      <c r="K313" s="33"/>
      <c r="L313" s="32"/>
    </row>
    <row r="314" spans="1:12" ht="15.75" x14ac:dyDescent="0.25">
      <c r="A314" s="26"/>
      <c r="B314" s="22"/>
      <c r="C314" s="27"/>
      <c r="D314" s="27"/>
      <c r="E314" s="101"/>
      <c r="F314" s="27"/>
      <c r="G314" s="28"/>
      <c r="H314" s="27"/>
      <c r="I314" s="27"/>
      <c r="J314" s="27"/>
      <c r="K314" s="28"/>
      <c r="L314" s="21" t="s">
        <v>179</v>
      </c>
    </row>
    <row r="315" spans="1:12" ht="15.75" x14ac:dyDescent="0.25">
      <c r="A315" s="117" t="s">
        <v>0</v>
      </c>
      <c r="B315" s="117"/>
      <c r="C315" s="117"/>
      <c r="D315" s="117"/>
      <c r="E315" s="117"/>
      <c r="F315" s="117"/>
      <c r="G315" s="117"/>
      <c r="H315" s="117"/>
      <c r="I315" s="117"/>
      <c r="J315" s="117"/>
      <c r="K315" s="117"/>
      <c r="L315" s="117"/>
    </row>
    <row r="316" spans="1:12" ht="15.75" x14ac:dyDescent="0.25">
      <c r="A316" s="117" t="s">
        <v>1</v>
      </c>
      <c r="B316" s="117"/>
      <c r="C316" s="117"/>
      <c r="D316" s="117"/>
      <c r="E316" s="117"/>
      <c r="F316" s="117"/>
      <c r="G316" s="117"/>
      <c r="H316" s="117"/>
      <c r="I316" s="117"/>
      <c r="J316" s="117"/>
      <c r="K316" s="117"/>
      <c r="L316" s="117"/>
    </row>
    <row r="317" spans="1:12" ht="15.75" x14ac:dyDescent="0.25">
      <c r="A317" s="118" t="s">
        <v>2</v>
      </c>
      <c r="B317" s="118"/>
      <c r="C317" s="118"/>
      <c r="D317" s="118"/>
      <c r="E317" s="118"/>
      <c r="F317" s="118"/>
      <c r="G317" s="118"/>
      <c r="H317" s="118"/>
      <c r="I317" s="118"/>
      <c r="J317" s="118"/>
      <c r="K317" s="118"/>
      <c r="L317" s="118"/>
    </row>
    <row r="318" spans="1:12" ht="15.75" x14ac:dyDescent="0.25">
      <c r="A318" s="117" t="s">
        <v>3</v>
      </c>
      <c r="B318" s="117"/>
      <c r="C318" s="117"/>
      <c r="D318" s="117"/>
      <c r="E318" s="117"/>
      <c r="F318" s="117"/>
      <c r="G318" s="117"/>
      <c r="H318" s="117"/>
      <c r="I318" s="117"/>
      <c r="J318" s="117"/>
      <c r="K318" s="117"/>
      <c r="L318" s="117"/>
    </row>
    <row r="319" spans="1:12" ht="15.75" x14ac:dyDescent="0.25">
      <c r="A319" s="117" t="str">
        <f>A162</f>
        <v>JANEIRO A JUNHO  2026/BIMESTRE MAIO - JUNHO</v>
      </c>
      <c r="B319" s="117"/>
      <c r="C319" s="117"/>
      <c r="D319" s="117"/>
      <c r="E319" s="117"/>
      <c r="F319" s="117"/>
      <c r="G319" s="117"/>
      <c r="H319" s="117"/>
      <c r="I319" s="117"/>
      <c r="J319" s="117"/>
      <c r="K319" s="117"/>
      <c r="L319" s="117"/>
    </row>
    <row r="320" spans="1:12" ht="15.75" x14ac:dyDescent="0.25">
      <c r="A320" s="26"/>
      <c r="B320" s="26"/>
      <c r="C320" s="35"/>
      <c r="D320" s="26"/>
      <c r="E320" s="67"/>
      <c r="F320" s="26"/>
      <c r="G320" s="26"/>
      <c r="H320" s="26"/>
      <c r="I320" s="26"/>
      <c r="J320" s="26"/>
      <c r="K320" s="26"/>
      <c r="L320" s="21" t="str">
        <f>L163</f>
        <v>Emissão: 17/07/2026</v>
      </c>
    </row>
    <row r="321" spans="1:12" ht="15.75" x14ac:dyDescent="0.25">
      <c r="A321" s="23" t="s">
        <v>4</v>
      </c>
      <c r="B321" s="22"/>
      <c r="C321" s="22"/>
      <c r="D321" s="22"/>
      <c r="E321" s="3"/>
      <c r="F321" s="24"/>
      <c r="G321" s="24"/>
      <c r="H321" s="24"/>
      <c r="I321" s="22"/>
      <c r="J321" s="22"/>
      <c r="K321" s="21"/>
      <c r="L321" s="25">
        <v>1</v>
      </c>
    </row>
    <row r="322" spans="1:12" ht="13.5" customHeight="1" x14ac:dyDescent="0.25">
      <c r="A322" s="8"/>
      <c r="B322" s="9"/>
      <c r="C322" s="10" t="s">
        <v>5</v>
      </c>
      <c r="D322" s="10" t="s">
        <v>5</v>
      </c>
      <c r="E322" s="114" t="s">
        <v>6</v>
      </c>
      <c r="F322" s="115"/>
      <c r="G322" s="116"/>
      <c r="H322" s="10" t="s">
        <v>7</v>
      </c>
      <c r="I322" s="114" t="s">
        <v>8</v>
      </c>
      <c r="J322" s="115"/>
      <c r="K322" s="116"/>
      <c r="L322" s="11" t="s">
        <v>7</v>
      </c>
    </row>
    <row r="323" spans="1:12" ht="14.25" customHeight="1" x14ac:dyDescent="0.2">
      <c r="A323" s="12" t="s">
        <v>9</v>
      </c>
      <c r="B323" s="13" t="s">
        <v>273</v>
      </c>
      <c r="C323" s="13" t="s">
        <v>11</v>
      </c>
      <c r="D323" s="13" t="s">
        <v>12</v>
      </c>
      <c r="E323" s="13" t="s">
        <v>13</v>
      </c>
      <c r="F323" s="13" t="s">
        <v>14</v>
      </c>
      <c r="G323" s="13" t="s">
        <v>15</v>
      </c>
      <c r="H323" s="14"/>
      <c r="I323" s="13" t="s">
        <v>13</v>
      </c>
      <c r="J323" s="13" t="s">
        <v>14</v>
      </c>
      <c r="K323" s="13" t="s">
        <v>15</v>
      </c>
      <c r="L323" s="15"/>
    </row>
    <row r="324" spans="1:12" ht="13.5" customHeight="1" x14ac:dyDescent="0.25">
      <c r="A324" s="16"/>
      <c r="B324" s="17"/>
      <c r="C324" s="17"/>
      <c r="D324" s="18" t="s">
        <v>16</v>
      </c>
      <c r="E324" s="18"/>
      <c r="F324" s="18" t="s">
        <v>17</v>
      </c>
      <c r="G324" s="18" t="s">
        <v>274</v>
      </c>
      <c r="H324" s="19" t="s">
        <v>19</v>
      </c>
      <c r="I324" s="18"/>
      <c r="J324" s="18" t="s">
        <v>20</v>
      </c>
      <c r="K324" s="18" t="s">
        <v>275</v>
      </c>
      <c r="L324" s="20" t="s">
        <v>22</v>
      </c>
    </row>
    <row r="325" spans="1:12" ht="14.85" customHeight="1" x14ac:dyDescent="0.2">
      <c r="A325" s="40"/>
      <c r="B325" s="78" t="s">
        <v>270</v>
      </c>
      <c r="C325" s="79">
        <f>C326+C331+C334+C340+C348+C354+C358+C360+C364+C367+C375+C378+C392+C382+C385+C387+C389+C400+C405+C407+C410+C413+C416+C420+C423</f>
        <v>8455219897</v>
      </c>
      <c r="D325" s="79">
        <f>D326+D331+D334+D340+D348+D354+D358+D360+D364+D367+D375+D378+D382+D385+D387+D389+D392+D400+D405+D407+D410+D416+D420+D423+D413</f>
        <v>8758689508.4099979</v>
      </c>
      <c r="E325" s="104">
        <f>E326+E331+E334+E340+E348+E354+E358+E360+E364+E367+E375+E378+E382+E385+E387+E389+E392+E400+E405+E407+E410+E416+E420+E423+E413</f>
        <v>1357665904.5100002</v>
      </c>
      <c r="F325" s="79">
        <f>F326+F331+F334+F340+F348+F354+F358+F360+F364+F367+F375+F378+F382+F385+F387+F389+F392+F400+F405+F407+F410+F416+F420+F423+F413</f>
        <v>5099321909.0599995</v>
      </c>
      <c r="G325" s="80">
        <f t="shared" ref="G325:G389" si="70">(F325/$F$309)*100</f>
        <v>8.0857588986930686</v>
      </c>
      <c r="H325" s="79">
        <f>D325-F325</f>
        <v>3659367599.3499985</v>
      </c>
      <c r="I325" s="79">
        <f>I326+I331+I334+I340+I348+I354+I358+I360+I364+I367+I375+I378+I382+I385+I387+I389+I392+I400+I405+I407+I410+I416+I420+I423+I413</f>
        <v>1463592676.1400001</v>
      </c>
      <c r="J325" s="79">
        <f>J326+J331+J334+J340+J348+J354+J358+J360+J364+J367+J375+J378+J382+J385+J387+J389+J392+J400+J405+J407+J410+J416+J420+J423+J413</f>
        <v>4850635294.7399988</v>
      </c>
      <c r="K325" s="79">
        <f t="shared" ref="K325:K389" si="71">(J325/$J$309)*100</f>
        <v>8.6543462500173263</v>
      </c>
      <c r="L325" s="80">
        <f>D325-J325</f>
        <v>3908054213.6699991</v>
      </c>
    </row>
    <row r="326" spans="1:12" ht="14.85" customHeight="1" x14ac:dyDescent="0.2">
      <c r="A326" s="40" t="s">
        <v>24</v>
      </c>
      <c r="B326" s="81" t="s">
        <v>25</v>
      </c>
      <c r="C326" s="42">
        <f>SUM(C327:C330)</f>
        <v>173220054</v>
      </c>
      <c r="D326" s="42">
        <f>SUM(D327:D330)</f>
        <v>173720054</v>
      </c>
      <c r="E326" s="98">
        <f>SUM(E327:E330)</f>
        <v>7843160.0300000012</v>
      </c>
      <c r="F326" s="42">
        <f>SUM(F327:F330)</f>
        <v>102690997.97</v>
      </c>
      <c r="G326" s="80">
        <f t="shared" si="70"/>
        <v>0.16283236584384644</v>
      </c>
      <c r="H326" s="42">
        <f t="shared" ref="H326:H391" si="72">D326-F326</f>
        <v>71029056.030000001</v>
      </c>
      <c r="I326" s="42">
        <f>SUM(I327:I330)</f>
        <v>23022878.950000003</v>
      </c>
      <c r="J326" s="42">
        <f>SUM(J327:J330)</f>
        <v>57579831.990000002</v>
      </c>
      <c r="K326" s="42">
        <f t="shared" si="71"/>
        <v>0.1027320696733591</v>
      </c>
      <c r="L326" s="80">
        <f t="shared" ref="L326:L391" si="73">D326-J326</f>
        <v>116140222.00999999</v>
      </c>
    </row>
    <row r="327" spans="1:12" ht="14.85" customHeight="1" x14ac:dyDescent="0.25">
      <c r="A327" s="43" t="s">
        <v>28</v>
      </c>
      <c r="B327" s="52" t="s">
        <v>29</v>
      </c>
      <c r="C327" s="45">
        <v>4340474</v>
      </c>
      <c r="D327" s="45">
        <v>4340474</v>
      </c>
      <c r="E327" s="61">
        <f>F327-0</f>
        <v>0</v>
      </c>
      <c r="F327" s="45">
        <v>0</v>
      </c>
      <c r="G327" s="50">
        <f t="shared" si="70"/>
        <v>0</v>
      </c>
      <c r="H327" s="42">
        <f t="shared" si="72"/>
        <v>4340474</v>
      </c>
      <c r="I327" s="45">
        <f>J327-0</f>
        <v>0</v>
      </c>
      <c r="J327" s="45">
        <v>0</v>
      </c>
      <c r="K327" s="45">
        <f t="shared" si="71"/>
        <v>0</v>
      </c>
      <c r="L327" s="50">
        <f t="shared" si="73"/>
        <v>4340474</v>
      </c>
    </row>
    <row r="328" spans="1:12" ht="14.85" customHeight="1" x14ac:dyDescent="0.25">
      <c r="A328" s="43" t="s">
        <v>30</v>
      </c>
      <c r="B328" s="52" t="s">
        <v>31</v>
      </c>
      <c r="C328" s="95">
        <v>168856917</v>
      </c>
      <c r="D328" s="95">
        <v>169356917</v>
      </c>
      <c r="E328" s="61">
        <f>F328-94847837.94</f>
        <v>7843160.0300000012</v>
      </c>
      <c r="F328" s="96">
        <v>102690997.97</v>
      </c>
      <c r="G328" s="50">
        <f t="shared" si="70"/>
        <v>0.16283236584384644</v>
      </c>
      <c r="H328" s="45">
        <f t="shared" si="72"/>
        <v>66665919.030000001</v>
      </c>
      <c r="I328" s="45">
        <f>J328-34556953.04</f>
        <v>23022878.950000003</v>
      </c>
      <c r="J328" s="95">
        <v>57579831.990000002</v>
      </c>
      <c r="K328" s="45">
        <f t="shared" si="71"/>
        <v>0.1027320696733591</v>
      </c>
      <c r="L328" s="50">
        <f t="shared" si="73"/>
        <v>111777085.00999999</v>
      </c>
    </row>
    <row r="329" spans="1:12" ht="14.85" customHeight="1" x14ac:dyDescent="0.25">
      <c r="A329" s="43" t="s">
        <v>32</v>
      </c>
      <c r="B329" s="52" t="s">
        <v>33</v>
      </c>
      <c r="C329" s="45">
        <v>14106</v>
      </c>
      <c r="D329" s="45">
        <v>14106</v>
      </c>
      <c r="E329" s="61">
        <f t="shared" ref="E329:E330" si="74">F329-0</f>
        <v>0</v>
      </c>
      <c r="F329" s="45">
        <v>0</v>
      </c>
      <c r="G329" s="50">
        <f t="shared" si="70"/>
        <v>0</v>
      </c>
      <c r="H329" s="45">
        <f t="shared" si="72"/>
        <v>14106</v>
      </c>
      <c r="I329" s="45">
        <f t="shared" ref="I329:I330" si="75">J329-0</f>
        <v>0</v>
      </c>
      <c r="J329" s="45">
        <v>0</v>
      </c>
      <c r="K329" s="45">
        <f t="shared" si="71"/>
        <v>0</v>
      </c>
      <c r="L329" s="50">
        <f t="shared" si="73"/>
        <v>14106</v>
      </c>
    </row>
    <row r="330" spans="1:12" ht="14.85" customHeight="1" x14ac:dyDescent="0.25">
      <c r="A330" s="64" t="s">
        <v>34</v>
      </c>
      <c r="B330" s="82" t="s">
        <v>35</v>
      </c>
      <c r="C330" s="95">
        <v>8557</v>
      </c>
      <c r="D330" s="95">
        <v>8557</v>
      </c>
      <c r="E330" s="61">
        <f t="shared" si="74"/>
        <v>0</v>
      </c>
      <c r="F330" s="45">
        <v>0</v>
      </c>
      <c r="G330" s="50">
        <f t="shared" si="70"/>
        <v>0</v>
      </c>
      <c r="H330" s="45">
        <f t="shared" si="72"/>
        <v>8557</v>
      </c>
      <c r="I330" s="45">
        <f t="shared" si="75"/>
        <v>0</v>
      </c>
      <c r="J330" s="45">
        <v>0</v>
      </c>
      <c r="K330" s="45">
        <f t="shared" si="71"/>
        <v>0</v>
      </c>
      <c r="L330" s="50">
        <f t="shared" si="73"/>
        <v>8557</v>
      </c>
    </row>
    <row r="331" spans="1:12" ht="14.85" customHeight="1" x14ac:dyDescent="0.2">
      <c r="A331" s="40" t="s">
        <v>46</v>
      </c>
      <c r="B331" s="78" t="s">
        <v>47</v>
      </c>
      <c r="C331" s="42">
        <f>SUM(C332:C333)</f>
        <v>828169000</v>
      </c>
      <c r="D331" s="42">
        <f>SUM(D332:D333)</f>
        <v>826547000</v>
      </c>
      <c r="E331" s="98">
        <f>SUM(E332:E333)</f>
        <v>122183293.94</v>
      </c>
      <c r="F331" s="42">
        <f>SUM(F332:F333)</f>
        <v>355862778.66000003</v>
      </c>
      <c r="G331" s="80">
        <f t="shared" si="70"/>
        <v>0.564275148848988</v>
      </c>
      <c r="H331" s="42">
        <f t="shared" si="72"/>
        <v>470684221.33999997</v>
      </c>
      <c r="I331" s="42">
        <f>SUM(I332:I333)</f>
        <v>122239691.38</v>
      </c>
      <c r="J331" s="42">
        <f>SUM(J332:J333)</f>
        <v>355795551.88</v>
      </c>
      <c r="K331" s="42">
        <f t="shared" si="71"/>
        <v>0.63479888985357569</v>
      </c>
      <c r="L331" s="80">
        <f t="shared" si="73"/>
        <v>470751448.12</v>
      </c>
    </row>
    <row r="332" spans="1:12" ht="14.85" customHeight="1" x14ac:dyDescent="0.25">
      <c r="A332" s="43" t="s">
        <v>48</v>
      </c>
      <c r="B332" s="52" t="s">
        <v>49</v>
      </c>
      <c r="C332" s="94">
        <v>2522000</v>
      </c>
      <c r="D332" s="94">
        <v>900000</v>
      </c>
      <c r="E332" s="61">
        <f>F332-251647.36</f>
        <v>150000</v>
      </c>
      <c r="F332" s="96">
        <v>401647.35999999999</v>
      </c>
      <c r="G332" s="50">
        <f t="shared" si="70"/>
        <v>6.3687364186334322E-4</v>
      </c>
      <c r="H332" s="45">
        <f t="shared" si="72"/>
        <v>498352.64000000001</v>
      </c>
      <c r="I332" s="45">
        <f>J332-128023.14</f>
        <v>206397.44</v>
      </c>
      <c r="J332" s="94">
        <v>334420.58</v>
      </c>
      <c r="K332" s="45">
        <f t="shared" si="71"/>
        <v>5.9666235793692107E-4</v>
      </c>
      <c r="L332" s="50">
        <f t="shared" si="73"/>
        <v>565579.41999999993</v>
      </c>
    </row>
    <row r="333" spans="1:12" ht="14.85" customHeight="1" x14ac:dyDescent="0.25">
      <c r="A333" s="43" t="s">
        <v>30</v>
      </c>
      <c r="B333" s="52" t="s">
        <v>31</v>
      </c>
      <c r="C333" s="94">
        <v>825647000</v>
      </c>
      <c r="D333" s="94">
        <v>825647000</v>
      </c>
      <c r="E333" s="61">
        <f>F333-233427837.36</f>
        <v>122033293.94</v>
      </c>
      <c r="F333" s="96">
        <v>355461131.30000001</v>
      </c>
      <c r="G333" s="50">
        <f t="shared" si="70"/>
        <v>0.56363827520712462</v>
      </c>
      <c r="H333" s="45">
        <f t="shared" si="72"/>
        <v>470185868.69999999</v>
      </c>
      <c r="I333" s="45">
        <f>J333-233427837.36</f>
        <v>122033293.94</v>
      </c>
      <c r="J333" s="94">
        <v>355461131.30000001</v>
      </c>
      <c r="K333" s="45">
        <f t="shared" si="71"/>
        <v>0.63420222749563882</v>
      </c>
      <c r="L333" s="50">
        <f t="shared" si="73"/>
        <v>470185868.69999999</v>
      </c>
    </row>
    <row r="334" spans="1:12" ht="14.85" customHeight="1" x14ac:dyDescent="0.2">
      <c r="A334" s="40" t="s">
        <v>50</v>
      </c>
      <c r="B334" s="81" t="s">
        <v>51</v>
      </c>
      <c r="C334" s="42">
        <f>SUM(C335:C339)</f>
        <v>557711108</v>
      </c>
      <c r="D334" s="42">
        <f>SUM(D335:D339)</f>
        <v>569640763.44000006</v>
      </c>
      <c r="E334" s="98">
        <f>SUM(E335:E339)</f>
        <v>35263801.949999966</v>
      </c>
      <c r="F334" s="42">
        <f>SUM(F335:F339)</f>
        <v>396576183.69</v>
      </c>
      <c r="G334" s="80">
        <f t="shared" si="70"/>
        <v>0.62883251213929681</v>
      </c>
      <c r="H334" s="42">
        <f t="shared" si="72"/>
        <v>173064579.75000006</v>
      </c>
      <c r="I334" s="42">
        <f>SUM(I335+I336+I337+I339+I338)</f>
        <v>87369074.030000001</v>
      </c>
      <c r="J334" s="42">
        <f>SUM(J335:J339)</f>
        <v>225891981.84999999</v>
      </c>
      <c r="K334" s="42">
        <f t="shared" si="71"/>
        <v>0.40302915128508288</v>
      </c>
      <c r="L334" s="80">
        <f t="shared" si="73"/>
        <v>343748781.59000003</v>
      </c>
    </row>
    <row r="335" spans="1:12" ht="14.85" customHeight="1" x14ac:dyDescent="0.25">
      <c r="A335" s="43" t="s">
        <v>52</v>
      </c>
      <c r="B335" s="52" t="s">
        <v>53</v>
      </c>
      <c r="C335" s="42">
        <v>0</v>
      </c>
      <c r="D335" s="45">
        <v>0</v>
      </c>
      <c r="E335" s="61">
        <f t="shared" ref="E335:E338" si="76">F335-0</f>
        <v>0</v>
      </c>
      <c r="F335" s="45">
        <v>0</v>
      </c>
      <c r="G335" s="80">
        <f t="shared" si="70"/>
        <v>0</v>
      </c>
      <c r="H335" s="42">
        <f t="shared" si="72"/>
        <v>0</v>
      </c>
      <c r="I335" s="42">
        <f t="shared" ref="I335:I338" si="77">J335-0</f>
        <v>0</v>
      </c>
      <c r="J335" s="42">
        <v>0</v>
      </c>
      <c r="K335" s="42">
        <f t="shared" si="71"/>
        <v>0</v>
      </c>
      <c r="L335" s="80">
        <f t="shared" si="73"/>
        <v>0</v>
      </c>
    </row>
    <row r="336" spans="1:12" ht="14.85" customHeight="1" x14ac:dyDescent="0.25">
      <c r="A336" s="43" t="s">
        <v>54</v>
      </c>
      <c r="B336" s="52" t="s">
        <v>55</v>
      </c>
      <c r="C336" s="45">
        <v>5000</v>
      </c>
      <c r="D336" s="45">
        <v>44000</v>
      </c>
      <c r="E336" s="61">
        <f t="shared" si="76"/>
        <v>0</v>
      </c>
      <c r="F336" s="45">
        <v>0</v>
      </c>
      <c r="G336" s="50">
        <f t="shared" si="70"/>
        <v>0</v>
      </c>
      <c r="H336" s="45">
        <f t="shared" si="72"/>
        <v>44000</v>
      </c>
      <c r="I336" s="45">
        <f t="shared" si="77"/>
        <v>0</v>
      </c>
      <c r="J336" s="45">
        <v>0</v>
      </c>
      <c r="K336" s="45">
        <f t="shared" si="71"/>
        <v>0</v>
      </c>
      <c r="L336" s="50">
        <f t="shared" si="73"/>
        <v>44000</v>
      </c>
    </row>
    <row r="337" spans="1:15" ht="14.85" customHeight="1" x14ac:dyDescent="0.25">
      <c r="A337" s="43" t="s">
        <v>30</v>
      </c>
      <c r="B337" s="52" t="s">
        <v>31</v>
      </c>
      <c r="C337" s="94">
        <v>557136108</v>
      </c>
      <c r="D337" s="94">
        <v>565812917.09000003</v>
      </c>
      <c r="E337" s="61">
        <f>F337-361151046.74</f>
        <v>33999955.599999964</v>
      </c>
      <c r="F337" s="96">
        <v>395151002.33999997</v>
      </c>
      <c r="G337" s="50">
        <f t="shared" si="70"/>
        <v>0.62657266798971678</v>
      </c>
      <c r="H337" s="45">
        <f t="shared" si="72"/>
        <v>170661914.75000006</v>
      </c>
      <c r="I337" s="45">
        <f>J337-138515491.82</f>
        <v>87318580.030000001</v>
      </c>
      <c r="J337" s="94">
        <v>225834071.84999999</v>
      </c>
      <c r="K337" s="45">
        <f t="shared" si="71"/>
        <v>0.40292583014034905</v>
      </c>
      <c r="L337" s="50">
        <f t="shared" si="73"/>
        <v>339978845.24000001</v>
      </c>
    </row>
    <row r="338" spans="1:15" ht="14.85" customHeight="1" x14ac:dyDescent="0.25">
      <c r="A338" s="43" t="s">
        <v>32</v>
      </c>
      <c r="B338" s="52" t="s">
        <v>33</v>
      </c>
      <c r="C338" s="94">
        <v>500000</v>
      </c>
      <c r="D338" s="94">
        <v>2763846.35</v>
      </c>
      <c r="E338" s="61">
        <f t="shared" si="76"/>
        <v>1263846.3500000001</v>
      </c>
      <c r="F338" s="96">
        <v>1263846.3500000001</v>
      </c>
      <c r="G338" s="50">
        <f t="shared" si="70"/>
        <v>2.0040227021041386E-3</v>
      </c>
      <c r="H338" s="45">
        <f t="shared" si="72"/>
        <v>1500000</v>
      </c>
      <c r="I338" s="45">
        <f t="shared" si="77"/>
        <v>0</v>
      </c>
      <c r="J338" s="94">
        <v>0</v>
      </c>
      <c r="K338" s="45">
        <f t="shared" si="71"/>
        <v>0</v>
      </c>
      <c r="L338" s="50">
        <f t="shared" si="73"/>
        <v>2763846.35</v>
      </c>
    </row>
    <row r="339" spans="1:15" ht="14.85" customHeight="1" x14ac:dyDescent="0.25">
      <c r="A339" s="43" t="s">
        <v>34</v>
      </c>
      <c r="B339" s="52" t="s">
        <v>207</v>
      </c>
      <c r="C339" s="94">
        <v>70000</v>
      </c>
      <c r="D339" s="94">
        <v>1020000</v>
      </c>
      <c r="E339" s="61">
        <f>F339-161335</f>
        <v>0</v>
      </c>
      <c r="F339" s="96">
        <v>161335</v>
      </c>
      <c r="G339" s="50">
        <f t="shared" si="70"/>
        <v>2.5582144747577203E-4</v>
      </c>
      <c r="H339" s="45">
        <f t="shared" si="72"/>
        <v>858665</v>
      </c>
      <c r="I339" s="45">
        <f>J339-7416</f>
        <v>50494</v>
      </c>
      <c r="J339" s="94">
        <v>57910</v>
      </c>
      <c r="K339" s="45">
        <f t="shared" si="71"/>
        <v>1.033211447337574E-4</v>
      </c>
      <c r="L339" s="50">
        <f t="shared" si="73"/>
        <v>962090</v>
      </c>
    </row>
    <row r="340" spans="1:15" ht="14.85" customHeight="1" x14ac:dyDescent="0.2">
      <c r="A340" s="40" t="s">
        <v>57</v>
      </c>
      <c r="B340" s="81" t="s">
        <v>58</v>
      </c>
      <c r="C340" s="42">
        <f>SUM(C341:C347)</f>
        <v>191037551</v>
      </c>
      <c r="D340" s="42">
        <f>SUM(D341:D347)</f>
        <v>184918905.08000001</v>
      </c>
      <c r="E340" s="98">
        <f>SUM(E341:E347)</f>
        <v>29401762.73</v>
      </c>
      <c r="F340" s="42">
        <f>SUM(F341:F347)</f>
        <v>88139670.269999996</v>
      </c>
      <c r="G340" s="80">
        <f t="shared" si="70"/>
        <v>0.1397589985341598</v>
      </c>
      <c r="H340" s="42">
        <f t="shared" si="72"/>
        <v>96779234.810000017</v>
      </c>
      <c r="I340" s="42">
        <f>SUM(I341:I347)</f>
        <v>27135635.009999994</v>
      </c>
      <c r="J340" s="42">
        <f>SUM(J341:J347)</f>
        <v>81656075.00999999</v>
      </c>
      <c r="K340" s="42">
        <f t="shared" si="71"/>
        <v>0.14568812199099912</v>
      </c>
      <c r="L340" s="80">
        <f t="shared" si="73"/>
        <v>103262830.07000002</v>
      </c>
    </row>
    <row r="341" spans="1:15" ht="14.85" customHeight="1" x14ac:dyDescent="0.25">
      <c r="A341" s="43" t="s">
        <v>30</v>
      </c>
      <c r="B341" s="52" t="s">
        <v>31</v>
      </c>
      <c r="C341" s="94">
        <v>190456120</v>
      </c>
      <c r="D341" s="94">
        <v>184322526.84</v>
      </c>
      <c r="E341" s="61">
        <f>F341-58694969.92</f>
        <v>29411030.310000002</v>
      </c>
      <c r="F341" s="96">
        <v>88106000.230000004</v>
      </c>
      <c r="G341" s="50">
        <f t="shared" si="70"/>
        <v>0.13970560950902969</v>
      </c>
      <c r="H341" s="45">
        <f t="shared" si="72"/>
        <v>96216526.609999999</v>
      </c>
      <c r="I341" s="45">
        <f>J341-54509206.32</f>
        <v>27128145.889999993</v>
      </c>
      <c r="J341" s="94">
        <v>81637352.209999993</v>
      </c>
      <c r="K341" s="45">
        <f t="shared" si="71"/>
        <v>0.14565471737817542</v>
      </c>
      <c r="L341" s="50">
        <f t="shared" si="73"/>
        <v>102685174.63000001</v>
      </c>
    </row>
    <row r="342" spans="1:15" ht="14.85" customHeight="1" x14ac:dyDescent="0.25">
      <c r="A342" s="43" t="s">
        <v>61</v>
      </c>
      <c r="B342" s="52" t="s">
        <v>62</v>
      </c>
      <c r="C342" s="45">
        <v>0</v>
      </c>
      <c r="D342" s="45">
        <v>0</v>
      </c>
      <c r="E342" s="61">
        <f t="shared" ref="E342:E347" si="78">F342-0</f>
        <v>0</v>
      </c>
      <c r="F342" s="45">
        <v>0</v>
      </c>
      <c r="G342" s="50">
        <f t="shared" si="70"/>
        <v>0</v>
      </c>
      <c r="H342" s="45">
        <f t="shared" si="72"/>
        <v>0</v>
      </c>
      <c r="I342" s="45">
        <f t="shared" ref="I342:I347" si="79">J342-0</f>
        <v>0</v>
      </c>
      <c r="J342" s="45">
        <v>0</v>
      </c>
      <c r="K342" s="45">
        <f t="shared" si="71"/>
        <v>0</v>
      </c>
      <c r="L342" s="50">
        <f t="shared" si="73"/>
        <v>0</v>
      </c>
    </row>
    <row r="343" spans="1:15" ht="14.85" customHeight="1" x14ac:dyDescent="0.25">
      <c r="A343" s="43" t="s">
        <v>63</v>
      </c>
      <c r="B343" s="52" t="s">
        <v>64</v>
      </c>
      <c r="C343" s="45">
        <v>0</v>
      </c>
      <c r="D343" s="45">
        <v>0</v>
      </c>
      <c r="E343" s="61">
        <f t="shared" si="78"/>
        <v>0</v>
      </c>
      <c r="F343" s="45">
        <v>0</v>
      </c>
      <c r="G343" s="50">
        <f t="shared" si="70"/>
        <v>0</v>
      </c>
      <c r="H343" s="45">
        <f t="shared" si="72"/>
        <v>0</v>
      </c>
      <c r="I343" s="45">
        <f t="shared" si="79"/>
        <v>0</v>
      </c>
      <c r="J343" s="45">
        <v>0</v>
      </c>
      <c r="K343" s="45">
        <f t="shared" si="71"/>
        <v>0</v>
      </c>
      <c r="L343" s="50">
        <f t="shared" si="73"/>
        <v>0</v>
      </c>
      <c r="N343" s="121"/>
      <c r="O343" s="121"/>
    </row>
    <row r="344" spans="1:15" ht="14.85" customHeight="1" x14ac:dyDescent="0.25">
      <c r="A344" s="43" t="s">
        <v>65</v>
      </c>
      <c r="B344" s="52" t="s">
        <v>66</v>
      </c>
      <c r="C344" s="94">
        <v>81431</v>
      </c>
      <c r="D344" s="94">
        <v>81431</v>
      </c>
      <c r="E344" s="61">
        <f>F344-42937.62</f>
        <v>-24214.820000000003</v>
      </c>
      <c r="F344" s="96">
        <v>18722.8</v>
      </c>
      <c r="G344" s="50">
        <f t="shared" si="70"/>
        <v>2.9687877997950747E-5</v>
      </c>
      <c r="H344" s="45">
        <f t="shared" si="72"/>
        <v>62708.2</v>
      </c>
      <c r="I344" s="45">
        <f>J344-11233.68</f>
        <v>7489.119999999999</v>
      </c>
      <c r="J344" s="45">
        <v>18722.8</v>
      </c>
      <c r="K344" s="45">
        <f t="shared" si="71"/>
        <v>3.3404612823712539E-5</v>
      </c>
      <c r="L344" s="50">
        <f t="shared" si="73"/>
        <v>62708.2</v>
      </c>
      <c r="N344" s="69"/>
      <c r="O344" s="69"/>
    </row>
    <row r="345" spans="1:15" ht="14.85" customHeight="1" x14ac:dyDescent="0.25">
      <c r="A345" s="43" t="s">
        <v>32</v>
      </c>
      <c r="B345" s="52" t="s">
        <v>33</v>
      </c>
      <c r="C345" s="45">
        <v>500000</v>
      </c>
      <c r="D345" s="45">
        <v>514947.24</v>
      </c>
      <c r="E345" s="61">
        <f t="shared" si="78"/>
        <v>14947.24</v>
      </c>
      <c r="F345" s="45">
        <v>14947.24</v>
      </c>
      <c r="G345" s="50">
        <f t="shared" si="70"/>
        <v>2.3701147132164493E-5</v>
      </c>
      <c r="H345" s="45">
        <f t="shared" si="72"/>
        <v>500000</v>
      </c>
      <c r="I345" s="45">
        <f t="shared" si="79"/>
        <v>0</v>
      </c>
      <c r="J345" s="45">
        <v>0</v>
      </c>
      <c r="K345" s="45">
        <f t="shared" si="71"/>
        <v>0</v>
      </c>
      <c r="L345" s="50">
        <f t="shared" si="73"/>
        <v>514947.24</v>
      </c>
    </row>
    <row r="346" spans="1:15" ht="14.85" customHeight="1" x14ac:dyDescent="0.25">
      <c r="A346" s="43" t="s">
        <v>87</v>
      </c>
      <c r="B346" s="52" t="s">
        <v>88</v>
      </c>
      <c r="C346" s="45">
        <v>0</v>
      </c>
      <c r="D346" s="45">
        <v>0</v>
      </c>
      <c r="E346" s="61">
        <f t="shared" si="78"/>
        <v>0</v>
      </c>
      <c r="F346" s="45">
        <v>0</v>
      </c>
      <c r="G346" s="50">
        <f t="shared" si="70"/>
        <v>0</v>
      </c>
      <c r="H346" s="45">
        <f t="shared" si="72"/>
        <v>0</v>
      </c>
      <c r="I346" s="45">
        <f t="shared" si="79"/>
        <v>0</v>
      </c>
      <c r="J346" s="45">
        <v>0</v>
      </c>
      <c r="K346" s="45">
        <f t="shared" si="71"/>
        <v>0</v>
      </c>
      <c r="L346" s="50">
        <f t="shared" si="73"/>
        <v>0</v>
      </c>
    </row>
    <row r="347" spans="1:15" ht="14.85" customHeight="1" x14ac:dyDescent="0.25">
      <c r="A347" s="43" t="s">
        <v>89</v>
      </c>
      <c r="B347" s="52" t="s">
        <v>90</v>
      </c>
      <c r="C347" s="45">
        <v>0</v>
      </c>
      <c r="D347" s="45">
        <v>0</v>
      </c>
      <c r="E347" s="61">
        <f t="shared" si="78"/>
        <v>0</v>
      </c>
      <c r="F347" s="45">
        <v>0</v>
      </c>
      <c r="G347" s="50">
        <f t="shared" si="70"/>
        <v>0</v>
      </c>
      <c r="H347" s="45">
        <f t="shared" si="72"/>
        <v>0</v>
      </c>
      <c r="I347" s="45">
        <f t="shared" si="79"/>
        <v>0</v>
      </c>
      <c r="J347" s="45">
        <v>0</v>
      </c>
      <c r="K347" s="45">
        <f t="shared" si="71"/>
        <v>0</v>
      </c>
      <c r="L347" s="50">
        <f t="shared" si="73"/>
        <v>0</v>
      </c>
    </row>
    <row r="348" spans="1:15" ht="14.85" customHeight="1" x14ac:dyDescent="0.2">
      <c r="A348" s="40" t="s">
        <v>101</v>
      </c>
      <c r="B348" s="81" t="s">
        <v>102</v>
      </c>
      <c r="C348" s="42">
        <f>SUM(C349:C353)</f>
        <v>931056900</v>
      </c>
      <c r="D348" s="42">
        <f>SUM(D349:D353)</f>
        <v>881523368.10000002</v>
      </c>
      <c r="E348" s="98">
        <f>SUM(E349:E353)</f>
        <v>118092427.81</v>
      </c>
      <c r="F348" s="42">
        <f>SUM(F349:F353)</f>
        <v>378548422.54000002</v>
      </c>
      <c r="G348" s="80">
        <f t="shared" si="70"/>
        <v>0.60024672509903598</v>
      </c>
      <c r="H348" s="42">
        <f t="shared" si="72"/>
        <v>502974945.56</v>
      </c>
      <c r="I348" s="42">
        <f>SUM(I349:I353)</f>
        <v>112255057.39000002</v>
      </c>
      <c r="J348" s="42">
        <f>SUM(J349:J353)</f>
        <v>368800772.12</v>
      </c>
      <c r="K348" s="42">
        <f t="shared" si="71"/>
        <v>0.65800238221605944</v>
      </c>
      <c r="L348" s="80">
        <f t="shared" si="73"/>
        <v>512722595.98000002</v>
      </c>
    </row>
    <row r="349" spans="1:15" ht="14.85" customHeight="1" x14ac:dyDescent="0.25">
      <c r="A349" s="43" t="s">
        <v>30</v>
      </c>
      <c r="B349" s="52" t="s">
        <v>31</v>
      </c>
      <c r="C349" s="94">
        <v>814939060</v>
      </c>
      <c r="D349" s="94">
        <v>817702733.38</v>
      </c>
      <c r="E349" s="61">
        <f>F349-231210060.45</f>
        <v>111889360.43000001</v>
      </c>
      <c r="F349" s="96">
        <v>343099420.88</v>
      </c>
      <c r="G349" s="50">
        <f t="shared" si="70"/>
        <v>0.54403688274472817</v>
      </c>
      <c r="H349" s="45">
        <f t="shared" si="72"/>
        <v>474603312.5</v>
      </c>
      <c r="I349" s="45">
        <f>J349-227354189.17</f>
        <v>112251857.39000002</v>
      </c>
      <c r="J349" s="94">
        <v>339606046.56</v>
      </c>
      <c r="K349" s="45">
        <f t="shared" si="71"/>
        <v>0.60591409927620299</v>
      </c>
      <c r="L349" s="50">
        <f t="shared" si="73"/>
        <v>478096686.81999999</v>
      </c>
    </row>
    <row r="350" spans="1:15" ht="14.85" customHeight="1" x14ac:dyDescent="0.25">
      <c r="A350" s="43" t="s">
        <v>65</v>
      </c>
      <c r="B350" s="52" t="s">
        <v>66</v>
      </c>
      <c r="C350" s="45">
        <v>63758226</v>
      </c>
      <c r="D350" s="45">
        <v>63758226</v>
      </c>
      <c r="E350" s="61">
        <f>F350-29183525.56</f>
        <v>6203067.379999999</v>
      </c>
      <c r="F350" s="45">
        <v>35386592.939999998</v>
      </c>
      <c r="G350" s="50">
        <f t="shared" si="70"/>
        <v>5.6110883733515568E-2</v>
      </c>
      <c r="H350" s="45">
        <f t="shared" si="72"/>
        <v>28371633.060000002</v>
      </c>
      <c r="I350" s="45">
        <f>J350-29183525.56</f>
        <v>0</v>
      </c>
      <c r="J350" s="45">
        <v>29183525.559999999</v>
      </c>
      <c r="K350" s="45">
        <f t="shared" si="71"/>
        <v>5.2068300262926408E-2</v>
      </c>
      <c r="L350" s="50">
        <f t="shared" si="73"/>
        <v>34574700.439999998</v>
      </c>
    </row>
    <row r="351" spans="1:15" ht="14.85" customHeight="1" x14ac:dyDescent="0.25">
      <c r="A351" s="43" t="s">
        <v>34</v>
      </c>
      <c r="B351" s="52" t="s">
        <v>35</v>
      </c>
      <c r="C351" s="45">
        <v>0</v>
      </c>
      <c r="D351" s="45">
        <v>20200</v>
      </c>
      <c r="E351" s="61">
        <f>F351-20200</f>
        <v>0</v>
      </c>
      <c r="F351" s="45">
        <v>20200</v>
      </c>
      <c r="G351" s="50">
        <f t="shared" si="70"/>
        <v>3.2030205714882666E-5</v>
      </c>
      <c r="H351" s="45">
        <f t="shared" si="72"/>
        <v>0</v>
      </c>
      <c r="I351" s="45">
        <f>J351-8000</f>
        <v>3200</v>
      </c>
      <c r="J351" s="45">
        <v>11200</v>
      </c>
      <c r="K351" s="45">
        <f t="shared" si="71"/>
        <v>1.9982676930030787E-5</v>
      </c>
      <c r="L351" s="50">
        <f t="shared" si="73"/>
        <v>9000</v>
      </c>
    </row>
    <row r="352" spans="1:15" ht="14.85" customHeight="1" x14ac:dyDescent="0.25">
      <c r="A352" s="43" t="s">
        <v>104</v>
      </c>
      <c r="B352" s="52" t="s">
        <v>105</v>
      </c>
      <c r="C352" s="45">
        <v>3000</v>
      </c>
      <c r="D352" s="45">
        <v>0</v>
      </c>
      <c r="E352" s="61">
        <f t="shared" ref="E352" si="80">F352-0</f>
        <v>0</v>
      </c>
      <c r="F352" s="45">
        <v>0</v>
      </c>
      <c r="G352" s="50">
        <f t="shared" si="70"/>
        <v>0</v>
      </c>
      <c r="H352" s="45">
        <f t="shared" si="72"/>
        <v>0</v>
      </c>
      <c r="I352" s="45">
        <f t="shared" ref="I352:I353" si="81">J352-0</f>
        <v>0</v>
      </c>
      <c r="J352" s="45">
        <v>0</v>
      </c>
      <c r="K352" s="45">
        <f t="shared" si="71"/>
        <v>0</v>
      </c>
      <c r="L352" s="50">
        <f t="shared" si="73"/>
        <v>0</v>
      </c>
    </row>
    <row r="353" spans="1:12" ht="14.85" customHeight="1" x14ac:dyDescent="0.25">
      <c r="A353" s="43" t="s">
        <v>106</v>
      </c>
      <c r="B353" s="52" t="s">
        <v>107</v>
      </c>
      <c r="C353" s="45">
        <v>52356614</v>
      </c>
      <c r="D353" s="45">
        <v>42208.72</v>
      </c>
      <c r="E353" s="61">
        <f>F353-42208.72</f>
        <v>0</v>
      </c>
      <c r="F353" s="45">
        <v>42208.72</v>
      </c>
      <c r="G353" s="50">
        <f t="shared" si="70"/>
        <v>6.692841507732091E-5</v>
      </c>
      <c r="H353" s="45">
        <f t="shared" si="72"/>
        <v>0</v>
      </c>
      <c r="I353" s="45">
        <f t="shared" si="81"/>
        <v>0</v>
      </c>
      <c r="J353" s="45">
        <v>0</v>
      </c>
      <c r="K353" s="45">
        <f t="shared" si="71"/>
        <v>0</v>
      </c>
      <c r="L353" s="50">
        <f t="shared" si="73"/>
        <v>42208.72</v>
      </c>
    </row>
    <row r="354" spans="1:12" ht="14.85" customHeight="1" x14ac:dyDescent="0.2">
      <c r="A354" s="40" t="s">
        <v>134</v>
      </c>
      <c r="B354" s="81" t="s">
        <v>135</v>
      </c>
      <c r="C354" s="42">
        <f>SUM(C355:C357)</f>
        <v>5275019</v>
      </c>
      <c r="D354" s="42">
        <f>SUM(D355:D357)</f>
        <v>16913672.210000001</v>
      </c>
      <c r="E354" s="98">
        <f>SUM(E355:E357)</f>
        <v>8706988.2799999993</v>
      </c>
      <c r="F354" s="42">
        <f>SUM(F355:F357)</f>
        <v>13395886.880000001</v>
      </c>
      <c r="G354" s="80">
        <f t="shared" si="70"/>
        <v>2.1241238242559295E-2</v>
      </c>
      <c r="H354" s="42">
        <f t="shared" si="72"/>
        <v>3517785.33</v>
      </c>
      <c r="I354" s="42">
        <f>SUM(I355:I357)</f>
        <v>8848916.4399999995</v>
      </c>
      <c r="J354" s="42">
        <f>SUM(J355:J357)</f>
        <v>12070517.300000001</v>
      </c>
      <c r="K354" s="42">
        <f t="shared" si="71"/>
        <v>2.1535825677164958E-2</v>
      </c>
      <c r="L354" s="80">
        <f t="shared" si="73"/>
        <v>4843154.91</v>
      </c>
    </row>
    <row r="355" spans="1:12" ht="14.85" customHeight="1" x14ac:dyDescent="0.25">
      <c r="A355" s="43" t="s">
        <v>30</v>
      </c>
      <c r="B355" s="52" t="s">
        <v>31</v>
      </c>
      <c r="C355" s="94">
        <v>4566619</v>
      </c>
      <c r="D355" s="94">
        <v>16036455.07</v>
      </c>
      <c r="E355" s="61">
        <f>F355-4588999.32</f>
        <v>8590785.4199999999</v>
      </c>
      <c r="F355" s="96">
        <v>13179784.74</v>
      </c>
      <c r="G355" s="50">
        <f t="shared" si="70"/>
        <v>2.0898575074260958E-2</v>
      </c>
      <c r="H355" s="45">
        <f t="shared" si="72"/>
        <v>2856670.33</v>
      </c>
      <c r="I355" s="45">
        <f>J355-3165221.18</f>
        <v>8762186.3200000003</v>
      </c>
      <c r="J355" s="94">
        <v>11927407.5</v>
      </c>
      <c r="K355" s="45">
        <f t="shared" si="71"/>
        <v>2.1280493811189839E-2</v>
      </c>
      <c r="L355" s="50">
        <f t="shared" si="73"/>
        <v>4109047.5700000003</v>
      </c>
    </row>
    <row r="356" spans="1:12" ht="14.85" customHeight="1" x14ac:dyDescent="0.25">
      <c r="A356" s="43" t="s">
        <v>110</v>
      </c>
      <c r="B356" s="52" t="s">
        <v>111</v>
      </c>
      <c r="C356" s="94">
        <v>360000</v>
      </c>
      <c r="D356" s="94">
        <v>545843.04</v>
      </c>
      <c r="E356" s="61">
        <f>F356-66275.28</f>
        <v>116202.86000000002</v>
      </c>
      <c r="F356" s="96">
        <v>182478.14</v>
      </c>
      <c r="G356" s="50">
        <f t="shared" si="70"/>
        <v>2.8934714666679006E-4</v>
      </c>
      <c r="H356" s="45">
        <f t="shared" si="72"/>
        <v>363364.9</v>
      </c>
      <c r="I356" s="45">
        <f>J356-56379.68</f>
        <v>84330.12</v>
      </c>
      <c r="J356" s="45">
        <v>140709.79999999999</v>
      </c>
      <c r="K356" s="45">
        <f t="shared" si="71"/>
        <v>2.5104986377582548E-4</v>
      </c>
      <c r="L356" s="50">
        <f t="shared" si="73"/>
        <v>405133.24000000005</v>
      </c>
    </row>
    <row r="357" spans="1:12" ht="14.85" customHeight="1" x14ac:dyDescent="0.25">
      <c r="A357" s="43" t="s">
        <v>112</v>
      </c>
      <c r="B357" s="52" t="s">
        <v>276</v>
      </c>
      <c r="C357" s="45">
        <v>348400</v>
      </c>
      <c r="D357" s="45">
        <v>331374.09999999998</v>
      </c>
      <c r="E357" s="61">
        <f>F357-33624</f>
        <v>0</v>
      </c>
      <c r="F357" s="45">
        <v>33624</v>
      </c>
      <c r="G357" s="50">
        <f t="shared" si="70"/>
        <v>5.3316021631545278E-5</v>
      </c>
      <c r="H357" s="45">
        <f t="shared" si="72"/>
        <v>297750.09999999998</v>
      </c>
      <c r="I357" s="45">
        <f t="shared" ref="I357" si="82">J357-0</f>
        <v>2400</v>
      </c>
      <c r="J357" s="45">
        <v>2400</v>
      </c>
      <c r="K357" s="45">
        <f t="shared" si="71"/>
        <v>4.2820021992923118E-6</v>
      </c>
      <c r="L357" s="50">
        <f t="shared" si="73"/>
        <v>328974.09999999998</v>
      </c>
    </row>
    <row r="358" spans="1:12" ht="14.85" customHeight="1" x14ac:dyDescent="0.2">
      <c r="A358" s="40" t="s">
        <v>140</v>
      </c>
      <c r="B358" s="81" t="s">
        <v>141</v>
      </c>
      <c r="C358" s="42">
        <f>C359</f>
        <v>686038067</v>
      </c>
      <c r="D358" s="42">
        <f>D359</f>
        <v>848715184.27999997</v>
      </c>
      <c r="E358" s="98">
        <f>E359</f>
        <v>18511497.099999994</v>
      </c>
      <c r="F358" s="42">
        <f>F359</f>
        <v>210033575.16999999</v>
      </c>
      <c r="G358" s="80">
        <f t="shared" si="70"/>
        <v>0.33304052572907777</v>
      </c>
      <c r="H358" s="42">
        <f t="shared" si="72"/>
        <v>638681609.11000001</v>
      </c>
      <c r="I358" s="42">
        <f>I359</f>
        <v>69595892.319999993</v>
      </c>
      <c r="J358" s="42">
        <f>J359</f>
        <v>209327163.16</v>
      </c>
      <c r="K358" s="42">
        <f t="shared" si="71"/>
        <v>0.37347473875947518</v>
      </c>
      <c r="L358" s="80">
        <f t="shared" si="73"/>
        <v>639388021.12</v>
      </c>
    </row>
    <row r="359" spans="1:12" ht="14.85" customHeight="1" x14ac:dyDescent="0.25">
      <c r="A359" s="43" t="s">
        <v>30</v>
      </c>
      <c r="B359" s="52" t="s">
        <v>31</v>
      </c>
      <c r="C359" s="94">
        <v>686038067</v>
      </c>
      <c r="D359" s="94">
        <v>848715184.27999997</v>
      </c>
      <c r="E359" s="61">
        <f>F359-191522078.07</f>
        <v>18511497.099999994</v>
      </c>
      <c r="F359" s="96">
        <v>210033575.16999999</v>
      </c>
      <c r="G359" s="50">
        <f t="shared" si="70"/>
        <v>0.33304052572907777</v>
      </c>
      <c r="H359" s="45">
        <f t="shared" si="72"/>
        <v>638681609.11000001</v>
      </c>
      <c r="I359" s="45">
        <f>J359-139731270.84</f>
        <v>69595892.319999993</v>
      </c>
      <c r="J359" s="94">
        <v>209327163.16</v>
      </c>
      <c r="K359" s="45">
        <f t="shared" si="71"/>
        <v>0.37347473875947518</v>
      </c>
      <c r="L359" s="50">
        <f t="shared" si="73"/>
        <v>639388021.12</v>
      </c>
    </row>
    <row r="360" spans="1:12" ht="14.85" customHeight="1" x14ac:dyDescent="0.2">
      <c r="A360" s="40" t="s">
        <v>146</v>
      </c>
      <c r="B360" s="81" t="s">
        <v>147</v>
      </c>
      <c r="C360" s="42">
        <f>SUM(C361:C363)</f>
        <v>3811742570</v>
      </c>
      <c r="D360" s="42">
        <f>SUM(D361:D363)</f>
        <v>3692646910.6199999</v>
      </c>
      <c r="E360" s="98">
        <f>SUM(E361:E363)</f>
        <v>684929585.37000024</v>
      </c>
      <c r="F360" s="42">
        <f>SUM(F361:F363)</f>
        <v>2566771718.3000002</v>
      </c>
      <c r="G360" s="80">
        <f t="shared" si="70"/>
        <v>4.070011196054053</v>
      </c>
      <c r="H360" s="42">
        <f t="shared" si="72"/>
        <v>1125875192.3199997</v>
      </c>
      <c r="I360" s="42">
        <f>SUM(I361:I363)</f>
        <v>683148061.91999984</v>
      </c>
      <c r="J360" s="42">
        <f>SUM(J361:J363)</f>
        <v>2564786631.6099997</v>
      </c>
      <c r="K360" s="42">
        <f t="shared" si="71"/>
        <v>4.5760091655289745</v>
      </c>
      <c r="L360" s="80">
        <f t="shared" si="73"/>
        <v>1127860279.0100002</v>
      </c>
    </row>
    <row r="361" spans="1:12" ht="14.85" customHeight="1" x14ac:dyDescent="0.25">
      <c r="A361" s="43" t="s">
        <v>30</v>
      </c>
      <c r="B361" s="52" t="s">
        <v>31</v>
      </c>
      <c r="C361" s="94">
        <v>133881239</v>
      </c>
      <c r="D361" s="94">
        <v>138111235.53999999</v>
      </c>
      <c r="E361" s="61">
        <f>F361-39347039.14</f>
        <v>19312962.649999999</v>
      </c>
      <c r="F361" s="96">
        <v>58660001.789999999</v>
      </c>
      <c r="G361" s="50">
        <f t="shared" si="70"/>
        <v>9.3014451711340859E-2</v>
      </c>
      <c r="H361" s="45">
        <f t="shared" si="72"/>
        <v>79451233.75</v>
      </c>
      <c r="I361" s="45">
        <f>J361-39242929.41</f>
        <v>19351453.040000007</v>
      </c>
      <c r="J361" s="94">
        <v>58594382.450000003</v>
      </c>
      <c r="K361" s="45">
        <f t="shared" si="71"/>
        <v>0.10454219771544784</v>
      </c>
      <c r="L361" s="50">
        <f t="shared" si="73"/>
        <v>79516853.089999989</v>
      </c>
    </row>
    <row r="362" spans="1:12" ht="14.85" customHeight="1" x14ac:dyDescent="0.25">
      <c r="A362" s="43" t="s">
        <v>116</v>
      </c>
      <c r="B362" s="52" t="s">
        <v>117</v>
      </c>
      <c r="C362" s="94">
        <v>3677861331</v>
      </c>
      <c r="D362" s="94">
        <v>3554465869.0799999</v>
      </c>
      <c r="E362" s="61">
        <f>F362-1842465240.79</f>
        <v>665586769.72000027</v>
      </c>
      <c r="F362" s="96">
        <v>2508052010.5100002</v>
      </c>
      <c r="G362" s="50">
        <f t="shared" si="70"/>
        <v>3.9769020713000183</v>
      </c>
      <c r="H362" s="45">
        <f t="shared" si="72"/>
        <v>1046413858.5699997</v>
      </c>
      <c r="I362" s="45">
        <f>J362-1842395640.28</f>
        <v>663796608.87999988</v>
      </c>
      <c r="J362" s="94">
        <v>2506192249.1599998</v>
      </c>
      <c r="K362" s="45">
        <f t="shared" si="71"/>
        <v>4.4714669678135266</v>
      </c>
      <c r="L362" s="50">
        <f t="shared" si="73"/>
        <v>1048273619.9200001</v>
      </c>
    </row>
    <row r="363" spans="1:12" ht="14.85" customHeight="1" x14ac:dyDescent="0.25">
      <c r="A363" s="43" t="s">
        <v>150</v>
      </c>
      <c r="B363" s="52" t="s">
        <v>151</v>
      </c>
      <c r="C363" s="45">
        <v>0</v>
      </c>
      <c r="D363" s="45">
        <v>69806</v>
      </c>
      <c r="E363" s="61">
        <f>F363-29853</f>
        <v>29853</v>
      </c>
      <c r="F363" s="45">
        <v>59706</v>
      </c>
      <c r="G363" s="50">
        <f t="shared" si="70"/>
        <v>9.4673042693702191E-5</v>
      </c>
      <c r="H363" s="45">
        <f t="shared" si="72"/>
        <v>10100</v>
      </c>
      <c r="I363" s="45">
        <f t="shared" ref="I363" si="83">J363-0</f>
        <v>0</v>
      </c>
      <c r="J363" s="45">
        <v>0</v>
      </c>
      <c r="K363" s="45">
        <f t="shared" si="71"/>
        <v>0</v>
      </c>
      <c r="L363" s="50">
        <f t="shared" si="73"/>
        <v>69806</v>
      </c>
    </row>
    <row r="364" spans="1:12" ht="14.85" customHeight="1" x14ac:dyDescent="0.2">
      <c r="A364" s="40" t="s">
        <v>153</v>
      </c>
      <c r="B364" s="81" t="s">
        <v>154</v>
      </c>
      <c r="C364" s="42">
        <f>C365+C366</f>
        <v>1074973</v>
      </c>
      <c r="D364" s="42">
        <f>D365+D366</f>
        <v>2074070.87</v>
      </c>
      <c r="E364" s="98">
        <f>E365+E366</f>
        <v>258593.8600000001</v>
      </c>
      <c r="F364" s="42">
        <f>F365+F366</f>
        <v>886203.05</v>
      </c>
      <c r="G364" s="80">
        <f t="shared" si="70"/>
        <v>1.4052111879532896E-3</v>
      </c>
      <c r="H364" s="42">
        <f t="shared" si="72"/>
        <v>1187867.82</v>
      </c>
      <c r="I364" s="42">
        <f>I365+I366</f>
        <v>224622.19</v>
      </c>
      <c r="J364" s="42">
        <f>J365+J366</f>
        <v>746552.99</v>
      </c>
      <c r="K364" s="42">
        <f t="shared" si="71"/>
        <v>1.3319756437784379E-3</v>
      </c>
      <c r="L364" s="80">
        <f t="shared" si="73"/>
        <v>1327517.8800000001</v>
      </c>
    </row>
    <row r="365" spans="1:12" ht="14.85" customHeight="1" x14ac:dyDescent="0.25">
      <c r="A365" s="43" t="s">
        <v>30</v>
      </c>
      <c r="B365" s="52" t="s">
        <v>31</v>
      </c>
      <c r="C365" s="94">
        <v>1074973</v>
      </c>
      <c r="D365" s="94">
        <v>2074070.87</v>
      </c>
      <c r="E365" s="61">
        <f>F365-627609.19</f>
        <v>258593.8600000001</v>
      </c>
      <c r="F365" s="96">
        <v>886203.05</v>
      </c>
      <c r="G365" s="50">
        <f t="shared" si="70"/>
        <v>1.4052111879532896E-3</v>
      </c>
      <c r="H365" s="45">
        <f t="shared" si="72"/>
        <v>1187867.82</v>
      </c>
      <c r="I365" s="45">
        <f>J365-521930.8</f>
        <v>224622.19</v>
      </c>
      <c r="J365" s="94">
        <v>746552.99</v>
      </c>
      <c r="K365" s="45">
        <f t="shared" si="71"/>
        <v>1.3319756437784379E-3</v>
      </c>
      <c r="L365" s="50">
        <f t="shared" si="73"/>
        <v>1327517.8800000001</v>
      </c>
    </row>
    <row r="366" spans="1:12" ht="14.85" customHeight="1" x14ac:dyDescent="0.25">
      <c r="A366" s="43" t="s">
        <v>158</v>
      </c>
      <c r="B366" s="52" t="s">
        <v>159</v>
      </c>
      <c r="C366" s="45">
        <v>0</v>
      </c>
      <c r="D366" s="45">
        <v>0</v>
      </c>
      <c r="E366" s="61">
        <f t="shared" ref="E366" si="84">F366-0</f>
        <v>0</v>
      </c>
      <c r="F366" s="45">
        <v>0</v>
      </c>
      <c r="G366" s="50">
        <f t="shared" si="70"/>
        <v>0</v>
      </c>
      <c r="H366" s="45">
        <f t="shared" si="72"/>
        <v>0</v>
      </c>
      <c r="I366" s="45">
        <f t="shared" ref="I366" si="85">J366-0</f>
        <v>0</v>
      </c>
      <c r="J366" s="45">
        <v>0</v>
      </c>
      <c r="K366" s="45">
        <f t="shared" si="71"/>
        <v>0</v>
      </c>
      <c r="L366" s="50">
        <f t="shared" si="73"/>
        <v>0</v>
      </c>
    </row>
    <row r="367" spans="1:12" ht="14.85" customHeight="1" x14ac:dyDescent="0.2">
      <c r="A367" s="40" t="s">
        <v>160</v>
      </c>
      <c r="B367" s="81" t="s">
        <v>161</v>
      </c>
      <c r="C367" s="42">
        <f>SUM(C368:C374)</f>
        <v>979529420</v>
      </c>
      <c r="D367" s="42">
        <f>SUM(D368:D374)</f>
        <v>1002505417.27</v>
      </c>
      <c r="E367" s="98">
        <f>SUM(E368:E374)</f>
        <v>192313272.75</v>
      </c>
      <c r="F367" s="42">
        <f>SUM(F368:F374)</f>
        <v>572980723.88000011</v>
      </c>
      <c r="G367" s="80">
        <f t="shared" si="70"/>
        <v>0.9085490325019201</v>
      </c>
      <c r="H367" s="42">
        <f t="shared" si="72"/>
        <v>429524693.38999987</v>
      </c>
      <c r="I367" s="42">
        <f>SUM(I368:I374)</f>
        <v>190364476.43000001</v>
      </c>
      <c r="J367" s="42">
        <f>SUM(J368:J374)</f>
        <v>563813581.57000005</v>
      </c>
      <c r="K367" s="42">
        <f t="shared" si="71"/>
        <v>1.0059379151140064</v>
      </c>
      <c r="L367" s="80">
        <f t="shared" si="73"/>
        <v>438691835.69999993</v>
      </c>
    </row>
    <row r="368" spans="1:12" ht="14.85" customHeight="1" x14ac:dyDescent="0.25">
      <c r="A368" s="43" t="s">
        <v>30</v>
      </c>
      <c r="B368" s="52" t="s">
        <v>31</v>
      </c>
      <c r="C368" s="94">
        <v>430343282</v>
      </c>
      <c r="D368" s="94">
        <v>449040860.05000001</v>
      </c>
      <c r="E368" s="61">
        <f>F368-133678116.53</f>
        <v>72873613.639999986</v>
      </c>
      <c r="F368" s="96">
        <v>206551730.16999999</v>
      </c>
      <c r="G368" s="50">
        <f t="shared" si="70"/>
        <v>0.32751952515396215</v>
      </c>
      <c r="H368" s="45">
        <f t="shared" si="72"/>
        <v>242489129.88000003</v>
      </c>
      <c r="I368" s="45">
        <f>J368-126535402.93</f>
        <v>70914244.959999979</v>
      </c>
      <c r="J368" s="94">
        <v>197449647.88999999</v>
      </c>
      <c r="K368" s="45">
        <f t="shared" si="71"/>
        <v>0.35228326104769686</v>
      </c>
      <c r="L368" s="50">
        <f t="shared" si="73"/>
        <v>251591212.16000003</v>
      </c>
    </row>
    <row r="369" spans="1:12" ht="14.85" customHeight="1" x14ac:dyDescent="0.25">
      <c r="A369" s="43" t="s">
        <v>32</v>
      </c>
      <c r="B369" s="52" t="s">
        <v>33</v>
      </c>
      <c r="C369" s="45">
        <v>5000</v>
      </c>
      <c r="D369" s="45">
        <v>5000</v>
      </c>
      <c r="E369" s="61">
        <f t="shared" ref="E369:E374" si="86">F369-0</f>
        <v>0</v>
      </c>
      <c r="F369" s="45">
        <v>0</v>
      </c>
      <c r="G369" s="50">
        <f t="shared" si="70"/>
        <v>0</v>
      </c>
      <c r="H369" s="45">
        <f t="shared" si="72"/>
        <v>5000</v>
      </c>
      <c r="I369" s="45">
        <f t="shared" ref="I369:I374" si="87">J369-0</f>
        <v>0</v>
      </c>
      <c r="J369" s="45">
        <v>0</v>
      </c>
      <c r="K369" s="45">
        <f t="shared" si="71"/>
        <v>0</v>
      </c>
      <c r="L369" s="50">
        <f t="shared" si="73"/>
        <v>5000</v>
      </c>
    </row>
    <row r="370" spans="1:12" ht="14.85" customHeight="1" x14ac:dyDescent="0.25">
      <c r="A370" s="43" t="s">
        <v>110</v>
      </c>
      <c r="B370" s="52" t="s">
        <v>111</v>
      </c>
      <c r="C370" s="45">
        <v>0</v>
      </c>
      <c r="D370" s="45">
        <v>1660000</v>
      </c>
      <c r="E370" s="61">
        <f>F370-47490.67</f>
        <v>0</v>
      </c>
      <c r="F370" s="45">
        <v>47490.67</v>
      </c>
      <c r="G370" s="50">
        <f t="shared" si="70"/>
        <v>7.5303758892950821E-5</v>
      </c>
      <c r="H370" s="45">
        <f t="shared" si="72"/>
        <v>1612509.33</v>
      </c>
      <c r="I370" s="45">
        <f>J370-12741.4</f>
        <v>7722.0599999999995</v>
      </c>
      <c r="J370" s="45">
        <v>20463.46</v>
      </c>
      <c r="K370" s="45">
        <f t="shared" si="71"/>
        <v>3.6510241968804268E-5</v>
      </c>
      <c r="L370" s="50">
        <f t="shared" si="73"/>
        <v>1639536.54</v>
      </c>
    </row>
    <row r="371" spans="1:12" ht="14.85" customHeight="1" x14ac:dyDescent="0.25">
      <c r="A371" s="43" t="s">
        <v>162</v>
      </c>
      <c r="B371" s="52" t="s">
        <v>163</v>
      </c>
      <c r="C371" s="94">
        <v>116501085</v>
      </c>
      <c r="D371" s="94">
        <v>116501085</v>
      </c>
      <c r="E371" s="61">
        <f>F371-15000000</f>
        <v>20389998.990000002</v>
      </c>
      <c r="F371" s="96">
        <v>35389998.990000002</v>
      </c>
      <c r="G371" s="50">
        <f t="shared" si="70"/>
        <v>5.6116284549464837E-2</v>
      </c>
      <c r="H371" s="45">
        <f t="shared" si="72"/>
        <v>81111086.00999999</v>
      </c>
      <c r="I371" s="45">
        <f>J371-15000000</f>
        <v>20389998.990000002</v>
      </c>
      <c r="J371" s="94">
        <v>35389998.990000002</v>
      </c>
      <c r="K371" s="45">
        <f t="shared" si="71"/>
        <v>6.3141688961721953E-2</v>
      </c>
      <c r="L371" s="50">
        <f t="shared" si="73"/>
        <v>81111086.00999999</v>
      </c>
    </row>
    <row r="372" spans="1:12" ht="14.85" customHeight="1" x14ac:dyDescent="0.25">
      <c r="A372" s="43" t="s">
        <v>164</v>
      </c>
      <c r="B372" s="52" t="s">
        <v>165</v>
      </c>
      <c r="C372" s="94">
        <v>432618063</v>
      </c>
      <c r="D372" s="94">
        <v>434936482.22000003</v>
      </c>
      <c r="E372" s="61">
        <f>F372-231894885.74</f>
        <v>99049660.120000005</v>
      </c>
      <c r="F372" s="96">
        <v>330944545.86000001</v>
      </c>
      <c r="G372" s="50">
        <f t="shared" si="70"/>
        <v>0.5247634596096149</v>
      </c>
      <c r="H372" s="45">
        <f t="shared" si="72"/>
        <v>103991936.36000001</v>
      </c>
      <c r="I372" s="45">
        <f>J372-231894885.74</f>
        <v>99049660.120000005</v>
      </c>
      <c r="J372" s="94">
        <v>330944545.86000001</v>
      </c>
      <c r="K372" s="45">
        <f t="shared" si="71"/>
        <v>0.59046053050679803</v>
      </c>
      <c r="L372" s="50">
        <f t="shared" si="73"/>
        <v>103991936.36000001</v>
      </c>
    </row>
    <row r="373" spans="1:12" ht="14.85" customHeight="1" x14ac:dyDescent="0.25">
      <c r="A373" s="43" t="s">
        <v>168</v>
      </c>
      <c r="B373" s="52" t="s">
        <v>169</v>
      </c>
      <c r="C373" s="94">
        <v>61990</v>
      </c>
      <c r="D373" s="94">
        <v>361990</v>
      </c>
      <c r="E373" s="61">
        <f>F373-46958.19</f>
        <v>0</v>
      </c>
      <c r="F373" s="45">
        <v>46958.19</v>
      </c>
      <c r="G373" s="50">
        <f t="shared" si="70"/>
        <v>7.4459429985076543E-5</v>
      </c>
      <c r="H373" s="45">
        <f t="shared" si="72"/>
        <v>315031.81</v>
      </c>
      <c r="I373" s="45">
        <f>J373-6075.07</f>
        <v>2850.3000000000011</v>
      </c>
      <c r="J373" s="45">
        <v>8925.3700000000008</v>
      </c>
      <c r="K373" s="45">
        <f t="shared" si="71"/>
        <v>1.5924355820624008E-5</v>
      </c>
      <c r="L373" s="50">
        <f t="shared" si="73"/>
        <v>353064.63</v>
      </c>
    </row>
    <row r="374" spans="1:12" ht="14.85" customHeight="1" x14ac:dyDescent="0.25">
      <c r="A374" s="43" t="s">
        <v>172</v>
      </c>
      <c r="B374" s="52" t="s">
        <v>173</v>
      </c>
      <c r="C374" s="45">
        <v>0</v>
      </c>
      <c r="D374" s="45">
        <v>0</v>
      </c>
      <c r="E374" s="61">
        <f t="shared" si="86"/>
        <v>0</v>
      </c>
      <c r="F374" s="45">
        <v>0</v>
      </c>
      <c r="G374" s="50">
        <f t="shared" si="70"/>
        <v>0</v>
      </c>
      <c r="H374" s="45">
        <f t="shared" si="72"/>
        <v>0</v>
      </c>
      <c r="I374" s="45">
        <f t="shared" si="87"/>
        <v>0</v>
      </c>
      <c r="J374" s="45">
        <v>0</v>
      </c>
      <c r="K374" s="45">
        <f t="shared" si="71"/>
        <v>0</v>
      </c>
      <c r="L374" s="50">
        <f t="shared" si="73"/>
        <v>0</v>
      </c>
    </row>
    <row r="375" spans="1:12" ht="14.85" customHeight="1" x14ac:dyDescent="0.2">
      <c r="A375" s="40" t="s">
        <v>174</v>
      </c>
      <c r="B375" s="81" t="s">
        <v>175</v>
      </c>
      <c r="C375" s="42">
        <f>SUM(C376:C377)</f>
        <v>9774979</v>
      </c>
      <c r="D375" s="42">
        <f>SUM(D376:D377)</f>
        <v>11927625.32</v>
      </c>
      <c r="E375" s="98">
        <f>SUM(E376:E377)</f>
        <v>1783423.17</v>
      </c>
      <c r="F375" s="42">
        <f>SUM(F376:F377)</f>
        <v>4783141.25</v>
      </c>
      <c r="G375" s="80">
        <f t="shared" si="70"/>
        <v>7.5844058515267829E-3</v>
      </c>
      <c r="H375" s="42">
        <f t="shared" si="72"/>
        <v>7144484.0700000003</v>
      </c>
      <c r="I375" s="42">
        <f>SUM(I376:I377)</f>
        <v>1616938.2199999997</v>
      </c>
      <c r="J375" s="42">
        <f>SUM(J376:J377)</f>
        <v>4343507.05</v>
      </c>
      <c r="K375" s="42">
        <f t="shared" si="71"/>
        <v>7.7495444753090245E-3</v>
      </c>
      <c r="L375" s="80">
        <f t="shared" si="73"/>
        <v>7584118.2700000005</v>
      </c>
    </row>
    <row r="376" spans="1:12" ht="14.85" customHeight="1" x14ac:dyDescent="0.25">
      <c r="A376" s="43" t="s">
        <v>30</v>
      </c>
      <c r="B376" s="52" t="s">
        <v>31</v>
      </c>
      <c r="C376" s="94">
        <v>9774979</v>
      </c>
      <c r="D376" s="94">
        <v>11927625.32</v>
      </c>
      <c r="E376" s="61">
        <f>F376-2999718.08</f>
        <v>1783423.17</v>
      </c>
      <c r="F376" s="96">
        <v>4783141.25</v>
      </c>
      <c r="G376" s="50">
        <f t="shared" si="70"/>
        <v>7.5844058515267829E-3</v>
      </c>
      <c r="H376" s="45">
        <f t="shared" si="72"/>
        <v>7144484.0700000003</v>
      </c>
      <c r="I376" s="45">
        <f>J376-2726568.83</f>
        <v>1616938.2199999997</v>
      </c>
      <c r="J376" s="45">
        <v>4343507.05</v>
      </c>
      <c r="K376" s="45">
        <f t="shared" si="71"/>
        <v>7.7495444753090245E-3</v>
      </c>
      <c r="L376" s="50">
        <f t="shared" si="73"/>
        <v>7584118.2700000005</v>
      </c>
    </row>
    <row r="377" spans="1:12" ht="14.85" customHeight="1" x14ac:dyDescent="0.25">
      <c r="A377" s="43" t="s">
        <v>38</v>
      </c>
      <c r="B377" s="52" t="s">
        <v>39</v>
      </c>
      <c r="C377" s="45">
        <v>0</v>
      </c>
      <c r="D377" s="45">
        <v>0</v>
      </c>
      <c r="E377" s="61">
        <f t="shared" ref="E377" si="88">F377-0</f>
        <v>0</v>
      </c>
      <c r="F377" s="45">
        <v>0</v>
      </c>
      <c r="G377" s="50">
        <f t="shared" si="70"/>
        <v>0</v>
      </c>
      <c r="H377" s="45">
        <f t="shared" si="72"/>
        <v>0</v>
      </c>
      <c r="I377" s="45">
        <f t="shared" ref="I377" si="89">J377-0</f>
        <v>0</v>
      </c>
      <c r="J377" s="45">
        <v>0</v>
      </c>
      <c r="K377" s="45">
        <f t="shared" si="71"/>
        <v>0</v>
      </c>
      <c r="L377" s="50">
        <f t="shared" si="73"/>
        <v>0</v>
      </c>
    </row>
    <row r="378" spans="1:12" ht="14.85" customHeight="1" x14ac:dyDescent="0.2">
      <c r="A378" s="40" t="s">
        <v>180</v>
      </c>
      <c r="B378" s="81" t="s">
        <v>181</v>
      </c>
      <c r="C378" s="42">
        <f>SUM(C379:C381)</f>
        <v>2030856</v>
      </c>
      <c r="D378" s="42">
        <f>SUM(D379:D381)</f>
        <v>2312939</v>
      </c>
      <c r="E378" s="98">
        <f>SUM(E379:E381)</f>
        <v>360917.00999999995</v>
      </c>
      <c r="F378" s="42">
        <f>SUM(F379:F381)</f>
        <v>960440.51</v>
      </c>
      <c r="G378" s="80">
        <f t="shared" si="70"/>
        <v>1.5229260946637039E-3</v>
      </c>
      <c r="H378" s="42">
        <f t="shared" si="72"/>
        <v>1352498.49</v>
      </c>
      <c r="I378" s="42">
        <f>SUM(I379:I381)</f>
        <v>292816.95000000007</v>
      </c>
      <c r="J378" s="42">
        <f>SUM(J379:J381)</f>
        <v>801870.95000000007</v>
      </c>
      <c r="K378" s="42">
        <f t="shared" si="71"/>
        <v>1.4306721547702565E-3</v>
      </c>
      <c r="L378" s="80">
        <f t="shared" si="73"/>
        <v>1511068.0499999998</v>
      </c>
    </row>
    <row r="379" spans="1:12" ht="14.85" customHeight="1" x14ac:dyDescent="0.25">
      <c r="A379" s="43" t="s">
        <v>30</v>
      </c>
      <c r="B379" s="52" t="s">
        <v>31</v>
      </c>
      <c r="C379" s="94">
        <v>1794554</v>
      </c>
      <c r="D379" s="94">
        <v>1777554</v>
      </c>
      <c r="E379" s="61">
        <f>F379-540814.11</f>
        <v>222135.70999999996</v>
      </c>
      <c r="F379" s="96">
        <v>762949.82</v>
      </c>
      <c r="G379" s="50">
        <f t="shared" si="70"/>
        <v>1.2097742418184503E-3</v>
      </c>
      <c r="H379" s="45">
        <f t="shared" si="72"/>
        <v>1014604.18</v>
      </c>
      <c r="I379" s="45">
        <f>J379-464243.73</f>
        <v>230671.57000000007</v>
      </c>
      <c r="J379" s="94">
        <v>694915.3</v>
      </c>
      <c r="K379" s="45">
        <f t="shared" si="71"/>
        <v>1.2398453512174486E-3</v>
      </c>
      <c r="L379" s="50">
        <f t="shared" si="73"/>
        <v>1082638.7</v>
      </c>
    </row>
    <row r="380" spans="1:12" ht="14.85" customHeight="1" x14ac:dyDescent="0.25">
      <c r="A380" s="43" t="s">
        <v>40</v>
      </c>
      <c r="B380" s="44" t="s">
        <v>41</v>
      </c>
      <c r="C380" s="96">
        <v>236302</v>
      </c>
      <c r="D380" s="94">
        <v>535385</v>
      </c>
      <c r="E380" s="61">
        <f>F380-58709.39</f>
        <v>138781.29999999999</v>
      </c>
      <c r="F380" s="45">
        <v>197490.69</v>
      </c>
      <c r="G380" s="50">
        <f t="shared" si="70"/>
        <v>3.1315185284525352E-4</v>
      </c>
      <c r="H380" s="45">
        <f t="shared" si="72"/>
        <v>337894.31</v>
      </c>
      <c r="I380" s="45">
        <f>J380-44810.27</f>
        <v>62145.38</v>
      </c>
      <c r="J380" s="45">
        <v>106955.65</v>
      </c>
      <c r="K380" s="45">
        <f t="shared" si="71"/>
        <v>1.9082680355280779E-4</v>
      </c>
      <c r="L380" s="50">
        <f t="shared" si="73"/>
        <v>428429.35</v>
      </c>
    </row>
    <row r="381" spans="1:12" ht="14.85" customHeight="1" x14ac:dyDescent="0.25">
      <c r="A381" s="43" t="s">
        <v>65</v>
      </c>
      <c r="B381" s="52" t="s">
        <v>66</v>
      </c>
      <c r="C381" s="45">
        <v>0</v>
      </c>
      <c r="D381" s="45">
        <v>0</v>
      </c>
      <c r="E381" s="61">
        <f t="shared" ref="E381" si="90">F381-0</f>
        <v>0</v>
      </c>
      <c r="F381" s="45">
        <v>0</v>
      </c>
      <c r="G381" s="50">
        <f t="shared" si="70"/>
        <v>0</v>
      </c>
      <c r="H381" s="45">
        <f t="shared" si="72"/>
        <v>0</v>
      </c>
      <c r="I381" s="45">
        <f t="shared" ref="I381" si="91">J381-0</f>
        <v>0</v>
      </c>
      <c r="J381" s="45">
        <v>0</v>
      </c>
      <c r="K381" s="45">
        <f t="shared" si="71"/>
        <v>0</v>
      </c>
      <c r="L381" s="50">
        <f t="shared" si="73"/>
        <v>0</v>
      </c>
    </row>
    <row r="382" spans="1:12" ht="14.85" customHeight="1" x14ac:dyDescent="0.2">
      <c r="A382" s="40" t="s">
        <v>183</v>
      </c>
      <c r="B382" s="81" t="s">
        <v>184</v>
      </c>
      <c r="C382" s="42">
        <f>C383+C384</f>
        <v>839065</v>
      </c>
      <c r="D382" s="42">
        <f>D383+D384</f>
        <v>1609685.44</v>
      </c>
      <c r="E382" s="98">
        <f>E383+E384</f>
        <v>143421.24</v>
      </c>
      <c r="F382" s="42">
        <f>F383+F384</f>
        <v>879670.03</v>
      </c>
      <c r="G382" s="80">
        <f t="shared" si="70"/>
        <v>1.3948520803028219E-3</v>
      </c>
      <c r="H382" s="42">
        <f t="shared" si="72"/>
        <v>730015.40999999992</v>
      </c>
      <c r="I382" s="42">
        <f>I383+I384</f>
        <v>221526.96000000002</v>
      </c>
      <c r="J382" s="42">
        <f>J383+J384</f>
        <v>486972.57</v>
      </c>
      <c r="K382" s="42">
        <f t="shared" si="71"/>
        <v>8.6884067322292875E-4</v>
      </c>
      <c r="L382" s="80">
        <f t="shared" si="73"/>
        <v>1122712.8699999999</v>
      </c>
    </row>
    <row r="383" spans="1:12" ht="14.85" customHeight="1" x14ac:dyDescent="0.25">
      <c r="A383" s="54" t="s">
        <v>30</v>
      </c>
      <c r="B383" s="48" t="s">
        <v>31</v>
      </c>
      <c r="C383" s="94">
        <v>839065</v>
      </c>
      <c r="D383" s="94">
        <v>1609685.44</v>
      </c>
      <c r="E383" s="61">
        <f>F383-736248.79</f>
        <v>143421.24</v>
      </c>
      <c r="F383" s="96">
        <v>879670.03</v>
      </c>
      <c r="G383" s="50">
        <f t="shared" si="70"/>
        <v>1.3948520803028219E-3</v>
      </c>
      <c r="H383" s="45">
        <f t="shared" si="72"/>
        <v>730015.40999999992</v>
      </c>
      <c r="I383" s="45">
        <f>J383-265445.61</f>
        <v>221526.96000000002</v>
      </c>
      <c r="J383" s="45">
        <v>486972.57</v>
      </c>
      <c r="K383" s="45">
        <f t="shared" si="71"/>
        <v>8.6884067322292875E-4</v>
      </c>
      <c r="L383" s="50">
        <f t="shared" si="73"/>
        <v>1122712.8699999999</v>
      </c>
    </row>
    <row r="384" spans="1:12" ht="14.85" customHeight="1" x14ac:dyDescent="0.25">
      <c r="A384" s="54" t="s">
        <v>77</v>
      </c>
      <c r="B384" s="48" t="s">
        <v>78</v>
      </c>
      <c r="C384" s="45">
        <v>0</v>
      </c>
      <c r="D384" s="45">
        <v>0</v>
      </c>
      <c r="E384" s="61">
        <f t="shared" ref="E384" si="92">F384-0</f>
        <v>0</v>
      </c>
      <c r="F384" s="45">
        <v>0</v>
      </c>
      <c r="G384" s="50">
        <f t="shared" si="70"/>
        <v>0</v>
      </c>
      <c r="H384" s="45">
        <f t="shared" si="72"/>
        <v>0</v>
      </c>
      <c r="I384" s="45">
        <f t="shared" ref="I384" si="93">J384-0</f>
        <v>0</v>
      </c>
      <c r="J384" s="45">
        <v>0</v>
      </c>
      <c r="K384" s="45">
        <f t="shared" si="71"/>
        <v>0</v>
      </c>
      <c r="L384" s="50">
        <f t="shared" si="73"/>
        <v>0</v>
      </c>
    </row>
    <row r="385" spans="1:12" ht="14.85" customHeight="1" x14ac:dyDescent="0.2">
      <c r="A385" s="83" t="s">
        <v>189</v>
      </c>
      <c r="B385" s="84" t="s">
        <v>190</v>
      </c>
      <c r="C385" s="42">
        <f>C386</f>
        <v>5242305</v>
      </c>
      <c r="D385" s="42">
        <f>D386</f>
        <v>5302305</v>
      </c>
      <c r="E385" s="98">
        <f>E386</f>
        <v>96105.5</v>
      </c>
      <c r="F385" s="42">
        <f>F386</f>
        <v>1502338.79</v>
      </c>
      <c r="G385" s="80">
        <f t="shared" si="70"/>
        <v>2.3821891335221736E-3</v>
      </c>
      <c r="H385" s="42">
        <f t="shared" si="72"/>
        <v>3799966.21</v>
      </c>
      <c r="I385" s="42">
        <f>I386</f>
        <v>165437.93999999994</v>
      </c>
      <c r="J385" s="42">
        <f>J386</f>
        <v>1502338.79</v>
      </c>
      <c r="K385" s="42">
        <f t="shared" si="71"/>
        <v>2.6804241678592294E-3</v>
      </c>
      <c r="L385" s="80">
        <f t="shared" si="73"/>
        <v>3799966.21</v>
      </c>
    </row>
    <row r="386" spans="1:12" ht="14.85" customHeight="1" x14ac:dyDescent="0.25">
      <c r="A386" s="54" t="s">
        <v>30</v>
      </c>
      <c r="B386" s="48" t="s">
        <v>31</v>
      </c>
      <c r="C386" s="94">
        <v>5242305</v>
      </c>
      <c r="D386" s="94">
        <v>5302305</v>
      </c>
      <c r="E386" s="61">
        <f>F386-1406233.29</f>
        <v>96105.5</v>
      </c>
      <c r="F386" s="96">
        <v>1502338.79</v>
      </c>
      <c r="G386" s="50">
        <f t="shared" si="70"/>
        <v>2.3821891335221736E-3</v>
      </c>
      <c r="H386" s="45">
        <f t="shared" si="72"/>
        <v>3799966.21</v>
      </c>
      <c r="I386" s="45">
        <f>J386-1336900.85</f>
        <v>165437.93999999994</v>
      </c>
      <c r="J386" s="45">
        <v>1502338.79</v>
      </c>
      <c r="K386" s="45">
        <f t="shared" si="71"/>
        <v>2.6804241678592294E-3</v>
      </c>
      <c r="L386" s="50">
        <f t="shared" si="73"/>
        <v>3799966.21</v>
      </c>
    </row>
    <row r="387" spans="1:12" ht="14.85" customHeight="1" x14ac:dyDescent="0.2">
      <c r="A387" s="40" t="s">
        <v>191</v>
      </c>
      <c r="B387" s="70" t="s">
        <v>192</v>
      </c>
      <c r="C387" s="42">
        <f>C388</f>
        <v>0</v>
      </c>
      <c r="D387" s="42">
        <f>D388</f>
        <v>0</v>
      </c>
      <c r="E387" s="98">
        <f t="shared" ref="E387:E388" si="94">F387-0</f>
        <v>0</v>
      </c>
      <c r="F387" s="42">
        <f>F388</f>
        <v>0</v>
      </c>
      <c r="G387" s="80">
        <f t="shared" si="70"/>
        <v>0</v>
      </c>
      <c r="H387" s="42">
        <f t="shared" si="72"/>
        <v>0</v>
      </c>
      <c r="I387" s="42">
        <f t="shared" ref="I387:I388" si="95">J387-0</f>
        <v>0</v>
      </c>
      <c r="J387" s="42">
        <f>J388</f>
        <v>0</v>
      </c>
      <c r="K387" s="42">
        <f t="shared" si="71"/>
        <v>0</v>
      </c>
      <c r="L387" s="80">
        <f t="shared" si="73"/>
        <v>0</v>
      </c>
    </row>
    <row r="388" spans="1:12" ht="14.85" customHeight="1" x14ac:dyDescent="0.25">
      <c r="A388" s="54" t="s">
        <v>91</v>
      </c>
      <c r="B388" s="48" t="s">
        <v>92</v>
      </c>
      <c r="C388" s="45">
        <v>0</v>
      </c>
      <c r="D388" s="45">
        <v>0</v>
      </c>
      <c r="E388" s="61">
        <f t="shared" si="94"/>
        <v>0</v>
      </c>
      <c r="F388" s="45">
        <v>0</v>
      </c>
      <c r="G388" s="50">
        <f t="shared" si="70"/>
        <v>0</v>
      </c>
      <c r="H388" s="45">
        <f t="shared" si="72"/>
        <v>0</v>
      </c>
      <c r="I388" s="45">
        <f t="shared" si="95"/>
        <v>0</v>
      </c>
      <c r="J388" s="45">
        <v>0</v>
      </c>
      <c r="K388" s="45">
        <f t="shared" si="71"/>
        <v>0</v>
      </c>
      <c r="L388" s="50">
        <f t="shared" si="73"/>
        <v>0</v>
      </c>
    </row>
    <row r="389" spans="1:12" ht="14.85" customHeight="1" x14ac:dyDescent="0.2">
      <c r="A389" s="83" t="s">
        <v>195</v>
      </c>
      <c r="B389" s="84" t="s">
        <v>196</v>
      </c>
      <c r="C389" s="42">
        <f>C390+C391</f>
        <v>14744222</v>
      </c>
      <c r="D389" s="42">
        <f>D390+D391</f>
        <v>15684071.289999999</v>
      </c>
      <c r="E389" s="98">
        <f>E390+E391</f>
        <v>2976504.7300000004</v>
      </c>
      <c r="F389" s="42">
        <f>F390+F391</f>
        <v>6963484.0300000003</v>
      </c>
      <c r="G389" s="80">
        <f t="shared" si="70"/>
        <v>1.1041674553128721E-2</v>
      </c>
      <c r="H389" s="42">
        <f t="shared" si="72"/>
        <v>8720587.2599999979</v>
      </c>
      <c r="I389" s="42">
        <f>I390+I391</f>
        <v>2489848.0500000003</v>
      </c>
      <c r="J389" s="42">
        <f>J390+J391</f>
        <v>6294869.2700000005</v>
      </c>
      <c r="K389" s="42">
        <f t="shared" si="71"/>
        <v>1.1231101690998996E-2</v>
      </c>
      <c r="L389" s="80">
        <f t="shared" si="73"/>
        <v>9389202.0199999996</v>
      </c>
    </row>
    <row r="390" spans="1:12" ht="14.85" customHeight="1" x14ac:dyDescent="0.25">
      <c r="A390" s="54" t="s">
        <v>30</v>
      </c>
      <c r="B390" s="48" t="s">
        <v>31</v>
      </c>
      <c r="C390" s="94">
        <v>14744222</v>
      </c>
      <c r="D390" s="94">
        <v>15544222</v>
      </c>
      <c r="E390" s="61">
        <f>F390-3986979.3</f>
        <v>2836655.4400000004</v>
      </c>
      <c r="F390" s="96">
        <v>6823634.7400000002</v>
      </c>
      <c r="G390" s="50">
        <f t="shared" ref="G390:G425" si="96">(F390/$F$309)*100</f>
        <v>1.081992200224851E-2</v>
      </c>
      <c r="H390" s="45">
        <f t="shared" si="72"/>
        <v>8720587.2599999998</v>
      </c>
      <c r="I390" s="45">
        <f>J390-3805021.22</f>
        <v>2349998.7600000002</v>
      </c>
      <c r="J390" s="94">
        <v>6155019.9800000004</v>
      </c>
      <c r="K390" s="45">
        <f t="shared" ref="K390:K425" si="97">(J390/$J$309)*100</f>
        <v>1.0981587121270051E-2</v>
      </c>
      <c r="L390" s="50">
        <f t="shared" si="73"/>
        <v>9389202.0199999996</v>
      </c>
    </row>
    <row r="391" spans="1:12" ht="14.85" customHeight="1" x14ac:dyDescent="0.25">
      <c r="A391" s="54" t="s">
        <v>85</v>
      </c>
      <c r="B391" s="48" t="s">
        <v>86</v>
      </c>
      <c r="C391" s="113">
        <v>0</v>
      </c>
      <c r="D391" s="111">
        <v>139849.29</v>
      </c>
      <c r="E391" s="61">
        <f>F391-0</f>
        <v>139849.29</v>
      </c>
      <c r="F391" s="96">
        <v>139849.29</v>
      </c>
      <c r="G391" s="50">
        <f t="shared" si="96"/>
        <v>2.2175255088021205E-4</v>
      </c>
      <c r="H391" s="45">
        <f t="shared" si="72"/>
        <v>0</v>
      </c>
      <c r="I391" s="45">
        <f>J391-0</f>
        <v>139849.29</v>
      </c>
      <c r="J391" s="111">
        <v>139849.29</v>
      </c>
      <c r="K391" s="45">
        <f t="shared" si="97"/>
        <v>2.4951456972894512E-4</v>
      </c>
      <c r="L391" s="50">
        <f t="shared" si="73"/>
        <v>0</v>
      </c>
    </row>
    <row r="392" spans="1:12" ht="14.85" customHeight="1" x14ac:dyDescent="0.2">
      <c r="A392" s="83" t="s">
        <v>201</v>
      </c>
      <c r="B392" s="84" t="s">
        <v>202</v>
      </c>
      <c r="C392" s="42">
        <f>SUM(C393:C399)</f>
        <v>202959119</v>
      </c>
      <c r="D392" s="42">
        <f>SUM(D393:D399)</f>
        <v>203732119</v>
      </c>
      <c r="E392" s="98">
        <f>SUM(E393:E399)</f>
        <v>43552205.770000003</v>
      </c>
      <c r="F392" s="42">
        <f>SUM(F393:F399)</f>
        <v>120765326.58</v>
      </c>
      <c r="G392" s="80">
        <f t="shared" si="96"/>
        <v>0.19149199275160333</v>
      </c>
      <c r="H392" s="42">
        <f t="shared" ref="H392:H426" si="98">D392-F392</f>
        <v>82966792.420000002</v>
      </c>
      <c r="I392" s="42">
        <f>SUM(I393:I399)</f>
        <v>43566824.840000004</v>
      </c>
      <c r="J392" s="42">
        <f>SUM(J393:J399)</f>
        <v>120575105.40000001</v>
      </c>
      <c r="K392" s="42">
        <f t="shared" si="97"/>
        <v>0.21512619437612596</v>
      </c>
      <c r="L392" s="80">
        <f t="shared" ref="L392:L425" si="99">D392-J392</f>
        <v>83157013.599999994</v>
      </c>
    </row>
    <row r="393" spans="1:12" ht="14.85" customHeight="1" x14ac:dyDescent="0.25">
      <c r="A393" s="54" t="s">
        <v>30</v>
      </c>
      <c r="B393" s="48" t="s">
        <v>31</v>
      </c>
      <c r="C393" s="94">
        <v>10219907</v>
      </c>
      <c r="D393" s="94">
        <v>10992907</v>
      </c>
      <c r="E393" s="61">
        <f>F393-2213120.81</f>
        <v>1041205.77</v>
      </c>
      <c r="F393" s="96">
        <v>3254326.58</v>
      </c>
      <c r="G393" s="50">
        <f t="shared" si="96"/>
        <v>5.1602351396440871E-3</v>
      </c>
      <c r="H393" s="45">
        <f t="shared" si="98"/>
        <v>7738580.4199999999</v>
      </c>
      <c r="I393" s="45">
        <f>J393-2008280.56</f>
        <v>1055824.8399999999</v>
      </c>
      <c r="J393" s="94">
        <v>3064105.4</v>
      </c>
      <c r="K393" s="45">
        <f t="shared" si="97"/>
        <v>5.466877525693103E-3</v>
      </c>
      <c r="L393" s="50">
        <f t="shared" si="99"/>
        <v>7928801.5999999996</v>
      </c>
    </row>
    <row r="394" spans="1:12" ht="14.85" customHeight="1" x14ac:dyDescent="0.25">
      <c r="A394" s="54" t="s">
        <v>32</v>
      </c>
      <c r="B394" s="48" t="s">
        <v>33</v>
      </c>
      <c r="C394" s="45">
        <v>0</v>
      </c>
      <c r="D394" s="45">
        <v>0</v>
      </c>
      <c r="E394" s="61">
        <f t="shared" ref="E394:E399" si="100">F394-0</f>
        <v>0</v>
      </c>
      <c r="F394" s="45">
        <v>0</v>
      </c>
      <c r="G394" s="80">
        <f t="shared" si="96"/>
        <v>0</v>
      </c>
      <c r="H394" s="45">
        <f t="shared" si="98"/>
        <v>0</v>
      </c>
      <c r="I394" s="45">
        <f t="shared" ref="I394:I399" si="101">J394-0</f>
        <v>0</v>
      </c>
      <c r="J394" s="45">
        <v>0</v>
      </c>
      <c r="K394" s="45">
        <f t="shared" si="97"/>
        <v>0</v>
      </c>
      <c r="L394" s="50">
        <f t="shared" si="99"/>
        <v>0</v>
      </c>
    </row>
    <row r="395" spans="1:12" ht="14.85" customHeight="1" x14ac:dyDescent="0.25">
      <c r="A395" s="54" t="s">
        <v>67</v>
      </c>
      <c r="B395" s="48" t="s">
        <v>68</v>
      </c>
      <c r="C395" s="45">
        <v>0</v>
      </c>
      <c r="D395" s="45">
        <v>0</v>
      </c>
      <c r="E395" s="61">
        <f t="shared" si="100"/>
        <v>0</v>
      </c>
      <c r="F395" s="45">
        <v>0</v>
      </c>
      <c r="G395" s="80">
        <f t="shared" si="96"/>
        <v>0</v>
      </c>
      <c r="H395" s="45">
        <f t="shared" si="98"/>
        <v>0</v>
      </c>
      <c r="I395" s="45">
        <f t="shared" si="101"/>
        <v>0</v>
      </c>
      <c r="J395" s="45">
        <v>0</v>
      </c>
      <c r="K395" s="45">
        <f t="shared" si="97"/>
        <v>0</v>
      </c>
      <c r="L395" s="50">
        <f t="shared" si="99"/>
        <v>0</v>
      </c>
    </row>
    <row r="396" spans="1:12" ht="14.85" customHeight="1" x14ac:dyDescent="0.25">
      <c r="A396" s="54" t="s">
        <v>87</v>
      </c>
      <c r="B396" s="48" t="s">
        <v>88</v>
      </c>
      <c r="C396" s="45">
        <v>0</v>
      </c>
      <c r="D396" s="45">
        <v>0</v>
      </c>
      <c r="E396" s="61">
        <f t="shared" si="100"/>
        <v>0</v>
      </c>
      <c r="F396" s="45">
        <v>0</v>
      </c>
      <c r="G396" s="80">
        <f t="shared" si="96"/>
        <v>0</v>
      </c>
      <c r="H396" s="45">
        <f t="shared" si="98"/>
        <v>0</v>
      </c>
      <c r="I396" s="45">
        <f t="shared" si="101"/>
        <v>0</v>
      </c>
      <c r="J396" s="45">
        <v>0</v>
      </c>
      <c r="K396" s="45">
        <f t="shared" si="97"/>
        <v>0</v>
      </c>
      <c r="L396" s="50">
        <f t="shared" si="99"/>
        <v>0</v>
      </c>
    </row>
    <row r="397" spans="1:12" ht="14.85" customHeight="1" x14ac:dyDescent="0.25">
      <c r="A397" s="54" t="s">
        <v>89</v>
      </c>
      <c r="B397" s="48" t="s">
        <v>90</v>
      </c>
      <c r="C397" s="45">
        <v>192739212</v>
      </c>
      <c r="D397" s="45">
        <v>192739212</v>
      </c>
      <c r="E397" s="61">
        <f>F397-75000000</f>
        <v>42511000</v>
      </c>
      <c r="F397" s="45">
        <v>117511000</v>
      </c>
      <c r="G397" s="80">
        <f t="shared" si="96"/>
        <v>0.18633175761195925</v>
      </c>
      <c r="H397" s="45">
        <f t="shared" si="98"/>
        <v>75228212</v>
      </c>
      <c r="I397" s="45">
        <f>J397-75000000</f>
        <v>42511000</v>
      </c>
      <c r="J397" s="45">
        <v>117511000</v>
      </c>
      <c r="K397" s="45">
        <f t="shared" si="97"/>
        <v>0.20965931685043285</v>
      </c>
      <c r="L397" s="50">
        <f t="shared" si="99"/>
        <v>75228212</v>
      </c>
    </row>
    <row r="398" spans="1:12" ht="14.85" customHeight="1" x14ac:dyDescent="0.25">
      <c r="A398" s="54" t="s">
        <v>104</v>
      </c>
      <c r="B398" s="48" t="s">
        <v>105</v>
      </c>
      <c r="C398" s="45">
        <v>0</v>
      </c>
      <c r="D398" s="45">
        <v>0</v>
      </c>
      <c r="E398" s="61">
        <f t="shared" si="100"/>
        <v>0</v>
      </c>
      <c r="F398" s="45">
        <v>0</v>
      </c>
      <c r="G398" s="80">
        <f t="shared" si="96"/>
        <v>0</v>
      </c>
      <c r="H398" s="45">
        <f t="shared" si="98"/>
        <v>0</v>
      </c>
      <c r="I398" s="45">
        <f t="shared" si="101"/>
        <v>0</v>
      </c>
      <c r="J398" s="45">
        <v>0</v>
      </c>
      <c r="K398" s="45">
        <f t="shared" si="97"/>
        <v>0</v>
      </c>
      <c r="L398" s="50">
        <f t="shared" si="99"/>
        <v>0</v>
      </c>
    </row>
    <row r="399" spans="1:12" ht="14.85" customHeight="1" x14ac:dyDescent="0.25">
      <c r="A399" s="54" t="s">
        <v>89</v>
      </c>
      <c r="B399" s="48" t="s">
        <v>90</v>
      </c>
      <c r="C399" s="45">
        <v>0</v>
      </c>
      <c r="D399" s="45">
        <v>0</v>
      </c>
      <c r="E399" s="61">
        <f t="shared" si="100"/>
        <v>0</v>
      </c>
      <c r="F399" s="45">
        <v>0</v>
      </c>
      <c r="G399" s="80">
        <f t="shared" si="96"/>
        <v>0</v>
      </c>
      <c r="H399" s="45">
        <f t="shared" si="98"/>
        <v>0</v>
      </c>
      <c r="I399" s="45">
        <f t="shared" si="101"/>
        <v>0</v>
      </c>
      <c r="J399" s="45">
        <v>0</v>
      </c>
      <c r="K399" s="45">
        <f t="shared" si="97"/>
        <v>0</v>
      </c>
      <c r="L399" s="50">
        <f t="shared" si="99"/>
        <v>0</v>
      </c>
    </row>
    <row r="400" spans="1:12" ht="14.85" customHeight="1" x14ac:dyDescent="0.2">
      <c r="A400" s="83" t="s">
        <v>205</v>
      </c>
      <c r="B400" s="84" t="s">
        <v>206</v>
      </c>
      <c r="C400" s="42">
        <f>SUM(C401:C404)</f>
        <v>7989127</v>
      </c>
      <c r="D400" s="42">
        <f>SUM(D401:D404)</f>
        <v>8455169.0999999996</v>
      </c>
      <c r="E400" s="98">
        <f>SUM(E401:E404)</f>
        <v>1242930.6400000001</v>
      </c>
      <c r="F400" s="42">
        <f>SUM(F401:F404)</f>
        <v>2990939.19</v>
      </c>
      <c r="G400" s="80">
        <f t="shared" si="96"/>
        <v>4.7425939374457684E-3</v>
      </c>
      <c r="H400" s="42">
        <f t="shared" si="98"/>
        <v>5464229.9100000001</v>
      </c>
      <c r="I400" s="42">
        <f>SUM(I401:I404)</f>
        <v>1083643.1500000001</v>
      </c>
      <c r="J400" s="42">
        <f>SUM(J401:J404)</f>
        <v>2761261.87</v>
      </c>
      <c r="K400" s="42">
        <f t="shared" si="97"/>
        <v>4.9265539167341671E-3</v>
      </c>
      <c r="L400" s="80">
        <f t="shared" si="99"/>
        <v>5693907.2299999995</v>
      </c>
    </row>
    <row r="401" spans="1:12" ht="14.85" customHeight="1" x14ac:dyDescent="0.25">
      <c r="A401" s="43" t="s">
        <v>30</v>
      </c>
      <c r="B401" s="44" t="s">
        <v>31</v>
      </c>
      <c r="C401" s="94">
        <v>7989127</v>
      </c>
      <c r="D401" s="94">
        <v>8199427</v>
      </c>
      <c r="E401" s="61">
        <f>F401-1693266.45</f>
        <v>1133446.4400000002</v>
      </c>
      <c r="F401" s="96">
        <v>2826712.89</v>
      </c>
      <c r="G401" s="50">
        <f t="shared" si="96"/>
        <v>4.4821878892876482E-3</v>
      </c>
      <c r="H401" s="45">
        <f t="shared" si="98"/>
        <v>5372714.1099999994</v>
      </c>
      <c r="I401" s="45">
        <f>J401-1641123.94</f>
        <v>1047148.3700000001</v>
      </c>
      <c r="J401" s="94">
        <v>2688272.31</v>
      </c>
      <c r="K401" s="45">
        <f t="shared" si="97"/>
        <v>4.7963283098819264E-3</v>
      </c>
      <c r="L401" s="50">
        <f t="shared" si="99"/>
        <v>5511154.6899999995</v>
      </c>
    </row>
    <row r="402" spans="1:12" ht="14.85" customHeight="1" x14ac:dyDescent="0.25">
      <c r="A402" s="43" t="s">
        <v>87</v>
      </c>
      <c r="B402" s="44" t="s">
        <v>88</v>
      </c>
      <c r="C402" s="45">
        <v>0</v>
      </c>
      <c r="D402" s="45">
        <v>0</v>
      </c>
      <c r="E402" s="61">
        <f t="shared" ref="E402:E403" si="102">F402-0</f>
        <v>0</v>
      </c>
      <c r="F402" s="45">
        <v>0</v>
      </c>
      <c r="G402" s="50">
        <f t="shared" si="96"/>
        <v>0</v>
      </c>
      <c r="H402" s="45">
        <f t="shared" si="98"/>
        <v>0</v>
      </c>
      <c r="I402" s="45">
        <f t="shared" ref="I402:I403" si="103">J402-0</f>
        <v>0</v>
      </c>
      <c r="J402" s="45">
        <v>0</v>
      </c>
      <c r="K402" s="45">
        <f t="shared" si="97"/>
        <v>0</v>
      </c>
      <c r="L402" s="50">
        <f t="shared" si="99"/>
        <v>0</v>
      </c>
    </row>
    <row r="403" spans="1:12" ht="14.85" customHeight="1" x14ac:dyDescent="0.25">
      <c r="A403" s="43" t="s">
        <v>216</v>
      </c>
      <c r="B403" s="44" t="s">
        <v>217</v>
      </c>
      <c r="C403" s="45">
        <v>0</v>
      </c>
      <c r="D403" s="45">
        <v>0</v>
      </c>
      <c r="E403" s="61">
        <f t="shared" si="102"/>
        <v>0</v>
      </c>
      <c r="F403" s="45">
        <v>0</v>
      </c>
      <c r="G403" s="50">
        <f t="shared" si="96"/>
        <v>0</v>
      </c>
      <c r="H403" s="45">
        <f t="shared" si="98"/>
        <v>0</v>
      </c>
      <c r="I403" s="45">
        <f t="shared" si="103"/>
        <v>0</v>
      </c>
      <c r="J403" s="45">
        <v>0</v>
      </c>
      <c r="K403" s="45">
        <f t="shared" si="97"/>
        <v>0</v>
      </c>
      <c r="L403" s="50">
        <f t="shared" si="99"/>
        <v>0</v>
      </c>
    </row>
    <row r="404" spans="1:12" ht="14.85" customHeight="1" x14ac:dyDescent="0.25">
      <c r="A404" s="43" t="s">
        <v>218</v>
      </c>
      <c r="B404" s="44" t="s">
        <v>219</v>
      </c>
      <c r="C404" s="45">
        <v>0</v>
      </c>
      <c r="D404" s="94">
        <v>255742.1</v>
      </c>
      <c r="E404" s="61">
        <f>F404-54742.1</f>
        <v>109484.19999999998</v>
      </c>
      <c r="F404" s="45">
        <v>164226.29999999999</v>
      </c>
      <c r="G404" s="50">
        <f t="shared" si="96"/>
        <v>2.6040604815812053E-4</v>
      </c>
      <c r="H404" s="45">
        <f t="shared" si="98"/>
        <v>91515.800000000017</v>
      </c>
      <c r="I404" s="45">
        <f>J404-36494.78</f>
        <v>36494.78</v>
      </c>
      <c r="J404" s="45">
        <v>72989.56</v>
      </c>
      <c r="K404" s="45">
        <f t="shared" si="97"/>
        <v>1.3022560685224088E-4</v>
      </c>
      <c r="L404" s="50">
        <f t="shared" si="99"/>
        <v>182752.54</v>
      </c>
    </row>
    <row r="405" spans="1:12" ht="14.85" customHeight="1" x14ac:dyDescent="0.2">
      <c r="A405" s="83" t="s">
        <v>222</v>
      </c>
      <c r="B405" s="84" t="s">
        <v>223</v>
      </c>
      <c r="C405" s="42">
        <f>C406</f>
        <v>1224092</v>
      </c>
      <c r="D405" s="42">
        <f>D406</f>
        <v>1314971.3799999999</v>
      </c>
      <c r="E405" s="98">
        <f>E406</f>
        <v>271195.24</v>
      </c>
      <c r="F405" s="42">
        <f>F406</f>
        <v>890381.73</v>
      </c>
      <c r="G405" s="80">
        <f t="shared" si="96"/>
        <v>1.411837127558075E-3</v>
      </c>
      <c r="H405" s="42">
        <f t="shared" si="98"/>
        <v>424589.64999999991</v>
      </c>
      <c r="I405" s="42">
        <f>I406</f>
        <v>274387.48</v>
      </c>
      <c r="J405" s="42">
        <f>J406</f>
        <v>822656.97</v>
      </c>
      <c r="K405" s="42">
        <f t="shared" si="97"/>
        <v>1.4677578978346455E-3</v>
      </c>
      <c r="L405" s="80">
        <f t="shared" si="99"/>
        <v>492314.40999999992</v>
      </c>
    </row>
    <row r="406" spans="1:12" ht="14.85" customHeight="1" x14ac:dyDescent="0.25">
      <c r="A406" s="54" t="s">
        <v>30</v>
      </c>
      <c r="B406" s="48" t="s">
        <v>31</v>
      </c>
      <c r="C406" s="94">
        <v>1224092</v>
      </c>
      <c r="D406" s="94">
        <v>1314971.3799999999</v>
      </c>
      <c r="E406" s="61">
        <f>F406-619186.49</f>
        <v>271195.24</v>
      </c>
      <c r="F406" s="96">
        <v>890381.73</v>
      </c>
      <c r="G406" s="50">
        <f t="shared" si="96"/>
        <v>1.411837127558075E-3</v>
      </c>
      <c r="H406" s="45">
        <f t="shared" si="98"/>
        <v>424589.64999999991</v>
      </c>
      <c r="I406" s="45">
        <f>J406-548269.49</f>
        <v>274387.48</v>
      </c>
      <c r="J406" s="94">
        <v>822656.97</v>
      </c>
      <c r="K406" s="45">
        <f t="shared" si="97"/>
        <v>1.4677578978346455E-3</v>
      </c>
      <c r="L406" s="50">
        <f t="shared" si="99"/>
        <v>492314.40999999992</v>
      </c>
    </row>
    <row r="407" spans="1:12" ht="14.85" customHeight="1" x14ac:dyDescent="0.2">
      <c r="A407" s="83" t="s">
        <v>226</v>
      </c>
      <c r="B407" s="84" t="s">
        <v>227</v>
      </c>
      <c r="C407" s="42">
        <f>C408+C409</f>
        <v>5693708</v>
      </c>
      <c r="D407" s="42">
        <f>D408+D409</f>
        <v>5717708</v>
      </c>
      <c r="E407" s="98">
        <f>E408+E409</f>
        <v>846781.8200000003</v>
      </c>
      <c r="F407" s="42">
        <f>F408+F409</f>
        <v>2537915.4500000002</v>
      </c>
      <c r="G407" s="80">
        <f t="shared" si="96"/>
        <v>4.0242551460633177E-3</v>
      </c>
      <c r="H407" s="42">
        <f t="shared" si="98"/>
        <v>3179792.55</v>
      </c>
      <c r="I407" s="42">
        <f>I408+I409</f>
        <v>851174.49000000022</v>
      </c>
      <c r="J407" s="42">
        <f>J408+J409</f>
        <v>2532805.12</v>
      </c>
      <c r="K407" s="42">
        <f t="shared" si="97"/>
        <v>4.5189487892578449E-3</v>
      </c>
      <c r="L407" s="80">
        <f t="shared" si="99"/>
        <v>3184902.88</v>
      </c>
    </row>
    <row r="408" spans="1:12" ht="14.85" customHeight="1" x14ac:dyDescent="0.25">
      <c r="A408" s="54" t="s">
        <v>30</v>
      </c>
      <c r="B408" s="48" t="s">
        <v>31</v>
      </c>
      <c r="C408" s="94">
        <v>5693708</v>
      </c>
      <c r="D408" s="94">
        <v>5717708</v>
      </c>
      <c r="E408" s="61">
        <f>F408-1691133.63</f>
        <v>846781.8200000003</v>
      </c>
      <c r="F408" s="96">
        <v>2537915.4500000002</v>
      </c>
      <c r="G408" s="50">
        <f t="shared" si="96"/>
        <v>4.0242551460633177E-3</v>
      </c>
      <c r="H408" s="45">
        <f t="shared" si="98"/>
        <v>3179792.55</v>
      </c>
      <c r="I408" s="45">
        <f>J408-1681630.63</f>
        <v>851174.49000000022</v>
      </c>
      <c r="J408" s="94">
        <v>2532805.12</v>
      </c>
      <c r="K408" s="45">
        <f t="shared" si="97"/>
        <v>4.5189487892578449E-3</v>
      </c>
      <c r="L408" s="50">
        <f t="shared" si="99"/>
        <v>3184902.88</v>
      </c>
    </row>
    <row r="409" spans="1:12" ht="14.85" customHeight="1" x14ac:dyDescent="0.25">
      <c r="A409" s="54" t="s">
        <v>32</v>
      </c>
      <c r="B409" s="48" t="s">
        <v>33</v>
      </c>
      <c r="C409" s="45">
        <v>0</v>
      </c>
      <c r="D409" s="45">
        <v>0</v>
      </c>
      <c r="E409" s="61">
        <f t="shared" ref="E409" si="104">F409-0</f>
        <v>0</v>
      </c>
      <c r="F409" s="45">
        <v>0</v>
      </c>
      <c r="G409" s="50">
        <f t="shared" si="96"/>
        <v>0</v>
      </c>
      <c r="H409" s="45">
        <f t="shared" si="98"/>
        <v>0</v>
      </c>
      <c r="I409" s="45">
        <f t="shared" ref="I409" si="105">J409-0</f>
        <v>0</v>
      </c>
      <c r="J409" s="45">
        <v>0</v>
      </c>
      <c r="K409" s="45">
        <f t="shared" si="97"/>
        <v>0</v>
      </c>
      <c r="L409" s="50">
        <f t="shared" si="99"/>
        <v>0</v>
      </c>
    </row>
    <row r="410" spans="1:12" ht="14.85" customHeight="1" x14ac:dyDescent="0.2">
      <c r="A410" s="83" t="s">
        <v>238</v>
      </c>
      <c r="B410" s="84" t="s">
        <v>239</v>
      </c>
      <c r="C410" s="42">
        <f>SUM(C411:C412)</f>
        <v>8215266</v>
      </c>
      <c r="D410" s="42">
        <f>SUM(D411:D412)</f>
        <v>10355266</v>
      </c>
      <c r="E410" s="98">
        <f>SUM(E411:E412)</f>
        <v>907021.5</v>
      </c>
      <c r="F410" s="42">
        <f>SUM(F411:F412)</f>
        <v>3238503.94</v>
      </c>
      <c r="G410" s="80">
        <f t="shared" si="96"/>
        <v>5.1351459112206942E-3</v>
      </c>
      <c r="H410" s="42">
        <f t="shared" si="98"/>
        <v>7116762.0600000005</v>
      </c>
      <c r="I410" s="42">
        <f>SUM(I411:I412)</f>
        <v>800838.91999999993</v>
      </c>
      <c r="J410" s="42">
        <f>SUM(J411:J412)</f>
        <v>2462459.86</v>
      </c>
      <c r="K410" s="42">
        <f t="shared" si="97"/>
        <v>4.3934410567454318E-3</v>
      </c>
      <c r="L410" s="80">
        <f t="shared" si="99"/>
        <v>7892806.1400000006</v>
      </c>
    </row>
    <row r="411" spans="1:12" ht="14.85" customHeight="1" x14ac:dyDescent="0.25">
      <c r="A411" s="54" t="s">
        <v>30</v>
      </c>
      <c r="B411" s="48" t="s">
        <v>31</v>
      </c>
      <c r="C411" s="94">
        <v>8215266</v>
      </c>
      <c r="D411" s="94">
        <v>10355266</v>
      </c>
      <c r="E411" s="61">
        <f>F411-2331482.44</f>
        <v>907021.5</v>
      </c>
      <c r="F411" s="96">
        <v>3238503.94</v>
      </c>
      <c r="G411" s="50">
        <f t="shared" si="96"/>
        <v>5.1351459112206942E-3</v>
      </c>
      <c r="H411" s="45">
        <f t="shared" si="98"/>
        <v>7116762.0600000005</v>
      </c>
      <c r="I411" s="45">
        <f>J411-1661620.94</f>
        <v>800838.91999999993</v>
      </c>
      <c r="J411" s="94">
        <v>2462459.86</v>
      </c>
      <c r="K411" s="45">
        <f t="shared" si="97"/>
        <v>4.3934410567454318E-3</v>
      </c>
      <c r="L411" s="50">
        <f t="shared" si="99"/>
        <v>7892806.1400000006</v>
      </c>
    </row>
    <row r="412" spans="1:12" ht="14.85" customHeight="1" x14ac:dyDescent="0.25">
      <c r="A412" s="54" t="s">
        <v>95</v>
      </c>
      <c r="B412" s="48" t="s">
        <v>96</v>
      </c>
      <c r="C412" s="45">
        <v>0</v>
      </c>
      <c r="D412" s="45">
        <v>0</v>
      </c>
      <c r="E412" s="61">
        <f t="shared" ref="E412" si="106">F412-0</f>
        <v>0</v>
      </c>
      <c r="F412" s="45">
        <v>0</v>
      </c>
      <c r="G412" s="50">
        <f t="shared" si="96"/>
        <v>0</v>
      </c>
      <c r="H412" s="45">
        <f t="shared" si="98"/>
        <v>0</v>
      </c>
      <c r="I412" s="45">
        <f t="shared" ref="I412:I415" si="107">J412-0</f>
        <v>0</v>
      </c>
      <c r="J412" s="45">
        <v>0</v>
      </c>
      <c r="K412" s="45">
        <f t="shared" si="97"/>
        <v>0</v>
      </c>
      <c r="L412" s="50">
        <f t="shared" si="99"/>
        <v>0</v>
      </c>
    </row>
    <row r="413" spans="1:12" ht="14.85" customHeight="1" x14ac:dyDescent="0.25">
      <c r="A413" s="83" t="s">
        <v>244</v>
      </c>
      <c r="B413" s="85" t="s">
        <v>245</v>
      </c>
      <c r="C413" s="42">
        <f>SUM(C414:C415)</f>
        <v>257780</v>
      </c>
      <c r="D413" s="42">
        <f>SUM(D414:D415)</f>
        <v>303232.56</v>
      </c>
      <c r="E413" s="98">
        <f>SUM(E414:E415)</f>
        <v>0</v>
      </c>
      <c r="F413" s="42">
        <f>SUM(F414:F415)</f>
        <v>11452.56</v>
      </c>
      <c r="G413" s="50">
        <f t="shared" si="96"/>
        <v>1.8159794691189932E-5</v>
      </c>
      <c r="H413" s="42">
        <f t="shared" si="98"/>
        <v>291780</v>
      </c>
      <c r="I413" s="42">
        <f>SUM(I414:I415)</f>
        <v>3961.7999999999993</v>
      </c>
      <c r="J413" s="42">
        <f>SUM(J414:J415)</f>
        <v>9884.2999999999993</v>
      </c>
      <c r="K413" s="45">
        <f>(J413/$J$309)*100</f>
        <v>1.7635247641027079E-5</v>
      </c>
      <c r="L413" s="80">
        <f t="shared" si="99"/>
        <v>293348.26</v>
      </c>
    </row>
    <row r="414" spans="1:12" ht="14.85" customHeight="1" x14ac:dyDescent="0.25">
      <c r="A414" s="54" t="s">
        <v>30</v>
      </c>
      <c r="B414" s="48" t="s">
        <v>31</v>
      </c>
      <c r="C414" s="94">
        <v>257780</v>
      </c>
      <c r="D414" s="94">
        <v>303232.56</v>
      </c>
      <c r="E414" s="61">
        <f>F414-11452.56</f>
        <v>0</v>
      </c>
      <c r="F414" s="45">
        <v>11452.56</v>
      </c>
      <c r="G414" s="50">
        <f t="shared" si="96"/>
        <v>1.8159794691189932E-5</v>
      </c>
      <c r="H414" s="45">
        <f t="shared" si="98"/>
        <v>291780</v>
      </c>
      <c r="I414" s="45">
        <f>J414-5922.5</f>
        <v>3961.7999999999993</v>
      </c>
      <c r="J414" s="45">
        <v>9884.2999999999993</v>
      </c>
      <c r="K414" s="45">
        <f>(J414/$J$309)*100</f>
        <v>1.7635247641027079E-5</v>
      </c>
      <c r="L414" s="50">
        <f t="shared" si="99"/>
        <v>293348.26</v>
      </c>
    </row>
    <row r="415" spans="1:12" ht="14.85" customHeight="1" x14ac:dyDescent="0.25">
      <c r="A415" s="54" t="s">
        <v>32</v>
      </c>
      <c r="B415" s="48" t="s">
        <v>33</v>
      </c>
      <c r="C415" s="45">
        <v>0</v>
      </c>
      <c r="D415" s="45">
        <v>0</v>
      </c>
      <c r="E415" s="61">
        <f t="shared" ref="E415" si="108">F415-0</f>
        <v>0</v>
      </c>
      <c r="F415" s="45">
        <v>0</v>
      </c>
      <c r="G415" s="50">
        <f t="shared" si="96"/>
        <v>0</v>
      </c>
      <c r="H415" s="45">
        <f t="shared" si="98"/>
        <v>0</v>
      </c>
      <c r="I415" s="45">
        <f t="shared" si="107"/>
        <v>0</v>
      </c>
      <c r="J415" s="45">
        <v>0</v>
      </c>
      <c r="K415" s="45">
        <f>(J415/$J$309)*100</f>
        <v>0</v>
      </c>
      <c r="L415" s="50">
        <f t="shared" si="99"/>
        <v>0</v>
      </c>
    </row>
    <row r="416" spans="1:12" ht="14.85" customHeight="1" x14ac:dyDescent="0.2">
      <c r="A416" s="83" t="s">
        <v>246</v>
      </c>
      <c r="B416" s="84" t="s">
        <v>247</v>
      </c>
      <c r="C416" s="42">
        <f>SUM(C417:C419)</f>
        <v>29807393</v>
      </c>
      <c r="D416" s="42">
        <f>SUM(D417:D419)</f>
        <v>19181747.449999999</v>
      </c>
      <c r="E416" s="98">
        <f>SUM(E417:E419)</f>
        <v>1075288.9100000001</v>
      </c>
      <c r="F416" s="42">
        <f>SUM(F417:F419)</f>
        <v>3319682.21</v>
      </c>
      <c r="G416" s="80">
        <f t="shared" si="96"/>
        <v>5.2638665393235796E-3</v>
      </c>
      <c r="H416" s="42">
        <f t="shared" si="98"/>
        <v>15862065.239999998</v>
      </c>
      <c r="I416" s="42">
        <f>SUM(I417:I419)</f>
        <v>1032206.8299999998</v>
      </c>
      <c r="J416" s="42">
        <f>SUM(J417:J419)</f>
        <v>3119594.94</v>
      </c>
      <c r="K416" s="42">
        <f t="shared" si="97"/>
        <v>5.5658801641588198E-3</v>
      </c>
      <c r="L416" s="80">
        <f t="shared" si="99"/>
        <v>16062152.51</v>
      </c>
    </row>
    <row r="417" spans="1:12" ht="14.85" customHeight="1" x14ac:dyDescent="0.25">
      <c r="A417" s="54" t="s">
        <v>30</v>
      </c>
      <c r="B417" s="48" t="s">
        <v>31</v>
      </c>
      <c r="C417" s="94">
        <v>29807393</v>
      </c>
      <c r="D417" s="94">
        <v>19181747.449999999</v>
      </c>
      <c r="E417" s="61">
        <f>F417-2244393.3</f>
        <v>1075288.9100000001</v>
      </c>
      <c r="F417" s="96">
        <v>3319682.21</v>
      </c>
      <c r="G417" s="50">
        <f t="shared" si="96"/>
        <v>5.2638665393235796E-3</v>
      </c>
      <c r="H417" s="45">
        <f t="shared" si="98"/>
        <v>15862065.239999998</v>
      </c>
      <c r="I417" s="45">
        <f>J417-2087388.11</f>
        <v>1032206.8299999998</v>
      </c>
      <c r="J417" s="94">
        <v>3119594.94</v>
      </c>
      <c r="K417" s="45">
        <f t="shared" si="97"/>
        <v>5.5658801641588198E-3</v>
      </c>
      <c r="L417" s="50">
        <f t="shared" si="99"/>
        <v>16062152.51</v>
      </c>
    </row>
    <row r="418" spans="1:12" ht="14.85" customHeight="1" x14ac:dyDescent="0.25">
      <c r="A418" s="54" t="s">
        <v>112</v>
      </c>
      <c r="B418" s="48" t="s">
        <v>113</v>
      </c>
      <c r="C418" s="45">
        <v>0</v>
      </c>
      <c r="D418" s="45">
        <v>0</v>
      </c>
      <c r="E418" s="61">
        <f t="shared" ref="E418:E419" si="109">F418-0</f>
        <v>0</v>
      </c>
      <c r="F418" s="45">
        <v>0</v>
      </c>
      <c r="G418" s="80">
        <f t="shared" si="96"/>
        <v>0</v>
      </c>
      <c r="H418" s="45">
        <f t="shared" si="98"/>
        <v>0</v>
      </c>
      <c r="I418" s="45">
        <f t="shared" ref="I418:I419" si="110">J418-0</f>
        <v>0</v>
      </c>
      <c r="J418" s="45">
        <v>0</v>
      </c>
      <c r="K418" s="45">
        <f t="shared" si="97"/>
        <v>0</v>
      </c>
      <c r="L418" s="50">
        <f t="shared" si="99"/>
        <v>0</v>
      </c>
    </row>
    <row r="419" spans="1:12" ht="14.85" customHeight="1" x14ac:dyDescent="0.25">
      <c r="A419" s="54" t="s">
        <v>79</v>
      </c>
      <c r="B419" s="44" t="s">
        <v>80</v>
      </c>
      <c r="C419" s="45">
        <v>0</v>
      </c>
      <c r="D419" s="45">
        <v>0</v>
      </c>
      <c r="E419" s="61">
        <f t="shared" si="109"/>
        <v>0</v>
      </c>
      <c r="F419" s="45">
        <v>0</v>
      </c>
      <c r="G419" s="80">
        <f t="shared" si="96"/>
        <v>0</v>
      </c>
      <c r="H419" s="45">
        <f t="shared" si="98"/>
        <v>0</v>
      </c>
      <c r="I419" s="45">
        <f t="shared" si="110"/>
        <v>0</v>
      </c>
      <c r="J419" s="45">
        <v>0</v>
      </c>
      <c r="K419" s="45">
        <f t="shared" si="97"/>
        <v>0</v>
      </c>
      <c r="L419" s="50">
        <f t="shared" si="99"/>
        <v>0</v>
      </c>
    </row>
    <row r="420" spans="1:12" ht="14.85" customHeight="1" x14ac:dyDescent="0.2">
      <c r="A420" s="83" t="s">
        <v>248</v>
      </c>
      <c r="B420" s="84" t="s">
        <v>249</v>
      </c>
      <c r="C420" s="42">
        <f>SUM(C421:C422)</f>
        <v>1587323</v>
      </c>
      <c r="D420" s="42">
        <f>SUM(D421:D422)</f>
        <v>1587323</v>
      </c>
      <c r="E420" s="98">
        <f>SUM(E421:E422)</f>
        <v>185010.35000000003</v>
      </c>
      <c r="F420" s="42">
        <f>SUM(F421:F422)</f>
        <v>817123.09000000008</v>
      </c>
      <c r="G420" s="80">
        <f t="shared" si="96"/>
        <v>1.2956742904495339E-3</v>
      </c>
      <c r="H420" s="42">
        <f t="shared" si="98"/>
        <v>770199.90999999992</v>
      </c>
      <c r="I420" s="42">
        <f>SUM(I421:I422)</f>
        <v>268049.63999999996</v>
      </c>
      <c r="J420" s="42">
        <f>SUM(J421:J422)</f>
        <v>677958.87999999989</v>
      </c>
      <c r="K420" s="42">
        <f t="shared" si="97"/>
        <v>1.2095922563290632E-3</v>
      </c>
      <c r="L420" s="80">
        <f t="shared" si="99"/>
        <v>909364.12000000011</v>
      </c>
    </row>
    <row r="421" spans="1:12" ht="14.85" customHeight="1" x14ac:dyDescent="0.25">
      <c r="A421" s="54" t="s">
        <v>30</v>
      </c>
      <c r="B421" s="48" t="s">
        <v>31</v>
      </c>
      <c r="C421" s="94">
        <v>1187323</v>
      </c>
      <c r="D421" s="94">
        <v>1187323</v>
      </c>
      <c r="E421" s="61">
        <f>F421-412112.74</f>
        <v>179905.55000000005</v>
      </c>
      <c r="F421" s="96">
        <v>592018.29</v>
      </c>
      <c r="G421" s="50">
        <f t="shared" si="96"/>
        <v>9.3873602057787449E-4</v>
      </c>
      <c r="H421" s="45">
        <f t="shared" si="98"/>
        <v>595304.71</v>
      </c>
      <c r="I421" s="45">
        <f>J421-329717.12</f>
        <v>209327.57999999996</v>
      </c>
      <c r="J421" s="94">
        <v>539044.69999999995</v>
      </c>
      <c r="K421" s="45">
        <f t="shared" si="97"/>
        <v>9.6174607954869335E-4</v>
      </c>
      <c r="L421" s="50">
        <f t="shared" si="99"/>
        <v>648278.30000000005</v>
      </c>
    </row>
    <row r="422" spans="1:12" ht="14.85" customHeight="1" x14ac:dyDescent="0.25">
      <c r="A422" s="54" t="s">
        <v>132</v>
      </c>
      <c r="B422" s="48" t="s">
        <v>133</v>
      </c>
      <c r="C422" s="94">
        <v>400000</v>
      </c>
      <c r="D422" s="94">
        <v>400000</v>
      </c>
      <c r="E422" s="61">
        <f>F422-220000</f>
        <v>5104.7999999999884</v>
      </c>
      <c r="F422" s="96">
        <v>225104.8</v>
      </c>
      <c r="G422" s="50">
        <f t="shared" si="96"/>
        <v>3.5693826987165937E-4</v>
      </c>
      <c r="H422" s="45">
        <f t="shared" si="98"/>
        <v>174895.2</v>
      </c>
      <c r="I422" s="45">
        <f>J422-80192.12</f>
        <v>58722.06</v>
      </c>
      <c r="J422" s="94">
        <v>138914.18</v>
      </c>
      <c r="K422" s="45">
        <f t="shared" si="97"/>
        <v>2.4784617678036999E-4</v>
      </c>
      <c r="L422" s="50">
        <f t="shared" si="99"/>
        <v>261085.82</v>
      </c>
    </row>
    <row r="423" spans="1:12" ht="14.85" customHeight="1" x14ac:dyDescent="0.2">
      <c r="A423" s="83" t="s">
        <v>254</v>
      </c>
      <c r="B423" s="84" t="s">
        <v>255</v>
      </c>
      <c r="C423" s="42">
        <f>SUM(C424:C425)</f>
        <v>0</v>
      </c>
      <c r="D423" s="42">
        <f>SUM(D424:D425)</f>
        <v>272000000</v>
      </c>
      <c r="E423" s="98">
        <f>SUM(E424:E425)</f>
        <v>86720714.810000002</v>
      </c>
      <c r="F423" s="42">
        <f>SUM(F424:F425)</f>
        <v>263775349.28999999</v>
      </c>
      <c r="G423" s="80">
        <f t="shared" si="96"/>
        <v>0.41825637130067961</v>
      </c>
      <c r="H423" s="42">
        <f t="shared" si="98"/>
        <v>8224650.7100000083</v>
      </c>
      <c r="I423" s="42">
        <f>SUM(I424:I425)</f>
        <v>86720714.810000002</v>
      </c>
      <c r="J423" s="42">
        <f>SUM(J424:J425)</f>
        <v>263775349.28999999</v>
      </c>
      <c r="K423" s="42">
        <f t="shared" si="97"/>
        <v>0.47061942740786566</v>
      </c>
      <c r="L423" s="80">
        <f t="shared" si="99"/>
        <v>8224650.7100000083</v>
      </c>
    </row>
    <row r="424" spans="1:12" ht="14.85" customHeight="1" x14ac:dyDescent="0.25">
      <c r="A424" s="54" t="s">
        <v>61</v>
      </c>
      <c r="B424" s="48" t="s">
        <v>62</v>
      </c>
      <c r="C424" s="94">
        <v>0</v>
      </c>
      <c r="D424" s="94">
        <v>272000000</v>
      </c>
      <c r="E424" s="61">
        <f>F424-177054634.48</f>
        <v>86720714.810000002</v>
      </c>
      <c r="F424" s="96">
        <v>263775349.28999999</v>
      </c>
      <c r="G424" s="50">
        <f t="shared" si="96"/>
        <v>0.41825637130067961</v>
      </c>
      <c r="H424" s="45">
        <f t="shared" si="98"/>
        <v>8224650.7100000083</v>
      </c>
      <c r="I424" s="45">
        <f>J424-177054634.48</f>
        <v>86720714.810000002</v>
      </c>
      <c r="J424" s="94">
        <v>263775349.28999999</v>
      </c>
      <c r="K424" s="45">
        <f t="shared" si="97"/>
        <v>0.47061942740786566</v>
      </c>
      <c r="L424" s="50">
        <f>D424-J424</f>
        <v>8224650.7100000083</v>
      </c>
    </row>
    <row r="425" spans="1:12" ht="14.85" customHeight="1" x14ac:dyDescent="0.25">
      <c r="A425" s="43" t="s">
        <v>262</v>
      </c>
      <c r="B425" s="44" t="s">
        <v>263</v>
      </c>
      <c r="C425" s="45">
        <v>0</v>
      </c>
      <c r="D425" s="45">
        <v>0</v>
      </c>
      <c r="E425" s="61">
        <f t="shared" ref="E425:E426" si="111">F425-0</f>
        <v>0</v>
      </c>
      <c r="F425" s="45">
        <v>0</v>
      </c>
      <c r="G425" s="50">
        <f t="shared" si="96"/>
        <v>0</v>
      </c>
      <c r="H425" s="45">
        <f t="shared" si="98"/>
        <v>0</v>
      </c>
      <c r="I425" s="45">
        <f t="shared" ref="I425" si="112">J425-0</f>
        <v>0</v>
      </c>
      <c r="J425" s="45">
        <v>0</v>
      </c>
      <c r="K425" s="45">
        <f t="shared" si="97"/>
        <v>0</v>
      </c>
      <c r="L425" s="50">
        <f t="shared" si="99"/>
        <v>0</v>
      </c>
    </row>
    <row r="426" spans="1:12" ht="14.85" customHeight="1" x14ac:dyDescent="0.25">
      <c r="A426" s="86" t="s">
        <v>264</v>
      </c>
      <c r="B426" s="87" t="s">
        <v>265</v>
      </c>
      <c r="C426" s="88">
        <v>0</v>
      </c>
      <c r="D426" s="88">
        <v>0</v>
      </c>
      <c r="E426" s="105">
        <f t="shared" si="111"/>
        <v>0</v>
      </c>
      <c r="F426" s="89"/>
      <c r="G426" s="89"/>
      <c r="H426" s="88">
        <f t="shared" si="98"/>
        <v>0</v>
      </c>
      <c r="I426" s="89"/>
      <c r="J426" s="89"/>
      <c r="K426" s="89"/>
      <c r="L426" s="90">
        <f>D426-J426</f>
        <v>0</v>
      </c>
    </row>
    <row r="427" spans="1:12" ht="15.75" x14ac:dyDescent="0.25">
      <c r="A427" s="39" t="s">
        <v>277</v>
      </c>
      <c r="B427" s="22"/>
      <c r="C427" s="22"/>
      <c r="D427" s="22"/>
      <c r="E427" s="3"/>
      <c r="F427" s="36"/>
      <c r="G427" s="33"/>
      <c r="H427" s="22"/>
      <c r="I427" s="22"/>
      <c r="J427" s="22"/>
      <c r="K427" s="22"/>
      <c r="L427" s="55" t="s">
        <v>278</v>
      </c>
    </row>
    <row r="428" spans="1:12" ht="15.75" x14ac:dyDescent="0.25">
      <c r="A428" s="39" t="s">
        <v>289</v>
      </c>
      <c r="B428" s="22"/>
      <c r="C428" s="22"/>
      <c r="D428" s="22"/>
      <c r="E428" s="3"/>
      <c r="F428" s="22"/>
      <c r="G428" s="22"/>
      <c r="H428" s="22"/>
      <c r="I428" s="36"/>
      <c r="J428" s="22"/>
      <c r="K428" s="22"/>
      <c r="L428" s="22"/>
    </row>
    <row r="429" spans="1:12" ht="15.75" hidden="1" x14ac:dyDescent="0.25">
      <c r="A429" s="39" t="s">
        <v>288</v>
      </c>
      <c r="B429" s="22"/>
      <c r="C429" s="22"/>
      <c r="D429" s="22"/>
      <c r="E429" s="3"/>
      <c r="F429" s="22"/>
      <c r="G429" s="22"/>
      <c r="H429" s="22"/>
      <c r="I429" s="22"/>
      <c r="J429" s="36"/>
      <c r="K429" s="22"/>
      <c r="L429" s="22"/>
    </row>
    <row r="430" spans="1:12" ht="15.75" x14ac:dyDescent="0.25">
      <c r="A430" s="39"/>
      <c r="B430" s="22"/>
      <c r="C430" s="22"/>
      <c r="D430" s="22"/>
      <c r="E430" s="3"/>
      <c r="F430" s="22"/>
      <c r="G430" s="22"/>
      <c r="H430" s="22"/>
      <c r="I430" s="22"/>
      <c r="J430" s="22"/>
      <c r="K430" s="22"/>
      <c r="L430" s="22"/>
    </row>
    <row r="431" spans="1:12" ht="15.75" x14ac:dyDescent="0.25">
      <c r="A431" s="39"/>
      <c r="B431" s="22"/>
      <c r="C431" s="68"/>
      <c r="D431" s="68"/>
      <c r="E431" s="110"/>
      <c r="F431" s="68"/>
      <c r="G431" s="68"/>
      <c r="H431" s="68"/>
      <c r="I431" s="68"/>
      <c r="J431" s="68"/>
      <c r="K431" s="68"/>
      <c r="L431" s="68"/>
    </row>
    <row r="432" spans="1:12" ht="15.75" x14ac:dyDescent="0.25">
      <c r="A432" s="39"/>
      <c r="B432" s="22"/>
      <c r="C432" s="22"/>
      <c r="D432" s="22"/>
      <c r="E432" s="3"/>
      <c r="F432" s="22"/>
      <c r="G432" s="22"/>
      <c r="H432" s="22"/>
      <c r="I432" s="22"/>
      <c r="J432" s="22"/>
      <c r="K432" s="22"/>
      <c r="L432" s="22"/>
    </row>
    <row r="433" spans="1:13" ht="15.75" x14ac:dyDescent="0.25">
      <c r="A433" s="39"/>
      <c r="B433" s="22"/>
      <c r="C433" s="68"/>
      <c r="D433" s="68"/>
      <c r="E433" s="110"/>
      <c r="F433" s="68"/>
      <c r="G433" s="68"/>
      <c r="H433" s="68"/>
      <c r="I433" s="68"/>
      <c r="J433" s="68"/>
      <c r="K433" s="68"/>
      <c r="L433" s="68"/>
    </row>
    <row r="434" spans="1:13" ht="15.75" x14ac:dyDescent="0.25">
      <c r="A434" s="39"/>
      <c r="B434" s="22"/>
      <c r="C434" s="68"/>
      <c r="D434" s="68"/>
      <c r="E434" s="110"/>
      <c r="F434" s="68"/>
      <c r="G434" s="68"/>
      <c r="H434" s="68"/>
      <c r="I434" s="68"/>
      <c r="J434" s="68"/>
      <c r="K434" s="68"/>
      <c r="L434" s="68"/>
    </row>
    <row r="435" spans="1:13" ht="15.75" x14ac:dyDescent="0.25">
      <c r="A435" s="39"/>
      <c r="B435" s="22"/>
      <c r="C435" s="68"/>
      <c r="D435" s="68"/>
      <c r="E435" s="110"/>
      <c r="F435" s="68"/>
      <c r="G435" s="68"/>
      <c r="H435" s="68"/>
      <c r="I435" s="68"/>
      <c r="J435" s="68"/>
      <c r="K435" s="68"/>
      <c r="L435" s="68"/>
    </row>
    <row r="436" spans="1:13" ht="15.75" x14ac:dyDescent="0.25">
      <c r="A436" s="39"/>
      <c r="B436" s="22"/>
      <c r="C436" s="22"/>
      <c r="D436" s="22"/>
      <c r="E436" s="3"/>
      <c r="F436" s="22"/>
      <c r="G436" s="22"/>
      <c r="H436" s="22"/>
      <c r="I436" s="22"/>
      <c r="J436" s="22"/>
      <c r="K436" s="22"/>
      <c r="L436" s="22"/>
    </row>
    <row r="437" spans="1:13" ht="15.75" x14ac:dyDescent="0.25">
      <c r="A437" s="26"/>
      <c r="B437" s="22"/>
      <c r="C437" s="22"/>
      <c r="D437" s="22"/>
      <c r="E437" s="107"/>
      <c r="F437" s="22"/>
      <c r="G437" s="22"/>
      <c r="H437" s="22"/>
      <c r="I437" s="36"/>
      <c r="J437" s="22"/>
      <c r="K437" s="22"/>
      <c r="L437" s="22"/>
      <c r="M437" s="92"/>
    </row>
    <row r="438" spans="1:13" x14ac:dyDescent="0.2">
      <c r="A438" s="34"/>
      <c r="B438" s="31"/>
      <c r="C438" s="31"/>
      <c r="D438" s="31"/>
      <c r="F438" s="31"/>
      <c r="G438" s="31"/>
      <c r="H438" s="31"/>
      <c r="I438" s="31"/>
      <c r="J438" s="31"/>
      <c r="K438" s="31"/>
      <c r="L438" s="31"/>
      <c r="M438" s="92"/>
    </row>
    <row r="439" spans="1:13" x14ac:dyDescent="0.2">
      <c r="A439" s="34"/>
      <c r="B439" s="31"/>
      <c r="C439" s="31"/>
      <c r="D439" s="31"/>
      <c r="F439" s="31"/>
      <c r="G439" s="31"/>
      <c r="H439" s="31"/>
      <c r="I439" s="31"/>
      <c r="J439" s="31"/>
      <c r="K439" s="31"/>
      <c r="L439" s="31"/>
      <c r="M439" s="92"/>
    </row>
    <row r="440" spans="1:13" ht="15.75" x14ac:dyDescent="0.25">
      <c r="A440" s="124" t="s">
        <v>279</v>
      </c>
      <c r="B440" s="124"/>
      <c r="C440" s="117" t="s">
        <v>280</v>
      </c>
      <c r="D440" s="117"/>
      <c r="E440" s="117"/>
      <c r="F440" s="117"/>
      <c r="G440" s="117"/>
      <c r="H440" s="117"/>
      <c r="I440" s="117" t="s">
        <v>281</v>
      </c>
      <c r="J440" s="117"/>
      <c r="K440" s="117"/>
      <c r="L440" s="117"/>
      <c r="M440" s="92"/>
    </row>
    <row r="441" spans="1:13" ht="15.75" x14ac:dyDescent="0.25">
      <c r="A441" s="124" t="s">
        <v>282</v>
      </c>
      <c r="B441" s="124"/>
      <c r="C441" s="117" t="s">
        <v>283</v>
      </c>
      <c r="D441" s="117"/>
      <c r="E441" s="117"/>
      <c r="F441" s="117"/>
      <c r="G441" s="117"/>
      <c r="H441" s="117"/>
      <c r="I441" s="123" t="s">
        <v>284</v>
      </c>
      <c r="J441" s="123"/>
      <c r="K441" s="123"/>
      <c r="L441" s="123"/>
      <c r="M441" s="92"/>
    </row>
    <row r="442" spans="1:13" ht="15.75" x14ac:dyDescent="0.25">
      <c r="A442" s="124" t="s">
        <v>285</v>
      </c>
      <c r="B442" s="124"/>
      <c r="C442" s="117" t="s">
        <v>286</v>
      </c>
      <c r="D442" s="117"/>
      <c r="E442" s="117"/>
      <c r="F442" s="117"/>
      <c r="G442" s="117"/>
      <c r="H442" s="117"/>
      <c r="I442" s="117" t="s">
        <v>287</v>
      </c>
      <c r="J442" s="117"/>
      <c r="K442" s="117"/>
      <c r="L442" s="117"/>
      <c r="M442" s="92"/>
    </row>
    <row r="443" spans="1:13" x14ac:dyDescent="0.2">
      <c r="A443" s="34"/>
      <c r="B443" s="31"/>
      <c r="C443" s="31"/>
      <c r="D443" s="31"/>
      <c r="F443" s="31"/>
      <c r="G443" s="31"/>
      <c r="H443" s="31"/>
      <c r="I443" s="31"/>
      <c r="J443" s="31"/>
      <c r="K443" s="31"/>
      <c r="L443" s="31"/>
      <c r="M443" s="92"/>
    </row>
    <row r="444" spans="1:13" x14ac:dyDescent="0.2">
      <c r="A444" s="34"/>
      <c r="B444" s="31"/>
      <c r="C444" s="31"/>
      <c r="D444" s="31"/>
      <c r="F444" s="31"/>
      <c r="G444" s="31"/>
      <c r="H444" s="31"/>
      <c r="I444" s="31"/>
      <c r="J444" s="31"/>
      <c r="K444" s="31"/>
      <c r="L444" s="31"/>
      <c r="M444" s="92"/>
    </row>
    <row r="445" spans="1:13" x14ac:dyDescent="0.2">
      <c r="A445" s="31"/>
      <c r="B445" s="31"/>
      <c r="C445" s="31"/>
      <c r="D445" s="31"/>
      <c r="F445" s="31"/>
      <c r="G445" s="31"/>
      <c r="H445" s="31"/>
      <c r="I445" s="31"/>
      <c r="J445" s="31"/>
      <c r="K445" s="31"/>
      <c r="L445" s="31"/>
    </row>
    <row r="446" spans="1:13" x14ac:dyDescent="0.2">
      <c r="A446" s="31"/>
      <c r="B446" s="31"/>
      <c r="C446" s="31"/>
      <c r="D446" s="31"/>
      <c r="F446" s="31"/>
      <c r="G446" s="31"/>
      <c r="H446" s="31"/>
      <c r="I446" s="31"/>
      <c r="J446" s="31"/>
      <c r="K446" s="31"/>
      <c r="L446" s="31"/>
    </row>
    <row r="447" spans="1:13" x14ac:dyDescent="0.2">
      <c r="A447" s="31"/>
      <c r="B447" s="31"/>
      <c r="C447" s="93"/>
      <c r="D447" s="93"/>
      <c r="E447" s="106"/>
      <c r="F447" s="93"/>
      <c r="G447" s="93"/>
      <c r="H447" s="93"/>
      <c r="I447" s="93"/>
      <c r="J447" s="93"/>
      <c r="K447" s="93"/>
      <c r="L447" s="93"/>
    </row>
    <row r="448" spans="1:13" ht="15" x14ac:dyDescent="0.25">
      <c r="A448" s="38"/>
      <c r="B448" s="30"/>
      <c r="C448" s="30"/>
      <c r="D448" s="30"/>
      <c r="E448" s="5"/>
      <c r="F448" s="30"/>
      <c r="G448" s="30"/>
      <c r="H448" s="30"/>
      <c r="I448" s="30"/>
      <c r="J448" s="30"/>
      <c r="K448" s="30"/>
      <c r="L448" s="30"/>
    </row>
    <row r="449" spans="1:12" x14ac:dyDescent="0.2">
      <c r="A449" s="34"/>
      <c r="B449" s="31"/>
      <c r="C449" s="63"/>
      <c r="D449" s="63"/>
      <c r="E449" s="109"/>
      <c r="F449" s="63"/>
      <c r="G449" s="63"/>
      <c r="H449" s="63"/>
      <c r="I449" s="63"/>
      <c r="J449" s="63"/>
      <c r="K449" s="63"/>
      <c r="L449" s="63"/>
    </row>
    <row r="450" spans="1:12" x14ac:dyDescent="0.2">
      <c r="A450" s="34"/>
      <c r="B450" s="31"/>
      <c r="C450" s="31"/>
      <c r="D450" s="31"/>
      <c r="F450" s="31"/>
      <c r="G450" s="31"/>
      <c r="H450" s="31"/>
      <c r="I450" s="31"/>
      <c r="J450" s="31"/>
      <c r="K450" s="31"/>
      <c r="L450" s="31"/>
    </row>
    <row r="451" spans="1:12" x14ac:dyDescent="0.2">
      <c r="A451" s="34"/>
      <c r="B451" s="31"/>
      <c r="C451" s="31"/>
      <c r="D451" s="31"/>
      <c r="F451" s="31"/>
      <c r="G451" s="31"/>
      <c r="H451" s="31"/>
      <c r="I451" s="31"/>
      <c r="J451" s="31"/>
      <c r="K451" s="31"/>
      <c r="L451" s="31"/>
    </row>
    <row r="452" spans="1:12" x14ac:dyDescent="0.2">
      <c r="A452" s="34"/>
      <c r="B452" s="31"/>
      <c r="C452" s="31"/>
      <c r="D452" s="31"/>
      <c r="F452" s="31"/>
      <c r="G452" s="31"/>
      <c r="H452" s="31"/>
      <c r="I452" s="31"/>
      <c r="J452" s="31"/>
      <c r="K452" s="31"/>
      <c r="L452" s="31"/>
    </row>
    <row r="453" spans="1:12" x14ac:dyDescent="0.2">
      <c r="A453" s="34"/>
      <c r="B453" s="31"/>
      <c r="C453" s="31"/>
      <c r="D453" s="31"/>
      <c r="F453" s="31"/>
      <c r="G453" s="31"/>
      <c r="H453" s="31"/>
      <c r="I453" s="31"/>
      <c r="J453" s="31"/>
      <c r="K453" s="31"/>
      <c r="L453" s="31"/>
    </row>
    <row r="454" spans="1:12" x14ac:dyDescent="0.2">
      <c r="A454" s="34"/>
      <c r="B454" s="31"/>
      <c r="C454" s="31"/>
      <c r="D454" s="31"/>
      <c r="F454" s="31"/>
      <c r="G454" s="31"/>
      <c r="H454" s="31"/>
      <c r="I454" s="31"/>
      <c r="J454" s="31"/>
      <c r="K454" s="31"/>
      <c r="L454" s="31"/>
    </row>
    <row r="455" spans="1:12" x14ac:dyDescent="0.2">
      <c r="A455" s="34"/>
      <c r="B455" s="31"/>
      <c r="C455" s="31"/>
      <c r="D455" s="31"/>
      <c r="F455" s="31"/>
      <c r="G455" s="31"/>
      <c r="H455" s="31"/>
      <c r="I455" s="31"/>
      <c r="J455" s="31"/>
      <c r="K455" s="31"/>
      <c r="L455" s="31"/>
    </row>
    <row r="456" spans="1:12" x14ac:dyDescent="0.2">
      <c r="A456" s="34"/>
      <c r="B456" s="31"/>
      <c r="C456" s="31"/>
      <c r="D456" s="31"/>
      <c r="F456" s="31"/>
      <c r="G456" s="31"/>
      <c r="H456" s="31"/>
      <c r="I456" s="31"/>
      <c r="J456" s="31"/>
      <c r="K456" s="31"/>
      <c r="L456" s="31"/>
    </row>
    <row r="457" spans="1:12" x14ac:dyDescent="0.2">
      <c r="A457" s="34"/>
      <c r="B457" s="31"/>
      <c r="C457" s="31"/>
      <c r="D457" s="31"/>
      <c r="F457" s="31"/>
      <c r="G457" s="31"/>
      <c r="H457" s="31"/>
      <c r="I457" s="31"/>
      <c r="J457" s="31"/>
      <c r="K457" s="31"/>
      <c r="L457" s="31"/>
    </row>
    <row r="458" spans="1:12" x14ac:dyDescent="0.2">
      <c r="A458" s="34"/>
      <c r="B458" s="31"/>
      <c r="C458" s="31"/>
      <c r="D458" s="31"/>
      <c r="F458" s="31"/>
      <c r="G458" s="31"/>
      <c r="H458" s="31"/>
      <c r="I458" s="31"/>
      <c r="J458" s="31"/>
      <c r="K458" s="31"/>
      <c r="L458" s="31"/>
    </row>
    <row r="459" spans="1:12" x14ac:dyDescent="0.2">
      <c r="A459" s="34"/>
      <c r="B459" s="31"/>
      <c r="C459" s="31"/>
      <c r="D459" s="31"/>
      <c r="F459" s="31"/>
      <c r="G459" s="31"/>
      <c r="H459" s="31"/>
      <c r="I459" s="31"/>
      <c r="J459" s="31"/>
      <c r="K459" s="31"/>
      <c r="L459" s="31"/>
    </row>
    <row r="460" spans="1:12" x14ac:dyDescent="0.2">
      <c r="A460" s="34"/>
      <c r="B460" s="31"/>
      <c r="C460" s="31"/>
      <c r="D460" s="31"/>
      <c r="F460" s="31"/>
      <c r="G460" s="31"/>
      <c r="H460" s="31"/>
      <c r="I460" s="31"/>
      <c r="J460" s="31"/>
      <c r="K460" s="31"/>
      <c r="L460" s="31"/>
    </row>
    <row r="461" spans="1:12" x14ac:dyDescent="0.2">
      <c r="A461" s="34"/>
      <c r="B461" s="31"/>
      <c r="C461" s="31"/>
      <c r="D461" s="31"/>
      <c r="F461" s="31"/>
      <c r="G461" s="31"/>
      <c r="H461" s="31"/>
      <c r="I461" s="31"/>
      <c r="J461" s="31"/>
      <c r="K461" s="31"/>
      <c r="L461" s="31"/>
    </row>
    <row r="462" spans="1:12" x14ac:dyDescent="0.2">
      <c r="A462" s="34"/>
      <c r="B462" s="31"/>
      <c r="C462" s="31"/>
      <c r="D462" s="31"/>
      <c r="F462" s="31"/>
      <c r="G462" s="31"/>
      <c r="H462" s="31"/>
      <c r="I462" s="31"/>
      <c r="J462" s="31"/>
      <c r="K462" s="31"/>
      <c r="L462" s="31"/>
    </row>
    <row r="463" spans="1:12" x14ac:dyDescent="0.2">
      <c r="A463" s="34"/>
      <c r="B463" s="31"/>
      <c r="C463" s="31"/>
      <c r="D463" s="31"/>
      <c r="F463" s="31"/>
      <c r="G463" s="31"/>
      <c r="H463" s="31"/>
      <c r="I463" s="31"/>
      <c r="J463" s="31"/>
      <c r="K463" s="31"/>
      <c r="L463" s="31"/>
    </row>
    <row r="464" spans="1:12" x14ac:dyDescent="0.2">
      <c r="A464" s="34"/>
      <c r="B464" s="31"/>
      <c r="C464" s="31"/>
      <c r="D464" s="31"/>
      <c r="F464" s="31"/>
      <c r="G464" s="31"/>
      <c r="H464" s="31"/>
      <c r="I464" s="31"/>
      <c r="J464" s="31"/>
      <c r="K464" s="31"/>
      <c r="L464" s="31"/>
    </row>
    <row r="465" spans="1:12" x14ac:dyDescent="0.2">
      <c r="A465" s="34"/>
      <c r="B465" s="31"/>
      <c r="C465" s="31"/>
      <c r="D465" s="31"/>
      <c r="F465" s="31"/>
      <c r="G465" s="31"/>
      <c r="H465" s="31"/>
      <c r="I465" s="31"/>
      <c r="J465" s="31"/>
      <c r="K465" s="31"/>
      <c r="L465" s="31"/>
    </row>
    <row r="466" spans="1:12" x14ac:dyDescent="0.2">
      <c r="A466" s="34"/>
      <c r="B466" s="31"/>
      <c r="C466" s="31"/>
      <c r="D466" s="31"/>
      <c r="F466" s="31"/>
      <c r="G466" s="31"/>
      <c r="H466" s="31"/>
      <c r="I466" s="31"/>
      <c r="J466" s="31"/>
      <c r="K466" s="31"/>
      <c r="L466" s="31"/>
    </row>
    <row r="467" spans="1:12" x14ac:dyDescent="0.2">
      <c r="A467" s="34"/>
      <c r="B467" s="31"/>
      <c r="C467" s="31"/>
      <c r="D467" s="31"/>
      <c r="F467" s="31"/>
      <c r="G467" s="31"/>
      <c r="H467" s="31"/>
      <c r="I467" s="31"/>
      <c r="J467" s="31"/>
      <c r="K467" s="31"/>
      <c r="L467" s="31"/>
    </row>
    <row r="468" spans="1:12" x14ac:dyDescent="0.2">
      <c r="A468" s="34"/>
      <c r="B468" s="31"/>
      <c r="C468" s="31"/>
      <c r="D468" s="31"/>
      <c r="F468" s="31"/>
      <c r="G468" s="31"/>
      <c r="H468" s="31"/>
      <c r="I468" s="31"/>
      <c r="J468" s="31"/>
      <c r="K468" s="31"/>
      <c r="L468" s="31"/>
    </row>
    <row r="469" spans="1:12" x14ac:dyDescent="0.2">
      <c r="A469" s="34"/>
      <c r="B469" s="31"/>
      <c r="C469" s="31"/>
      <c r="D469" s="31"/>
      <c r="F469" s="31"/>
      <c r="G469" s="31"/>
      <c r="H469" s="31"/>
      <c r="I469" s="31"/>
      <c r="J469" s="31"/>
      <c r="K469" s="31"/>
      <c r="L469" s="31"/>
    </row>
    <row r="470" spans="1:12" x14ac:dyDescent="0.2">
      <c r="A470" s="34"/>
      <c r="B470" s="31"/>
      <c r="C470" s="31"/>
      <c r="D470" s="31"/>
      <c r="F470" s="31"/>
      <c r="G470" s="31"/>
      <c r="H470" s="31"/>
      <c r="I470" s="31"/>
      <c r="J470" s="31"/>
      <c r="K470" s="31"/>
      <c r="L470" s="31"/>
    </row>
    <row r="471" spans="1:12" x14ac:dyDescent="0.2">
      <c r="A471" s="34"/>
      <c r="B471" s="31"/>
      <c r="C471" s="31"/>
      <c r="D471" s="31"/>
      <c r="F471" s="31"/>
      <c r="G471" s="31"/>
      <c r="H471" s="31"/>
      <c r="I471" s="31"/>
      <c r="J471" s="31"/>
      <c r="K471" s="31"/>
      <c r="L471" s="31"/>
    </row>
    <row r="472" spans="1:12" x14ac:dyDescent="0.2">
      <c r="A472" s="34"/>
      <c r="B472" s="31"/>
      <c r="C472" s="31"/>
      <c r="D472" s="31"/>
      <c r="F472" s="31"/>
      <c r="G472" s="31"/>
      <c r="H472" s="31"/>
      <c r="I472" s="31"/>
      <c r="J472" s="31"/>
      <c r="K472" s="31"/>
      <c r="L472" s="31"/>
    </row>
    <row r="473" spans="1:12" x14ac:dyDescent="0.2">
      <c r="A473" s="34"/>
      <c r="B473" s="31"/>
      <c r="C473" s="31"/>
      <c r="D473" s="31"/>
      <c r="F473" s="31"/>
      <c r="G473" s="31"/>
      <c r="H473" s="31"/>
      <c r="I473" s="31"/>
      <c r="J473" s="31"/>
      <c r="K473" s="31"/>
      <c r="L473" s="31"/>
    </row>
    <row r="474" spans="1:12" x14ac:dyDescent="0.2">
      <c r="A474" s="34"/>
      <c r="B474" s="31"/>
      <c r="C474" s="31"/>
      <c r="D474" s="31"/>
      <c r="F474" s="31"/>
      <c r="G474" s="31"/>
      <c r="H474" s="31"/>
      <c r="I474" s="31"/>
      <c r="J474" s="31"/>
      <c r="K474" s="31"/>
      <c r="L474" s="31"/>
    </row>
    <row r="475" spans="1:12" x14ac:dyDescent="0.2">
      <c r="A475" s="34"/>
      <c r="B475" s="31"/>
      <c r="C475" s="31"/>
      <c r="D475" s="31"/>
      <c r="F475" s="31"/>
      <c r="G475" s="31"/>
      <c r="H475" s="31"/>
      <c r="I475" s="31"/>
      <c r="J475" s="31"/>
      <c r="K475" s="31"/>
      <c r="L475" s="31"/>
    </row>
    <row r="476" spans="1:12" x14ac:dyDescent="0.2">
      <c r="A476" s="34"/>
      <c r="B476" s="31"/>
      <c r="C476" s="31"/>
      <c r="D476" s="31"/>
      <c r="F476" s="31"/>
      <c r="G476" s="31"/>
      <c r="H476" s="31"/>
      <c r="I476" s="31"/>
      <c r="J476" s="31"/>
      <c r="K476" s="31"/>
      <c r="L476" s="31"/>
    </row>
    <row r="477" spans="1:12" x14ac:dyDescent="0.2">
      <c r="A477" s="34"/>
      <c r="B477" s="31"/>
      <c r="C477" s="31"/>
      <c r="D477" s="31"/>
      <c r="F477" s="31"/>
      <c r="G477" s="31"/>
      <c r="H477" s="31"/>
      <c r="I477" s="31"/>
      <c r="J477" s="31"/>
      <c r="K477" s="31"/>
      <c r="L477" s="31"/>
    </row>
    <row r="478" spans="1:12" x14ac:dyDescent="0.2">
      <c r="A478" s="34"/>
      <c r="B478" s="31"/>
      <c r="C478" s="31"/>
      <c r="D478" s="31"/>
      <c r="F478" s="31"/>
      <c r="G478" s="31"/>
      <c r="H478" s="31"/>
      <c r="I478" s="31"/>
      <c r="J478" s="31"/>
      <c r="K478" s="31"/>
      <c r="L478" s="31"/>
    </row>
    <row r="479" spans="1:12" x14ac:dyDescent="0.2">
      <c r="A479" s="34"/>
      <c r="B479" s="31"/>
      <c r="C479" s="31"/>
      <c r="D479" s="31"/>
      <c r="F479" s="31"/>
      <c r="G479" s="31"/>
      <c r="H479" s="31"/>
      <c r="I479" s="31"/>
      <c r="J479" s="31"/>
      <c r="K479" s="31"/>
      <c r="L479" s="31"/>
    </row>
    <row r="480" spans="1:12" x14ac:dyDescent="0.2">
      <c r="A480" s="34"/>
      <c r="B480" s="31"/>
      <c r="C480" s="31"/>
      <c r="D480" s="31"/>
      <c r="F480" s="31"/>
      <c r="G480" s="31"/>
      <c r="H480" s="31"/>
      <c r="I480" s="31"/>
      <c r="J480" s="31"/>
      <c r="K480" s="31"/>
      <c r="L480" s="31"/>
    </row>
    <row r="481" spans="1:12" x14ac:dyDescent="0.2">
      <c r="A481" s="34"/>
      <c r="B481" s="31"/>
      <c r="C481" s="31"/>
      <c r="D481" s="31"/>
      <c r="F481" s="31"/>
      <c r="G481" s="31"/>
      <c r="H481" s="31"/>
      <c r="I481" s="31"/>
      <c r="J481" s="31"/>
      <c r="K481" s="31"/>
      <c r="L481" s="31"/>
    </row>
    <row r="482" spans="1:12" x14ac:dyDescent="0.2">
      <c r="A482" s="34"/>
      <c r="B482" s="31"/>
      <c r="C482" s="31"/>
      <c r="D482" s="31"/>
      <c r="F482" s="31"/>
      <c r="G482" s="31"/>
      <c r="H482" s="31"/>
      <c r="I482" s="31"/>
      <c r="J482" s="31"/>
      <c r="K482" s="31"/>
      <c r="L482" s="31"/>
    </row>
    <row r="483" spans="1:12" x14ac:dyDescent="0.2">
      <c r="A483" s="34"/>
      <c r="B483" s="31"/>
      <c r="C483" s="31"/>
      <c r="D483" s="31"/>
      <c r="F483" s="31"/>
      <c r="G483" s="31"/>
      <c r="H483" s="31"/>
      <c r="I483" s="31"/>
      <c r="J483" s="31"/>
      <c r="K483" s="31"/>
      <c r="L483" s="31"/>
    </row>
    <row r="484" spans="1:12" x14ac:dyDescent="0.2">
      <c r="A484" s="34"/>
      <c r="B484" s="31"/>
      <c r="C484" s="31"/>
      <c r="D484" s="31"/>
      <c r="F484" s="31"/>
      <c r="G484" s="31"/>
      <c r="H484" s="31"/>
      <c r="I484" s="31"/>
      <c r="J484" s="31"/>
      <c r="K484" s="31"/>
      <c r="L484" s="31"/>
    </row>
    <row r="485" spans="1:12" x14ac:dyDescent="0.2">
      <c r="A485" s="34"/>
      <c r="B485" s="31"/>
      <c r="C485" s="31"/>
      <c r="D485" s="31"/>
      <c r="F485" s="31"/>
      <c r="G485" s="31"/>
      <c r="H485" s="31"/>
      <c r="I485" s="31"/>
      <c r="J485" s="31"/>
      <c r="K485" s="31"/>
      <c r="L485" s="31"/>
    </row>
    <row r="486" spans="1:12" x14ac:dyDescent="0.2">
      <c r="A486" s="34"/>
      <c r="B486" s="31"/>
      <c r="C486" s="31"/>
      <c r="D486" s="31"/>
      <c r="F486" s="31"/>
      <c r="G486" s="31"/>
      <c r="H486" s="31"/>
      <c r="I486" s="31"/>
      <c r="J486" s="31"/>
      <c r="K486" s="31"/>
      <c r="L486" s="31"/>
    </row>
    <row r="487" spans="1:12" x14ac:dyDescent="0.2">
      <c r="A487" s="34"/>
      <c r="B487" s="31"/>
      <c r="C487" s="31"/>
      <c r="D487" s="31"/>
      <c r="F487" s="31"/>
      <c r="G487" s="31"/>
      <c r="H487" s="31"/>
      <c r="I487" s="31"/>
      <c r="J487" s="31"/>
      <c r="K487" s="31"/>
      <c r="L487" s="31"/>
    </row>
    <row r="488" spans="1:12" x14ac:dyDescent="0.2">
      <c r="A488" s="34"/>
      <c r="B488" s="31"/>
      <c r="C488" s="31"/>
      <c r="D488" s="31"/>
      <c r="F488" s="31"/>
      <c r="G488" s="31"/>
      <c r="H488" s="31"/>
      <c r="I488" s="31"/>
      <c r="J488" s="31"/>
      <c r="K488" s="31"/>
      <c r="L488" s="31"/>
    </row>
    <row r="489" spans="1:12" x14ac:dyDescent="0.2">
      <c r="A489" s="34"/>
      <c r="B489" s="31"/>
      <c r="C489" s="31"/>
      <c r="D489" s="31"/>
      <c r="F489" s="31"/>
      <c r="G489" s="31"/>
      <c r="H489" s="31"/>
      <c r="I489" s="31"/>
      <c r="J489" s="31"/>
      <c r="K489" s="31"/>
      <c r="L489" s="31"/>
    </row>
    <row r="490" spans="1:12" x14ac:dyDescent="0.2">
      <c r="A490" s="34"/>
      <c r="B490" s="31"/>
      <c r="C490" s="31"/>
      <c r="D490" s="31"/>
      <c r="F490" s="31"/>
      <c r="G490" s="31"/>
      <c r="H490" s="31"/>
      <c r="I490" s="31"/>
      <c r="J490" s="31"/>
      <c r="K490" s="31"/>
      <c r="L490" s="31"/>
    </row>
  </sheetData>
  <mergeCells count="33">
    <mergeCell ref="A442:B442"/>
    <mergeCell ref="C442:H442"/>
    <mergeCell ref="I442:L442"/>
    <mergeCell ref="A440:B440"/>
    <mergeCell ref="C440:H440"/>
    <mergeCell ref="N343:O343"/>
    <mergeCell ref="M185:O185"/>
    <mergeCell ref="I441:L441"/>
    <mergeCell ref="I165:K165"/>
    <mergeCell ref="E165:G165"/>
    <mergeCell ref="E322:G322"/>
    <mergeCell ref="I322:K322"/>
    <mergeCell ref="A315:L315"/>
    <mergeCell ref="A316:L316"/>
    <mergeCell ref="A317:L317"/>
    <mergeCell ref="A318:L318"/>
    <mergeCell ref="A441:B441"/>
    <mergeCell ref="C441:H441"/>
    <mergeCell ref="I440:L440"/>
    <mergeCell ref="A3:L3"/>
    <mergeCell ref="A4:L4"/>
    <mergeCell ref="A5:L5"/>
    <mergeCell ref="A6:L6"/>
    <mergeCell ref="A7:L7"/>
    <mergeCell ref="E10:G10"/>
    <mergeCell ref="I10:K10"/>
    <mergeCell ref="A319:L319"/>
    <mergeCell ref="A158:L158"/>
    <mergeCell ref="A159:L159"/>
    <mergeCell ref="A160:L160"/>
    <mergeCell ref="A161:L161"/>
    <mergeCell ref="A162:L162"/>
    <mergeCell ref="A309:B309"/>
  </mergeCells>
  <printOptions horizontalCentered="1" verticalCentered="1"/>
  <pageMargins left="0.23622047244094491" right="0.23622047244094491" top="0" bottom="0" header="0" footer="0"/>
  <pageSetup paperSize="9" scale="34" fitToHeight="0" orientation="portrait" r:id="rId1"/>
  <rowBreaks count="2" manualBreakCount="2">
    <brk id="153" max="11" man="1"/>
    <brk id="310" max="11" man="1"/>
  </rowBreaks>
  <ignoredErrors>
    <ignoredError sqref="J273 J335 I327 C423:D423 J423 F423 J193" formulaRange="1"/>
    <ignoredError sqref="E309 F35 E107:F107 E148:F148 E354:F354 E358:F358 E360:F360 I360:J360 I358:J358 I354:J354 H309:J309 I102 I107:J107 I148:J148 I118 I88 E277 E118 E211 E178:F178 I178:J178 E385:F385 I385:J385 E382:F382 I382 F195 I187:J187 E187:F187 I64 I35:J35 E44 E88 E48 E63:E64 E102 I211 E247:F247 I247 E410 I410 E416 I416 E413 E420 I420 I423 E74 E364 E367 E375 I378 I375 I367 I364 I277 H127:I127 H145:H147 H183 E76 H128:H142 E193 E378 I29:J29 E23 E28:F29 E25:F25 I25:J25 E52:F55 E57:F59 E61:F62 H51:H62 H120:H126 F126 I200 F202:F203 E200:F200 F197:F198 H196:H203 I224 E224:F224 I243:J243 E243:F243 F241 F226:F229 F217:F219 F231:F232 F223 F221 H216:H243 E262:F262 I262:J262 F259:F260 F268 F251:F253 F256 H266:H272 E293:F293 E298:F298 I293:J293 I298:J298 I282:J282 E282:F282 F284:F286 I334 I340 F331 E348:F348 I348:J348 F334:F335 F346:F347 H328:H352 I392 F387:F388 E392:F392 I407 E405:F405 I405:J405 I400 E400 F402:F403 E407:F407 F398:F400 F396 F394 H22:H30 F235:F236 H280:H302 J28 F185:F186 J284:J286 E273 H250:H264 I193 E127 E387 E340:F340 E329:E331 E334:E336 E342:F343 H392:H407 I328 E338 H386:H390" formula="1"/>
    <ignoredError sqref="A14:A20 A21:B21 A33:B33 A98:B98 A126:B126 A134:B134 B189 A202:B202 A203:A209 A210:B210 A226:B226 A356:B356 M356:IV356 A218:A225 A276:B277 A227:A233 A426 A22:A32 A215 A211:A213 A400:A424 A168:A173 A396:A397 A392:A394 A48:A96 A99:A125 A127:A133 A135:A152 A175:A201 A266:A275 A282:A308 A354:A355 A34:A46 A235:A264 A326:A344 A346:A352 A357:A387 A389:A390" numberStoredAsText="1"/>
    <ignoredError sqref="G309 K309 G145:G147 K145:K147 G183 K120:K142 G22:G30 G51:G62 G120:G142 G196:G203 G216:G243 G266:G272 G280:G302 G328:G352 G250:G264 G392:G407 G386:G390" evalError="1" formula="1"/>
    <ignoredError sqref="G13:G21 G143:G144 G148:G152 K148:K152 K143:K144 G184:G195 G168:G182 K308 G308 G325:G327 K48:K119 G273:G279 G303 K266:K303 K392:K425 G408:G425 G48:G50 G63:G119 G204:G215 G244:G249 G353:G385 G31:G46 K13:K46 K168:K264 K325:K390" evalError="1"/>
    <ignoredError sqref="J200 J331 E423 I331" formula="1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74BBF854C49E478CC09B3E53C2FE20" ma:contentTypeVersion="11" ma:contentTypeDescription="Create a new document." ma:contentTypeScope="" ma:versionID="63d54850c693ae4464fc8451daf066d0">
  <xsd:schema xmlns:xsd="http://www.w3.org/2001/XMLSchema" xmlns:xs="http://www.w3.org/2001/XMLSchema" xmlns:p="http://schemas.microsoft.com/office/2006/metadata/properties" xmlns:ns2="ebfcc7d6-e1dc-4701-b230-8bbb8f498e60" targetNamespace="http://schemas.microsoft.com/office/2006/metadata/properties" ma:root="true" ma:fieldsID="860b85fa13d0b3f8cfeb90c06dd5513c" ns2:_="">
    <xsd:import namespace="ebfcc7d6-e1dc-4701-b230-8bbb8f498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fcc7d6-e1dc-4701-b230-8bbb8f498e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9f008325-463b-45ed-9e9b-5388e118c1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fcc7d6-e1dc-4701-b230-8bbb8f498e6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2C0E8E-A71E-4701-A5AB-5ABC8443CA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fcc7d6-e1dc-4701-b230-8bbb8f498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D4B545-DE12-4DEF-8288-D5823A37CCEB}">
  <ds:schemaRefs>
    <ds:schemaRef ds:uri="http://schemas.openxmlformats.org/package/2006/metadata/core-properties"/>
    <ds:schemaRef ds:uri="ebfcc7d6-e1dc-4701-b230-8bbb8f498e60"/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C918A38-DC03-4CBA-ACD2-129A1875E6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II - 2º BIM</vt:lpstr>
      <vt:lpstr>'Anexo II - 2º BIM'!Area_de_impressao</vt:lpstr>
    </vt:vector>
  </TitlesOfParts>
  <Manager/>
  <Company>sefcon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Dcpacheco</dc:creator>
  <cp:keywords/>
  <dc:description/>
  <cp:lastModifiedBy>Yago Barros Barbosa</cp:lastModifiedBy>
  <cp:revision/>
  <cp:lastPrinted>2026-07-15T18:36:19Z</cp:lastPrinted>
  <dcterms:created xsi:type="dcterms:W3CDTF">2005-03-08T15:13:02Z</dcterms:created>
  <dcterms:modified xsi:type="dcterms:W3CDTF">2026-08-03T12:37:40Z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0x010100C874BBF854C49E478CC09B3E53C2FE20</vt:lpwstr>
  </property>
  <property fmtid="{D5CDD505-2E9C-101B-9397-08002B2CF9AE}" pid="3" name="MediaServiceImageTags">
    <vt:lpwstr/>
  </property>
</Properties>
</file>