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barbosa\Downloads\"/>
    </mc:Choice>
  </mc:AlternateContent>
  <xr:revisionPtr revIDLastSave="0" documentId="13_ncr:1_{C7EA2778-F626-4905-89ED-2B03D770FB5A}" xr6:coauthVersionLast="47" xr6:coauthVersionMax="47" xr10:uidLastSave="{00000000-0000-0000-0000-000000000000}"/>
  <bookViews>
    <workbookView xWindow="-28920" yWindow="-105" windowWidth="29040" windowHeight="15720" xr2:uid="{C984BC4E-35EF-489B-8B11-094A5B14A57B}"/>
  </bookViews>
  <sheets>
    <sheet name="Anexo 1 - Balanço Orçamentário" sheetId="7" r:id="rId1"/>
  </sheets>
  <definedNames>
    <definedName name="_xlnm.Print_Area" localSheetId="0">'Anexo 1 - Balanço Orçamentário'!$A$1:$L$240</definedName>
    <definedName name="Cancela">#REF!,#REF!</definedName>
    <definedName name="fdsafs">#REF!,#REF!</definedName>
    <definedName name="fdsf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rgps">#REF!</definedName>
    <definedName name="RGPS1">#REF!</definedName>
    <definedName name="RGPS2">#REF!,#REF!</definedName>
    <definedName name="xxx">#REF!,#REF!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2" i="7" l="1"/>
  <c r="G220" i="7"/>
  <c r="G218" i="7"/>
  <c r="G216" i="7"/>
  <c r="D222" i="7"/>
  <c r="D220" i="7"/>
  <c r="D218" i="7"/>
  <c r="D216" i="7"/>
  <c r="E193" i="7"/>
  <c r="E184" i="7"/>
  <c r="E181" i="7"/>
  <c r="E170" i="7"/>
  <c r="E168" i="7"/>
  <c r="E166" i="7"/>
  <c r="E159" i="7"/>
  <c r="E156" i="7"/>
  <c r="E151" i="7"/>
  <c r="G120" i="7"/>
  <c r="G113" i="7"/>
  <c r="G112" i="7"/>
  <c r="G111" i="7"/>
  <c r="G109" i="7"/>
  <c r="G106" i="7"/>
  <c r="G105" i="7"/>
  <c r="D120" i="7"/>
  <c r="D113" i="7"/>
  <c r="D112" i="7"/>
  <c r="D111" i="7"/>
  <c r="D109" i="7"/>
  <c r="D106" i="7"/>
  <c r="D105" i="7"/>
  <c r="E82" i="7"/>
  <c r="E68" i="7"/>
  <c r="E66" i="7"/>
  <c r="E63" i="7"/>
  <c r="E57" i="7"/>
  <c r="E55" i="7"/>
  <c r="E54" i="7"/>
  <c r="E53" i="7"/>
  <c r="E51" i="7"/>
  <c r="E49" i="7"/>
  <c r="E48" i="7"/>
  <c r="E47" i="7"/>
  <c r="E46" i="7"/>
  <c r="E45" i="7"/>
  <c r="E43" i="7"/>
  <c r="E42" i="7"/>
  <c r="E41" i="7"/>
  <c r="E40" i="7"/>
  <c r="E39" i="7"/>
  <c r="E37" i="7"/>
  <c r="E36" i="7"/>
  <c r="E35" i="7"/>
  <c r="E32" i="7"/>
  <c r="E31" i="7"/>
  <c r="E30" i="7"/>
  <c r="E29" i="7"/>
  <c r="E24" i="7"/>
  <c r="E21" i="7"/>
  <c r="E20" i="7"/>
  <c r="F66" i="7" l="1"/>
  <c r="F63" i="7"/>
  <c r="F57" i="7"/>
  <c r="F55" i="7"/>
  <c r="F54" i="7"/>
  <c r="F53" i="7"/>
  <c r="F51" i="7"/>
  <c r="F49" i="7"/>
  <c r="F48" i="7"/>
  <c r="F47" i="7"/>
  <c r="F46" i="7"/>
  <c r="F45" i="7"/>
  <c r="F43" i="7"/>
  <c r="F42" i="7"/>
  <c r="F41" i="7"/>
  <c r="F40" i="7"/>
  <c r="F39" i="7"/>
  <c r="F37" i="7"/>
  <c r="F35" i="7"/>
  <c r="E34" i="7"/>
  <c r="F34" i="7" s="1"/>
  <c r="F32" i="7"/>
  <c r="F31" i="7"/>
  <c r="F30" i="7"/>
  <c r="F29" i="7"/>
  <c r="F24" i="7"/>
  <c r="F21" i="7"/>
  <c r="F20" i="7"/>
  <c r="J223" i="7"/>
  <c r="J222" i="7"/>
  <c r="J221" i="7"/>
  <c r="J220" i="7"/>
  <c r="J218" i="7"/>
  <c r="J217" i="7"/>
  <c r="J216" i="7"/>
  <c r="F223" i="7"/>
  <c r="F222" i="7"/>
  <c r="F221" i="7"/>
  <c r="F220" i="7"/>
  <c r="J208" i="7"/>
  <c r="J207" i="7"/>
  <c r="J206" i="7"/>
  <c r="J205" i="7"/>
  <c r="J204" i="7"/>
  <c r="J203" i="7"/>
  <c r="J202" i="7"/>
  <c r="J201" i="7"/>
  <c r="J200" i="7"/>
  <c r="J199" i="7"/>
  <c r="J198" i="7"/>
  <c r="J197" i="7"/>
  <c r="J196" i="7"/>
  <c r="J195" i="7"/>
  <c r="J194" i="7"/>
  <c r="J193" i="7"/>
  <c r="J192" i="7"/>
  <c r="J191" i="7"/>
  <c r="J190" i="7"/>
  <c r="J189" i="7"/>
  <c r="J188" i="7"/>
  <c r="J187" i="7"/>
  <c r="J186" i="7"/>
  <c r="J184" i="7"/>
  <c r="J183" i="7"/>
  <c r="J182" i="7"/>
  <c r="J181" i="7"/>
  <c r="J180" i="7"/>
  <c r="J178" i="7"/>
  <c r="J177" i="7"/>
  <c r="J176" i="7"/>
  <c r="J175" i="7"/>
  <c r="J174" i="7"/>
  <c r="J173" i="7"/>
  <c r="J172" i="7"/>
  <c r="J171" i="7"/>
  <c r="J170" i="7"/>
  <c r="J169" i="7"/>
  <c r="J168" i="7"/>
  <c r="J167" i="7"/>
  <c r="J166" i="7"/>
  <c r="J164" i="7"/>
  <c r="J163" i="7"/>
  <c r="J162" i="7"/>
  <c r="J161" i="7"/>
  <c r="J160" i="7"/>
  <c r="J159" i="7"/>
  <c r="J158" i="7"/>
  <c r="J157" i="7"/>
  <c r="J156" i="7"/>
  <c r="J154" i="7"/>
  <c r="J153" i="7"/>
  <c r="J152" i="7"/>
  <c r="J151" i="7"/>
  <c r="J149" i="7"/>
  <c r="J148" i="7"/>
  <c r="J147" i="7"/>
  <c r="J146" i="7"/>
  <c r="I203" i="7"/>
  <c r="I202" i="7"/>
  <c r="I184" i="7"/>
  <c r="I181" i="7"/>
  <c r="I170" i="7"/>
  <c r="I168" i="7"/>
  <c r="I166" i="7"/>
  <c r="I156" i="7"/>
  <c r="I151" i="7"/>
  <c r="F203" i="7"/>
  <c r="F202" i="7"/>
  <c r="J91" i="7"/>
  <c r="J90" i="7"/>
  <c r="J89" i="7"/>
  <c r="J88" i="7"/>
  <c r="J87" i="7"/>
  <c r="J86" i="7"/>
  <c r="J85" i="7"/>
  <c r="J82" i="7"/>
  <c r="J81" i="7"/>
  <c r="J80" i="7"/>
  <c r="J79" i="7"/>
  <c r="J77" i="7"/>
  <c r="J76" i="7"/>
  <c r="J75" i="7"/>
  <c r="J74" i="7"/>
  <c r="J73" i="7"/>
  <c r="J72" i="7"/>
  <c r="J71" i="7"/>
  <c r="J70" i="7"/>
  <c r="J69" i="7"/>
  <c r="J68" i="7"/>
  <c r="J66" i="7"/>
  <c r="J65" i="7"/>
  <c r="J64" i="7"/>
  <c r="J63" i="7"/>
  <c r="J61" i="7"/>
  <c r="J60" i="7"/>
  <c r="J57" i="7"/>
  <c r="J56" i="7"/>
  <c r="J55" i="7"/>
  <c r="J54" i="7"/>
  <c r="J53" i="7"/>
  <c r="J51" i="7"/>
  <c r="J50" i="7"/>
  <c r="J49" i="7"/>
  <c r="J48" i="7"/>
  <c r="J47" i="7"/>
  <c r="J46" i="7"/>
  <c r="J45" i="7"/>
  <c r="J43" i="7"/>
  <c r="J42" i="7"/>
  <c r="J41" i="7"/>
  <c r="J40" i="7"/>
  <c r="J39" i="7"/>
  <c r="J37" i="7"/>
  <c r="J36" i="7"/>
  <c r="J35" i="7"/>
  <c r="J34" i="7"/>
  <c r="J33" i="7"/>
  <c r="J32" i="7"/>
  <c r="J31" i="7"/>
  <c r="J30" i="7"/>
  <c r="J29" i="7"/>
  <c r="J27" i="7"/>
  <c r="J26" i="7"/>
  <c r="J25" i="7"/>
  <c r="J24" i="7"/>
  <c r="J22" i="7"/>
  <c r="J21" i="7"/>
  <c r="J20" i="7"/>
  <c r="I77" i="7"/>
  <c r="I76" i="7"/>
  <c r="I75" i="7"/>
  <c r="I71" i="7"/>
  <c r="I68" i="7"/>
  <c r="I66" i="7"/>
  <c r="I63" i="7"/>
  <c r="I60" i="7"/>
  <c r="I57" i="7"/>
  <c r="I55" i="7"/>
  <c r="I54" i="7"/>
  <c r="I53" i="7"/>
  <c r="I51" i="7"/>
  <c r="I50" i="7"/>
  <c r="I49" i="7"/>
  <c r="I48" i="7"/>
  <c r="I47" i="7"/>
  <c r="I46" i="7"/>
  <c r="I45" i="7"/>
  <c r="I43" i="7"/>
  <c r="I42" i="7"/>
  <c r="I41" i="7"/>
  <c r="I40" i="7"/>
  <c r="I39" i="7"/>
  <c r="I37" i="7"/>
  <c r="I36" i="7"/>
  <c r="I35" i="7"/>
  <c r="I34" i="7"/>
  <c r="I32" i="7"/>
  <c r="I31" i="7"/>
  <c r="I30" i="7"/>
  <c r="I29" i="7"/>
  <c r="I24" i="7"/>
  <c r="I21" i="7"/>
  <c r="I20" i="7"/>
  <c r="F77" i="7"/>
  <c r="F76" i="7"/>
  <c r="F75" i="7"/>
  <c r="F71" i="7"/>
  <c r="F60" i="7"/>
  <c r="D52" i="7"/>
  <c r="F184" i="7" l="1"/>
  <c r="F181" i="7"/>
  <c r="F170" i="7"/>
  <c r="F168" i="7"/>
  <c r="F166" i="7"/>
  <c r="F156" i="7"/>
  <c r="F151" i="7"/>
  <c r="B107" i="7"/>
  <c r="E64" i="7"/>
  <c r="E70" i="7"/>
  <c r="E69" i="7"/>
  <c r="F68" i="7"/>
  <c r="E50" i="7"/>
  <c r="F50" i="7" s="1"/>
  <c r="E74" i="7"/>
  <c r="E180" i="7" l="1"/>
  <c r="E75" i="7"/>
  <c r="E76" i="7"/>
  <c r="E77" i="7"/>
  <c r="D97" i="7"/>
  <c r="K107" i="7"/>
  <c r="K104" i="7" s="1"/>
  <c r="C107" i="7"/>
  <c r="H219" i="7"/>
  <c r="B118" i="7"/>
  <c r="L139" i="7"/>
  <c r="G38" i="7"/>
  <c r="E107" i="7"/>
  <c r="E104" i="7" s="1"/>
  <c r="D38" i="7"/>
  <c r="G67" i="7"/>
  <c r="H67" i="7"/>
  <c r="D171" i="7"/>
  <c r="H107" i="7"/>
  <c r="E22" i="7"/>
  <c r="G223" i="7"/>
  <c r="F114" i="7"/>
  <c r="E201" i="7"/>
  <c r="G179" i="7"/>
  <c r="H179" i="7"/>
  <c r="D165" i="7"/>
  <c r="E71" i="7"/>
  <c r="G52" i="7"/>
  <c r="H52" i="7"/>
  <c r="G44" i="7"/>
  <c r="H44" i="7"/>
  <c r="F36" i="7"/>
  <c r="K219" i="7"/>
  <c r="J120" i="7"/>
  <c r="F113" i="7"/>
  <c r="G95" i="7"/>
  <c r="D67" i="7"/>
  <c r="C67" i="7"/>
  <c r="C219" i="7"/>
  <c r="E219" i="7"/>
  <c r="B219" i="7"/>
  <c r="E162" i="7"/>
  <c r="D62" i="7"/>
  <c r="E56" i="7"/>
  <c r="E183" i="7"/>
  <c r="J127" i="7"/>
  <c r="D223" i="7"/>
  <c r="E173" i="7"/>
  <c r="B104" i="7"/>
  <c r="D221" i="7"/>
  <c r="G221" i="7"/>
  <c r="G217" i="7"/>
  <c r="D217" i="7"/>
  <c r="D215" i="7" s="1"/>
  <c r="E208" i="7"/>
  <c r="E207" i="7"/>
  <c r="E206" i="7"/>
  <c r="E205" i="7"/>
  <c r="E203" i="7"/>
  <c r="E202" i="7"/>
  <c r="E200" i="7"/>
  <c r="E199" i="7"/>
  <c r="E198" i="7"/>
  <c r="E197" i="7"/>
  <c r="E196" i="7"/>
  <c r="E195" i="7"/>
  <c r="E192" i="7"/>
  <c r="E191" i="7"/>
  <c r="E190" i="7"/>
  <c r="E188" i="7"/>
  <c r="E187" i="7"/>
  <c r="E186" i="7" s="1"/>
  <c r="E182" i="7"/>
  <c r="E178" i="7"/>
  <c r="E177" i="7"/>
  <c r="E176" i="7"/>
  <c r="E175" i="7"/>
  <c r="E174" i="7"/>
  <c r="E172" i="7"/>
  <c r="E169" i="7"/>
  <c r="E167" i="7"/>
  <c r="E164" i="7"/>
  <c r="E163" i="7"/>
  <c r="E161" i="7"/>
  <c r="E160" i="7"/>
  <c r="E158" i="7"/>
  <c r="E157" i="7"/>
  <c r="E154" i="7"/>
  <c r="E153" i="7"/>
  <c r="E152" i="7"/>
  <c r="E149" i="7"/>
  <c r="E148" i="7"/>
  <c r="E147" i="7"/>
  <c r="G119" i="7"/>
  <c r="D119" i="7"/>
  <c r="G108" i="7"/>
  <c r="G107" i="7" s="1"/>
  <c r="D108" i="7"/>
  <c r="J109" i="7"/>
  <c r="E81" i="7"/>
  <c r="E80" i="7"/>
  <c r="E79" i="7"/>
  <c r="E73" i="7"/>
  <c r="E72" i="7"/>
  <c r="E65" i="7"/>
  <c r="E61" i="7"/>
  <c r="E60" i="7"/>
  <c r="E33" i="7"/>
  <c r="E27" i="7"/>
  <c r="E26" i="7"/>
  <c r="E25" i="7"/>
  <c r="G28" i="7"/>
  <c r="D59" i="7"/>
  <c r="H215" i="7"/>
  <c r="J113" i="7"/>
  <c r="G23" i="7"/>
  <c r="G59" i="7"/>
  <c r="G19" i="7"/>
  <c r="C171" i="7"/>
  <c r="C38" i="7"/>
  <c r="G146" i="7"/>
  <c r="D146" i="7"/>
  <c r="C146" i="7"/>
  <c r="D19" i="7"/>
  <c r="C19" i="7"/>
  <c r="C23" i="7"/>
  <c r="G123" i="7"/>
  <c r="G122" i="7"/>
  <c r="G121" i="7" s="1"/>
  <c r="H204" i="7"/>
  <c r="G204" i="7"/>
  <c r="D204" i="7"/>
  <c r="C204" i="7"/>
  <c r="H194" i="7"/>
  <c r="G194" i="7"/>
  <c r="D194" i="7"/>
  <c r="C194" i="7"/>
  <c r="G189" i="7"/>
  <c r="D189" i="7"/>
  <c r="C189" i="7"/>
  <c r="G186" i="7"/>
  <c r="G185" i="7" s="1"/>
  <c r="D186" i="7"/>
  <c r="C186" i="7"/>
  <c r="D179" i="7"/>
  <c r="C179" i="7"/>
  <c r="H171" i="7"/>
  <c r="G171" i="7"/>
  <c r="C165" i="7"/>
  <c r="H155" i="7"/>
  <c r="G155" i="7"/>
  <c r="D155" i="7"/>
  <c r="C155" i="7"/>
  <c r="G150" i="7"/>
  <c r="D150" i="7"/>
  <c r="C150" i="7"/>
  <c r="H146" i="7"/>
  <c r="C62" i="7"/>
  <c r="D44" i="7"/>
  <c r="C44" i="7"/>
  <c r="D23" i="7"/>
  <c r="G62" i="7"/>
  <c r="F217" i="7"/>
  <c r="A140" i="7"/>
  <c r="A137" i="7"/>
  <c r="A136" i="7"/>
  <c r="A135" i="7"/>
  <c r="A134" i="7"/>
  <c r="A133" i="7"/>
  <c r="F218" i="7"/>
  <c r="F216" i="7"/>
  <c r="K215" i="7"/>
  <c r="I215" i="7"/>
  <c r="E215" i="7"/>
  <c r="C215" i="7"/>
  <c r="B215" i="7"/>
  <c r="H110" i="7"/>
  <c r="D123" i="7"/>
  <c r="D122" i="7"/>
  <c r="D78" i="7"/>
  <c r="C78" i="7"/>
  <c r="I121" i="7"/>
  <c r="H121" i="7"/>
  <c r="E121" i="7"/>
  <c r="C121" i="7"/>
  <c r="F121" i="7" s="1"/>
  <c r="B121" i="7"/>
  <c r="H28" i="7"/>
  <c r="C118" i="7"/>
  <c r="D96" i="7"/>
  <c r="F109" i="7"/>
  <c r="H19" i="7"/>
  <c r="H95" i="7"/>
  <c r="C95" i="7"/>
  <c r="H78" i="7"/>
  <c r="F105" i="7"/>
  <c r="K121" i="7"/>
  <c r="K118" i="7"/>
  <c r="J119" i="7"/>
  <c r="J122" i="7"/>
  <c r="J123" i="7"/>
  <c r="I118" i="7"/>
  <c r="I117" i="7" s="1"/>
  <c r="F122" i="7"/>
  <c r="F119" i="7"/>
  <c r="E118" i="7"/>
  <c r="D28" i="7"/>
  <c r="C28" i="7"/>
  <c r="F108" i="7"/>
  <c r="J108" i="7"/>
  <c r="J106" i="7"/>
  <c r="F112" i="7"/>
  <c r="F111" i="7"/>
  <c r="F106" i="7"/>
  <c r="J114" i="7"/>
  <c r="J112" i="7"/>
  <c r="J111" i="7"/>
  <c r="E110" i="7"/>
  <c r="B110" i="7"/>
  <c r="L104" i="7"/>
  <c r="L103" i="7" s="1"/>
  <c r="L116" i="7" s="1"/>
  <c r="L124" i="7" s="1"/>
  <c r="I116" i="7"/>
  <c r="C59" i="7"/>
  <c r="C52" i="7"/>
  <c r="H92" i="7"/>
  <c r="F120" i="7"/>
  <c r="H118" i="7"/>
  <c r="C110" i="7"/>
  <c r="G165" i="7"/>
  <c r="K110" i="7"/>
  <c r="J105" i="7"/>
  <c r="F127" i="7"/>
  <c r="G78" i="7"/>
  <c r="J219" i="7" l="1"/>
  <c r="J78" i="7"/>
  <c r="J215" i="7"/>
  <c r="J179" i="7"/>
  <c r="I179" i="7"/>
  <c r="J165" i="7"/>
  <c r="I165" i="7"/>
  <c r="I155" i="7"/>
  <c r="J155" i="7"/>
  <c r="I150" i="7"/>
  <c r="J150" i="7"/>
  <c r="J52" i="7"/>
  <c r="I52" i="7"/>
  <c r="I67" i="7"/>
  <c r="J67" i="7"/>
  <c r="J62" i="7"/>
  <c r="I62" i="7"/>
  <c r="I59" i="7"/>
  <c r="F59" i="7"/>
  <c r="J59" i="7"/>
  <c r="J44" i="7"/>
  <c r="I44" i="7"/>
  <c r="J38" i="7"/>
  <c r="I38" i="7"/>
  <c r="J28" i="7"/>
  <c r="I28" i="7"/>
  <c r="J23" i="7"/>
  <c r="I23" i="7"/>
  <c r="J19" i="7"/>
  <c r="I19" i="7"/>
  <c r="H214" i="7"/>
  <c r="H115" i="7" s="1"/>
  <c r="D219" i="7"/>
  <c r="D214" i="7" s="1"/>
  <c r="D115" i="7" s="1"/>
  <c r="B214" i="7"/>
  <c r="B115" i="7" s="1"/>
  <c r="E214" i="7"/>
  <c r="E115" i="7" s="1"/>
  <c r="C214" i="7"/>
  <c r="B103" i="7"/>
  <c r="E23" i="7"/>
  <c r="F23" i="7" s="1"/>
  <c r="D118" i="7"/>
  <c r="D107" i="7"/>
  <c r="D104" i="7" s="1"/>
  <c r="K117" i="7"/>
  <c r="E155" i="7"/>
  <c r="F155" i="7" s="1"/>
  <c r="E171" i="7"/>
  <c r="J107" i="7"/>
  <c r="J121" i="7"/>
  <c r="E204" i="7"/>
  <c r="F110" i="7"/>
  <c r="I124" i="7"/>
  <c r="C117" i="7"/>
  <c r="D121" i="7"/>
  <c r="F118" i="7"/>
  <c r="E78" i="7"/>
  <c r="E189" i="7"/>
  <c r="D110" i="7"/>
  <c r="H117" i="7"/>
  <c r="E117" i="7"/>
  <c r="E146" i="7"/>
  <c r="G219" i="7"/>
  <c r="C145" i="7"/>
  <c r="C18" i="7"/>
  <c r="E59" i="7"/>
  <c r="E194" i="7"/>
  <c r="E165" i="7"/>
  <c r="F165" i="7" s="1"/>
  <c r="C185" i="7"/>
  <c r="G58" i="7"/>
  <c r="G110" i="7"/>
  <c r="E67" i="7"/>
  <c r="F67" i="7" s="1"/>
  <c r="K214" i="7"/>
  <c r="K115" i="7" s="1"/>
  <c r="G215" i="7"/>
  <c r="F219" i="7"/>
  <c r="G118" i="7"/>
  <c r="G117" i="7" s="1"/>
  <c r="J118" i="7"/>
  <c r="J110" i="7"/>
  <c r="E103" i="7"/>
  <c r="K103" i="7"/>
  <c r="H104" i="7"/>
  <c r="H103" i="7" s="1"/>
  <c r="F107" i="7"/>
  <c r="C104" i="7"/>
  <c r="F104" i="7" s="1"/>
  <c r="C58" i="7"/>
  <c r="D95" i="7"/>
  <c r="D185" i="7"/>
  <c r="J185" i="7" s="1"/>
  <c r="B117" i="7"/>
  <c r="E38" i="7"/>
  <c r="F38" i="7" s="1"/>
  <c r="G104" i="7"/>
  <c r="E150" i="7"/>
  <c r="F150" i="7" s="1"/>
  <c r="G145" i="7"/>
  <c r="E179" i="7"/>
  <c r="F179" i="7" s="1"/>
  <c r="D145" i="7"/>
  <c r="F215" i="7"/>
  <c r="E19" i="7"/>
  <c r="F19" i="7" s="1"/>
  <c r="E62" i="7"/>
  <c r="F62" i="7" s="1"/>
  <c r="D58" i="7"/>
  <c r="E52" i="7"/>
  <c r="F52" i="7" s="1"/>
  <c r="E44" i="7"/>
  <c r="F44" i="7" s="1"/>
  <c r="D18" i="7"/>
  <c r="E28" i="7"/>
  <c r="F28" i="7" s="1"/>
  <c r="G18" i="7"/>
  <c r="J214" i="7" l="1"/>
  <c r="I145" i="7"/>
  <c r="J145" i="7"/>
  <c r="I58" i="7"/>
  <c r="J58" i="7"/>
  <c r="J18" i="7"/>
  <c r="I18" i="7"/>
  <c r="H116" i="7"/>
  <c r="H124" i="7" s="1"/>
  <c r="E116" i="7"/>
  <c r="E124" i="7" s="1"/>
  <c r="C144" i="7"/>
  <c r="C83" i="7" s="1"/>
  <c r="J117" i="7"/>
  <c r="D117" i="7"/>
  <c r="B116" i="7"/>
  <c r="B124" i="7" s="1"/>
  <c r="B126" i="7" s="1"/>
  <c r="C17" i="7"/>
  <c r="G214" i="7"/>
  <c r="G115" i="7" s="1"/>
  <c r="F214" i="7"/>
  <c r="C115" i="7"/>
  <c r="F115" i="7" s="1"/>
  <c r="F117" i="7"/>
  <c r="G17" i="7"/>
  <c r="E185" i="7"/>
  <c r="D103" i="7"/>
  <c r="D116" i="7" s="1"/>
  <c r="G103" i="7"/>
  <c r="E58" i="7"/>
  <c r="F58" i="7" s="1"/>
  <c r="K116" i="7"/>
  <c r="K124" i="7" s="1"/>
  <c r="J104" i="7"/>
  <c r="C103" i="7"/>
  <c r="E145" i="7"/>
  <c r="F145" i="7" s="1"/>
  <c r="D144" i="7"/>
  <c r="D83" i="7" s="1"/>
  <c r="G144" i="7"/>
  <c r="D17" i="7"/>
  <c r="E18" i="7"/>
  <c r="F18" i="7" s="1"/>
  <c r="J144" i="7" l="1"/>
  <c r="D124" i="7"/>
  <c r="D126" i="7" s="1"/>
  <c r="I17" i="7"/>
  <c r="G116" i="7"/>
  <c r="G124" i="7" s="1"/>
  <c r="G126" i="7" s="1"/>
  <c r="C84" i="7"/>
  <c r="C92" i="7" s="1"/>
  <c r="C94" i="7" s="1"/>
  <c r="J115" i="7"/>
  <c r="F103" i="7"/>
  <c r="J103" i="7"/>
  <c r="C116" i="7"/>
  <c r="G83" i="7"/>
  <c r="I144" i="7"/>
  <c r="E144" i="7"/>
  <c r="J17" i="7"/>
  <c r="E17" i="7"/>
  <c r="J83" i="7" l="1"/>
  <c r="I83" i="7"/>
  <c r="C124" i="7"/>
  <c r="C126" i="7" s="1"/>
  <c r="J116" i="7"/>
  <c r="J124" i="7" s="1"/>
  <c r="F116" i="7"/>
  <c r="F124" i="7" s="1"/>
  <c r="G84" i="7"/>
  <c r="G92" i="7" s="1"/>
  <c r="E83" i="7"/>
  <c r="F83" i="7" s="1"/>
  <c r="F144" i="7"/>
  <c r="D84" i="7"/>
  <c r="F17" i="7"/>
  <c r="I84" i="7" l="1"/>
  <c r="J84" i="7"/>
  <c r="G93" i="7"/>
  <c r="K125" i="7"/>
  <c r="H125" i="7"/>
  <c r="E125" i="7"/>
  <c r="E126" i="7" s="1"/>
  <c r="D92" i="7"/>
  <c r="E84" i="7"/>
  <c r="F84" i="7" s="1"/>
  <c r="J92" i="7" l="1"/>
  <c r="I92" i="7"/>
  <c r="K126" i="7"/>
  <c r="H126" i="7"/>
  <c r="E92" i="7"/>
  <c r="E94" i="7" s="1"/>
  <c r="G94" i="7"/>
  <c r="D94" i="7"/>
  <c r="F92" i="7" l="1"/>
  <c r="I94" i="7"/>
  <c r="F94" i="7"/>
</calcChain>
</file>

<file path=xl/sharedStrings.xml><?xml version="1.0" encoding="utf-8"?>
<sst xmlns="http://schemas.openxmlformats.org/spreadsheetml/2006/main" count="290" uniqueCount="161">
  <si>
    <t>GOVERNO DO ESTADO DO RIO DE JANEIRO</t>
  </si>
  <si>
    <t>RELATÓRIO RESUMIDO DA EXECUÇÃO ORÇAMENTÁRIA</t>
  </si>
  <si>
    <t>BALANÇO ORÇAMENTÁRIO</t>
  </si>
  <si>
    <t>ORÇAMENTOS FISCAL E DA SEGURIDADE SOCIAL</t>
  </si>
  <si>
    <t>RREO - Anexo 1 (LRF, Art. 52, inciso I, alíneas "a" e "b" do inciso II e §1º)</t>
  </si>
  <si>
    <t>RECEITAS</t>
  </si>
  <si>
    <t>PREVISÃO INICIAL</t>
  </si>
  <si>
    <t>PREVISÃO</t>
  </si>
  <si>
    <t>RECEITAS REALIZADAS</t>
  </si>
  <si>
    <t>SALDO</t>
  </si>
  <si>
    <t>ATUALIZADA</t>
  </si>
  <si>
    <t>No Bimestre</t>
  </si>
  <si>
    <t>%</t>
  </si>
  <si>
    <t>Até o Bimestre</t>
  </si>
  <si>
    <t>(a)</t>
  </si>
  <si>
    <t>(b)</t>
  </si>
  <si>
    <t>(b/a)</t>
  </si>
  <si>
    <t>( c )</t>
  </si>
  <si>
    <t>(c/a)</t>
  </si>
  <si>
    <t>(a-c)</t>
  </si>
  <si>
    <t>RECEITAS (EXCETO INTRA-ORÇAMENTÁRIAS) (I)</t>
  </si>
  <si>
    <t xml:space="preserve">    RECEITAS CORRENTES</t>
  </si>
  <si>
    <t xml:space="preserve">        IMPOSTOS, TAXAS E CONTRIBUIÇÕES DE MELHORIA</t>
  </si>
  <si>
    <t xml:space="preserve">              Impostos</t>
  </si>
  <si>
    <t xml:space="preserve">              Taxas</t>
  </si>
  <si>
    <t>Contribuição de Melhoria</t>
  </si>
  <si>
    <t xml:space="preserve">        CONTRIBUIÇÕES</t>
  </si>
  <si>
    <t xml:space="preserve">            Contribuições Sociais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</si>
  <si>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</si>
  <si>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</si>
  <si>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Contribuição para o Custeio do Serviço de Iluminação Pública</t>
  </si>
  <si>
    <t xml:space="preserve">        RECEITA PATRIMONIAL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</si>
  <si>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</si>
  <si>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</si>
  <si>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</si>
  <si>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</si>
  <si>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</si>
  <si>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</si>
  <si>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</si>
  <si>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</si>
  <si>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</si>
  <si>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</si>
  <si>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</si>
  <si>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</si>
  <si>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</si>
  <si>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</si>
  <si>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</si>
  <si>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TRANSFERÊNCIAS CORRENTES</t>
  </si>
  <si>
    <t xml:space="preserve">            Transferências da União e de suas Entidades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</si>
  <si>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</si>
  <si>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</si>
  <si>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Transferências de Instituições Privadas</t>
  </si>
  <si>
    <t xml:space="preserve">            Transferências de Outras Instituições Públicas</t>
  </si>
  <si>
    <t xml:space="preserve">            Transferências do Exterior</t>
  </si>
  <si>
    <t xml:space="preserve">            Demais Transferências Correntes</t>
  </si>
  <si>
    <t xml:space="preserve">        OUTRAS RECEITAS CORRENTES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</si>
  <si>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</si>
  <si>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</si>
  <si>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</si>
  <si>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Multas e Juros de Mora das Receitas de Capital</t>
  </si>
  <si>
    <t xml:space="preserve">            Demais Receitas Correntes</t>
  </si>
  <si>
    <t xml:space="preserve">    RECEITAS DE CAPITAL</t>
  </si>
  <si>
    <t xml:space="preserve">        OPERAÇÕES DE CRÉDITO</t>
  </si>
  <si>
    <t xml:space="preserve">            Operações de Crédito - Mercado Interno</t>
  </si>
  <si>
    <t xml:space="preserve">            Operações de Crédito - Mercado Externo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</si>
  <si>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</si>
  <si>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</si>
  <si>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</si>
  <si>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    Alienação de Bens Intangíveis</t>
  </si>
  <si>
    <t xml:space="preserve">        AMORTIZAÇÕES DE EMPRÉSTIMOS</t>
  </si>
  <si>
    <t xml:space="preserve">        TRANSFERÊNCIAS DE CAPITAL</t>
  </si>
  <si>
    <t xml:space="preserve">            Demais Transferências de Capital</t>
  </si>
  <si>
    <t xml:space="preserve">            Transferências de Pessoas Físicas</t>
  </si>
  <si>
    <t>Essas linhas não constam mais</t>
  </si>
  <si>
    <t xml:space="preserve">            Transferências Provenientes de Depósitos Não Identificados</t>
  </si>
  <si>
    <t xml:space="preserve">            Outras Transferências de Capital</t>
  </si>
  <si>
    <t xml:space="preserve">        OUTRAS RECEITAS DE CAPITAL</t>
  </si>
  <si>
    <t xml:space="preserve">            Integralização do Capital Social</t>
  </si>
  <si>
    <t xml:space="preserve">            Remuneração das Disponibilidades do Tesouro</t>
  </si>
  <si>
    <t xml:space="preserve">            Resgate de Títulos do Tesouro</t>
  </si>
  <si>
    <t xml:space="preserve">            Demais Receitas de Capital       </t>
  </si>
  <si>
    <t>RECEITAS (INTRA-ORÇAMENTÁRIAS) (II)</t>
  </si>
  <si>
    <t>SUBTOTAL DAS RECEITAS (III) = (I + II)</t>
  </si>
  <si>
    <t>OPERAÇÕES DE CRÉDITO / REFINANCIAMENTO  (IV)</t>
  </si>
  <si>
    <t xml:space="preserve">     Operações de Crédito - Mercado Interno</t>
  </si>
  <si>
    <t xml:space="preserve">        Mobiliária</t>
  </si>
  <si>
    <t xml:space="preserve">        Contratual</t>
  </si>
  <si>
    <t xml:space="preserve">    Operações de Crédito - Mercado Externo</t>
  </si>
  <si>
    <t>TOTAL DAS RECEITAS (V) = (III + IV)</t>
  </si>
  <si>
    <r>
      <t>DÉFICIT (VI)</t>
    </r>
    <r>
      <rPr>
        <b/>
        <vertAlign val="superscript"/>
        <sz val="12"/>
        <rFont val="Times New Roman"/>
        <family val="1"/>
      </rPr>
      <t>1</t>
    </r>
  </si>
  <si>
    <t>TOTAL COM DÉFICIT (VII) = (V + VI)</t>
  </si>
  <si>
    <t>SALDOS DE EXERCÍCIOS ANTERIORES</t>
  </si>
  <si>
    <t xml:space="preserve">    Recursos Arrecadados em Exercícios Anteriores - RPPS</t>
  </si>
  <si>
    <t xml:space="preserve">    Superávit Financeiro Utilizado para Créditos Adicionais</t>
  </si>
  <si>
    <t>DESPESAS</t>
  </si>
  <si>
    <t>DOTAÇÃO</t>
  </si>
  <si>
    <t>DESPESAS EMPENHADAS</t>
  </si>
  <si>
    <t>DESPESAS LIQUIDADAS</t>
  </si>
  <si>
    <t>DESPESAS PAGAS ATÉ O BIMESTRE</t>
  </si>
  <si>
    <t>INICIAL</t>
  </si>
  <si>
    <t xml:space="preserve">No </t>
  </si>
  <si>
    <t xml:space="preserve">Até o </t>
  </si>
  <si>
    <t>Bimestre</t>
  </si>
  <si>
    <t>(d)</t>
  </si>
  <si>
    <t>(e)</t>
  </si>
  <si>
    <t>(f)</t>
  </si>
  <si>
    <t xml:space="preserve">(g) = (e-f) </t>
  </si>
  <si>
    <t>(h)</t>
  </si>
  <si>
    <t>(i) = (e-h)</t>
  </si>
  <si>
    <t>(j)</t>
  </si>
  <si>
    <t>DESPESAS (EXCETO INTRA-ORÇAMENTÁRIAS) (VIII)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</si>
  <si>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</si>
  <si>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</si>
  <si>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</si>
  <si>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</si>
  <si>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r>
      <t xml:space="preserve">           Transferências a Municípios</t>
    </r>
    <r>
      <rPr>
        <vertAlign val="superscript"/>
        <sz val="12"/>
        <rFont val="Times New Roman"/>
        <family val="1"/>
      </rPr>
      <t>2</t>
    </r>
  </si>
  <si>
    <r>
      <t xml:space="preserve">           Demais Despesas Correntes</t>
    </r>
    <r>
      <rPr>
        <vertAlign val="superscript"/>
        <sz val="12"/>
        <rFont val="Times New Roman"/>
        <family val="1"/>
      </rPr>
      <t>2</t>
    </r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</si>
  <si>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</si>
  <si>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</si>
  <si>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</si>
  <si>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</si>
  <si>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</si>
  <si>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>DESPESAS (INTRA-ORÇAMENTÁRIAS) (IX)</t>
  </si>
  <si>
    <t>SUBTOTAL DAS DESPESAS (X) = (VIII + IX)</t>
  </si>
  <si>
    <t>AMORTIZAÇÃO DA DÍV. / REFINANCIAMENTO (XI)</t>
  </si>
  <si>
    <t xml:space="preserve">    Amortização da Dívida Interna</t>
  </si>
  <si>
    <t xml:space="preserve">        Dívida Mobiliária</t>
  </si>
  <si>
    <t xml:space="preserve">        Dívida Contratual</t>
  </si>
  <si>
    <t xml:space="preserve">    Amortização da Dívida Externa</t>
  </si>
  <si>
    <t>TOTAL DAS DESPESAS (XII) = (X + XI)</t>
  </si>
  <si>
    <t>SUPERÁVIT (XIII)</t>
  </si>
  <si>
    <t>TOTAL COM SUPERÁVIT (XIV) = (XII + XIII)</t>
  </si>
  <si>
    <t>RESERVA DO RPPS</t>
  </si>
  <si>
    <t>Continua (1/2)</t>
  </si>
  <si>
    <t>Continuação</t>
  </si>
  <si>
    <t>RECEITAS INTRA-ORÇAMENTÁRIAS</t>
  </si>
  <si>
    <t xml:space="preserve">            Impostos</t>
  </si>
  <si>
    <t xml:space="preserve">            Taxas</t>
  </si>
  <si>
    <t>DESPESAS INTRA-ORÇAMENTÁRIAS</t>
  </si>
  <si>
    <t xml:space="preserve">  JUROS E ENCARGOS DA DÍVIDA</t>
  </si>
  <si>
    <t xml:space="preserve">    RESERVA DE CONTIGÊNCIA</t>
  </si>
  <si>
    <t>FONTE: Siafe-Rio - Secretaria de Estado de Fazenda.</t>
  </si>
  <si>
    <t>(2/2)</t>
  </si>
  <si>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 xml:space="preserve"> O déficit será apurado pela diferença entre a receita realizada e a despesa liquidada nos cinco primeiros bimestres e a despesa empenhada no último bimestre.</t>
    </r>
  </si>
  <si>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Essa linha será apresentada somente no Demonstrativo aplicado aos Estados.</t>
    </r>
  </si>
  <si>
    <t>Obs.:  1 - Excluídas a Imprensa Oficial, a CEDAE e a AGERIO por não se enquadrarem no conceito de Empresa Dependente.</t>
  </si>
  <si>
    <t xml:space="preserve">                                           Renato Ferreira Costa</t>
  </si>
  <si>
    <t xml:space="preserve">        Ronald Marcio G. Rodrigues</t>
  </si>
  <si>
    <t>Yasmim da Costa Monteiro</t>
  </si>
  <si>
    <t xml:space="preserve">                                          Coordenador - ID: 4.284.985-3</t>
  </si>
  <si>
    <t xml:space="preserve">        Superintendente - ID: 1.943.584-3</t>
  </si>
  <si>
    <t>Subsecretária de Contabilidade Geral - ID: 4.461.243-5</t>
  </si>
  <si>
    <t xml:space="preserve">                                         Contador - CRC-RJ-097281/O-6</t>
  </si>
  <si>
    <t xml:space="preserve">         Contador - CRC-RJ-079208/O-8</t>
  </si>
  <si>
    <t>Contadora - CRC-RJ-114428/O-0</t>
  </si>
  <si>
    <t xml:space="preserve">          2 - Imprensa Oficial, CEDAE e AGERIO não constam nos Orçamentos Fiscal e da Seguridade Social no exercício de 2025.</t>
  </si>
  <si>
    <t xml:space="preserve">          3 - Os valores das receitas já estão considerando as suas respectivas deduções, ou seja, a Dedução para Formação do FUNDEB, as Transferências Constitucionais aos Municípios e Outras Deduções, tais como, Restituições, Descontos, Retificações e Outras.</t>
  </si>
  <si>
    <t xml:space="preserve">          2 - A diferença de R$ 18.935.200.359,00 (Dezoito bilhões, novecentos e trinta e cinco milhões, duzentos mil e trezentos e cinquenta e nove reais) entre a Previsão Inicial da Receita e a Dotação Inicial da Despesa é referente ao "Déficit do Orçamento" considerado na Lei Orçamentária Anual de 2026.</t>
  </si>
  <si>
    <t xml:space="preserve">   Contribuição de Melhoria</t>
  </si>
  <si>
    <t>JANEIRO A JUNHO 2026/BIMESTRE MAIO - JUNHO</t>
  </si>
  <si>
    <t>Emissão: 17/07/2026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</si>
</sst>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&quot;R$ &quot;#,##0.00_);[Red]\(&quot;R$ &quot;#,##0.00\)"/>
    <numFmt numFmtId="167" formatCode="#,##0.0_);\(#,##0.0\)"/>
    <numFmt numFmtId="168" formatCode="_(* #,##0_);_(* \(#,##0\);_(* &quot;-&quot;??_);_(@_)"/>
    <numFmt numFmtId="169" formatCode="_-* #,##0_-;\-* #,##0_-;_-* &quot;-&quot;??_-;_-@_-"/>
    <numFmt numFmtId="170" formatCode="_(* #,##0.00_);_(* \(#,##0.00\);_(* &quot;-&quot;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1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  <font>
      <vertAlign val="superscript"/>
      <sz val="11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Up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39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49" fontId="6" fillId="0" borderId="0" xfId="1" applyNumberFormat="1" applyFont="1" applyAlignment="1">
      <alignment horizontal="center"/>
    </xf>
    <xf numFmtId="49" fontId="5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49" fontId="5" fillId="0" borderId="0" xfId="1" applyNumberFormat="1" applyFont="1"/>
    <xf numFmtId="167" fontId="5" fillId="0" borderId="0" xfId="1" applyNumberFormat="1" applyFont="1"/>
    <xf numFmtId="0" fontId="5" fillId="0" borderId="0" xfId="1" applyFont="1" applyAlignment="1">
      <alignment horizontal="right"/>
    </xf>
    <xf numFmtId="166" fontId="5" fillId="0" borderId="0" xfId="1" applyNumberFormat="1" applyFont="1" applyAlignment="1">
      <alignment horizontal="right"/>
    </xf>
    <xf numFmtId="164" fontId="3" fillId="4" borderId="1" xfId="5" applyNumberFormat="1" applyFont="1" applyFill="1" applyBorder="1" applyAlignment="1">
      <alignment horizontal="right"/>
    </xf>
    <xf numFmtId="164" fontId="3" fillId="4" borderId="0" xfId="5" applyNumberFormat="1" applyFont="1" applyFill="1" applyAlignment="1">
      <alignment horizontal="right"/>
    </xf>
    <xf numFmtId="170" fontId="3" fillId="4" borderId="1" xfId="4" applyNumberFormat="1" applyFont="1" applyFill="1" applyBorder="1" applyAlignment="1">
      <alignment horizontal="right"/>
    </xf>
    <xf numFmtId="3" fontId="5" fillId="0" borderId="0" xfId="1" applyNumberFormat="1" applyFont="1"/>
    <xf numFmtId="170" fontId="3" fillId="4" borderId="2" xfId="4" applyNumberFormat="1" applyFont="1" applyFill="1" applyBorder="1" applyAlignment="1">
      <alignment horizontal="right"/>
    </xf>
    <xf numFmtId="168" fontId="5" fillId="0" borderId="0" xfId="1" applyNumberFormat="1" applyFont="1"/>
    <xf numFmtId="164" fontId="5" fillId="4" borderId="3" xfId="5" applyNumberFormat="1" applyFont="1" applyFill="1" applyBorder="1" applyAlignment="1">
      <alignment horizontal="right"/>
    </xf>
    <xf numFmtId="164" fontId="5" fillId="4" borderId="2" xfId="5" applyNumberFormat="1" applyFont="1" applyFill="1" applyBorder="1" applyAlignment="1">
      <alignment horizontal="right"/>
    </xf>
    <xf numFmtId="164" fontId="5" fillId="4" borderId="0" xfId="5" applyNumberFormat="1" applyFont="1" applyFill="1" applyAlignment="1">
      <alignment horizontal="right"/>
    </xf>
    <xf numFmtId="170" fontId="5" fillId="4" borderId="2" xfId="4" applyNumberFormat="1" applyFont="1" applyFill="1" applyBorder="1" applyAlignment="1">
      <alignment horizontal="right"/>
    </xf>
    <xf numFmtId="164" fontId="5" fillId="0" borderId="0" xfId="1" applyNumberFormat="1" applyFont="1"/>
    <xf numFmtId="170" fontId="3" fillId="4" borderId="4" xfId="4" applyNumberFormat="1" applyFont="1" applyFill="1" applyBorder="1" applyAlignment="1">
      <alignment horizontal="right"/>
    </xf>
    <xf numFmtId="164" fontId="3" fillId="4" borderId="5" xfId="5" applyNumberFormat="1" applyFont="1" applyFill="1" applyBorder="1" applyAlignment="1">
      <alignment horizontal="right"/>
    </xf>
    <xf numFmtId="164" fontId="5" fillId="4" borderId="0" xfId="5" applyNumberFormat="1" applyFont="1" applyFill="1" applyBorder="1" applyAlignment="1">
      <alignment horizontal="right"/>
    </xf>
    <xf numFmtId="164" fontId="5" fillId="4" borderId="6" xfId="5" applyNumberFormat="1" applyFont="1" applyFill="1" applyBorder="1" applyAlignment="1">
      <alignment horizontal="right"/>
    </xf>
    <xf numFmtId="164" fontId="5" fillId="4" borderId="7" xfId="5" applyNumberFormat="1" applyFont="1" applyFill="1" applyBorder="1" applyAlignment="1">
      <alignment horizontal="right"/>
    </xf>
    <xf numFmtId="170" fontId="5" fillId="4" borderId="7" xfId="4" applyNumberFormat="1" applyFont="1" applyFill="1" applyBorder="1" applyAlignment="1">
      <alignment horizontal="right"/>
    </xf>
    <xf numFmtId="170" fontId="3" fillId="4" borderId="7" xfId="4" applyNumberFormat="1" applyFont="1" applyFill="1" applyBorder="1" applyAlignment="1">
      <alignment horizontal="right"/>
    </xf>
    <xf numFmtId="0" fontId="4" fillId="4" borderId="0" xfId="1" applyFont="1" applyFill="1"/>
    <xf numFmtId="37" fontId="4" fillId="4" borderId="0" xfId="1" applyNumberFormat="1" applyFont="1" applyFill="1" applyAlignment="1">
      <alignment horizontal="center"/>
    </xf>
    <xf numFmtId="0" fontId="4" fillId="4" borderId="0" xfId="1" applyFont="1" applyFill="1" applyAlignment="1">
      <alignment horizontal="center"/>
    </xf>
    <xf numFmtId="37" fontId="4" fillId="4" borderId="0" xfId="1" applyNumberFormat="1" applyFont="1" applyFill="1" applyAlignment="1">
      <alignment horizontal="center" vertical="center"/>
    </xf>
    <xf numFmtId="37" fontId="5" fillId="4" borderId="0" xfId="1" applyNumberFormat="1" applyFont="1" applyFill="1" applyAlignment="1">
      <alignment horizontal="center" vertical="center"/>
    </xf>
    <xf numFmtId="164" fontId="5" fillId="4" borderId="8" xfId="5" applyNumberFormat="1" applyFont="1" applyFill="1" applyBorder="1" applyAlignment="1">
      <alignment horizontal="right"/>
    </xf>
    <xf numFmtId="4" fontId="3" fillId="0" borderId="0" xfId="1" applyNumberFormat="1" applyFont="1"/>
    <xf numFmtId="4" fontId="5" fillId="0" borderId="0" xfId="1" applyNumberFormat="1" applyFont="1"/>
    <xf numFmtId="43" fontId="5" fillId="0" borderId="0" xfId="1" applyNumberFormat="1" applyFont="1"/>
    <xf numFmtId="0" fontId="4" fillId="0" borderId="0" xfId="0" applyFont="1"/>
    <xf numFmtId="164" fontId="5" fillId="4" borderId="9" xfId="5" applyNumberFormat="1" applyFont="1" applyFill="1" applyBorder="1" applyAlignment="1">
      <alignment horizontal="right"/>
    </xf>
    <xf numFmtId="165" fontId="5" fillId="0" borderId="0" xfId="4" applyFont="1" applyFill="1" applyAlignment="1"/>
    <xf numFmtId="0" fontId="8" fillId="4" borderId="0" xfId="1" applyFont="1" applyFill="1"/>
    <xf numFmtId="37" fontId="8" fillId="4" borderId="0" xfId="1" applyNumberFormat="1" applyFont="1" applyFill="1" applyAlignment="1">
      <alignment horizontal="center"/>
    </xf>
    <xf numFmtId="164" fontId="8" fillId="4" borderId="0" xfId="1" applyNumberFormat="1" applyFont="1" applyFill="1" applyAlignment="1">
      <alignment horizontal="center"/>
    </xf>
    <xf numFmtId="37" fontId="8" fillId="4" borderId="0" xfId="1" applyNumberFormat="1" applyFont="1" applyFill="1" applyAlignment="1">
      <alignment horizontal="center" vertical="center"/>
    </xf>
    <xf numFmtId="37" fontId="5" fillId="4" borderId="0" xfId="1" applyNumberFormat="1" applyFont="1" applyFill="1" applyAlignment="1">
      <alignment horizontal="right" vertical="center"/>
    </xf>
    <xf numFmtId="49" fontId="6" fillId="4" borderId="0" xfId="1" applyNumberFormat="1" applyFont="1" applyFill="1" applyAlignment="1">
      <alignment horizontal="center"/>
    </xf>
    <xf numFmtId="49" fontId="5" fillId="4" borderId="0" xfId="1" applyNumberFormat="1" applyFont="1" applyFill="1" applyAlignment="1">
      <alignment horizontal="center"/>
    </xf>
    <xf numFmtId="0" fontId="5" fillId="4" borderId="0" xfId="1" applyFont="1" applyFill="1" applyAlignment="1">
      <alignment horizontal="center"/>
    </xf>
    <xf numFmtId="49" fontId="5" fillId="4" borderId="0" xfId="1" applyNumberFormat="1" applyFont="1" applyFill="1"/>
    <xf numFmtId="0" fontId="5" fillId="4" borderId="0" xfId="1" applyFont="1" applyFill="1"/>
    <xf numFmtId="166" fontId="5" fillId="4" borderId="0" xfId="1" applyNumberFormat="1" applyFont="1" applyFill="1" applyAlignment="1">
      <alignment horizontal="right"/>
    </xf>
    <xf numFmtId="164" fontId="3" fillId="0" borderId="0" xfId="5" applyNumberFormat="1" applyFont="1" applyFill="1" applyBorder="1" applyAlignment="1">
      <alignment horizontal="right"/>
    </xf>
    <xf numFmtId="49" fontId="5" fillId="0" borderId="0" xfId="5" applyNumberFormat="1" applyFont="1" applyFill="1" applyBorder="1" applyAlignment="1">
      <alignment horizontal="right"/>
    </xf>
    <xf numFmtId="0" fontId="5" fillId="0" borderId="0" xfId="1" applyFont="1" applyAlignment="1">
      <alignment horizontal="lef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4" applyFont="1" applyFill="1" applyBorder="1" applyAlignment="1">
      <alignment horizontal="right" vertical="center"/>
    </xf>
    <xf numFmtId="4" fontId="5" fillId="0" borderId="0" xfId="1" applyNumberFormat="1" applyFont="1" applyAlignment="1">
      <alignment horizontal="left" vertical="center"/>
    </xf>
    <xf numFmtId="165" fontId="5" fillId="0" borderId="0" xfId="4" applyFont="1" applyFill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0" borderId="0" xfId="1" applyFont="1"/>
    <xf numFmtId="49" fontId="3" fillId="5" borderId="1" xfId="1" applyNumberFormat="1" applyFont="1" applyFill="1" applyBorder="1" applyAlignment="1">
      <alignment horizontal="center" vertical="center" wrapText="1"/>
    </xf>
    <xf numFmtId="49" fontId="3" fillId="5" borderId="2" xfId="1" applyNumberFormat="1" applyFont="1" applyFill="1" applyBorder="1" applyAlignment="1">
      <alignment horizontal="center" vertical="center" wrapText="1"/>
    </xf>
    <xf numFmtId="49" fontId="3" fillId="5" borderId="1" xfId="1" applyNumberFormat="1" applyFont="1" applyFill="1" applyBorder="1" applyAlignment="1">
      <alignment horizontal="center"/>
    </xf>
    <xf numFmtId="49" fontId="3" fillId="5" borderId="7" xfId="1" applyNumberFormat="1" applyFont="1" applyFill="1" applyBorder="1" applyAlignment="1">
      <alignment horizontal="center"/>
    </xf>
    <xf numFmtId="165" fontId="5" fillId="4" borderId="0" xfId="4" applyFont="1" applyFill="1" applyAlignment="1">
      <alignment horizontal="center"/>
    </xf>
    <xf numFmtId="165" fontId="8" fillId="4" borderId="0" xfId="4" applyFont="1" applyFill="1" applyBorder="1" applyAlignment="1">
      <alignment horizontal="center"/>
    </xf>
    <xf numFmtId="0" fontId="3" fillId="5" borderId="1" xfId="1" applyFont="1" applyFill="1" applyBorder="1" applyAlignment="1">
      <alignment horizontal="center"/>
    </xf>
    <xf numFmtId="0" fontId="3" fillId="5" borderId="10" xfId="1" applyFont="1" applyFill="1" applyBorder="1" applyAlignment="1">
      <alignment horizontal="center"/>
    </xf>
    <xf numFmtId="0" fontId="3" fillId="5" borderId="11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/>
    </xf>
    <xf numFmtId="0" fontId="3" fillId="5" borderId="8" xfId="1" applyFont="1" applyFill="1" applyBorder="1" applyAlignment="1">
      <alignment horizontal="center" wrapText="1"/>
    </xf>
    <xf numFmtId="0" fontId="3" fillId="5" borderId="8" xfId="1" applyFont="1" applyFill="1" applyBorder="1" applyAlignment="1">
      <alignment horizontal="center"/>
    </xf>
    <xf numFmtId="0" fontId="5" fillId="5" borderId="3" xfId="1" applyFont="1" applyFill="1" applyBorder="1" applyAlignment="1">
      <alignment horizontal="center" vertical="center"/>
    </xf>
    <xf numFmtId="0" fontId="3" fillId="5" borderId="7" xfId="1" applyFont="1" applyFill="1" applyBorder="1" applyAlignment="1">
      <alignment horizontal="center"/>
    </xf>
    <xf numFmtId="0" fontId="3" fillId="5" borderId="9" xfId="1" applyFont="1" applyFill="1" applyBorder="1" applyAlignment="1">
      <alignment horizontal="center"/>
    </xf>
    <xf numFmtId="0" fontId="3" fillId="5" borderId="12" xfId="1" applyFont="1" applyFill="1" applyBorder="1" applyAlignment="1">
      <alignment horizontal="center" vertical="center"/>
    </xf>
    <xf numFmtId="169" fontId="8" fillId="0" borderId="0" xfId="1" applyNumberFormat="1" applyFont="1" applyAlignment="1">
      <alignment horizontal="left" vertical="center"/>
    </xf>
    <xf numFmtId="164" fontId="8" fillId="0" borderId="0" xfId="1" applyNumberFormat="1" applyFont="1" applyAlignment="1">
      <alignment horizontal="left" vertical="center"/>
    </xf>
    <xf numFmtId="164" fontId="4" fillId="0" borderId="0" xfId="1" applyNumberFormat="1" applyFont="1"/>
    <xf numFmtId="0" fontId="5" fillId="4" borderId="0" xfId="1" applyFont="1" applyFill="1" applyAlignment="1">
      <alignment horizontal="right"/>
    </xf>
    <xf numFmtId="170" fontId="5" fillId="4" borderId="2" xfId="5" applyNumberFormat="1" applyFont="1" applyFill="1" applyBorder="1" applyAlignment="1">
      <alignment horizontal="right"/>
    </xf>
    <xf numFmtId="170" fontId="3" fillId="4" borderId="11" xfId="5" applyNumberFormat="1" applyFont="1" applyFill="1" applyBorder="1" applyAlignment="1">
      <alignment horizontal="right"/>
    </xf>
    <xf numFmtId="170" fontId="3" fillId="4" borderId="1" xfId="5" applyNumberFormat="1" applyFont="1" applyFill="1" applyBorder="1" applyAlignment="1">
      <alignment horizontal="right"/>
    </xf>
    <xf numFmtId="170" fontId="3" fillId="4" borderId="0" xfId="5" applyNumberFormat="1" applyFont="1" applyFill="1" applyAlignment="1">
      <alignment horizontal="right"/>
    </xf>
    <xf numFmtId="170" fontId="3" fillId="4" borderId="3" xfId="5" applyNumberFormat="1" applyFont="1" applyFill="1" applyBorder="1" applyAlignment="1">
      <alignment horizontal="right"/>
    </xf>
    <xf numFmtId="170" fontId="3" fillId="4" borderId="2" xfId="5" applyNumberFormat="1" applyFont="1" applyFill="1" applyBorder="1" applyAlignment="1">
      <alignment horizontal="right"/>
    </xf>
    <xf numFmtId="170" fontId="5" fillId="4" borderId="3" xfId="5" applyNumberFormat="1" applyFont="1" applyFill="1" applyBorder="1" applyAlignment="1">
      <alignment horizontal="right"/>
    </xf>
    <xf numFmtId="170" fontId="5" fillId="4" borderId="0" xfId="5" applyNumberFormat="1" applyFont="1" applyFill="1" applyAlignment="1">
      <alignment horizontal="right"/>
    </xf>
    <xf numFmtId="170" fontId="3" fillId="4" borderId="13" xfId="5" applyNumberFormat="1" applyFont="1" applyFill="1" applyBorder="1" applyAlignment="1">
      <alignment horizontal="right"/>
    </xf>
    <xf numFmtId="170" fontId="3" fillId="4" borderId="4" xfId="5" applyNumberFormat="1" applyFont="1" applyFill="1" applyBorder="1" applyAlignment="1">
      <alignment horizontal="right"/>
    </xf>
    <xf numFmtId="170" fontId="5" fillId="0" borderId="0" xfId="5" applyNumberFormat="1" applyFont="1" applyFill="1" applyAlignment="1">
      <alignment horizontal="right"/>
    </xf>
    <xf numFmtId="170" fontId="5" fillId="4" borderId="4" xfId="5" applyNumberFormat="1" applyFont="1" applyFill="1" applyBorder="1" applyAlignment="1">
      <alignment horizontal="right"/>
    </xf>
    <xf numFmtId="170" fontId="5" fillId="4" borderId="4" xfId="4" applyNumberFormat="1" applyFont="1" applyFill="1" applyBorder="1" applyAlignment="1"/>
    <xf numFmtId="170" fontId="3" fillId="4" borderId="8" xfId="5" applyNumberFormat="1" applyFont="1" applyFill="1" applyBorder="1" applyAlignment="1">
      <alignment horizontal="right"/>
    </xf>
    <xf numFmtId="170" fontId="3" fillId="4" borderId="14" xfId="5" applyNumberFormat="1" applyFont="1" applyFill="1" applyBorder="1" applyAlignment="1">
      <alignment horizontal="right"/>
    </xf>
    <xf numFmtId="170" fontId="3" fillId="4" borderId="10" xfId="5" applyNumberFormat="1" applyFont="1" applyFill="1" applyBorder="1" applyAlignment="1">
      <alignment horizontal="right"/>
    </xf>
    <xf numFmtId="170" fontId="5" fillId="4" borderId="8" xfId="5" applyNumberFormat="1" applyFont="1" applyFill="1" applyBorder="1" applyAlignment="1">
      <alignment horizontal="right"/>
    </xf>
    <xf numFmtId="170" fontId="5" fillId="4" borderId="9" xfId="5" applyNumberFormat="1" applyFont="1" applyFill="1" applyBorder="1" applyAlignment="1">
      <alignment horizontal="right"/>
    </xf>
    <xf numFmtId="170" fontId="3" fillId="4" borderId="7" xfId="5" applyNumberFormat="1" applyFont="1" applyFill="1" applyBorder="1" applyAlignment="1">
      <alignment horizontal="right"/>
    </xf>
    <xf numFmtId="170" fontId="3" fillId="4" borderId="9" xfId="5" applyNumberFormat="1" applyFont="1" applyFill="1" applyBorder="1" applyAlignment="1">
      <alignment horizontal="right"/>
    </xf>
    <xf numFmtId="170" fontId="5" fillId="4" borderId="7" xfId="5" applyNumberFormat="1" applyFont="1" applyFill="1" applyBorder="1" applyAlignment="1">
      <alignment horizontal="right"/>
    </xf>
    <xf numFmtId="170" fontId="3" fillId="4" borderId="12" xfId="5" applyNumberFormat="1" applyFont="1" applyFill="1" applyBorder="1" applyAlignment="1">
      <alignment horizontal="right"/>
    </xf>
    <xf numFmtId="170" fontId="5" fillId="4" borderId="7" xfId="1" applyNumberFormat="1" applyFont="1" applyFill="1" applyBorder="1"/>
    <xf numFmtId="170" fontId="5" fillId="4" borderId="12" xfId="5" applyNumberFormat="1" applyFont="1" applyFill="1" applyBorder="1" applyAlignment="1">
      <alignment horizontal="right"/>
    </xf>
    <xf numFmtId="170" fontId="5" fillId="4" borderId="6" xfId="5" applyNumberFormat="1" applyFont="1" applyFill="1" applyBorder="1" applyAlignment="1">
      <alignment horizontal="right"/>
    </xf>
    <xf numFmtId="165" fontId="3" fillId="4" borderId="10" xfId="4" applyFont="1" applyFill="1" applyBorder="1" applyAlignment="1">
      <alignment horizontal="right"/>
    </xf>
    <xf numFmtId="165" fontId="5" fillId="4" borderId="2" xfId="4" applyFont="1" applyFill="1" applyBorder="1" applyAlignment="1">
      <alignment horizontal="right"/>
    </xf>
    <xf numFmtId="170" fontId="3" fillId="0" borderId="14" xfId="5" applyNumberFormat="1" applyFont="1" applyFill="1" applyBorder="1" applyAlignment="1">
      <alignment horizontal="right"/>
    </xf>
    <xf numFmtId="170" fontId="5" fillId="4" borderId="0" xfId="1" applyNumberFormat="1" applyFont="1" applyFill="1"/>
    <xf numFmtId="165" fontId="3" fillId="4" borderId="14" xfId="4" applyFont="1" applyFill="1" applyBorder="1" applyAlignment="1">
      <alignment horizontal="right"/>
    </xf>
    <xf numFmtId="165" fontId="4" fillId="3" borderId="4" xfId="4" applyFont="1" applyFill="1" applyBorder="1" applyAlignment="1"/>
    <xf numFmtId="165" fontId="4" fillId="3" borderId="14" xfId="4" applyFont="1" applyFill="1" applyBorder="1" applyAlignment="1"/>
    <xf numFmtId="165" fontId="4" fillId="3" borderId="2" xfId="4" applyFont="1" applyFill="1" applyBorder="1" applyAlignment="1"/>
    <xf numFmtId="165" fontId="3" fillId="4" borderId="13" xfId="4" applyFont="1" applyFill="1" applyBorder="1" applyAlignment="1">
      <alignment horizontal="right"/>
    </xf>
    <xf numFmtId="165" fontId="3" fillId="4" borderId="7" xfId="4" applyFont="1" applyFill="1" applyBorder="1" applyAlignment="1">
      <alignment horizontal="right"/>
    </xf>
    <xf numFmtId="170" fontId="5" fillId="0" borderId="3" xfId="5" applyNumberFormat="1" applyFont="1" applyFill="1" applyBorder="1" applyAlignment="1">
      <alignment horizontal="right"/>
    </xf>
    <xf numFmtId="170" fontId="5" fillId="0" borderId="2" xfId="5" applyNumberFormat="1" applyFont="1" applyFill="1" applyBorder="1" applyAlignment="1">
      <alignment horizontal="right"/>
    </xf>
    <xf numFmtId="170" fontId="5" fillId="0" borderId="2" xfId="4" applyNumberFormat="1" applyFont="1" applyFill="1" applyBorder="1" applyAlignment="1">
      <alignment horizontal="right"/>
    </xf>
    <xf numFmtId="170" fontId="5" fillId="0" borderId="3" xfId="4" applyNumberFormat="1" applyFont="1" applyFill="1" applyBorder="1" applyAlignment="1">
      <alignment horizontal="right"/>
    </xf>
    <xf numFmtId="170" fontId="3" fillId="0" borderId="3" xfId="5" applyNumberFormat="1" applyFont="1" applyFill="1" applyBorder="1" applyAlignment="1">
      <alignment horizontal="right"/>
    </xf>
    <xf numFmtId="170" fontId="3" fillId="0" borderId="2" xfId="5" applyNumberFormat="1" applyFont="1" applyFill="1" applyBorder="1" applyAlignment="1">
      <alignment horizontal="right"/>
    </xf>
    <xf numFmtId="170" fontId="3" fillId="0" borderId="0" xfId="5" applyNumberFormat="1" applyFont="1" applyFill="1" applyAlignment="1">
      <alignment horizontal="right"/>
    </xf>
    <xf numFmtId="170" fontId="3" fillId="0" borderId="2" xfId="4" applyNumberFormat="1" applyFont="1" applyFill="1" applyBorder="1" applyAlignment="1">
      <alignment horizontal="right"/>
    </xf>
    <xf numFmtId="43" fontId="4" fillId="0" borderId="0" xfId="1" applyNumberFormat="1" applyFont="1"/>
    <xf numFmtId="43" fontId="6" fillId="4" borderId="0" xfId="1" applyNumberFormat="1" applyFont="1" applyFill="1" applyAlignment="1">
      <alignment horizontal="center"/>
    </xf>
    <xf numFmtId="165" fontId="3" fillId="0" borderId="9" xfId="4" applyFont="1" applyFill="1" applyBorder="1" applyAlignment="1">
      <alignment horizontal="right"/>
    </xf>
    <xf numFmtId="170" fontId="5" fillId="6" borderId="3" xfId="5" applyNumberFormat="1" applyFont="1" applyFill="1" applyBorder="1" applyAlignment="1">
      <alignment horizontal="right"/>
    </xf>
    <xf numFmtId="170" fontId="5" fillId="6" borderId="2" xfId="5" applyNumberFormat="1" applyFont="1" applyFill="1" applyBorder="1" applyAlignment="1">
      <alignment horizontal="right"/>
    </xf>
    <xf numFmtId="170" fontId="5" fillId="6" borderId="0" xfId="5" applyNumberFormat="1" applyFont="1" applyFill="1" applyAlignment="1">
      <alignment horizontal="right"/>
    </xf>
    <xf numFmtId="170" fontId="5" fillId="6" borderId="2" xfId="4" applyNumberFormat="1" applyFont="1" applyFill="1" applyBorder="1" applyAlignment="1">
      <alignment horizontal="right"/>
    </xf>
    <xf numFmtId="4" fontId="5" fillId="2" borderId="15" xfId="0" applyNumberFormat="1" applyFont="1" applyFill="1" applyBorder="1" applyAlignment="1">
      <alignment horizontal="right" vertical="top" wrapText="1"/>
    </xf>
    <xf numFmtId="4" fontId="5" fillId="2" borderId="16" xfId="0" applyNumberFormat="1" applyFont="1" applyFill="1" applyBorder="1" applyAlignment="1">
      <alignment horizontal="right" vertical="top" wrapText="1"/>
    </xf>
    <xf numFmtId="43" fontId="8" fillId="0" borderId="0" xfId="1" applyNumberFormat="1" applyFont="1" applyAlignment="1">
      <alignment horizontal="left" vertical="center"/>
    </xf>
    <xf numFmtId="43" fontId="5" fillId="0" borderId="0" xfId="1" applyNumberFormat="1" applyFont="1" applyAlignment="1">
      <alignment horizontal="left" vertical="center"/>
    </xf>
    <xf numFmtId="164" fontId="8" fillId="0" borderId="0" xfId="1" applyNumberFormat="1" applyFont="1"/>
    <xf numFmtId="170" fontId="3" fillId="0" borderId="13" xfId="5" applyNumberFormat="1" applyFont="1" applyFill="1" applyBorder="1" applyAlignment="1">
      <alignment horizontal="right"/>
    </xf>
    <xf numFmtId="170" fontId="3" fillId="0" borderId="0" xfId="5" applyNumberFormat="1" applyFont="1" applyFill="1" applyBorder="1" applyAlignment="1">
      <alignment horizontal="right"/>
    </xf>
    <xf numFmtId="170" fontId="3" fillId="0" borderId="4" xfId="5" applyNumberFormat="1" applyFont="1" applyFill="1" applyBorder="1" applyAlignment="1">
      <alignment horizontal="right"/>
    </xf>
    <xf numFmtId="170" fontId="3" fillId="0" borderId="7" xfId="4" applyNumberFormat="1" applyFont="1" applyFill="1" applyBorder="1" applyAlignment="1">
      <alignment horizontal="right"/>
    </xf>
    <xf numFmtId="165" fontId="8" fillId="0" borderId="0" xfId="4" applyFont="1" applyAlignment="1">
      <alignment horizontal="left" vertical="center"/>
    </xf>
    <xf numFmtId="0" fontId="8" fillId="6" borderId="0" xfId="1" applyFont="1" applyFill="1" applyAlignment="1">
      <alignment horizontal="left" vertical="center"/>
    </xf>
    <xf numFmtId="0" fontId="8" fillId="6" borderId="0" xfId="1" applyFont="1" applyFill="1" applyAlignment="1">
      <alignment horizontal="left" vertical="center" wrapText="1"/>
    </xf>
    <xf numFmtId="0" fontId="8" fillId="6" borderId="0" xfId="1" applyFont="1" applyFill="1"/>
    <xf numFmtId="170" fontId="5" fillId="4" borderId="0" xfId="5" applyNumberFormat="1" applyFont="1" applyFill="1" applyBorder="1" applyAlignment="1">
      <alignment horizontal="right"/>
    </xf>
    <xf numFmtId="170" fontId="3" fillId="4" borderId="0" xfId="5" applyNumberFormat="1" applyFont="1" applyFill="1" applyBorder="1" applyAlignment="1">
      <alignment horizontal="right"/>
    </xf>
    <xf numFmtId="0" fontId="3" fillId="0" borderId="0" xfId="1" applyFont="1" applyAlignment="1">
      <alignment wrapText="1"/>
    </xf>
    <xf numFmtId="49" fontId="5" fillId="0" borderId="3" xfId="1" applyNumberFormat="1" applyFont="1" applyBorder="1"/>
    <xf numFmtId="0" fontId="3" fillId="0" borderId="17" xfId="1" applyFont="1" applyBorder="1"/>
    <xf numFmtId="0" fontId="3" fillId="0" borderId="11" xfId="1" applyFont="1" applyBorder="1" applyAlignment="1">
      <alignment horizontal="left" wrapText="1"/>
    </xf>
    <xf numFmtId="0" fontId="3" fillId="0" borderId="6" xfId="1" applyFont="1" applyBorder="1"/>
    <xf numFmtId="0" fontId="5" fillId="0" borderId="0" xfId="1" applyFont="1" applyAlignment="1">
      <alignment horizontal="left" indent="2"/>
    </xf>
    <xf numFmtId="0" fontId="3" fillId="0" borderId="12" xfId="1" applyFont="1" applyBorder="1"/>
    <xf numFmtId="165" fontId="5" fillId="0" borderId="0" xfId="4" applyFont="1" applyAlignment="1">
      <alignment horizontal="left" vertical="center"/>
    </xf>
    <xf numFmtId="0" fontId="1" fillId="0" borderId="0" xfId="0" applyFont="1"/>
    <xf numFmtId="170" fontId="3" fillId="4" borderId="6" xfId="5" applyNumberFormat="1" applyFont="1" applyFill="1" applyBorder="1" applyAlignment="1">
      <alignment horizontal="right"/>
    </xf>
    <xf numFmtId="4" fontId="5" fillId="2" borderId="2" xfId="0" applyNumberFormat="1" applyFont="1" applyFill="1" applyBorder="1" applyAlignment="1">
      <alignment horizontal="right" vertical="top" wrapText="1"/>
    </xf>
    <xf numFmtId="165" fontId="5" fillId="4" borderId="7" xfId="4" applyFont="1" applyFill="1" applyBorder="1" applyAlignment="1">
      <alignment horizontal="right"/>
    </xf>
    <xf numFmtId="170" fontId="5" fillId="0" borderId="8" xfId="5" applyNumberFormat="1" applyFont="1" applyFill="1" applyBorder="1" applyAlignment="1">
      <alignment horizontal="right"/>
    </xf>
    <xf numFmtId="170" fontId="5" fillId="0" borderId="0" xfId="5" applyNumberFormat="1" applyFont="1" applyFill="1" applyBorder="1" applyAlignment="1">
      <alignment horizontal="right"/>
    </xf>
    <xf numFmtId="49" fontId="5" fillId="0" borderId="3" xfId="1" applyNumberFormat="1" applyFont="1" applyBorder="1" applyAlignment="1">
      <alignment horizontal="left"/>
    </xf>
    <xf numFmtId="165" fontId="5" fillId="4" borderId="8" xfId="4" applyFont="1" applyFill="1" applyBorder="1" applyAlignment="1">
      <alignment horizontal="center"/>
    </xf>
    <xf numFmtId="165" fontId="5" fillId="4" borderId="3" xfId="4" applyFont="1" applyFill="1" applyBorder="1" applyAlignment="1">
      <alignment horizontal="center"/>
    </xf>
    <xf numFmtId="170" fontId="5" fillId="4" borderId="8" xfId="5" applyNumberFormat="1" applyFont="1" applyFill="1" applyBorder="1" applyAlignment="1">
      <alignment horizontal="right"/>
    </xf>
    <xf numFmtId="170" fontId="5" fillId="4" borderId="0" xfId="5" applyNumberFormat="1" applyFont="1" applyFill="1" applyBorder="1" applyAlignment="1">
      <alignment horizontal="right"/>
    </xf>
    <xf numFmtId="49" fontId="5" fillId="0" borderId="0" xfId="1" applyNumberFormat="1" applyFont="1" applyAlignment="1">
      <alignment horizontal="left"/>
    </xf>
    <xf numFmtId="165" fontId="3" fillId="0" borderId="8" xfId="4" applyFont="1" applyFill="1" applyBorder="1" applyAlignment="1">
      <alignment horizontal="center"/>
    </xf>
    <xf numFmtId="165" fontId="3" fillId="0" borderId="3" xfId="4" applyFont="1" applyFill="1" applyBorder="1" applyAlignment="1">
      <alignment horizontal="center"/>
    </xf>
    <xf numFmtId="165" fontId="5" fillId="0" borderId="8" xfId="4" applyFont="1" applyFill="1" applyBorder="1" applyAlignment="1">
      <alignment horizontal="center"/>
    </xf>
    <xf numFmtId="165" fontId="5" fillId="0" borderId="3" xfId="4" applyFont="1" applyFill="1" applyBorder="1" applyAlignment="1">
      <alignment horizontal="center"/>
    </xf>
    <xf numFmtId="49" fontId="3" fillId="0" borderId="3" xfId="1" applyNumberFormat="1" applyFont="1" applyBorder="1" applyAlignment="1">
      <alignment horizontal="left"/>
    </xf>
    <xf numFmtId="170" fontId="5" fillId="4" borderId="8" xfId="5" applyNumberFormat="1" applyFont="1" applyFill="1" applyBorder="1" applyAlignment="1">
      <alignment horizontal="center"/>
    </xf>
    <xf numFmtId="170" fontId="5" fillId="4" borderId="0" xfId="5" applyNumberFormat="1" applyFont="1" applyFill="1" applyBorder="1" applyAlignment="1">
      <alignment horizontal="center"/>
    </xf>
    <xf numFmtId="170" fontId="5" fillId="4" borderId="3" xfId="5" applyNumberFormat="1" applyFont="1" applyFill="1" applyBorder="1" applyAlignment="1">
      <alignment horizontal="center"/>
    </xf>
    <xf numFmtId="170" fontId="3" fillId="4" borderId="8" xfId="5" applyNumberFormat="1" applyFont="1" applyFill="1" applyBorder="1" applyAlignment="1">
      <alignment horizontal="center"/>
    </xf>
    <xf numFmtId="170" fontId="3" fillId="4" borderId="3" xfId="5" applyNumberFormat="1" applyFont="1" applyFill="1" applyBorder="1" applyAlignment="1">
      <alignment horizontal="center"/>
    </xf>
    <xf numFmtId="170" fontId="3" fillId="4" borderId="0" xfId="5" applyNumberFormat="1" applyFont="1" applyFill="1" applyBorder="1" applyAlignment="1">
      <alignment horizontal="center"/>
    </xf>
    <xf numFmtId="170" fontId="3" fillId="4" borderId="9" xfId="5" applyNumberFormat="1" applyFont="1" applyFill="1" applyBorder="1" applyAlignment="1">
      <alignment horizontal="center"/>
    </xf>
    <xf numFmtId="170" fontId="3" fillId="4" borderId="12" xfId="5" applyNumberFormat="1" applyFont="1" applyFill="1" applyBorder="1" applyAlignment="1">
      <alignment horizontal="center"/>
    </xf>
    <xf numFmtId="170" fontId="3" fillId="4" borderId="6" xfId="5" applyNumberFormat="1" applyFont="1" applyFill="1" applyBorder="1" applyAlignment="1">
      <alignment horizontal="center"/>
    </xf>
    <xf numFmtId="0" fontId="3" fillId="5" borderId="10" xfId="1" applyFont="1" applyFill="1" applyBorder="1" applyAlignment="1">
      <alignment horizontal="center"/>
    </xf>
    <xf numFmtId="0" fontId="3" fillId="5" borderId="11" xfId="1" applyFont="1" applyFill="1" applyBorder="1" applyAlignment="1">
      <alignment horizontal="center"/>
    </xf>
    <xf numFmtId="0" fontId="3" fillId="5" borderId="8" xfId="1" applyFont="1" applyFill="1" applyBorder="1" applyAlignment="1">
      <alignment horizontal="center"/>
    </xf>
    <xf numFmtId="0" fontId="3" fillId="5" borderId="3" xfId="1" applyFont="1" applyFill="1" applyBorder="1" applyAlignment="1">
      <alignment horizontal="center"/>
    </xf>
    <xf numFmtId="165" fontId="5" fillId="0" borderId="8" xfId="5" applyNumberFormat="1" applyFont="1" applyFill="1" applyBorder="1" applyAlignment="1">
      <alignment horizontal="center"/>
    </xf>
    <xf numFmtId="165" fontId="5" fillId="0" borderId="3" xfId="5" applyNumberFormat="1" applyFont="1" applyFill="1" applyBorder="1" applyAlignment="1">
      <alignment horizontal="center"/>
    </xf>
    <xf numFmtId="170" fontId="3" fillId="0" borderId="8" xfId="5" applyNumberFormat="1" applyFont="1" applyFill="1" applyBorder="1" applyAlignment="1">
      <alignment horizontal="right"/>
    </xf>
    <xf numFmtId="170" fontId="3" fillId="0" borderId="0" xfId="5" applyNumberFormat="1" applyFont="1" applyFill="1" applyBorder="1" applyAlignment="1">
      <alignment horizontal="right"/>
    </xf>
    <xf numFmtId="0" fontId="3" fillId="5" borderId="14" xfId="1" applyFont="1" applyFill="1" applyBorder="1" applyAlignment="1">
      <alignment horizontal="center"/>
    </xf>
    <xf numFmtId="0" fontId="3" fillId="5" borderId="17" xfId="1" applyFont="1" applyFill="1" applyBorder="1" applyAlignment="1">
      <alignment horizontal="center"/>
    </xf>
    <xf numFmtId="0" fontId="3" fillId="5" borderId="13" xfId="1" applyFont="1" applyFill="1" applyBorder="1" applyAlignment="1">
      <alignment horizontal="center"/>
    </xf>
    <xf numFmtId="165" fontId="5" fillId="4" borderId="9" xfId="4" applyFont="1" applyFill="1" applyBorder="1" applyAlignment="1">
      <alignment horizontal="center"/>
    </xf>
    <xf numFmtId="165" fontId="5" fillId="4" borderId="12" xfId="4" applyFont="1" applyFill="1" applyBorder="1" applyAlignment="1">
      <alignment horizontal="center"/>
    </xf>
    <xf numFmtId="0" fontId="3" fillId="5" borderId="11" xfId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5" borderId="12" xfId="1" applyFont="1" applyFill="1" applyBorder="1" applyAlignment="1">
      <alignment horizontal="center" vertical="center"/>
    </xf>
    <xf numFmtId="49" fontId="5" fillId="0" borderId="12" xfId="1" applyNumberFormat="1" applyFont="1" applyBorder="1" applyAlignment="1">
      <alignment horizontal="left"/>
    </xf>
    <xf numFmtId="37" fontId="8" fillId="4" borderId="17" xfId="1" applyNumberFormat="1" applyFont="1" applyFill="1" applyBorder="1" applyAlignment="1">
      <alignment horizontal="center" vertical="center"/>
    </xf>
    <xf numFmtId="0" fontId="3" fillId="5" borderId="9" xfId="1" applyFont="1" applyFill="1" applyBorder="1" applyAlignment="1">
      <alignment horizontal="center"/>
    </xf>
    <xf numFmtId="0" fontId="3" fillId="5" borderId="12" xfId="1" applyFont="1" applyFill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0" fontId="3" fillId="5" borderId="10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5" borderId="8" xfId="1" applyFont="1" applyFill="1" applyBorder="1" applyAlignment="1">
      <alignment horizontal="center" vertical="center" wrapText="1"/>
    </xf>
    <xf numFmtId="0" fontId="3" fillId="5" borderId="0" xfId="1" applyFont="1" applyFill="1" applyAlignment="1">
      <alignment horizontal="center" vertical="center" wrapText="1"/>
    </xf>
    <xf numFmtId="170" fontId="5" fillId="4" borderId="9" xfId="5" applyNumberFormat="1" applyFont="1" applyFill="1" applyBorder="1" applyAlignment="1">
      <alignment horizontal="right"/>
    </xf>
    <xf numFmtId="170" fontId="5" fillId="4" borderId="6" xfId="5" applyNumberFormat="1" applyFont="1" applyFill="1" applyBorder="1" applyAlignment="1">
      <alignment horizontal="right"/>
    </xf>
    <xf numFmtId="0" fontId="6" fillId="4" borderId="0" xfId="1" applyFont="1" applyFill="1" applyAlignment="1">
      <alignment horizontal="center"/>
    </xf>
    <xf numFmtId="49" fontId="6" fillId="4" borderId="0" xfId="1" applyNumberFormat="1" applyFont="1" applyFill="1" applyAlignment="1">
      <alignment horizontal="center"/>
    </xf>
    <xf numFmtId="170" fontId="5" fillId="0" borderId="8" xfId="4" applyNumberFormat="1" applyFont="1" applyFill="1" applyBorder="1" applyAlignment="1">
      <alignment horizontal="center"/>
    </xf>
    <xf numFmtId="170" fontId="5" fillId="0" borderId="3" xfId="4" applyNumberFormat="1" applyFont="1" applyFill="1" applyBorder="1" applyAlignment="1">
      <alignment horizontal="center"/>
    </xf>
    <xf numFmtId="49" fontId="3" fillId="5" borderId="9" xfId="1" applyNumberFormat="1" applyFont="1" applyFill="1" applyBorder="1" applyAlignment="1">
      <alignment horizontal="center"/>
    </xf>
    <xf numFmtId="49" fontId="3" fillId="5" borderId="12" xfId="1" applyNumberFormat="1" applyFont="1" applyFill="1" applyBorder="1" applyAlignment="1">
      <alignment horizontal="center"/>
    </xf>
    <xf numFmtId="165" fontId="5" fillId="4" borderId="6" xfId="4" applyFont="1" applyFill="1" applyBorder="1" applyAlignment="1">
      <alignment horizontal="right"/>
    </xf>
    <xf numFmtId="170" fontId="3" fillId="4" borderId="14" xfId="5" applyNumberFormat="1" applyFont="1" applyFill="1" applyBorder="1" applyAlignment="1">
      <alignment horizontal="right"/>
    </xf>
    <xf numFmtId="170" fontId="3" fillId="4" borderId="13" xfId="5" applyNumberFormat="1" applyFont="1" applyFill="1" applyBorder="1" applyAlignment="1">
      <alignment horizontal="right"/>
    </xf>
    <xf numFmtId="165" fontId="5" fillId="4" borderId="0" xfId="4" applyFont="1" applyFill="1" applyBorder="1" applyAlignment="1">
      <alignment horizontal="right"/>
    </xf>
    <xf numFmtId="165" fontId="3" fillId="4" borderId="14" xfId="4" applyFont="1" applyFill="1" applyBorder="1" applyAlignment="1">
      <alignment horizontal="right"/>
    </xf>
    <xf numFmtId="165" fontId="3" fillId="4" borderId="17" xfId="4" applyFont="1" applyFill="1" applyBorder="1" applyAlignment="1">
      <alignment horizontal="right"/>
    </xf>
    <xf numFmtId="164" fontId="5" fillId="4" borderId="8" xfId="5" applyNumberFormat="1" applyFont="1" applyFill="1" applyBorder="1" applyAlignment="1">
      <alignment horizontal="right"/>
    </xf>
    <xf numFmtId="164" fontId="5" fillId="4" borderId="0" xfId="5" applyNumberFormat="1" applyFont="1" applyFill="1" applyBorder="1" applyAlignment="1">
      <alignment horizontal="right"/>
    </xf>
    <xf numFmtId="165" fontId="3" fillId="4" borderId="8" xfId="4" applyFont="1" applyFill="1" applyBorder="1" applyAlignment="1">
      <alignment horizontal="center"/>
    </xf>
    <xf numFmtId="165" fontId="3" fillId="4" borderId="0" xfId="4" applyFont="1" applyFill="1" applyBorder="1" applyAlignment="1">
      <alignment horizontal="center"/>
    </xf>
    <xf numFmtId="165" fontId="4" fillId="3" borderId="14" xfId="4" applyFont="1" applyFill="1" applyBorder="1" applyAlignment="1">
      <alignment horizontal="center"/>
    </xf>
    <xf numFmtId="165" fontId="4" fillId="3" borderId="17" xfId="4" applyFont="1" applyFill="1" applyBorder="1" applyAlignment="1">
      <alignment horizontal="center"/>
    </xf>
    <xf numFmtId="165" fontId="4" fillId="3" borderId="4" xfId="4" applyFont="1" applyFill="1" applyBorder="1" applyAlignment="1">
      <alignment horizontal="center"/>
    </xf>
    <xf numFmtId="165" fontId="3" fillId="4" borderId="8" xfId="4" applyFont="1" applyFill="1" applyBorder="1" applyAlignment="1">
      <alignment horizontal="right"/>
    </xf>
    <xf numFmtId="165" fontId="3" fillId="4" borderId="3" xfId="4" applyFont="1" applyFill="1" applyBorder="1" applyAlignment="1">
      <alignment horizontal="right"/>
    </xf>
    <xf numFmtId="170" fontId="3" fillId="4" borderId="8" xfId="5" applyNumberFormat="1" applyFont="1" applyFill="1" applyBorder="1" applyAlignment="1">
      <alignment horizontal="right"/>
    </xf>
    <xf numFmtId="170" fontId="3" fillId="4" borderId="0" xfId="5" applyNumberFormat="1" applyFont="1" applyFill="1" applyBorder="1" applyAlignment="1">
      <alignment horizontal="right"/>
    </xf>
    <xf numFmtId="165" fontId="5" fillId="4" borderId="8" xfId="4" applyFont="1" applyFill="1" applyBorder="1" applyAlignment="1">
      <alignment horizontal="right"/>
    </xf>
    <xf numFmtId="165" fontId="5" fillId="4" borderId="3" xfId="4" applyFont="1" applyFill="1" applyBorder="1" applyAlignment="1">
      <alignment horizontal="right"/>
    </xf>
    <xf numFmtId="170" fontId="5" fillId="0" borderId="8" xfId="5" applyNumberFormat="1" applyFont="1" applyFill="1" applyBorder="1" applyAlignment="1">
      <alignment horizontal="center"/>
    </xf>
    <xf numFmtId="170" fontId="5" fillId="0" borderId="0" xfId="5" applyNumberFormat="1" applyFont="1" applyFill="1" applyBorder="1" applyAlignment="1">
      <alignment horizontal="center"/>
    </xf>
    <xf numFmtId="49" fontId="5" fillId="0" borderId="3" xfId="1" applyNumberFormat="1" applyFont="1" applyBorder="1" applyAlignment="1">
      <alignment horizontal="left" indent="4"/>
    </xf>
    <xf numFmtId="170" fontId="5" fillId="6" borderId="8" xfId="5" applyNumberFormat="1" applyFont="1" applyFill="1" applyBorder="1" applyAlignment="1">
      <alignment horizontal="center"/>
    </xf>
    <xf numFmtId="170" fontId="5" fillId="6" borderId="0" xfId="5" applyNumberFormat="1" applyFont="1" applyFill="1" applyBorder="1" applyAlignment="1">
      <alignment horizontal="center"/>
    </xf>
    <xf numFmtId="0" fontId="3" fillId="0" borderId="0" xfId="1" applyFont="1" applyAlignment="1">
      <alignment horizontal="left" wrapText="1"/>
    </xf>
    <xf numFmtId="0" fontId="3" fillId="0" borderId="3" xfId="1" applyFont="1" applyBorder="1" applyAlignment="1">
      <alignment horizontal="left" wrapText="1"/>
    </xf>
    <xf numFmtId="165" fontId="3" fillId="4" borderId="10" xfId="4" applyFont="1" applyFill="1" applyBorder="1" applyAlignment="1">
      <alignment horizontal="right"/>
    </xf>
    <xf numFmtId="165" fontId="3" fillId="4" borderId="11" xfId="4" applyFont="1" applyFill="1" applyBorder="1" applyAlignment="1">
      <alignment horizontal="right"/>
    </xf>
    <xf numFmtId="170" fontId="3" fillId="4" borderId="10" xfId="5" applyNumberFormat="1" applyFont="1" applyFill="1" applyBorder="1" applyAlignment="1">
      <alignment horizontal="right"/>
    </xf>
    <xf numFmtId="170" fontId="3" fillId="4" borderId="5" xfId="5" applyNumberFormat="1" applyFont="1" applyFill="1" applyBorder="1" applyAlignment="1">
      <alignment horizontal="right"/>
    </xf>
    <xf numFmtId="49" fontId="3" fillId="5" borderId="1" xfId="1" applyNumberFormat="1" applyFont="1" applyFill="1" applyBorder="1" applyAlignment="1">
      <alignment horizontal="center" vertical="center" wrapText="1"/>
    </xf>
    <xf numFmtId="49" fontId="3" fillId="5" borderId="2" xfId="1" applyNumberFormat="1" applyFont="1" applyFill="1" applyBorder="1" applyAlignment="1">
      <alignment horizontal="center" vertical="center" wrapText="1"/>
    </xf>
    <xf numFmtId="49" fontId="3" fillId="5" borderId="7" xfId="1" applyNumberFormat="1" applyFont="1" applyFill="1" applyBorder="1" applyAlignment="1">
      <alignment horizontal="center" vertical="center" wrapText="1"/>
    </xf>
    <xf numFmtId="0" fontId="3" fillId="5" borderId="14" xfId="1" applyFont="1" applyFill="1" applyBorder="1" applyAlignment="1">
      <alignment horizontal="center" vertical="center"/>
    </xf>
    <xf numFmtId="0" fontId="3" fillId="5" borderId="17" xfId="1" applyFont="1" applyFill="1" applyBorder="1" applyAlignment="1">
      <alignment horizontal="center" vertical="center"/>
    </xf>
    <xf numFmtId="0" fontId="3" fillId="5" borderId="13" xfId="1" applyFont="1" applyFill="1" applyBorder="1" applyAlignment="1">
      <alignment horizontal="center" vertical="center"/>
    </xf>
    <xf numFmtId="49" fontId="3" fillId="5" borderId="10" xfId="1" applyNumberFormat="1" applyFont="1" applyFill="1" applyBorder="1" applyAlignment="1">
      <alignment horizontal="center"/>
    </xf>
    <xf numFmtId="49" fontId="3" fillId="5" borderId="11" xfId="1" applyNumberFormat="1" applyFont="1" applyFill="1" applyBorder="1" applyAlignment="1">
      <alignment horizontal="center"/>
    </xf>
    <xf numFmtId="49" fontId="3" fillId="5" borderId="8" xfId="1" applyNumberFormat="1" applyFont="1" applyFill="1" applyBorder="1" applyAlignment="1">
      <alignment horizontal="center"/>
    </xf>
    <xf numFmtId="49" fontId="3" fillId="5" borderId="0" xfId="1" applyNumberFormat="1" applyFont="1" applyFill="1" applyAlignment="1">
      <alignment horizontal="center"/>
    </xf>
    <xf numFmtId="0" fontId="3" fillId="5" borderId="5" xfId="1" applyFont="1" applyFill="1" applyBorder="1" applyAlignment="1">
      <alignment horizontal="center" vertical="center"/>
    </xf>
    <xf numFmtId="0" fontId="3" fillId="5" borderId="0" xfId="1" applyFont="1" applyFill="1" applyAlignment="1">
      <alignment horizontal="center" vertical="center"/>
    </xf>
    <xf numFmtId="0" fontId="3" fillId="5" borderId="6" xfId="1" applyFont="1" applyFill="1" applyBorder="1" applyAlignment="1">
      <alignment horizontal="center" vertical="center"/>
    </xf>
    <xf numFmtId="49" fontId="3" fillId="5" borderId="5" xfId="1" applyNumberFormat="1" applyFont="1" applyFill="1" applyBorder="1" applyAlignment="1">
      <alignment horizontal="center"/>
    </xf>
    <xf numFmtId="0" fontId="7" fillId="4" borderId="0" xfId="1" applyFont="1" applyFill="1" applyAlignment="1">
      <alignment horizontal="center"/>
    </xf>
    <xf numFmtId="164" fontId="5" fillId="4" borderId="9" xfId="5" applyNumberFormat="1" applyFont="1" applyFill="1" applyBorder="1" applyAlignment="1">
      <alignment horizontal="center"/>
    </xf>
    <xf numFmtId="164" fontId="5" fillId="4" borderId="6" xfId="5" applyNumberFormat="1" applyFont="1" applyFill="1" applyBorder="1" applyAlignment="1">
      <alignment horizontal="center"/>
    </xf>
    <xf numFmtId="170" fontId="3" fillId="0" borderId="14" xfId="5" applyNumberFormat="1" applyFont="1" applyFill="1" applyBorder="1" applyAlignment="1">
      <alignment horizontal="right"/>
    </xf>
    <xf numFmtId="170" fontId="3" fillId="0" borderId="13" xfId="5" applyNumberFormat="1" applyFont="1" applyFill="1" applyBorder="1" applyAlignment="1">
      <alignment horizontal="right"/>
    </xf>
    <xf numFmtId="165" fontId="4" fillId="3" borderId="8" xfId="4" applyFont="1" applyFill="1" applyBorder="1" applyAlignment="1">
      <alignment horizontal="center"/>
    </xf>
    <xf numFmtId="165" fontId="4" fillId="3" borderId="3" xfId="4" applyFont="1" applyFill="1" applyBorder="1" applyAlignment="1">
      <alignment horizontal="center"/>
    </xf>
    <xf numFmtId="165" fontId="4" fillId="3" borderId="0" xfId="4" applyFont="1" applyFill="1" applyBorder="1" applyAlignment="1">
      <alignment horizontal="center"/>
    </xf>
    <xf numFmtId="165" fontId="5" fillId="4" borderId="0" xfId="4" applyFont="1" applyFill="1" applyBorder="1" applyAlignment="1">
      <alignment horizontal="center"/>
    </xf>
    <xf numFmtId="165" fontId="3" fillId="4" borderId="5" xfId="4" applyFont="1" applyFill="1" applyBorder="1" applyAlignment="1">
      <alignment horizontal="right"/>
    </xf>
    <xf numFmtId="165" fontId="3" fillId="4" borderId="0" xfId="4" applyFont="1" applyFill="1" applyBorder="1" applyAlignment="1">
      <alignment horizontal="right"/>
    </xf>
    <xf numFmtId="170" fontId="3" fillId="4" borderId="14" xfId="4" applyNumberFormat="1" applyFont="1" applyFill="1" applyBorder="1" applyAlignment="1">
      <alignment horizontal="center"/>
    </xf>
    <xf numFmtId="170" fontId="3" fillId="4" borderId="13" xfId="4" applyNumberFormat="1" applyFont="1" applyFill="1" applyBorder="1" applyAlignment="1">
      <alignment horizontal="center"/>
    </xf>
    <xf numFmtId="49" fontId="3" fillId="0" borderId="5" xfId="1" applyNumberFormat="1" applyFont="1" applyBorder="1" applyAlignment="1">
      <alignment horizontal="left"/>
    </xf>
    <xf numFmtId="49" fontId="3" fillId="0" borderId="11" xfId="1" applyNumberFormat="1" applyFont="1" applyBorder="1" applyAlignment="1">
      <alignment horizontal="left"/>
    </xf>
    <xf numFmtId="165" fontId="4" fillId="3" borderId="13" xfId="4" applyFont="1" applyFill="1" applyBorder="1" applyAlignment="1">
      <alignment horizontal="center"/>
    </xf>
    <xf numFmtId="170" fontId="5" fillId="0" borderId="14" xfId="4" applyNumberFormat="1" applyFont="1" applyFill="1" applyBorder="1" applyAlignment="1">
      <alignment horizontal="center" wrapText="1"/>
    </xf>
    <xf numFmtId="170" fontId="5" fillId="0" borderId="13" xfId="4" applyNumberFormat="1" applyFont="1" applyFill="1" applyBorder="1" applyAlignment="1">
      <alignment horizontal="center" wrapText="1"/>
    </xf>
    <xf numFmtId="49" fontId="3" fillId="0" borderId="17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left"/>
    </xf>
    <xf numFmtId="170" fontId="3" fillId="4" borderId="10" xfId="5" applyNumberFormat="1" applyFont="1" applyFill="1" applyBorder="1" applyAlignment="1">
      <alignment horizontal="center"/>
    </xf>
    <xf numFmtId="170" fontId="3" fillId="4" borderId="11" xfId="5" applyNumberFormat="1" applyFont="1" applyFill="1" applyBorder="1" applyAlignment="1">
      <alignment horizontal="center"/>
    </xf>
    <xf numFmtId="49" fontId="3" fillId="0" borderId="17" xfId="1" applyNumberFormat="1" applyFont="1" applyBorder="1" applyAlignment="1">
      <alignment horizontal="left"/>
    </xf>
    <xf numFmtId="49" fontId="3" fillId="0" borderId="13" xfId="1" applyNumberFormat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170" fontId="3" fillId="4" borderId="17" xfId="5" applyNumberFormat="1" applyFont="1" applyFill="1" applyBorder="1" applyAlignment="1">
      <alignment horizontal="right"/>
    </xf>
    <xf numFmtId="0" fontId="5" fillId="0" borderId="3" xfId="1" applyFont="1" applyBorder="1" applyAlignment="1">
      <alignment horizontal="left"/>
    </xf>
    <xf numFmtId="164" fontId="5" fillId="4" borderId="3" xfId="5" applyNumberFormat="1" applyFont="1" applyFill="1" applyBorder="1" applyAlignment="1">
      <alignment horizontal="right"/>
    </xf>
    <xf numFmtId="0" fontId="5" fillId="0" borderId="6" xfId="1" applyFont="1" applyBorder="1" applyAlignment="1">
      <alignment horizontal="left"/>
    </xf>
    <xf numFmtId="0" fontId="5" fillId="0" borderId="12" xfId="1" applyFont="1" applyBorder="1" applyAlignment="1">
      <alignment horizontal="left"/>
    </xf>
    <xf numFmtId="164" fontId="5" fillId="4" borderId="9" xfId="5" applyNumberFormat="1" applyFont="1" applyFill="1" applyBorder="1" applyAlignment="1">
      <alignment horizontal="right"/>
    </xf>
    <xf numFmtId="164" fontId="5" fillId="4" borderId="12" xfId="5" applyNumberFormat="1" applyFont="1" applyFill="1" applyBorder="1" applyAlignment="1">
      <alignment horizontal="right"/>
    </xf>
    <xf numFmtId="0" fontId="5" fillId="0" borderId="0" xfId="1" applyFont="1" applyAlignment="1">
      <alignment horizontal="left"/>
    </xf>
    <xf numFmtId="164" fontId="3" fillId="4" borderId="10" xfId="5" applyNumberFormat="1" applyFont="1" applyFill="1" applyBorder="1" applyAlignment="1">
      <alignment horizontal="right"/>
    </xf>
    <xf numFmtId="164" fontId="3" fillId="4" borderId="5" xfId="5" applyNumberFormat="1" applyFont="1" applyFill="1" applyBorder="1" applyAlignment="1">
      <alignment horizontal="right"/>
    </xf>
    <xf numFmtId="0" fontId="3" fillId="0" borderId="3" xfId="1" applyFont="1" applyBorder="1" applyAlignment="1">
      <alignment horizontal="left"/>
    </xf>
    <xf numFmtId="164" fontId="3" fillId="4" borderId="11" xfId="5" applyNumberFormat="1" applyFont="1" applyFill="1" applyBorder="1" applyAlignment="1">
      <alignment horizontal="right"/>
    </xf>
    <xf numFmtId="170" fontId="5" fillId="0" borderId="3" xfId="5" applyNumberFormat="1" applyFont="1" applyFill="1" applyBorder="1" applyAlignment="1">
      <alignment horizontal="center"/>
    </xf>
    <xf numFmtId="170" fontId="3" fillId="4" borderId="14" xfId="5" applyNumberFormat="1" applyFont="1" applyFill="1" applyBorder="1" applyAlignment="1">
      <alignment horizontal="center"/>
    </xf>
    <xf numFmtId="170" fontId="3" fillId="4" borderId="13" xfId="5" applyNumberFormat="1" applyFont="1" applyFill="1" applyBorder="1" applyAlignment="1">
      <alignment horizontal="center"/>
    </xf>
    <xf numFmtId="170" fontId="5" fillId="6" borderId="3" xfId="5" applyNumberFormat="1" applyFont="1" applyFill="1" applyBorder="1" applyAlignment="1">
      <alignment horizontal="center"/>
    </xf>
    <xf numFmtId="170" fontId="5" fillId="6" borderId="8" xfId="5" applyNumberFormat="1" applyFont="1" applyFill="1" applyBorder="1" applyAlignment="1">
      <alignment horizontal="right"/>
    </xf>
    <xf numFmtId="170" fontId="5" fillId="6" borderId="0" xfId="5" applyNumberFormat="1" applyFont="1" applyFill="1" applyBorder="1" applyAlignment="1">
      <alignment horizontal="right"/>
    </xf>
    <xf numFmtId="49" fontId="5" fillId="0" borderId="0" xfId="1" applyNumberFormat="1" applyFont="1" applyAlignment="1">
      <alignment horizontal="left" vertical="top"/>
    </xf>
    <xf numFmtId="49" fontId="5" fillId="0" borderId="3" xfId="1" applyNumberFormat="1" applyFont="1" applyBorder="1" applyAlignment="1">
      <alignment horizontal="left" vertical="top"/>
    </xf>
    <xf numFmtId="0" fontId="3" fillId="0" borderId="5" xfId="1" applyFont="1" applyBorder="1" applyAlignment="1">
      <alignment horizontal="left"/>
    </xf>
    <xf numFmtId="0" fontId="5" fillId="0" borderId="11" xfId="1" applyFont="1" applyBorder="1" applyAlignment="1">
      <alignment horizontal="left"/>
    </xf>
    <xf numFmtId="170" fontId="5" fillId="4" borderId="8" xfId="4" applyNumberFormat="1" applyFont="1" applyFill="1" applyBorder="1" applyAlignment="1">
      <alignment horizontal="center"/>
    </xf>
    <xf numFmtId="170" fontId="5" fillId="4" borderId="3" xfId="4" applyNumberFormat="1" applyFont="1" applyFill="1" applyBorder="1" applyAlignment="1">
      <alignment horizontal="center"/>
    </xf>
    <xf numFmtId="170" fontId="5" fillId="4" borderId="8" xfId="4" applyNumberFormat="1" applyFont="1" applyFill="1" applyBorder="1" applyAlignment="1">
      <alignment horizontal="right"/>
    </xf>
    <xf numFmtId="170" fontId="5" fillId="4" borderId="3" xfId="4" applyNumberFormat="1" applyFont="1" applyFill="1" applyBorder="1" applyAlignment="1">
      <alignment horizontal="right"/>
    </xf>
    <xf numFmtId="170" fontId="3" fillId="4" borderId="10" xfId="4" applyNumberFormat="1" applyFont="1" applyFill="1" applyBorder="1" applyAlignment="1">
      <alignment horizontal="right"/>
    </xf>
    <xf numFmtId="170" fontId="3" fillId="4" borderId="11" xfId="4" applyNumberFormat="1" applyFont="1" applyFill="1" applyBorder="1" applyAlignment="1">
      <alignment horizontal="right"/>
    </xf>
    <xf numFmtId="0" fontId="6" fillId="0" borderId="0" xfId="1" applyFont="1" applyAlignment="1">
      <alignment horizontal="center"/>
    </xf>
    <xf numFmtId="49" fontId="6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49" fontId="3" fillId="5" borderId="6" xfId="1" applyNumberFormat="1" applyFont="1" applyFill="1" applyBorder="1" applyAlignment="1">
      <alignment horizontal="center"/>
    </xf>
    <xf numFmtId="170" fontId="3" fillId="4" borderId="8" xfId="4" applyNumberFormat="1" applyFont="1" applyFill="1" applyBorder="1" applyAlignment="1">
      <alignment horizontal="right"/>
    </xf>
    <xf numFmtId="170" fontId="3" fillId="4" borderId="3" xfId="4" applyNumberFormat="1" applyFont="1" applyFill="1" applyBorder="1" applyAlignment="1">
      <alignment horizontal="right"/>
    </xf>
    <xf numFmtId="0" fontId="5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5" fillId="4" borderId="0" xfId="1" applyFont="1" applyFill="1" applyAlignment="1">
      <alignment horizontal="center" vertical="center"/>
    </xf>
    <xf numFmtId="0" fontId="8" fillId="4" borderId="0" xfId="1" applyFont="1" applyFill="1" applyAlignment="1">
      <alignment horizontal="left" vertical="center" wrapText="1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3" fontId="5" fillId="0" borderId="0" xfId="1" applyNumberFormat="1" applyFont="1" applyAlignment="1">
      <alignment horizontal="center"/>
    </xf>
    <xf numFmtId="43" fontId="5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5" fillId="0" borderId="0" xfId="1" applyFont="1" applyFill="1"/>
    <xf numFmtId="0" fontId="5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vertical="center" wrapText="1"/>
    </xf>
    <xf numFmtId="0" fontId="12" fillId="0" borderId="0" xfId="1" applyFont="1" applyFill="1" applyAlignment="1">
      <alignment horizontal="center" vertical="center" wrapText="1"/>
    </xf>
    <xf numFmtId="43" fontId="5" fillId="0" borderId="0" xfId="1" applyNumberFormat="1" applyFont="1" applyFill="1"/>
    <xf numFmtId="164" fontId="5" fillId="0" borderId="0" xfId="1" applyNumberFormat="1" applyFont="1" applyFill="1"/>
    <xf numFmtId="164" fontId="5" fillId="0" borderId="0" xfId="1" applyNumberFormat="1" applyFont="1" applyFill="1" applyAlignment="1">
      <alignment horizontal="center" wrapText="1"/>
    </xf>
    <xf numFmtId="164" fontId="5" fillId="0" borderId="0" xfId="1" applyNumberFormat="1" applyFont="1" applyFill="1" applyAlignment="1">
      <alignment wrapText="1"/>
    </xf>
    <xf numFmtId="37" fontId="4" fillId="0" borderId="0" xfId="1" applyNumberFormat="1" applyFont="1" applyFill="1" applyAlignment="1">
      <alignment horizontal="center"/>
    </xf>
    <xf numFmtId="3" fontId="5" fillId="0" borderId="0" xfId="1" applyNumberFormat="1" applyFont="1" applyFill="1"/>
    <xf numFmtId="0" fontId="4" fillId="0" borderId="0" xfId="1" applyFont="1" applyFill="1"/>
    <xf numFmtId="0" fontId="13" fillId="0" borderId="0" xfId="1" applyFont="1" applyFill="1" applyAlignment="1">
      <alignment horizontal="center"/>
    </xf>
  </cellXfs>
  <cellStyles count="6">
    <cellStyle name="Normal" xfId="0" builtinId="0"/>
    <cellStyle name="Normal 2" xfId="1" xr:uid="{7DC7437E-AFEA-4D2D-BCDA-67A123371F2E}"/>
    <cellStyle name="Normal 3" xfId="2" xr:uid="{4D720C84-AD1F-4EF3-9F41-6557CA8AB57F}"/>
    <cellStyle name="Separador de milhares 2" xfId="3" xr:uid="{E4026764-3058-4FF7-988A-FE4878B2AF06}"/>
    <cellStyle name="Vírgula" xfId="4" builtinId="3"/>
    <cellStyle name="Vírgula 2" xfId="5" xr:uid="{6C78A4FB-A38D-4961-8F05-FB933A61F88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1036108</xdr:colOff>
      <xdr:row>0</xdr:row>
      <xdr:rowOff>93134</xdr:rowOff>
    </xdr:from>
    <xdr:to>
      <xdr:col>4</xdr:col>
      <xdr:colOff>185209</xdr:colOff>
      <xdr:row>4</xdr:row>
      <xdr:rowOff>112184</xdr:rowOff>
    </xdr:to>
    <xdr:pic>
      <xdr:nvPicPr>
        <xdr:cNvPr id="17879" name="Picture 2">
          <a:extLst>
            <a:ext uri="{FF2B5EF4-FFF2-40B4-BE49-F238E27FC236}">
              <a16:creationId xmlns:a16="http://schemas.microsoft.com/office/drawing/2014/main" id="{3C0A24B0-A803-AFAF-6A99-229915D1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8191" y="93134"/>
          <a:ext cx="630768" cy="664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1047743</xdr:colOff>
      <xdr:row>128</xdr:row>
      <xdr:rowOff>66673</xdr:rowOff>
    </xdr:from>
    <xdr:to>
      <xdr:col>4</xdr:col>
      <xdr:colOff>196844</xdr:colOff>
      <xdr:row>131</xdr:row>
      <xdr:rowOff>180974</xdr:rowOff>
    </xdr:to>
    <xdr:pic>
      <xdr:nvPicPr>
        <xdr:cNvPr id="17880" name="Picture 2">
          <a:extLst>
            <a:ext uri="{FF2B5EF4-FFF2-40B4-BE49-F238E27FC236}">
              <a16:creationId xmlns:a16="http://schemas.microsoft.com/office/drawing/2014/main" id="{BFAE82D0-3992-7440-50E4-450C6D66F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9826" y="25085673"/>
          <a:ext cx="630768" cy="6646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F35F8-6A3D-47EB-925D-A8FAA698123D}">
  <sheetPr>
    <pageSetUpPr fitToPage="1"/>
  </sheetPr>
  <dimension ref="A4:T252"/>
  <sheetViews>
    <sheetView showGridLines="0" tabSelected="1" topLeftCell="A161" zoomScale="90" zoomScaleNormal="90" zoomScaleSheetLayoutView="70" workbookViewId="0">
      <selection activeCell="N198" sqref="M198:P207"/>
    </sheetView>
  </sheetViews>
  <sheetFormatPr defaultColWidth="9.140625" defaultRowHeight="11.25" customHeight="1" x14ac:dyDescent="0.2"/>
  <cols>
    <col min="1" max="1" width="79.7109375" style="2" customWidth="1"/>
    <col min="2" max="2" width="20.85546875" style="2" customWidth="1"/>
    <col min="3" max="3" width="22.5703125" style="2" bestFit="1" customWidth="1"/>
    <col min="4" max="4" width="22.28515625" style="2" bestFit="1" customWidth="1"/>
    <col min="5" max="5" width="23.42578125" style="2" bestFit="1" customWidth="1"/>
    <col min="6" max="6" width="22.140625" style="2" customWidth="1"/>
    <col min="7" max="7" width="21.28515625" style="2" customWidth="1"/>
    <col min="8" max="8" width="12.85546875" style="2" bestFit="1" customWidth="1"/>
    <col min="9" max="9" width="13.5703125" style="2" bestFit="1" customWidth="1"/>
    <col min="10" max="10" width="22.5703125" style="2" bestFit="1" customWidth="1"/>
    <col min="11" max="11" width="6.42578125" style="2" customWidth="1"/>
    <col min="12" max="12" width="23.140625" style="2" bestFit="1" customWidth="1"/>
    <col min="13" max="13" width="5" style="2" customWidth="1"/>
    <col min="14" max="14" width="18.5703125" style="2" customWidth="1"/>
    <col min="15" max="15" width="6.5703125" style="2" customWidth="1"/>
    <col min="16" max="16" width="16.42578125" style="2" customWidth="1"/>
    <col min="17" max="17" width="15.42578125" style="2" customWidth="1"/>
    <col min="18" max="18" width="22" style="2" customWidth="1"/>
    <col min="19" max="19" width="13.42578125" style="2" customWidth="1"/>
    <col min="20" max="16384" width="9.140625" style="2"/>
  </cols>
  <sheetData>
    <row r="4" spans="1:12" ht="15.75" x14ac:dyDescent="0.25">
      <c r="A4" s="1"/>
    </row>
    <row r="5" spans="1:12" s="3" customFormat="1" ht="11.25" customHeight="1" x14ac:dyDescent="0.25">
      <c r="A5" s="1"/>
    </row>
    <row r="6" spans="1:12" s="4" customFormat="1" ht="15.75" customHeight="1" x14ac:dyDescent="0.25">
      <c r="A6" s="311" t="s">
        <v>0</v>
      </c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</row>
    <row r="7" spans="1:12" s="4" customFormat="1" ht="15.75" customHeight="1" x14ac:dyDescent="0.25">
      <c r="A7" s="312" t="s">
        <v>1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2"/>
    </row>
    <row r="8" spans="1:12" s="4" customFormat="1" ht="15.75" customHeight="1" x14ac:dyDescent="0.25">
      <c r="A8" s="313" t="s">
        <v>2</v>
      </c>
      <c r="B8" s="313"/>
      <c r="C8" s="313"/>
      <c r="D8" s="313"/>
      <c r="E8" s="313"/>
      <c r="F8" s="313"/>
      <c r="G8" s="313"/>
      <c r="H8" s="313"/>
      <c r="I8" s="313"/>
      <c r="J8" s="313"/>
      <c r="K8" s="313"/>
      <c r="L8" s="313"/>
    </row>
    <row r="9" spans="1:12" s="4" customFormat="1" ht="15.75" customHeight="1" x14ac:dyDescent="0.25">
      <c r="A9" s="311" t="s">
        <v>3</v>
      </c>
      <c r="B9" s="311"/>
      <c r="C9" s="311"/>
      <c r="D9" s="311"/>
      <c r="E9" s="311"/>
      <c r="F9" s="311"/>
      <c r="G9" s="311"/>
      <c r="H9" s="311"/>
      <c r="I9" s="311"/>
      <c r="J9" s="311"/>
      <c r="K9" s="311"/>
      <c r="L9" s="311"/>
    </row>
    <row r="10" spans="1:12" s="4" customFormat="1" ht="16.5" x14ac:dyDescent="0.25">
      <c r="A10" s="209" t="s">
        <v>159</v>
      </c>
      <c r="B10" s="209"/>
      <c r="C10" s="209"/>
      <c r="D10" s="209"/>
      <c r="E10" s="209"/>
      <c r="F10" s="209"/>
      <c r="G10" s="209"/>
      <c r="H10" s="209"/>
      <c r="I10" s="209"/>
      <c r="J10" s="209"/>
      <c r="K10" s="209"/>
      <c r="L10" s="209"/>
    </row>
    <row r="11" spans="1:12" s="4" customFormat="1" ht="16.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3" customFormat="1" ht="15.75" x14ac:dyDescent="0.25">
      <c r="A12" s="6"/>
      <c r="B12" s="6"/>
      <c r="C12" s="6"/>
      <c r="D12" s="6"/>
      <c r="E12" s="6"/>
      <c r="F12" s="6"/>
      <c r="G12" s="6"/>
      <c r="H12" s="6"/>
      <c r="I12" s="7"/>
      <c r="J12" s="7"/>
      <c r="K12" s="7"/>
      <c r="L12" s="81" t="s">
        <v>160</v>
      </c>
    </row>
    <row r="13" spans="1:12" s="3" customFormat="1" ht="15.75" x14ac:dyDescent="0.25">
      <c r="A13" s="8" t="s">
        <v>4</v>
      </c>
      <c r="E13" s="9"/>
      <c r="H13" s="10"/>
      <c r="I13" s="7"/>
      <c r="J13" s="11"/>
      <c r="L13" s="11">
        <v>1</v>
      </c>
    </row>
    <row r="14" spans="1:12" s="3" customFormat="1" ht="20.25" customHeight="1" x14ac:dyDescent="0.25">
      <c r="A14" s="254" t="s">
        <v>5</v>
      </c>
      <c r="B14" s="194"/>
      <c r="C14" s="244" t="s">
        <v>6</v>
      </c>
      <c r="D14" s="62" t="s">
        <v>7</v>
      </c>
      <c r="E14" s="247" t="s">
        <v>8</v>
      </c>
      <c r="F14" s="248"/>
      <c r="G14" s="248"/>
      <c r="H14" s="248"/>
      <c r="I14" s="249"/>
      <c r="J14" s="250" t="s">
        <v>9</v>
      </c>
      <c r="K14" s="257"/>
      <c r="L14" s="257"/>
    </row>
    <row r="15" spans="1:12" s="3" customFormat="1" ht="15.75" customHeight="1" x14ac:dyDescent="0.25">
      <c r="A15" s="255"/>
      <c r="B15" s="195"/>
      <c r="C15" s="245"/>
      <c r="D15" s="63" t="s">
        <v>10</v>
      </c>
      <c r="E15" s="62" t="s">
        <v>11</v>
      </c>
      <c r="F15" s="64" t="s">
        <v>12</v>
      </c>
      <c r="G15" s="250" t="s">
        <v>13</v>
      </c>
      <c r="H15" s="251"/>
      <c r="I15" s="64" t="s">
        <v>12</v>
      </c>
      <c r="J15" s="252"/>
      <c r="K15" s="253"/>
      <c r="L15" s="253"/>
    </row>
    <row r="16" spans="1:12" s="3" customFormat="1" ht="16.5" customHeight="1" x14ac:dyDescent="0.25">
      <c r="A16" s="256"/>
      <c r="B16" s="196"/>
      <c r="C16" s="246"/>
      <c r="D16" s="65" t="s">
        <v>14</v>
      </c>
      <c r="E16" s="65" t="s">
        <v>15</v>
      </c>
      <c r="F16" s="65" t="s">
        <v>16</v>
      </c>
      <c r="G16" s="212" t="s">
        <v>17</v>
      </c>
      <c r="H16" s="213"/>
      <c r="I16" s="65" t="s">
        <v>18</v>
      </c>
      <c r="J16" s="212" t="s">
        <v>19</v>
      </c>
      <c r="K16" s="314"/>
      <c r="L16" s="314"/>
    </row>
    <row r="17" spans="1:13" s="3" customFormat="1" ht="15.95" customHeight="1" x14ac:dyDescent="0.25">
      <c r="A17" s="238" t="s">
        <v>20</v>
      </c>
      <c r="B17" s="239"/>
      <c r="C17" s="83">
        <f>C18+C58</f>
        <v>99181250740</v>
      </c>
      <c r="D17" s="84">
        <f>D18+D58</f>
        <v>113531550356.64999</v>
      </c>
      <c r="E17" s="85">
        <f>E18+E58</f>
        <v>21037585890.889999</v>
      </c>
      <c r="F17" s="14">
        <f>(E17/D17)*100</f>
        <v>18.530167010669864</v>
      </c>
      <c r="G17" s="309">
        <f>G18+G58</f>
        <v>57772061284.540001</v>
      </c>
      <c r="H17" s="310"/>
      <c r="I17" s="14">
        <f>(G17/D17)*100</f>
        <v>50.88634930383126</v>
      </c>
      <c r="J17" s="242">
        <f>D17-G17</f>
        <v>55759489072.109993</v>
      </c>
      <c r="K17" s="243"/>
      <c r="L17" s="243"/>
      <c r="M17" s="15"/>
    </row>
    <row r="18" spans="1:13" s="3" customFormat="1" ht="15.95" customHeight="1" x14ac:dyDescent="0.25">
      <c r="A18" s="171" t="s">
        <v>21</v>
      </c>
      <c r="B18" s="171"/>
      <c r="C18" s="86">
        <f>C19+C23+C28+C36+C37+C38+C44+C52</f>
        <v>98610251563</v>
      </c>
      <c r="D18" s="87">
        <f>D19+D23+D28+D36+D37+D38+D44+D52</f>
        <v>112017381095.06999</v>
      </c>
      <c r="E18" s="85">
        <f>E19+E23+E28+E36+E37+E38+E44+E52</f>
        <v>20845170050.02</v>
      </c>
      <c r="F18" s="16">
        <f t="shared" ref="F18:F77" si="0">(E18/D18)*100</f>
        <v>18.60887109325342</v>
      </c>
      <c r="G18" s="315">
        <f>G19+G23+G28+G36+G37+G38+G44+G52</f>
        <v>56684755511.910004</v>
      </c>
      <c r="H18" s="316"/>
      <c r="I18" s="16">
        <f t="shared" ref="I18:I77" si="1">(G18/D18)*100</f>
        <v>50.603535770757958</v>
      </c>
      <c r="J18" s="229">
        <f t="shared" ref="J18:J81" si="2">D18-G18</f>
        <v>55332625583.159988</v>
      </c>
      <c r="K18" s="230"/>
      <c r="L18" s="230"/>
      <c r="M18" s="17"/>
    </row>
    <row r="19" spans="1:13" s="3" customFormat="1" ht="15.95" customHeight="1" x14ac:dyDescent="0.25">
      <c r="A19" s="161" t="s">
        <v>22</v>
      </c>
      <c r="B19" s="161"/>
      <c r="C19" s="88">
        <f>C20+C21+C22</f>
        <v>56518110636</v>
      </c>
      <c r="D19" s="82">
        <f>D20+D21+D22</f>
        <v>58948082510.959999</v>
      </c>
      <c r="E19" s="89">
        <f>E20+E21+E22</f>
        <v>9769093915.5700016</v>
      </c>
      <c r="F19" s="21">
        <f t="shared" si="0"/>
        <v>16.572369277242682</v>
      </c>
      <c r="G19" s="307">
        <f>G20+G21+H22</f>
        <v>31259256513.880001</v>
      </c>
      <c r="H19" s="308" t="e">
        <f>G20+G21+#REF!</f>
        <v>#REF!</v>
      </c>
      <c r="I19" s="21">
        <f t="shared" si="1"/>
        <v>53.028453483738133</v>
      </c>
      <c r="J19" s="164">
        <f t="shared" si="2"/>
        <v>27688825997.079998</v>
      </c>
      <c r="K19" s="165"/>
      <c r="L19" s="165"/>
      <c r="M19" s="17"/>
    </row>
    <row r="20" spans="1:13" s="3" customFormat="1" ht="15.95" customHeight="1" x14ac:dyDescent="0.25">
      <c r="A20" s="161" t="s">
        <v>23</v>
      </c>
      <c r="B20" s="161"/>
      <c r="C20" s="88">
        <v>51544071130</v>
      </c>
      <c r="D20" s="82">
        <v>53952867433.089996</v>
      </c>
      <c r="E20" s="89">
        <f>G20-19520126997.32</f>
        <v>8995792853.6500015</v>
      </c>
      <c r="F20" s="21">
        <f t="shared" si="0"/>
        <v>16.673428645486162</v>
      </c>
      <c r="G20" s="305">
        <v>28515919850.970001</v>
      </c>
      <c r="H20" s="306"/>
      <c r="I20" s="21">
        <f t="shared" si="1"/>
        <v>52.853390760619369</v>
      </c>
      <c r="J20" s="164">
        <f t="shared" si="2"/>
        <v>25436947582.119995</v>
      </c>
      <c r="K20" s="165"/>
      <c r="L20" s="165"/>
    </row>
    <row r="21" spans="1:13" s="3" customFormat="1" ht="15.95" customHeight="1" x14ac:dyDescent="0.25">
      <c r="A21" s="161" t="s">
        <v>24</v>
      </c>
      <c r="B21" s="161"/>
      <c r="C21" s="88">
        <v>4974039506</v>
      </c>
      <c r="D21" s="82">
        <v>4995215077.8699999</v>
      </c>
      <c r="E21" s="89">
        <f>G21-1970035600.99</f>
        <v>773301061.91999984</v>
      </c>
      <c r="F21" s="21">
        <f t="shared" si="0"/>
        <v>15.480836157504186</v>
      </c>
      <c r="G21" s="305">
        <v>2743336662.9099998</v>
      </c>
      <c r="H21" s="306"/>
      <c r="I21" s="21">
        <f t="shared" si="1"/>
        <v>54.919290163573507</v>
      </c>
      <c r="J21" s="164">
        <f t="shared" si="2"/>
        <v>2251878414.96</v>
      </c>
      <c r="K21" s="165"/>
      <c r="L21" s="165"/>
    </row>
    <row r="22" spans="1:13" s="3" customFormat="1" ht="15.95" customHeight="1" x14ac:dyDescent="0.25">
      <c r="A22" s="235" t="s">
        <v>158</v>
      </c>
      <c r="B22" s="235"/>
      <c r="C22" s="88">
        <v>0</v>
      </c>
      <c r="D22" s="82">
        <v>0</v>
      </c>
      <c r="E22" s="89">
        <f>G22-0</f>
        <v>0</v>
      </c>
      <c r="F22" s="21">
        <v>0</v>
      </c>
      <c r="G22" s="307">
        <v>0</v>
      </c>
      <c r="H22" s="308"/>
      <c r="I22" s="21">
        <v>0</v>
      </c>
      <c r="J22" s="164">
        <f t="shared" si="2"/>
        <v>0</v>
      </c>
      <c r="K22" s="165"/>
      <c r="L22" s="165"/>
    </row>
    <row r="23" spans="1:13" s="3" customFormat="1" ht="17.25" customHeight="1" x14ac:dyDescent="0.25">
      <c r="A23" s="161" t="s">
        <v>26</v>
      </c>
      <c r="B23" s="161"/>
      <c r="C23" s="88">
        <f>C25+C24+C26+C27</f>
        <v>4830461800</v>
      </c>
      <c r="D23" s="82">
        <f>D25+D24+D26+D27</f>
        <v>4974890114.5200005</v>
      </c>
      <c r="E23" s="89">
        <f>E25+E24+E26+E27</f>
        <v>702881535.09000015</v>
      </c>
      <c r="F23" s="21">
        <f t="shared" si="0"/>
        <v>14.128584127688161</v>
      </c>
      <c r="G23" s="307">
        <f>SUM(G24:H27)</f>
        <v>2119813556.9100001</v>
      </c>
      <c r="H23" s="308"/>
      <c r="I23" s="21">
        <f t="shared" si="1"/>
        <v>42.610258882361848</v>
      </c>
      <c r="J23" s="164">
        <f t="shared" si="2"/>
        <v>2855076557.6100006</v>
      </c>
      <c r="K23" s="165"/>
      <c r="L23" s="165"/>
      <c r="M23" s="17"/>
    </row>
    <row r="24" spans="1:13" s="3" customFormat="1" ht="15.95" customHeight="1" x14ac:dyDescent="0.25">
      <c r="A24" s="161" t="s">
        <v>27</v>
      </c>
      <c r="B24" s="161"/>
      <c r="C24" s="88">
        <v>4830461800</v>
      </c>
      <c r="D24" s="82">
        <v>4974890114.5200005</v>
      </c>
      <c r="E24" s="89">
        <f>G24-1416932021.82</f>
        <v>702881535.09000015</v>
      </c>
      <c r="F24" s="21">
        <f t="shared" si="0"/>
        <v>14.128584127688161</v>
      </c>
      <c r="G24" s="305">
        <v>2119813556.9100001</v>
      </c>
      <c r="H24" s="306"/>
      <c r="I24" s="21">
        <f t="shared" si="1"/>
        <v>42.610258882361848</v>
      </c>
      <c r="J24" s="164">
        <f t="shared" si="2"/>
        <v>2855076557.6100006</v>
      </c>
      <c r="K24" s="165"/>
      <c r="L24" s="165"/>
    </row>
    <row r="25" spans="1:13" s="3" customFormat="1" ht="15.95" customHeight="1" x14ac:dyDescent="0.25">
      <c r="A25" s="161" t="s">
        <v>28</v>
      </c>
      <c r="B25" s="161"/>
      <c r="C25" s="88">
        <v>0</v>
      </c>
      <c r="D25" s="82">
        <v>0</v>
      </c>
      <c r="E25" s="89">
        <f>G25</f>
        <v>0</v>
      </c>
      <c r="F25" s="21">
        <v>0</v>
      </c>
      <c r="G25" s="307">
        <v>0</v>
      </c>
      <c r="H25" s="308"/>
      <c r="I25" s="21">
        <v>0</v>
      </c>
      <c r="J25" s="164">
        <f t="shared" si="2"/>
        <v>0</v>
      </c>
      <c r="K25" s="165"/>
      <c r="L25" s="165"/>
    </row>
    <row r="26" spans="1:13" s="3" customFormat="1" ht="15.95" customHeight="1" x14ac:dyDescent="0.25">
      <c r="A26" s="161" t="s">
        <v>29</v>
      </c>
      <c r="B26" s="161"/>
      <c r="C26" s="88">
        <v>0</v>
      </c>
      <c r="D26" s="82">
        <v>0</v>
      </c>
      <c r="E26" s="89">
        <f>G26</f>
        <v>0</v>
      </c>
      <c r="F26" s="21">
        <v>0</v>
      </c>
      <c r="G26" s="307">
        <v>0</v>
      </c>
      <c r="H26" s="308"/>
      <c r="I26" s="21">
        <v>0</v>
      </c>
      <c r="J26" s="172">
        <f t="shared" si="2"/>
        <v>0</v>
      </c>
      <c r="K26" s="173"/>
      <c r="L26" s="173"/>
    </row>
    <row r="27" spans="1:13" s="3" customFormat="1" ht="15.95" customHeight="1" x14ac:dyDescent="0.25">
      <c r="A27" s="161" t="s">
        <v>30</v>
      </c>
      <c r="B27" s="161"/>
      <c r="C27" s="88">
        <v>0</v>
      </c>
      <c r="D27" s="82">
        <v>0</v>
      </c>
      <c r="E27" s="89">
        <f>G27</f>
        <v>0</v>
      </c>
      <c r="F27" s="21">
        <v>0</v>
      </c>
      <c r="G27" s="307">
        <v>0</v>
      </c>
      <c r="H27" s="308"/>
      <c r="I27" s="21">
        <v>0</v>
      </c>
      <c r="J27" s="172">
        <f t="shared" si="2"/>
        <v>0</v>
      </c>
      <c r="K27" s="173"/>
      <c r="L27" s="173"/>
    </row>
    <row r="28" spans="1:13" s="3" customFormat="1" ht="15.95" customHeight="1" x14ac:dyDescent="0.25">
      <c r="A28" s="161" t="s">
        <v>31</v>
      </c>
      <c r="B28" s="161"/>
      <c r="C28" s="88">
        <f>SUM(C29:C35)</f>
        <v>23206351590</v>
      </c>
      <c r="D28" s="82">
        <f>SUM(D29:D35)</f>
        <v>33464313179.269997</v>
      </c>
      <c r="E28" s="89">
        <f>SUM(E29:E35)</f>
        <v>7563339474.75</v>
      </c>
      <c r="F28" s="21">
        <f t="shared" si="0"/>
        <v>22.601209336742734</v>
      </c>
      <c r="G28" s="307">
        <f>SUM(G29:H35)</f>
        <v>15546984025.970001</v>
      </c>
      <c r="H28" s="308">
        <f>SUM(H29:H35)</f>
        <v>0</v>
      </c>
      <c r="I28" s="21">
        <f t="shared" si="1"/>
        <v>46.458398660937796</v>
      </c>
      <c r="J28" s="164">
        <f t="shared" si="2"/>
        <v>17917329153.299995</v>
      </c>
      <c r="K28" s="165"/>
      <c r="L28" s="165"/>
      <c r="M28" s="17"/>
    </row>
    <row r="29" spans="1:13" s="3" customFormat="1" ht="15.95" customHeight="1" x14ac:dyDescent="0.25">
      <c r="A29" s="161" t="s">
        <v>32</v>
      </c>
      <c r="B29" s="161"/>
      <c r="C29" s="88">
        <v>98352309</v>
      </c>
      <c r="D29" s="82">
        <v>83534051.159999996</v>
      </c>
      <c r="E29" s="89">
        <f>G29-27352724.93</f>
        <v>14806441.270000003</v>
      </c>
      <c r="F29" s="21">
        <f t="shared" si="0"/>
        <v>17.72503675374243</v>
      </c>
      <c r="G29" s="305">
        <v>42159166.200000003</v>
      </c>
      <c r="H29" s="306"/>
      <c r="I29" s="21">
        <f t="shared" si="1"/>
        <v>50.469438048980649</v>
      </c>
      <c r="J29" s="164">
        <f t="shared" si="2"/>
        <v>41374884.959999993</v>
      </c>
      <c r="K29" s="165"/>
      <c r="L29" s="165"/>
    </row>
    <row r="30" spans="1:13" s="3" customFormat="1" ht="15.95" customHeight="1" x14ac:dyDescent="0.25">
      <c r="A30" s="161" t="s">
        <v>33</v>
      </c>
      <c r="B30" s="161"/>
      <c r="C30" s="88">
        <v>3085533699</v>
      </c>
      <c r="D30" s="82">
        <v>4161525348.8400002</v>
      </c>
      <c r="E30" s="89">
        <f>G30-1687522798.73</f>
        <v>789833422.48999977</v>
      </c>
      <c r="F30" s="21">
        <f t="shared" si="0"/>
        <v>18.979421156479585</v>
      </c>
      <c r="G30" s="305">
        <v>2477356221.2199998</v>
      </c>
      <c r="H30" s="306"/>
      <c r="I30" s="21">
        <f t="shared" si="1"/>
        <v>59.530004350701546</v>
      </c>
      <c r="J30" s="164">
        <f t="shared" si="2"/>
        <v>1684169127.6200004</v>
      </c>
      <c r="K30" s="165"/>
      <c r="L30" s="165"/>
    </row>
    <row r="31" spans="1:13" s="3" customFormat="1" ht="15.95" customHeight="1" x14ac:dyDescent="0.25">
      <c r="A31" s="161" t="s">
        <v>34</v>
      </c>
      <c r="B31" s="161"/>
      <c r="C31" s="88">
        <v>48061302</v>
      </c>
      <c r="D31" s="82">
        <v>53640338.850000001</v>
      </c>
      <c r="E31" s="89">
        <f>G31-20319332.2</f>
        <v>4596906.6900000013</v>
      </c>
      <c r="F31" s="21">
        <f t="shared" si="0"/>
        <v>8.5698688497378903</v>
      </c>
      <c r="G31" s="305">
        <v>24916238.890000001</v>
      </c>
      <c r="H31" s="306"/>
      <c r="I31" s="21">
        <f t="shared" si="1"/>
        <v>46.450562066126842</v>
      </c>
      <c r="J31" s="164">
        <f t="shared" si="2"/>
        <v>28724099.960000001</v>
      </c>
      <c r="K31" s="165"/>
      <c r="L31" s="165"/>
    </row>
    <row r="32" spans="1:13" s="3" customFormat="1" ht="15.95" customHeight="1" x14ac:dyDescent="0.25">
      <c r="A32" s="161" t="s">
        <v>35</v>
      </c>
      <c r="B32" s="161"/>
      <c r="C32" s="88">
        <v>155654242</v>
      </c>
      <c r="D32" s="82">
        <v>157961944.49000001</v>
      </c>
      <c r="E32" s="89">
        <f>G32-52281400.64</f>
        <v>26910366.920000002</v>
      </c>
      <c r="F32" s="21">
        <f t="shared" si="0"/>
        <v>17.035981043968217</v>
      </c>
      <c r="G32" s="305">
        <v>79191767.560000002</v>
      </c>
      <c r="H32" s="306"/>
      <c r="I32" s="21">
        <f t="shared" si="1"/>
        <v>50.133446898036468</v>
      </c>
      <c r="J32" s="164">
        <f t="shared" si="2"/>
        <v>78770176.930000007</v>
      </c>
      <c r="K32" s="165"/>
      <c r="L32" s="165"/>
    </row>
    <row r="33" spans="1:13" s="3" customFormat="1" ht="15.95" customHeight="1" x14ac:dyDescent="0.25">
      <c r="A33" s="161" t="s">
        <v>36</v>
      </c>
      <c r="B33" s="161"/>
      <c r="C33" s="88">
        <v>0</v>
      </c>
      <c r="D33" s="82">
        <v>0</v>
      </c>
      <c r="E33" s="89">
        <f>G33</f>
        <v>0</v>
      </c>
      <c r="F33" s="21">
        <v>0</v>
      </c>
      <c r="G33" s="305">
        <v>0</v>
      </c>
      <c r="H33" s="306"/>
      <c r="I33" s="21">
        <v>0</v>
      </c>
      <c r="J33" s="164">
        <f t="shared" si="2"/>
        <v>0</v>
      </c>
      <c r="K33" s="165"/>
      <c r="L33" s="165"/>
    </row>
    <row r="34" spans="1:13" s="3" customFormat="1" ht="15.95" customHeight="1" x14ac:dyDescent="0.25">
      <c r="A34" s="161" t="s">
        <v>37</v>
      </c>
      <c r="B34" s="161"/>
      <c r="C34" s="88">
        <v>0</v>
      </c>
      <c r="D34" s="82">
        <v>47193683.920000002</v>
      </c>
      <c r="E34" s="89">
        <f>G34-30306820.51</f>
        <v>2065239.6399999969</v>
      </c>
      <c r="F34" s="21">
        <f t="shared" si="0"/>
        <v>4.3760932999018927</v>
      </c>
      <c r="G34" s="305">
        <v>32372060.149999999</v>
      </c>
      <c r="H34" s="306"/>
      <c r="I34" s="21">
        <f t="shared" si="1"/>
        <v>68.594052129677436</v>
      </c>
      <c r="J34" s="164">
        <f t="shared" si="2"/>
        <v>14821623.770000003</v>
      </c>
      <c r="K34" s="165"/>
      <c r="L34" s="165"/>
    </row>
    <row r="35" spans="1:13" s="3" customFormat="1" ht="15.95" customHeight="1" x14ac:dyDescent="0.25">
      <c r="A35" s="161" t="s">
        <v>38</v>
      </c>
      <c r="B35" s="161"/>
      <c r="C35" s="88">
        <v>19818750038</v>
      </c>
      <c r="D35" s="82">
        <v>28960457812.009998</v>
      </c>
      <c r="E35" s="89">
        <f>G35-6165861474.21</f>
        <v>6725127097.7400007</v>
      </c>
      <c r="F35" s="21">
        <f t="shared" si="0"/>
        <v>23.221756856865252</v>
      </c>
      <c r="G35" s="305">
        <v>12890988571.950001</v>
      </c>
      <c r="H35" s="306"/>
      <c r="I35" s="21">
        <f t="shared" si="1"/>
        <v>44.512378414833151</v>
      </c>
      <c r="J35" s="164">
        <f t="shared" si="2"/>
        <v>16069469240.059998</v>
      </c>
      <c r="K35" s="165"/>
      <c r="L35" s="165"/>
    </row>
    <row r="36" spans="1:13" s="3" customFormat="1" ht="15.95" customHeight="1" x14ac:dyDescent="0.25">
      <c r="A36" s="161" t="s">
        <v>39</v>
      </c>
      <c r="B36" s="161"/>
      <c r="C36" s="88">
        <v>120000</v>
      </c>
      <c r="D36" s="82">
        <v>120000</v>
      </c>
      <c r="E36" s="89">
        <f>G36-8610</f>
        <v>0</v>
      </c>
      <c r="F36" s="21">
        <f t="shared" si="0"/>
        <v>0</v>
      </c>
      <c r="G36" s="305">
        <v>8610</v>
      </c>
      <c r="H36" s="306"/>
      <c r="I36" s="21">
        <f t="shared" si="1"/>
        <v>7.1749999999999998</v>
      </c>
      <c r="J36" s="164">
        <f t="shared" si="2"/>
        <v>111390</v>
      </c>
      <c r="K36" s="165"/>
      <c r="L36" s="165"/>
      <c r="M36" s="17"/>
    </row>
    <row r="37" spans="1:13" s="3" customFormat="1" ht="15.95" customHeight="1" x14ac:dyDescent="0.25">
      <c r="A37" s="161" t="s">
        <v>40</v>
      </c>
      <c r="B37" s="161"/>
      <c r="C37" s="88">
        <v>33250660</v>
      </c>
      <c r="D37" s="82">
        <v>256306.09</v>
      </c>
      <c r="E37" s="89">
        <f>G37-80327.78</f>
        <v>64234.600000000006</v>
      </c>
      <c r="F37" s="21">
        <f t="shared" si="0"/>
        <v>25.06167528052104</v>
      </c>
      <c r="G37" s="305">
        <v>144562.38</v>
      </c>
      <c r="H37" s="306"/>
      <c r="I37" s="21">
        <f t="shared" si="1"/>
        <v>56.402241554229171</v>
      </c>
      <c r="J37" s="164">
        <f t="shared" si="2"/>
        <v>111743.70999999999</v>
      </c>
      <c r="K37" s="165"/>
      <c r="L37" s="165"/>
      <c r="M37" s="17"/>
    </row>
    <row r="38" spans="1:13" s="3" customFormat="1" ht="15.95" customHeight="1" x14ac:dyDescent="0.25">
      <c r="A38" s="161" t="s">
        <v>41</v>
      </c>
      <c r="B38" s="161"/>
      <c r="C38" s="88">
        <f>SUM(C39:C43)</f>
        <v>558430112</v>
      </c>
      <c r="D38" s="82">
        <f>SUM(D39:D43)</f>
        <v>509069833.66000003</v>
      </c>
      <c r="E38" s="89">
        <f>SUM(E39:E43)</f>
        <v>80099292.159999982</v>
      </c>
      <c r="F38" s="21">
        <f t="shared" si="0"/>
        <v>15.734440908454433</v>
      </c>
      <c r="G38" s="307">
        <f>SUM(G39:H43)</f>
        <v>236376308.25999999</v>
      </c>
      <c r="H38" s="308"/>
      <c r="I38" s="21">
        <f t="shared" si="1"/>
        <v>46.432982791487134</v>
      </c>
      <c r="J38" s="164">
        <f t="shared" si="2"/>
        <v>272693525.40000004</v>
      </c>
      <c r="K38" s="165"/>
      <c r="L38" s="165"/>
      <c r="M38" s="17"/>
    </row>
    <row r="39" spans="1:13" s="3" customFormat="1" ht="15.95" customHeight="1" x14ac:dyDescent="0.25">
      <c r="A39" s="161" t="s">
        <v>42</v>
      </c>
      <c r="B39" s="161"/>
      <c r="C39" s="88">
        <v>315450719</v>
      </c>
      <c r="D39" s="82">
        <v>351643643.35000002</v>
      </c>
      <c r="E39" s="89">
        <f>G39-115237687.95</f>
        <v>59620448.649999991</v>
      </c>
      <c r="F39" s="21">
        <f t="shared" si="0"/>
        <v>16.954792096343461</v>
      </c>
      <c r="G39" s="305">
        <v>174858136.59999999</v>
      </c>
      <c r="H39" s="306"/>
      <c r="I39" s="21">
        <f t="shared" si="1"/>
        <v>49.725948387458594</v>
      </c>
      <c r="J39" s="164">
        <f t="shared" si="2"/>
        <v>176785506.75000003</v>
      </c>
      <c r="K39" s="165"/>
      <c r="L39" s="165"/>
    </row>
    <row r="40" spans="1:13" s="3" customFormat="1" ht="15.95" customHeight="1" x14ac:dyDescent="0.25">
      <c r="A40" s="161" t="s">
        <v>43</v>
      </c>
      <c r="B40" s="161"/>
      <c r="C40" s="88">
        <v>39709030</v>
      </c>
      <c r="D40" s="82">
        <v>15017578.98</v>
      </c>
      <c r="E40" s="89">
        <f>G40-5269430.67</f>
        <v>2968699.74</v>
      </c>
      <c r="F40" s="21">
        <f t="shared" si="0"/>
        <v>19.768164655259234</v>
      </c>
      <c r="G40" s="305">
        <v>8238130.4100000001</v>
      </c>
      <c r="H40" s="306"/>
      <c r="I40" s="21">
        <f t="shared" si="1"/>
        <v>54.856581217061127</v>
      </c>
      <c r="J40" s="172">
        <f t="shared" si="2"/>
        <v>6779448.5700000003</v>
      </c>
      <c r="K40" s="173"/>
      <c r="L40" s="173"/>
    </row>
    <row r="41" spans="1:13" s="3" customFormat="1" ht="15.95" customHeight="1" x14ac:dyDescent="0.25">
      <c r="A41" s="161" t="s">
        <v>44</v>
      </c>
      <c r="B41" s="161"/>
      <c r="C41" s="88">
        <v>135915000</v>
      </c>
      <c r="D41" s="82">
        <v>54679680.299999997</v>
      </c>
      <c r="E41" s="89">
        <f>G41-217835.34</f>
        <v>176315.1</v>
      </c>
      <c r="F41" s="21">
        <f t="shared" si="0"/>
        <v>0.32245086114740873</v>
      </c>
      <c r="G41" s="305">
        <v>394150.44</v>
      </c>
      <c r="H41" s="306"/>
      <c r="I41" s="21">
        <f t="shared" si="1"/>
        <v>0.72083530451804789</v>
      </c>
      <c r="J41" s="172">
        <f t="shared" si="2"/>
        <v>54285529.859999999</v>
      </c>
      <c r="K41" s="173"/>
      <c r="L41" s="173"/>
    </row>
    <row r="42" spans="1:13" s="3" customFormat="1" ht="15.95" customHeight="1" x14ac:dyDescent="0.25">
      <c r="A42" s="161" t="s">
        <v>45</v>
      </c>
      <c r="B42" s="161"/>
      <c r="C42" s="88">
        <v>7423818</v>
      </c>
      <c r="D42" s="82">
        <v>27894384.219999999</v>
      </c>
      <c r="E42" s="89">
        <f>G42-17635800.22</f>
        <v>7413157.4600000009</v>
      </c>
      <c r="F42" s="21">
        <f t="shared" si="0"/>
        <v>26.57580608890029</v>
      </c>
      <c r="G42" s="305">
        <v>25048957.68</v>
      </c>
      <c r="H42" s="306"/>
      <c r="I42" s="21">
        <f t="shared" si="1"/>
        <v>89.799285341599841</v>
      </c>
      <c r="J42" s="172">
        <f t="shared" si="2"/>
        <v>2845426.5399999991</v>
      </c>
      <c r="K42" s="173"/>
      <c r="L42" s="173"/>
    </row>
    <row r="43" spans="1:13" s="3" customFormat="1" ht="15.95" customHeight="1" x14ac:dyDescent="0.25">
      <c r="A43" s="161" t="s">
        <v>46</v>
      </c>
      <c r="B43" s="161"/>
      <c r="C43" s="88">
        <v>59931545</v>
      </c>
      <c r="D43" s="82">
        <v>59834546.810000002</v>
      </c>
      <c r="E43" s="89">
        <f>G43-17916261.92</f>
        <v>9920671.2099999972</v>
      </c>
      <c r="F43" s="21">
        <f t="shared" si="0"/>
        <v>16.580172724466895</v>
      </c>
      <c r="G43" s="305">
        <v>27836933.129999999</v>
      </c>
      <c r="H43" s="306"/>
      <c r="I43" s="21">
        <f t="shared" si="1"/>
        <v>46.523178688716463</v>
      </c>
      <c r="J43" s="172">
        <f t="shared" si="2"/>
        <v>31997613.680000003</v>
      </c>
      <c r="K43" s="173"/>
      <c r="L43" s="173"/>
    </row>
    <row r="44" spans="1:13" s="3" customFormat="1" ht="15.95" customHeight="1" x14ac:dyDescent="0.25">
      <c r="A44" s="161" t="s">
        <v>47</v>
      </c>
      <c r="B44" s="161"/>
      <c r="C44" s="88">
        <f>SUM(C45:C51)</f>
        <v>10685163987</v>
      </c>
      <c r="D44" s="82">
        <f>SUM(D45:D51)</f>
        <v>11252243557.539999</v>
      </c>
      <c r="E44" s="89">
        <f>SUM(E45:E51)</f>
        <v>1983915037.2499995</v>
      </c>
      <c r="F44" s="21">
        <f t="shared" si="0"/>
        <v>17.631284171062941</v>
      </c>
      <c r="G44" s="307">
        <f>SUM(G45:H51)</f>
        <v>5786862519.5299997</v>
      </c>
      <c r="H44" s="308">
        <f>SUM(H45:H49)</f>
        <v>0</v>
      </c>
      <c r="I44" s="21">
        <f t="shared" si="1"/>
        <v>51.428521698255366</v>
      </c>
      <c r="J44" s="164">
        <f t="shared" si="2"/>
        <v>5465381038.0099993</v>
      </c>
      <c r="K44" s="165"/>
      <c r="L44" s="165"/>
      <c r="M44" s="17"/>
    </row>
    <row r="45" spans="1:13" s="3" customFormat="1" ht="15.95" customHeight="1" x14ac:dyDescent="0.25">
      <c r="A45" s="161" t="s">
        <v>48</v>
      </c>
      <c r="B45" s="161"/>
      <c r="C45" s="88">
        <v>6150148972</v>
      </c>
      <c r="D45" s="82">
        <v>6349786670.9499998</v>
      </c>
      <c r="E45" s="89">
        <f>G45-2031252536.66</f>
        <v>1158631746.4199998</v>
      </c>
      <c r="F45" s="21">
        <f t="shared" si="0"/>
        <v>18.246782237908718</v>
      </c>
      <c r="G45" s="305">
        <v>3189884283.0799999</v>
      </c>
      <c r="H45" s="306"/>
      <c r="I45" s="21">
        <f t="shared" si="1"/>
        <v>50.236085846373122</v>
      </c>
      <c r="J45" s="164">
        <f t="shared" si="2"/>
        <v>3159902387.8699999</v>
      </c>
      <c r="K45" s="165"/>
      <c r="L45" s="165"/>
    </row>
    <row r="46" spans="1:13" s="3" customFormat="1" ht="15.95" customHeight="1" x14ac:dyDescent="0.25">
      <c r="A46" s="161" t="s">
        <v>49</v>
      </c>
      <c r="B46" s="161"/>
      <c r="C46" s="88">
        <v>4453406</v>
      </c>
      <c r="D46" s="82">
        <v>2283206.5699999998</v>
      </c>
      <c r="E46" s="89">
        <f>G46-643200.28</f>
        <v>491903.80000000005</v>
      </c>
      <c r="F46" s="21">
        <f t="shared" si="0"/>
        <v>21.544428194247885</v>
      </c>
      <c r="G46" s="305">
        <v>1135104.08</v>
      </c>
      <c r="H46" s="306"/>
      <c r="I46" s="21">
        <f t="shared" si="1"/>
        <v>49.715347481677938</v>
      </c>
      <c r="J46" s="164">
        <f t="shared" si="2"/>
        <v>1148102.4899999998</v>
      </c>
      <c r="K46" s="165"/>
      <c r="L46" s="165"/>
    </row>
    <row r="47" spans="1:13" s="3" customFormat="1" ht="15.95" customHeight="1" x14ac:dyDescent="0.25">
      <c r="A47" s="161" t="s">
        <v>50</v>
      </c>
      <c r="B47" s="161"/>
      <c r="C47" s="88">
        <v>158789447</v>
      </c>
      <c r="D47" s="82">
        <v>190806171</v>
      </c>
      <c r="E47" s="89">
        <f>G47-68045477.32</f>
        <v>39726225.460000008</v>
      </c>
      <c r="F47" s="21">
        <f t="shared" si="0"/>
        <v>20.820199499732116</v>
      </c>
      <c r="G47" s="305">
        <v>107771702.78</v>
      </c>
      <c r="H47" s="306"/>
      <c r="I47" s="21">
        <f t="shared" si="1"/>
        <v>56.482294160182065</v>
      </c>
      <c r="J47" s="164">
        <f t="shared" si="2"/>
        <v>83034468.219999999</v>
      </c>
      <c r="K47" s="165"/>
      <c r="L47" s="165"/>
    </row>
    <row r="48" spans="1:13" s="3" customFormat="1" ht="15.95" customHeight="1" x14ac:dyDescent="0.25">
      <c r="A48" s="161" t="s">
        <v>51</v>
      </c>
      <c r="B48" s="161"/>
      <c r="C48" s="88">
        <v>60900195</v>
      </c>
      <c r="D48" s="82">
        <v>109683334.26000001</v>
      </c>
      <c r="E48" s="89">
        <f>G48-18375652.79</f>
        <v>13024633.650000002</v>
      </c>
      <c r="F48" s="21">
        <f t="shared" si="0"/>
        <v>11.87476086305475</v>
      </c>
      <c r="G48" s="305">
        <v>31400286.440000001</v>
      </c>
      <c r="H48" s="306"/>
      <c r="I48" s="21">
        <f t="shared" si="1"/>
        <v>28.628129015085253</v>
      </c>
      <c r="J48" s="164">
        <f t="shared" si="2"/>
        <v>78283047.820000008</v>
      </c>
      <c r="K48" s="165"/>
      <c r="L48" s="165"/>
    </row>
    <row r="49" spans="1:20" s="3" customFormat="1" ht="15.95" customHeight="1" x14ac:dyDescent="0.25">
      <c r="A49" s="161" t="s">
        <v>52</v>
      </c>
      <c r="B49" s="161"/>
      <c r="C49" s="88">
        <v>4242295888</v>
      </c>
      <c r="D49" s="82">
        <v>4586170454.8199997</v>
      </c>
      <c r="E49" s="89">
        <f>G49-1680315440.64</f>
        <v>771329453.0599997</v>
      </c>
      <c r="F49" s="21">
        <f t="shared" si="0"/>
        <v>16.818595398026332</v>
      </c>
      <c r="G49" s="305">
        <v>2451644893.6999998</v>
      </c>
      <c r="H49" s="306"/>
      <c r="I49" s="21">
        <f t="shared" si="1"/>
        <v>53.457343503736453</v>
      </c>
      <c r="J49" s="164">
        <f t="shared" si="2"/>
        <v>2134525561.1199999</v>
      </c>
      <c r="K49" s="165"/>
      <c r="L49" s="165"/>
    </row>
    <row r="50" spans="1:20" s="3" customFormat="1" ht="15.95" customHeight="1" x14ac:dyDescent="0.25">
      <c r="A50" s="161" t="s">
        <v>53</v>
      </c>
      <c r="B50" s="161"/>
      <c r="C50" s="18">
        <v>622040</v>
      </c>
      <c r="D50" s="82">
        <v>622040</v>
      </c>
      <c r="E50" s="89">
        <f t="shared" ref="E50" si="3">G50-0</f>
        <v>109799.62</v>
      </c>
      <c r="F50" s="21">
        <f t="shared" si="0"/>
        <v>17.651536878657321</v>
      </c>
      <c r="G50" s="172">
        <v>109799.62</v>
      </c>
      <c r="H50" s="174"/>
      <c r="I50" s="21">
        <f t="shared" si="1"/>
        <v>17.651536878657321</v>
      </c>
      <c r="J50" s="172">
        <f t="shared" si="2"/>
        <v>512240.38</v>
      </c>
      <c r="K50" s="173"/>
      <c r="L50" s="173"/>
    </row>
    <row r="51" spans="1:20" s="3" customFormat="1" ht="15.95" customHeight="1" x14ac:dyDescent="0.25">
      <c r="A51" s="161" t="s">
        <v>54</v>
      </c>
      <c r="B51" s="161"/>
      <c r="C51" s="117">
        <v>67954039</v>
      </c>
      <c r="D51" s="118">
        <v>12891679.939999999</v>
      </c>
      <c r="E51" s="92">
        <f>G51-4315174.59</f>
        <v>601275.24000000022</v>
      </c>
      <c r="F51" s="119">
        <f t="shared" si="0"/>
        <v>4.664056529470435</v>
      </c>
      <c r="G51" s="210">
        <v>4916449.83</v>
      </c>
      <c r="H51" s="211"/>
      <c r="I51" s="119">
        <f t="shared" si="1"/>
        <v>38.136610999357465</v>
      </c>
      <c r="J51" s="233">
        <f t="shared" si="2"/>
        <v>7975230.1099999994</v>
      </c>
      <c r="K51" s="234"/>
      <c r="L51" s="234"/>
      <c r="M51" s="322"/>
      <c r="N51" s="322"/>
    </row>
    <row r="52" spans="1:20" s="3" customFormat="1" ht="15.95" customHeight="1" x14ac:dyDescent="0.25">
      <c r="A52" s="161" t="s">
        <v>55</v>
      </c>
      <c r="B52" s="161"/>
      <c r="C52" s="117">
        <f>SUM(C53:C57)</f>
        <v>2778362778</v>
      </c>
      <c r="D52" s="118">
        <f>SUM(D53:D57)</f>
        <v>2868405593.0299997</v>
      </c>
      <c r="E52" s="92">
        <f>SUM(E53:E57)</f>
        <v>745776560.5999999</v>
      </c>
      <c r="F52" s="119">
        <f t="shared" si="0"/>
        <v>25.999689946644168</v>
      </c>
      <c r="G52" s="233">
        <f>SUM(G53:H57)</f>
        <v>1735309414.98</v>
      </c>
      <c r="H52" s="295">
        <f>SUM(H53:H57)</f>
        <v>0</v>
      </c>
      <c r="I52" s="119">
        <f t="shared" si="1"/>
        <v>60.49735153203806</v>
      </c>
      <c r="J52" s="159">
        <f t="shared" si="2"/>
        <v>1133096178.0499997</v>
      </c>
      <c r="K52" s="160"/>
      <c r="L52" s="160"/>
      <c r="M52" s="22"/>
    </row>
    <row r="53" spans="1:20" s="3" customFormat="1" ht="15.95" customHeight="1" x14ac:dyDescent="0.25">
      <c r="A53" s="161" t="s">
        <v>56</v>
      </c>
      <c r="B53" s="161"/>
      <c r="C53" s="117">
        <v>497641622</v>
      </c>
      <c r="D53" s="118">
        <v>594886341.82000005</v>
      </c>
      <c r="E53" s="92">
        <f>G53-257572848.91</f>
        <v>149804536.01000002</v>
      </c>
      <c r="F53" s="119">
        <f t="shared" si="0"/>
        <v>25.182043270935893</v>
      </c>
      <c r="G53" s="233">
        <v>407377384.92000002</v>
      </c>
      <c r="H53" s="295"/>
      <c r="I53" s="119">
        <f t="shared" si="1"/>
        <v>68.479868553321694</v>
      </c>
      <c r="J53" s="159">
        <f t="shared" si="2"/>
        <v>187508956.90000004</v>
      </c>
      <c r="K53" s="160"/>
      <c r="L53" s="160"/>
    </row>
    <row r="54" spans="1:20" s="3" customFormat="1" ht="15.95" customHeight="1" x14ac:dyDescent="0.25">
      <c r="A54" s="161" t="s">
        <v>57</v>
      </c>
      <c r="B54" s="161"/>
      <c r="C54" s="117">
        <v>255255263</v>
      </c>
      <c r="D54" s="118">
        <v>447368725.14999998</v>
      </c>
      <c r="E54" s="92">
        <f>G54-86965243.85</f>
        <v>269985228.60000002</v>
      </c>
      <c r="F54" s="119">
        <f t="shared" si="0"/>
        <v>60.349598311655704</v>
      </c>
      <c r="G54" s="233">
        <v>356950472.44999999</v>
      </c>
      <c r="H54" s="295"/>
      <c r="I54" s="119">
        <f t="shared" si="1"/>
        <v>79.78887489962932</v>
      </c>
      <c r="J54" s="159">
        <f t="shared" si="2"/>
        <v>90418252.699999988</v>
      </c>
      <c r="K54" s="160"/>
      <c r="L54" s="160"/>
    </row>
    <row r="55" spans="1:20" s="3" customFormat="1" ht="15.95" customHeight="1" x14ac:dyDescent="0.25">
      <c r="A55" s="161" t="s">
        <v>58</v>
      </c>
      <c r="B55" s="161"/>
      <c r="C55" s="117">
        <v>146000</v>
      </c>
      <c r="D55" s="119">
        <v>8563465.4900000002</v>
      </c>
      <c r="E55" s="92">
        <f>G55-4779777.38</f>
        <v>1063019.83</v>
      </c>
      <c r="F55" s="119">
        <f t="shared" si="0"/>
        <v>12.413430418343404</v>
      </c>
      <c r="G55" s="233">
        <v>5842797.21</v>
      </c>
      <c r="H55" s="295"/>
      <c r="I55" s="119">
        <f t="shared" si="1"/>
        <v>68.229354305484563</v>
      </c>
      <c r="J55" s="159">
        <f t="shared" si="2"/>
        <v>2720668.2800000003</v>
      </c>
      <c r="K55" s="160"/>
      <c r="L55" s="160"/>
    </row>
    <row r="56" spans="1:20" s="3" customFormat="1" ht="15.95" customHeight="1" x14ac:dyDescent="0.25">
      <c r="A56" s="161" t="s">
        <v>59</v>
      </c>
      <c r="B56" s="161"/>
      <c r="C56" s="117">
        <v>0</v>
      </c>
      <c r="D56" s="120">
        <v>0</v>
      </c>
      <c r="E56" s="92">
        <f>G56-0</f>
        <v>0</v>
      </c>
      <c r="F56" s="119">
        <v>0</v>
      </c>
      <c r="G56" s="210">
        <v>0</v>
      </c>
      <c r="H56" s="211"/>
      <c r="I56" s="119">
        <v>0</v>
      </c>
      <c r="J56" s="233">
        <f t="shared" si="2"/>
        <v>0</v>
      </c>
      <c r="K56" s="234"/>
      <c r="L56" s="234"/>
      <c r="M56" s="322"/>
      <c r="N56" s="322"/>
    </row>
    <row r="57" spans="1:20" s="3" customFormat="1" ht="15.95" customHeight="1" x14ac:dyDescent="0.25">
      <c r="A57" s="161" t="s">
        <v>60</v>
      </c>
      <c r="B57" s="161"/>
      <c r="C57" s="88">
        <v>2025319893</v>
      </c>
      <c r="D57" s="88">
        <v>1817587060.5699999</v>
      </c>
      <c r="E57" s="89">
        <f>G57-640214984.24</f>
        <v>324923776.15999997</v>
      </c>
      <c r="F57" s="21">
        <f t="shared" si="0"/>
        <v>17.876655441093593</v>
      </c>
      <c r="G57" s="172">
        <v>965138760.39999998</v>
      </c>
      <c r="H57" s="174"/>
      <c r="I57" s="21">
        <f t="shared" si="1"/>
        <v>53.100001718615339</v>
      </c>
      <c r="J57" s="164">
        <f t="shared" si="2"/>
        <v>852448300.16999996</v>
      </c>
      <c r="K57" s="165"/>
      <c r="L57" s="165"/>
      <c r="M57" s="321"/>
      <c r="N57" s="321"/>
      <c r="O57" s="321"/>
      <c r="P57" s="321"/>
      <c r="Q57" s="321"/>
      <c r="R57" s="321"/>
      <c r="S57" s="321"/>
      <c r="T57" s="321"/>
    </row>
    <row r="58" spans="1:20" s="3" customFormat="1" ht="15.95" customHeight="1" x14ac:dyDescent="0.25">
      <c r="A58" s="171" t="s">
        <v>61</v>
      </c>
      <c r="B58" s="171"/>
      <c r="C58" s="86">
        <f>C59+C62+C66+C67+C78</f>
        <v>570999177</v>
      </c>
      <c r="D58" s="87">
        <f>D59+D62+D66+D67+D78</f>
        <v>1514169261.5799999</v>
      </c>
      <c r="E58" s="85">
        <f>E59+E62+E66+E67+E78</f>
        <v>192415840.87</v>
      </c>
      <c r="F58" s="16">
        <f t="shared" si="0"/>
        <v>12.707683728120237</v>
      </c>
      <c r="G58" s="175">
        <f>G59+G62+G66+G67+G78</f>
        <v>1087305772.6299999</v>
      </c>
      <c r="H58" s="176"/>
      <c r="I58" s="16">
        <f t="shared" si="1"/>
        <v>71.808733687766306</v>
      </c>
      <c r="J58" s="229">
        <f t="shared" si="2"/>
        <v>426863488.95000005</v>
      </c>
      <c r="K58" s="230"/>
      <c r="L58" s="230"/>
      <c r="M58" s="323"/>
      <c r="N58" s="323"/>
      <c r="O58" s="324"/>
      <c r="P58" s="317"/>
      <c r="Q58" s="1"/>
      <c r="R58" s="1"/>
      <c r="S58" s="1"/>
      <c r="T58" s="1"/>
    </row>
    <row r="59" spans="1:20" s="3" customFormat="1" ht="15.95" customHeight="1" x14ac:dyDescent="0.25">
      <c r="A59" s="161" t="s">
        <v>62</v>
      </c>
      <c r="B59" s="161"/>
      <c r="C59" s="88">
        <f>C60+C61</f>
        <v>51541821</v>
      </c>
      <c r="D59" s="82">
        <f>D60+D61</f>
        <v>51541821</v>
      </c>
      <c r="E59" s="89">
        <f>E60+E61</f>
        <v>0</v>
      </c>
      <c r="F59" s="21">
        <f t="shared" si="0"/>
        <v>0</v>
      </c>
      <c r="G59" s="172">
        <f>G60+G61</f>
        <v>0</v>
      </c>
      <c r="H59" s="174"/>
      <c r="I59" s="21">
        <f t="shared" si="1"/>
        <v>0</v>
      </c>
      <c r="J59" s="164">
        <f t="shared" si="2"/>
        <v>51541821</v>
      </c>
      <c r="K59" s="165"/>
      <c r="L59" s="165"/>
      <c r="M59" s="22"/>
    </row>
    <row r="60" spans="1:20" s="3" customFormat="1" ht="15.95" customHeight="1" x14ac:dyDescent="0.25">
      <c r="A60" s="161" t="s">
        <v>63</v>
      </c>
      <c r="B60" s="161"/>
      <c r="C60" s="88">
        <v>51541821</v>
      </c>
      <c r="D60" s="82">
        <v>51541821</v>
      </c>
      <c r="E60" s="89">
        <f>G60</f>
        <v>0</v>
      </c>
      <c r="F60" s="21">
        <f t="shared" si="0"/>
        <v>0</v>
      </c>
      <c r="G60" s="172">
        <v>0</v>
      </c>
      <c r="H60" s="174"/>
      <c r="I60" s="21">
        <f t="shared" si="1"/>
        <v>0</v>
      </c>
      <c r="J60" s="164">
        <f t="shared" si="2"/>
        <v>51541821</v>
      </c>
      <c r="K60" s="165"/>
      <c r="L60" s="165"/>
    </row>
    <row r="61" spans="1:20" s="3" customFormat="1" ht="15.95" customHeight="1" x14ac:dyDescent="0.25">
      <c r="A61" s="161" t="s">
        <v>64</v>
      </c>
      <c r="B61" s="161"/>
      <c r="C61" s="88">
        <v>0</v>
      </c>
      <c r="D61" s="82">
        <v>0</v>
      </c>
      <c r="E61" s="89">
        <f>G61</f>
        <v>0</v>
      </c>
      <c r="F61" s="21">
        <v>0</v>
      </c>
      <c r="G61" s="172">
        <v>0</v>
      </c>
      <c r="H61" s="174"/>
      <c r="I61" s="21">
        <v>0</v>
      </c>
      <c r="J61" s="164">
        <f t="shared" si="2"/>
        <v>0</v>
      </c>
      <c r="K61" s="165"/>
      <c r="L61" s="165"/>
    </row>
    <row r="62" spans="1:20" s="3" customFormat="1" ht="15.95" customHeight="1" x14ac:dyDescent="0.25">
      <c r="A62" s="161" t="s">
        <v>65</v>
      </c>
      <c r="B62" s="161"/>
      <c r="C62" s="88">
        <f>C63+C64+C65</f>
        <v>0</v>
      </c>
      <c r="D62" s="82">
        <f>D63+D64+D65</f>
        <v>5840144.54</v>
      </c>
      <c r="E62" s="89">
        <f>E63+E64+E65</f>
        <v>284500</v>
      </c>
      <c r="F62" s="21">
        <f t="shared" si="0"/>
        <v>4.8714547739600977</v>
      </c>
      <c r="G62" s="172">
        <f>SUM(G63:H65)</f>
        <v>2697550.97</v>
      </c>
      <c r="H62" s="174"/>
      <c r="I62" s="21">
        <f t="shared" si="1"/>
        <v>46.189798069621069</v>
      </c>
      <c r="J62" s="164">
        <f t="shared" si="2"/>
        <v>3142593.57</v>
      </c>
      <c r="K62" s="165"/>
      <c r="L62" s="165"/>
    </row>
    <row r="63" spans="1:20" s="3" customFormat="1" ht="15.95" customHeight="1" x14ac:dyDescent="0.25">
      <c r="A63" s="161" t="s">
        <v>66</v>
      </c>
      <c r="B63" s="161"/>
      <c r="C63" s="88">
        <v>0</v>
      </c>
      <c r="D63" s="82">
        <v>5840144.54</v>
      </c>
      <c r="E63" s="89">
        <f>G63-2413050.97</f>
        <v>284500</v>
      </c>
      <c r="F63" s="21">
        <f t="shared" si="0"/>
        <v>4.8714547739600977</v>
      </c>
      <c r="G63" s="172">
        <v>2697550.97</v>
      </c>
      <c r="H63" s="174"/>
      <c r="I63" s="21">
        <f t="shared" si="1"/>
        <v>46.189798069621069</v>
      </c>
      <c r="J63" s="164">
        <f t="shared" si="2"/>
        <v>3142593.57</v>
      </c>
      <c r="K63" s="165"/>
      <c r="L63" s="165"/>
    </row>
    <row r="64" spans="1:20" s="3" customFormat="1" ht="15.95" customHeight="1" x14ac:dyDescent="0.25">
      <c r="A64" s="161" t="s">
        <v>67</v>
      </c>
      <c r="B64" s="161"/>
      <c r="C64" s="88">
        <v>0</v>
      </c>
      <c r="D64" s="82">
        <v>0</v>
      </c>
      <c r="E64" s="89">
        <f>G64-0</f>
        <v>0</v>
      </c>
      <c r="F64" s="21">
        <v>0</v>
      </c>
      <c r="G64" s="172">
        <v>0</v>
      </c>
      <c r="H64" s="174"/>
      <c r="I64" s="21">
        <v>0</v>
      </c>
      <c r="J64" s="164">
        <f t="shared" si="2"/>
        <v>0</v>
      </c>
      <c r="K64" s="165"/>
      <c r="L64" s="165"/>
    </row>
    <row r="65" spans="1:17" s="3" customFormat="1" ht="15.95" customHeight="1" x14ac:dyDescent="0.25">
      <c r="A65" s="161" t="s">
        <v>68</v>
      </c>
      <c r="B65" s="161"/>
      <c r="C65" s="88">
        <v>0</v>
      </c>
      <c r="D65" s="82">
        <v>0</v>
      </c>
      <c r="E65" s="89">
        <f>G65</f>
        <v>0</v>
      </c>
      <c r="F65" s="21">
        <v>0</v>
      </c>
      <c r="G65" s="172">
        <v>0</v>
      </c>
      <c r="H65" s="174"/>
      <c r="I65" s="21">
        <v>0</v>
      </c>
      <c r="J65" s="172">
        <f t="shared" si="2"/>
        <v>0</v>
      </c>
      <c r="K65" s="173"/>
      <c r="L65" s="173"/>
    </row>
    <row r="66" spans="1:17" s="3" customFormat="1" ht="15.95" customHeight="1" x14ac:dyDescent="0.25">
      <c r="A66" s="161" t="s">
        <v>69</v>
      </c>
      <c r="B66" s="161"/>
      <c r="C66" s="132">
        <v>179164675</v>
      </c>
      <c r="D66" s="133">
        <v>145781855.83000001</v>
      </c>
      <c r="E66" s="89">
        <f>G66-56929730.23</f>
        <v>38673294.119999997</v>
      </c>
      <c r="F66" s="21">
        <f t="shared" si="0"/>
        <v>26.528194403765802</v>
      </c>
      <c r="G66" s="172">
        <v>95603024.349999994</v>
      </c>
      <c r="H66" s="174"/>
      <c r="I66" s="21">
        <f t="shared" si="1"/>
        <v>65.579508372760159</v>
      </c>
      <c r="J66" s="164">
        <f t="shared" si="2"/>
        <v>50178831.480000019</v>
      </c>
      <c r="K66" s="165"/>
      <c r="L66" s="165"/>
    </row>
    <row r="67" spans="1:17" s="3" customFormat="1" ht="15.95" customHeight="1" x14ac:dyDescent="0.25">
      <c r="A67" s="161" t="s">
        <v>70</v>
      </c>
      <c r="B67" s="161"/>
      <c r="C67" s="88">
        <f>SUM(C68:C77)</f>
        <v>340292681</v>
      </c>
      <c r="D67" s="88">
        <f>SUM(D68:D77)</f>
        <v>325992888.30000001</v>
      </c>
      <c r="E67" s="89">
        <f>SUM(E68:E77)</f>
        <v>0</v>
      </c>
      <c r="F67" s="21">
        <f t="shared" si="0"/>
        <v>0</v>
      </c>
      <c r="G67" s="172">
        <f>SUM(G68:H77)</f>
        <v>1000000</v>
      </c>
      <c r="H67" s="174">
        <f>SUM(H68:H76)</f>
        <v>0</v>
      </c>
      <c r="I67" s="21">
        <f t="shared" si="1"/>
        <v>0.30675515813085297</v>
      </c>
      <c r="J67" s="164">
        <f t="shared" si="2"/>
        <v>324992888.30000001</v>
      </c>
      <c r="K67" s="165"/>
      <c r="L67" s="165"/>
    </row>
    <row r="68" spans="1:17" s="3" customFormat="1" ht="15.95" customHeight="1" x14ac:dyDescent="0.25">
      <c r="A68" s="161" t="s">
        <v>48</v>
      </c>
      <c r="B68" s="161"/>
      <c r="C68" s="88">
        <v>340096461</v>
      </c>
      <c r="D68" s="82">
        <v>325876668.30000001</v>
      </c>
      <c r="E68" s="89">
        <f>G68-1000000</f>
        <v>0</v>
      </c>
      <c r="F68" s="21">
        <f t="shared" si="0"/>
        <v>0</v>
      </c>
      <c r="G68" s="172">
        <v>1000000</v>
      </c>
      <c r="H68" s="174"/>
      <c r="I68" s="21">
        <f t="shared" si="1"/>
        <v>0.30686455867389878</v>
      </c>
      <c r="J68" s="164">
        <f t="shared" si="2"/>
        <v>324876668.30000001</v>
      </c>
      <c r="K68" s="165"/>
      <c r="L68" s="165"/>
    </row>
    <row r="69" spans="1:17" s="3" customFormat="1" ht="15.95" customHeight="1" x14ac:dyDescent="0.25">
      <c r="A69" s="161" t="s">
        <v>49</v>
      </c>
      <c r="B69" s="161"/>
      <c r="C69" s="88">
        <v>0</v>
      </c>
      <c r="D69" s="82">
        <v>0</v>
      </c>
      <c r="E69" s="89">
        <f>G69-0</f>
        <v>0</v>
      </c>
      <c r="F69" s="21">
        <v>0</v>
      </c>
      <c r="G69" s="172">
        <v>0</v>
      </c>
      <c r="H69" s="174"/>
      <c r="I69" s="21">
        <v>0</v>
      </c>
      <c r="J69" s="164">
        <f t="shared" si="2"/>
        <v>0</v>
      </c>
      <c r="K69" s="165"/>
      <c r="L69" s="165"/>
    </row>
    <row r="70" spans="1:17" s="3" customFormat="1" ht="15.95" customHeight="1" x14ac:dyDescent="0.25">
      <c r="A70" s="161" t="s">
        <v>50</v>
      </c>
      <c r="B70" s="161"/>
      <c r="C70" s="88">
        <v>80000</v>
      </c>
      <c r="D70" s="82">
        <v>0</v>
      </c>
      <c r="E70" s="89">
        <f>G70-0</f>
        <v>0</v>
      </c>
      <c r="F70" s="21">
        <v>0</v>
      </c>
      <c r="G70" s="172">
        <v>0</v>
      </c>
      <c r="H70" s="174"/>
      <c r="I70" s="21">
        <v>0</v>
      </c>
      <c r="J70" s="164">
        <f t="shared" si="2"/>
        <v>0</v>
      </c>
      <c r="K70" s="165"/>
      <c r="L70" s="165"/>
    </row>
    <row r="71" spans="1:17" s="3" customFormat="1" ht="15.95" customHeight="1" x14ac:dyDescent="0.25">
      <c r="A71" s="161" t="s">
        <v>51</v>
      </c>
      <c r="B71" s="161"/>
      <c r="C71" s="88">
        <v>116220</v>
      </c>
      <c r="D71" s="82">
        <v>116220</v>
      </c>
      <c r="E71" s="92">
        <f>G71-0</f>
        <v>0</v>
      </c>
      <c r="F71" s="21">
        <f t="shared" si="0"/>
        <v>0</v>
      </c>
      <c r="G71" s="172">
        <v>0</v>
      </c>
      <c r="H71" s="174"/>
      <c r="I71" s="21">
        <f t="shared" si="1"/>
        <v>0</v>
      </c>
      <c r="J71" s="164">
        <f t="shared" si="2"/>
        <v>116220</v>
      </c>
      <c r="K71" s="165"/>
      <c r="L71" s="165"/>
    </row>
    <row r="72" spans="1:17" s="3" customFormat="1" ht="15.95" customHeight="1" x14ac:dyDescent="0.25">
      <c r="A72" s="161" t="s">
        <v>52</v>
      </c>
      <c r="B72" s="161"/>
      <c r="C72" s="88">
        <v>0</v>
      </c>
      <c r="D72" s="82">
        <v>0</v>
      </c>
      <c r="E72" s="89">
        <f>G72</f>
        <v>0</v>
      </c>
      <c r="F72" s="21">
        <v>0</v>
      </c>
      <c r="G72" s="172">
        <v>0</v>
      </c>
      <c r="H72" s="174"/>
      <c r="I72" s="21">
        <v>0</v>
      </c>
      <c r="J72" s="164">
        <f t="shared" si="2"/>
        <v>0</v>
      </c>
      <c r="K72" s="165"/>
      <c r="L72" s="165"/>
      <c r="M72" s="326"/>
      <c r="N72" s="326"/>
      <c r="O72" s="326"/>
      <c r="P72" s="326"/>
      <c r="Q72" s="326"/>
    </row>
    <row r="73" spans="1:17" s="3" customFormat="1" ht="15.95" customHeight="1" x14ac:dyDescent="0.25">
      <c r="A73" s="161" t="s">
        <v>53</v>
      </c>
      <c r="B73" s="161"/>
      <c r="C73" s="88">
        <v>0</v>
      </c>
      <c r="D73" s="82">
        <v>0</v>
      </c>
      <c r="E73" s="89">
        <f>G73</f>
        <v>0</v>
      </c>
      <c r="F73" s="21">
        <v>0</v>
      </c>
      <c r="G73" s="172">
        <v>0</v>
      </c>
      <c r="H73" s="174"/>
      <c r="I73" s="21">
        <v>0</v>
      </c>
      <c r="J73" s="164">
        <f t="shared" si="2"/>
        <v>0</v>
      </c>
      <c r="K73" s="165"/>
      <c r="L73" s="165"/>
      <c r="M73" s="326"/>
      <c r="N73" s="326"/>
      <c r="O73" s="326"/>
      <c r="P73" s="326"/>
      <c r="Q73" s="326"/>
    </row>
    <row r="74" spans="1:17" s="3" customFormat="1" ht="15.95" customHeight="1" x14ac:dyDescent="0.25">
      <c r="A74" s="301" t="s">
        <v>71</v>
      </c>
      <c r="B74" s="302"/>
      <c r="C74" s="88">
        <v>0</v>
      </c>
      <c r="D74" s="117">
        <v>0</v>
      </c>
      <c r="E74" s="89">
        <f>G74-0</f>
        <v>0</v>
      </c>
      <c r="F74" s="21">
        <v>0</v>
      </c>
      <c r="G74" s="172">
        <v>0</v>
      </c>
      <c r="H74" s="174"/>
      <c r="I74" s="21">
        <v>0</v>
      </c>
      <c r="J74" s="172">
        <f t="shared" si="2"/>
        <v>0</v>
      </c>
      <c r="K74" s="173"/>
      <c r="L74" s="173"/>
      <c r="M74" s="327"/>
      <c r="N74" s="327"/>
      <c r="O74" s="327"/>
      <c r="P74" s="327"/>
      <c r="Q74" s="326"/>
    </row>
    <row r="75" spans="1:17" s="3" customFormat="1" ht="15.95" hidden="1" customHeight="1" x14ac:dyDescent="0.25">
      <c r="A75" s="166" t="s">
        <v>72</v>
      </c>
      <c r="B75" s="161"/>
      <c r="C75" s="128"/>
      <c r="D75" s="129"/>
      <c r="E75" s="130">
        <f>G75-0</f>
        <v>0</v>
      </c>
      <c r="F75" s="131" t="e">
        <f t="shared" si="0"/>
        <v>#DIV/0!</v>
      </c>
      <c r="G75" s="236"/>
      <c r="H75" s="298"/>
      <c r="I75" s="131" t="e">
        <f t="shared" si="1"/>
        <v>#DIV/0!</v>
      </c>
      <c r="J75" s="236">
        <f t="shared" si="2"/>
        <v>0</v>
      </c>
      <c r="K75" s="237"/>
      <c r="L75" s="237"/>
      <c r="M75" s="328" t="s">
        <v>73</v>
      </c>
      <c r="N75" s="328"/>
      <c r="O75" s="328"/>
      <c r="P75" s="328"/>
      <c r="Q75" s="326"/>
    </row>
    <row r="76" spans="1:17" s="3" customFormat="1" ht="15.95" hidden="1" customHeight="1" x14ac:dyDescent="0.25">
      <c r="A76" s="166" t="s">
        <v>74</v>
      </c>
      <c r="B76" s="161"/>
      <c r="C76" s="128">
        <v>0</v>
      </c>
      <c r="D76" s="129">
        <v>0</v>
      </c>
      <c r="E76" s="130">
        <f>G76-0</f>
        <v>0</v>
      </c>
      <c r="F76" s="131" t="e">
        <f t="shared" si="0"/>
        <v>#DIV/0!</v>
      </c>
      <c r="G76" s="236">
        <v>0</v>
      </c>
      <c r="H76" s="298"/>
      <c r="I76" s="131" t="e">
        <f t="shared" si="1"/>
        <v>#DIV/0!</v>
      </c>
      <c r="J76" s="236">
        <f t="shared" si="2"/>
        <v>0</v>
      </c>
      <c r="K76" s="237"/>
      <c r="L76" s="237"/>
      <c r="M76" s="328"/>
      <c r="N76" s="328"/>
      <c r="O76" s="328"/>
      <c r="P76" s="328"/>
      <c r="Q76" s="329"/>
    </row>
    <row r="77" spans="1:17" s="3" customFormat="1" ht="15.95" hidden="1" customHeight="1" x14ac:dyDescent="0.25">
      <c r="A77" s="166" t="s">
        <v>75</v>
      </c>
      <c r="B77" s="161"/>
      <c r="C77" s="128">
        <v>0</v>
      </c>
      <c r="D77" s="129">
        <v>0</v>
      </c>
      <c r="E77" s="130">
        <f>G77-0</f>
        <v>0</v>
      </c>
      <c r="F77" s="131" t="e">
        <f t="shared" si="0"/>
        <v>#DIV/0!</v>
      </c>
      <c r="G77" s="236"/>
      <c r="H77" s="298"/>
      <c r="I77" s="131" t="e">
        <f t="shared" si="1"/>
        <v>#DIV/0!</v>
      </c>
      <c r="J77" s="299">
        <f t="shared" si="2"/>
        <v>0</v>
      </c>
      <c r="K77" s="300"/>
      <c r="L77" s="300"/>
      <c r="M77" s="328"/>
      <c r="N77" s="328"/>
      <c r="O77" s="328"/>
      <c r="P77" s="328"/>
      <c r="Q77" s="329"/>
    </row>
    <row r="78" spans="1:17" s="3" customFormat="1" ht="15.95" customHeight="1" x14ac:dyDescent="0.25">
      <c r="A78" s="166" t="s">
        <v>76</v>
      </c>
      <c r="B78" s="161"/>
      <c r="C78" s="88">
        <f>SUM(C79:C82)</f>
        <v>0</v>
      </c>
      <c r="D78" s="82">
        <f>SUM(D79:D82)</f>
        <v>985012551.90999997</v>
      </c>
      <c r="E78" s="89">
        <f>SUM(E79:E82)</f>
        <v>153458046.75</v>
      </c>
      <c r="F78" s="21">
        <v>0</v>
      </c>
      <c r="G78" s="172">
        <f>SUM(G79:H82)</f>
        <v>988005197.30999994</v>
      </c>
      <c r="H78" s="174">
        <f>SUM(H80:H82)</f>
        <v>0</v>
      </c>
      <c r="I78" s="21">
        <v>0</v>
      </c>
      <c r="J78" s="164">
        <f t="shared" si="2"/>
        <v>-2992645.3999999762</v>
      </c>
      <c r="K78" s="165"/>
      <c r="L78" s="165"/>
      <c r="M78" s="326"/>
      <c r="N78" s="329"/>
      <c r="O78" s="329"/>
      <c r="P78" s="329"/>
      <c r="Q78" s="329"/>
    </row>
    <row r="79" spans="1:17" s="3" customFormat="1" ht="15.95" customHeight="1" x14ac:dyDescent="0.25">
      <c r="A79" s="161" t="s">
        <v>77</v>
      </c>
      <c r="B79" s="161"/>
      <c r="C79" s="88">
        <v>0</v>
      </c>
      <c r="D79" s="82">
        <v>0</v>
      </c>
      <c r="E79" s="89">
        <f>G79</f>
        <v>0</v>
      </c>
      <c r="F79" s="21">
        <v>0</v>
      </c>
      <c r="G79" s="172">
        <v>0</v>
      </c>
      <c r="H79" s="174"/>
      <c r="I79" s="21">
        <v>0</v>
      </c>
      <c r="J79" s="164">
        <f t="shared" si="2"/>
        <v>0</v>
      </c>
      <c r="K79" s="165"/>
      <c r="L79" s="165"/>
      <c r="M79" s="326"/>
      <c r="N79" s="329"/>
      <c r="O79" s="329"/>
      <c r="P79" s="329"/>
      <c r="Q79" s="329"/>
    </row>
    <row r="80" spans="1:17" s="3" customFormat="1" ht="15.95" customHeight="1" x14ac:dyDescent="0.25">
      <c r="A80" s="161" t="s">
        <v>78</v>
      </c>
      <c r="B80" s="161"/>
      <c r="C80" s="88">
        <v>0</v>
      </c>
      <c r="D80" s="82">
        <v>0</v>
      </c>
      <c r="E80" s="89">
        <f>G80</f>
        <v>0</v>
      </c>
      <c r="F80" s="21">
        <v>0</v>
      </c>
      <c r="G80" s="172">
        <v>0</v>
      </c>
      <c r="H80" s="174"/>
      <c r="I80" s="21">
        <v>0</v>
      </c>
      <c r="J80" s="164">
        <f t="shared" si="2"/>
        <v>0</v>
      </c>
      <c r="K80" s="165"/>
      <c r="L80" s="165"/>
      <c r="M80" s="326"/>
      <c r="N80" s="326"/>
      <c r="O80" s="326"/>
      <c r="P80" s="326"/>
      <c r="Q80" s="326"/>
    </row>
    <row r="81" spans="1:17" s="3" customFormat="1" ht="15.95" customHeight="1" x14ac:dyDescent="0.25">
      <c r="A81" s="161" t="s">
        <v>79</v>
      </c>
      <c r="B81" s="161"/>
      <c r="C81" s="88">
        <v>0</v>
      </c>
      <c r="D81" s="82">
        <v>0</v>
      </c>
      <c r="E81" s="89">
        <f>G81</f>
        <v>0</v>
      </c>
      <c r="F81" s="21">
        <v>0</v>
      </c>
      <c r="G81" s="172">
        <v>0</v>
      </c>
      <c r="H81" s="174"/>
      <c r="I81" s="21">
        <v>0</v>
      </c>
      <c r="J81" s="164">
        <f t="shared" si="2"/>
        <v>0</v>
      </c>
      <c r="K81" s="165"/>
      <c r="L81" s="165"/>
      <c r="M81" s="326"/>
      <c r="N81" s="326"/>
      <c r="O81" s="326"/>
      <c r="P81" s="326"/>
      <c r="Q81" s="326"/>
    </row>
    <row r="82" spans="1:17" s="3" customFormat="1" ht="15.95" customHeight="1" x14ac:dyDescent="0.25">
      <c r="A82" s="161" t="s">
        <v>80</v>
      </c>
      <c r="B82" s="161"/>
      <c r="C82" s="117">
        <v>0</v>
      </c>
      <c r="D82" s="118">
        <v>985012551.90999997</v>
      </c>
      <c r="E82" s="92">
        <f>G82-834547150.56</f>
        <v>153458046.75</v>
      </c>
      <c r="F82" s="119">
        <v>0</v>
      </c>
      <c r="G82" s="233">
        <v>988005197.30999994</v>
      </c>
      <c r="H82" s="295"/>
      <c r="I82" s="119">
        <v>0</v>
      </c>
      <c r="J82" s="159">
        <f t="shared" ref="J82:J92" si="4">D82-G82</f>
        <v>-2992645.3999999762</v>
      </c>
      <c r="K82" s="160"/>
      <c r="L82" s="160"/>
      <c r="M82" s="326"/>
      <c r="N82" s="330"/>
      <c r="O82" s="330"/>
      <c r="P82" s="330"/>
      <c r="Q82" s="330"/>
    </row>
    <row r="83" spans="1:17" s="3" customFormat="1" ht="15.95" customHeight="1" x14ac:dyDescent="0.25">
      <c r="A83" s="293" t="s">
        <v>81</v>
      </c>
      <c r="B83" s="284"/>
      <c r="C83" s="86">
        <f>C144</f>
        <v>8455219897</v>
      </c>
      <c r="D83" s="87">
        <f>D144</f>
        <v>8837822459.7600002</v>
      </c>
      <c r="E83" s="85">
        <f>E144</f>
        <v>1462824316.1699998</v>
      </c>
      <c r="F83" s="16">
        <f t="shared" ref="F83:F94" si="5">(E83/D83)*100</f>
        <v>16.55186357081136</v>
      </c>
      <c r="G83" s="178">
        <f>G144</f>
        <v>4123248607.7799997</v>
      </c>
      <c r="H83" s="179"/>
      <c r="I83" s="16">
        <f t="shared" ref="I83:I94" si="6">(G83/D83)*100</f>
        <v>46.654576130645317</v>
      </c>
      <c r="J83" s="229">
        <f t="shared" si="4"/>
        <v>4714573851.9800005</v>
      </c>
      <c r="K83" s="230"/>
      <c r="L83" s="230"/>
      <c r="M83" s="326"/>
      <c r="N83" s="330"/>
      <c r="O83" s="330"/>
      <c r="P83" s="330"/>
      <c r="Q83" s="330"/>
    </row>
    <row r="84" spans="1:17" s="3" customFormat="1" ht="15.95" customHeight="1" x14ac:dyDescent="0.25">
      <c r="A84" s="280" t="s">
        <v>82</v>
      </c>
      <c r="B84" s="282"/>
      <c r="C84" s="90">
        <f>C17+C83</f>
        <v>107636470637</v>
      </c>
      <c r="D84" s="91">
        <f>D17+D83</f>
        <v>122369372816.40999</v>
      </c>
      <c r="E84" s="90">
        <f>E17+E83</f>
        <v>22500410207.059998</v>
      </c>
      <c r="F84" s="23">
        <f t="shared" si="5"/>
        <v>18.387288983508334</v>
      </c>
      <c r="G84" s="296">
        <f>G17+G83</f>
        <v>61895309892.32</v>
      </c>
      <c r="H84" s="297"/>
      <c r="I84" s="23">
        <f t="shared" si="6"/>
        <v>50.580720050907793</v>
      </c>
      <c r="J84" s="215">
        <f t="shared" si="4"/>
        <v>60474062924.089989</v>
      </c>
      <c r="K84" s="283"/>
      <c r="L84" s="283"/>
      <c r="M84" s="326"/>
      <c r="N84" s="330"/>
      <c r="O84" s="330"/>
      <c r="P84" s="330"/>
      <c r="Q84" s="330"/>
    </row>
    <row r="85" spans="1:17" s="3" customFormat="1" ht="15.95" customHeight="1" x14ac:dyDescent="0.25">
      <c r="A85" s="303" t="s">
        <v>83</v>
      </c>
      <c r="B85" s="304"/>
      <c r="C85" s="24">
        <v>0</v>
      </c>
      <c r="D85" s="12">
        <v>0</v>
      </c>
      <c r="E85" s="13">
        <v>0</v>
      </c>
      <c r="F85" s="14">
        <v>0</v>
      </c>
      <c r="G85" s="291">
        <v>0</v>
      </c>
      <c r="H85" s="294"/>
      <c r="I85" s="14">
        <v>0</v>
      </c>
      <c r="J85" s="291">
        <f t="shared" si="4"/>
        <v>0</v>
      </c>
      <c r="K85" s="292"/>
      <c r="L85" s="292"/>
      <c r="M85" s="326"/>
      <c r="N85" s="326"/>
      <c r="O85" s="326"/>
      <c r="P85" s="326"/>
      <c r="Q85" s="326"/>
    </row>
    <row r="86" spans="1:17" s="3" customFormat="1" ht="15.95" customHeight="1" x14ac:dyDescent="0.25">
      <c r="A86" s="161" t="s">
        <v>84</v>
      </c>
      <c r="B86" s="284"/>
      <c r="C86" s="25">
        <v>0</v>
      </c>
      <c r="D86" s="19">
        <v>0</v>
      </c>
      <c r="E86" s="20">
        <v>0</v>
      </c>
      <c r="F86" s="21">
        <v>0</v>
      </c>
      <c r="G86" s="220">
        <v>0</v>
      </c>
      <c r="H86" s="285"/>
      <c r="I86" s="21">
        <v>0</v>
      </c>
      <c r="J86" s="220">
        <f t="shared" si="4"/>
        <v>0</v>
      </c>
      <c r="K86" s="221"/>
      <c r="L86" s="221"/>
      <c r="M86" s="326"/>
      <c r="N86" s="326"/>
      <c r="O86" s="326"/>
      <c r="P86" s="326"/>
      <c r="Q86" s="326"/>
    </row>
    <row r="87" spans="1:17" s="3" customFormat="1" ht="15.95" customHeight="1" x14ac:dyDescent="0.25">
      <c r="A87" s="161" t="s">
        <v>85</v>
      </c>
      <c r="B87" s="284"/>
      <c r="C87" s="25">
        <v>0</v>
      </c>
      <c r="D87" s="19">
        <v>0</v>
      </c>
      <c r="E87" s="20">
        <v>0</v>
      </c>
      <c r="F87" s="21">
        <v>0</v>
      </c>
      <c r="G87" s="220">
        <v>0</v>
      </c>
      <c r="H87" s="285"/>
      <c r="I87" s="21">
        <v>0</v>
      </c>
      <c r="J87" s="220">
        <f t="shared" si="4"/>
        <v>0</v>
      </c>
      <c r="K87" s="221"/>
      <c r="L87" s="221"/>
      <c r="M87" s="326"/>
      <c r="N87" s="331"/>
      <c r="O87" s="326"/>
      <c r="P87" s="326"/>
      <c r="Q87" s="326"/>
    </row>
    <row r="88" spans="1:17" s="3" customFormat="1" ht="15.95" customHeight="1" x14ac:dyDescent="0.25">
      <c r="A88" s="290" t="s">
        <v>86</v>
      </c>
      <c r="B88" s="284"/>
      <c r="C88" s="25">
        <v>0</v>
      </c>
      <c r="D88" s="19">
        <v>0</v>
      </c>
      <c r="E88" s="20">
        <v>0</v>
      </c>
      <c r="F88" s="21">
        <v>0</v>
      </c>
      <c r="G88" s="220">
        <v>0</v>
      </c>
      <c r="H88" s="285"/>
      <c r="I88" s="21">
        <v>0</v>
      </c>
      <c r="J88" s="220">
        <f t="shared" si="4"/>
        <v>0</v>
      </c>
      <c r="K88" s="221"/>
      <c r="L88" s="221"/>
      <c r="M88" s="326"/>
      <c r="N88" s="326"/>
      <c r="O88" s="326"/>
      <c r="P88" s="326"/>
      <c r="Q88" s="326"/>
    </row>
    <row r="89" spans="1:17" s="3" customFormat="1" ht="15.95" customHeight="1" x14ac:dyDescent="0.25">
      <c r="A89" s="161" t="s">
        <v>87</v>
      </c>
      <c r="B89" s="284"/>
      <c r="C89" s="25">
        <v>0</v>
      </c>
      <c r="D89" s="19">
        <v>0</v>
      </c>
      <c r="E89" s="20">
        <v>0</v>
      </c>
      <c r="F89" s="21">
        <v>0</v>
      </c>
      <c r="G89" s="220">
        <v>0</v>
      </c>
      <c r="H89" s="285"/>
      <c r="I89" s="21">
        <v>0</v>
      </c>
      <c r="J89" s="220">
        <f t="shared" si="4"/>
        <v>0</v>
      </c>
      <c r="K89" s="221"/>
      <c r="L89" s="221"/>
      <c r="M89" s="326"/>
      <c r="N89" s="326"/>
      <c r="O89" s="326"/>
      <c r="P89" s="326"/>
      <c r="Q89" s="326"/>
    </row>
    <row r="90" spans="1:17" s="3" customFormat="1" ht="15.95" customHeight="1" x14ac:dyDescent="0.25">
      <c r="A90" s="161" t="s">
        <v>85</v>
      </c>
      <c r="B90" s="284"/>
      <c r="C90" s="25">
        <v>0</v>
      </c>
      <c r="D90" s="19">
        <v>0</v>
      </c>
      <c r="E90" s="20">
        <v>0</v>
      </c>
      <c r="F90" s="21">
        <v>0</v>
      </c>
      <c r="G90" s="220">
        <v>0</v>
      </c>
      <c r="H90" s="285"/>
      <c r="I90" s="21">
        <v>0</v>
      </c>
      <c r="J90" s="220">
        <f t="shared" si="4"/>
        <v>0</v>
      </c>
      <c r="K90" s="221"/>
      <c r="L90" s="221"/>
      <c r="M90" s="326"/>
      <c r="N90" s="326"/>
      <c r="O90" s="326"/>
      <c r="P90" s="326"/>
      <c r="Q90" s="326"/>
    </row>
    <row r="91" spans="1:17" s="3" customFormat="1" ht="15.95" customHeight="1" x14ac:dyDescent="0.25">
      <c r="A91" s="286" t="s">
        <v>86</v>
      </c>
      <c r="B91" s="287"/>
      <c r="C91" s="26">
        <v>0</v>
      </c>
      <c r="D91" s="27">
        <v>0</v>
      </c>
      <c r="E91" s="20">
        <v>0</v>
      </c>
      <c r="F91" s="28">
        <v>0</v>
      </c>
      <c r="G91" s="288">
        <v>0</v>
      </c>
      <c r="H91" s="289"/>
      <c r="I91" s="28">
        <v>0</v>
      </c>
      <c r="J91" s="220">
        <f t="shared" si="4"/>
        <v>0</v>
      </c>
      <c r="K91" s="221"/>
      <c r="L91" s="221"/>
      <c r="M91" s="326"/>
      <c r="N91" s="331"/>
      <c r="O91" s="326"/>
      <c r="P91" s="326"/>
      <c r="Q91" s="326"/>
    </row>
    <row r="92" spans="1:17" s="3" customFormat="1" ht="15.95" customHeight="1" x14ac:dyDescent="0.25">
      <c r="A92" s="280" t="s">
        <v>88</v>
      </c>
      <c r="B92" s="282"/>
      <c r="C92" s="138">
        <f>C84+C85</f>
        <v>107636470637</v>
      </c>
      <c r="D92" s="139">
        <f>D84+D85</f>
        <v>122369372816.40999</v>
      </c>
      <c r="E92" s="137">
        <f>E84+E85</f>
        <v>22500410207.059998</v>
      </c>
      <c r="F92" s="140">
        <f t="shared" si="5"/>
        <v>18.387288983508334</v>
      </c>
      <c r="G92" s="261">
        <f>G84+G85</f>
        <v>61895309892.32</v>
      </c>
      <c r="H92" s="262">
        <f>H84+H85</f>
        <v>0</v>
      </c>
      <c r="I92" s="16">
        <f t="shared" si="6"/>
        <v>50.580720050907793</v>
      </c>
      <c r="J92" s="215">
        <f t="shared" si="4"/>
        <v>60474062924.089989</v>
      </c>
      <c r="K92" s="283"/>
      <c r="L92" s="283"/>
      <c r="M92" s="332"/>
      <c r="N92" s="326"/>
      <c r="O92" s="326"/>
      <c r="P92" s="326"/>
      <c r="Q92" s="326"/>
    </row>
    <row r="93" spans="1:17" s="3" customFormat="1" ht="15.95" customHeight="1" x14ac:dyDescent="0.25">
      <c r="A93" s="280" t="s">
        <v>89</v>
      </c>
      <c r="B93" s="281"/>
      <c r="C93" s="112"/>
      <c r="D93" s="112"/>
      <c r="E93" s="112"/>
      <c r="F93" s="112"/>
      <c r="G93" s="261">
        <f>IF((H124&gt;G92),(H124-G92),0)</f>
        <v>0</v>
      </c>
      <c r="H93" s="262"/>
      <c r="I93" s="113"/>
      <c r="J93" s="224"/>
      <c r="K93" s="225"/>
      <c r="L93" s="225"/>
      <c r="M93" s="332"/>
      <c r="N93" s="326"/>
      <c r="O93" s="326"/>
      <c r="P93" s="326"/>
      <c r="Q93" s="326"/>
    </row>
    <row r="94" spans="1:17" s="3" customFormat="1" ht="15.95" customHeight="1" x14ac:dyDescent="0.25">
      <c r="A94" s="271" t="s">
        <v>90</v>
      </c>
      <c r="B94" s="272"/>
      <c r="C94" s="90">
        <f>C92+C93</f>
        <v>107636470637</v>
      </c>
      <c r="D94" s="91">
        <f>D92+D93</f>
        <v>122369372816.40999</v>
      </c>
      <c r="E94" s="90">
        <f>E92+E93</f>
        <v>22500410207.059998</v>
      </c>
      <c r="F94" s="29">
        <f t="shared" si="5"/>
        <v>18.387288983508334</v>
      </c>
      <c r="G94" s="215">
        <f>G92+G93</f>
        <v>61895309892.32</v>
      </c>
      <c r="H94" s="216"/>
      <c r="I94" s="23">
        <f t="shared" si="6"/>
        <v>50.580720050907793</v>
      </c>
      <c r="J94" s="224"/>
      <c r="K94" s="225"/>
      <c r="L94" s="225"/>
      <c r="M94" s="326"/>
      <c r="N94" s="333"/>
      <c r="O94" s="333"/>
      <c r="P94" s="333"/>
      <c r="Q94" s="333"/>
    </row>
    <row r="95" spans="1:17" s="3" customFormat="1" ht="15.75" customHeight="1" x14ac:dyDescent="0.25">
      <c r="A95" s="276" t="s">
        <v>91</v>
      </c>
      <c r="B95" s="276"/>
      <c r="C95" s="23">
        <f>SUM(C96:C97)</f>
        <v>0</v>
      </c>
      <c r="D95" s="23">
        <f>SUM(D96:D97)</f>
        <v>4529485807.0200005</v>
      </c>
      <c r="E95" s="112"/>
      <c r="F95" s="112"/>
      <c r="G95" s="269">
        <f>SUM(G96:H97)</f>
        <v>4529485807.0200005</v>
      </c>
      <c r="H95" s="270">
        <f>SUM(H96:H97)</f>
        <v>0</v>
      </c>
      <c r="I95" s="113"/>
      <c r="J95" s="224"/>
      <c r="K95" s="225"/>
      <c r="L95" s="225"/>
      <c r="M95" s="334"/>
      <c r="N95" s="333"/>
      <c r="O95" s="333"/>
      <c r="P95" s="333"/>
      <c r="Q95" s="333"/>
    </row>
    <row r="96" spans="1:17" s="3" customFormat="1" ht="15.95" customHeight="1" x14ac:dyDescent="0.25">
      <c r="A96" s="277" t="s">
        <v>92</v>
      </c>
      <c r="B96" s="277"/>
      <c r="C96" s="93">
        <v>0</v>
      </c>
      <c r="D96" s="94">
        <f>G96</f>
        <v>0</v>
      </c>
      <c r="E96" s="112"/>
      <c r="F96" s="112"/>
      <c r="G96" s="224"/>
      <c r="H96" s="273"/>
      <c r="I96" s="113"/>
      <c r="J96" s="224"/>
      <c r="K96" s="225"/>
      <c r="L96" s="225"/>
      <c r="M96" s="334"/>
      <c r="N96" s="333"/>
      <c r="O96" s="333"/>
      <c r="P96" s="333"/>
      <c r="Q96" s="333"/>
    </row>
    <row r="97" spans="1:17" s="3" customFormat="1" ht="15.95" customHeight="1" x14ac:dyDescent="0.25">
      <c r="A97" s="277" t="s">
        <v>93</v>
      </c>
      <c r="B97" s="277"/>
      <c r="C97" s="112"/>
      <c r="D97" s="94">
        <f>G97</f>
        <v>4529485807.0200005</v>
      </c>
      <c r="E97" s="112"/>
      <c r="F97" s="112"/>
      <c r="G97" s="274">
        <v>4529485807.0200005</v>
      </c>
      <c r="H97" s="275"/>
      <c r="I97" s="113"/>
      <c r="J97" s="224"/>
      <c r="K97" s="225"/>
      <c r="L97" s="225"/>
      <c r="M97" s="334"/>
      <c r="N97" s="333"/>
      <c r="O97" s="333"/>
      <c r="P97" s="333"/>
      <c r="Q97" s="333"/>
    </row>
    <row r="98" spans="1:17" ht="12.75" x14ac:dyDescent="0.2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35"/>
      <c r="N98" s="333"/>
      <c r="O98" s="333"/>
      <c r="P98" s="333"/>
      <c r="Q98" s="333"/>
    </row>
    <row r="99" spans="1:17" s="3" customFormat="1" ht="17.25" customHeight="1" x14ac:dyDescent="0.25">
      <c r="A99" s="194" t="s">
        <v>94</v>
      </c>
      <c r="B99" s="68" t="s">
        <v>95</v>
      </c>
      <c r="C99" s="68" t="s">
        <v>95</v>
      </c>
      <c r="D99" s="189" t="s">
        <v>96</v>
      </c>
      <c r="E99" s="190"/>
      <c r="F99" s="69" t="s">
        <v>9</v>
      </c>
      <c r="G99" s="189" t="s">
        <v>97</v>
      </c>
      <c r="H99" s="190"/>
      <c r="I99" s="191"/>
      <c r="J99" s="70" t="s">
        <v>9</v>
      </c>
      <c r="K99" s="202" t="s">
        <v>98</v>
      </c>
      <c r="L99" s="203"/>
      <c r="M99" s="326"/>
      <c r="N99" s="326"/>
      <c r="O99" s="326"/>
      <c r="P99" s="326"/>
      <c r="Q99" s="326"/>
    </row>
    <row r="100" spans="1:17" s="3" customFormat="1" ht="14.25" customHeight="1" x14ac:dyDescent="0.25">
      <c r="A100" s="195"/>
      <c r="B100" s="71" t="s">
        <v>99</v>
      </c>
      <c r="C100" s="71" t="s">
        <v>10</v>
      </c>
      <c r="D100" s="72" t="s">
        <v>100</v>
      </c>
      <c r="E100" s="72" t="s">
        <v>101</v>
      </c>
      <c r="F100" s="73"/>
      <c r="G100" s="72" t="s">
        <v>100</v>
      </c>
      <c r="H100" s="181" t="s">
        <v>101</v>
      </c>
      <c r="I100" s="182"/>
      <c r="J100" s="74"/>
      <c r="K100" s="204"/>
      <c r="L100" s="205"/>
      <c r="M100" s="326"/>
      <c r="N100" s="326"/>
      <c r="O100" s="326"/>
      <c r="P100" s="326"/>
      <c r="Q100" s="326"/>
    </row>
    <row r="101" spans="1:17" s="3" customFormat="1" ht="14.25" customHeight="1" x14ac:dyDescent="0.25">
      <c r="A101" s="195"/>
      <c r="B101" s="71"/>
      <c r="C101" s="71"/>
      <c r="D101" s="73" t="s">
        <v>102</v>
      </c>
      <c r="E101" s="73" t="s">
        <v>102</v>
      </c>
      <c r="F101" s="73"/>
      <c r="G101" s="73" t="s">
        <v>102</v>
      </c>
      <c r="H101" s="183" t="s">
        <v>102</v>
      </c>
      <c r="I101" s="184"/>
      <c r="J101" s="74"/>
      <c r="K101" s="204"/>
      <c r="L101" s="205"/>
      <c r="M101" s="326"/>
      <c r="N101" s="326"/>
      <c r="O101" s="326"/>
      <c r="P101" s="326"/>
      <c r="Q101" s="326"/>
    </row>
    <row r="102" spans="1:17" s="3" customFormat="1" ht="16.5" customHeight="1" x14ac:dyDescent="0.25">
      <c r="A102" s="196"/>
      <c r="B102" s="75" t="s">
        <v>103</v>
      </c>
      <c r="C102" s="75" t="s">
        <v>104</v>
      </c>
      <c r="D102" s="75"/>
      <c r="E102" s="75" t="s">
        <v>105</v>
      </c>
      <c r="F102" s="76" t="s">
        <v>106</v>
      </c>
      <c r="G102" s="75"/>
      <c r="H102" s="199" t="s">
        <v>107</v>
      </c>
      <c r="I102" s="200"/>
      <c r="J102" s="77" t="s">
        <v>108</v>
      </c>
      <c r="K102" s="199" t="s">
        <v>109</v>
      </c>
      <c r="L102" s="201"/>
      <c r="M102" s="326"/>
      <c r="N102" s="326"/>
      <c r="O102" s="326"/>
      <c r="P102" s="326"/>
      <c r="Q102" s="326"/>
    </row>
    <row r="103" spans="1:17" s="3" customFormat="1" ht="15.95" customHeight="1" x14ac:dyDescent="0.25">
      <c r="A103" s="147" t="s">
        <v>110</v>
      </c>
      <c r="B103" s="87">
        <f>B104+B110+B114</f>
        <v>113533443323</v>
      </c>
      <c r="C103" s="87">
        <f>C104+C110+C114</f>
        <v>117971264540.21999</v>
      </c>
      <c r="D103" s="87">
        <f>D104+D110+D114</f>
        <v>18728816182.129997</v>
      </c>
      <c r="E103" s="87">
        <f>E104+E110+E114</f>
        <v>57027873541.169998</v>
      </c>
      <c r="F103" s="87">
        <f>C103-E103</f>
        <v>60943390999.049988</v>
      </c>
      <c r="G103" s="95">
        <f>G104+G110+G114</f>
        <v>18986494979.220001</v>
      </c>
      <c r="H103" s="278">
        <f>H104+H110+H114</f>
        <v>50259636101.090004</v>
      </c>
      <c r="I103" s="279"/>
      <c r="J103" s="84">
        <f t="shared" ref="J103:J108" si="7">C103-H103</f>
        <v>67711628439.129982</v>
      </c>
      <c r="K103" s="240">
        <f>K104+K110+K114</f>
        <v>49101014512.760002</v>
      </c>
      <c r="L103" s="267" t="e">
        <f>L104+L110+L114+#REF!</f>
        <v>#REF!</v>
      </c>
      <c r="M103" s="336"/>
      <c r="N103" s="326"/>
      <c r="O103" s="326"/>
      <c r="P103" s="326"/>
      <c r="Q103" s="326"/>
    </row>
    <row r="104" spans="1:17" s="3" customFormat="1" ht="15.95" customHeight="1" x14ac:dyDescent="0.25">
      <c r="A104" s="1" t="s">
        <v>111</v>
      </c>
      <c r="B104" s="87">
        <f>SUM(B105:B107)</f>
        <v>106197749593</v>
      </c>
      <c r="C104" s="87">
        <f>SUM(C105:C107)</f>
        <v>108492969691.70999</v>
      </c>
      <c r="D104" s="87">
        <f>SUM(D105:D107)</f>
        <v>17007778706.899998</v>
      </c>
      <c r="E104" s="87">
        <f>SUM(E105:E107)</f>
        <v>53323059298.720001</v>
      </c>
      <c r="F104" s="87">
        <f>C104-E104</f>
        <v>55169910392.98999</v>
      </c>
      <c r="G104" s="95">
        <f>SUM(G105:G107)</f>
        <v>17355627780.790001</v>
      </c>
      <c r="H104" s="175">
        <f>SUM(H105:H107)</f>
        <v>47346498280.040001</v>
      </c>
      <c r="I104" s="176"/>
      <c r="J104" s="87">
        <f t="shared" si="7"/>
        <v>61146471411.669991</v>
      </c>
      <c r="K104" s="227">
        <f>SUM(K105:K107)</f>
        <v>46244300906.020004</v>
      </c>
      <c r="L104" s="268">
        <f>SUM(L105:L107)</f>
        <v>0</v>
      </c>
      <c r="M104" s="332"/>
      <c r="N104" s="326"/>
      <c r="O104" s="326"/>
      <c r="P104" s="326"/>
      <c r="Q104" s="326"/>
    </row>
    <row r="105" spans="1:17" s="1" customFormat="1" ht="15.95" customHeight="1" x14ac:dyDescent="0.25">
      <c r="A105" s="3" t="s">
        <v>112</v>
      </c>
      <c r="B105" s="82">
        <v>67494069195</v>
      </c>
      <c r="C105" s="82">
        <v>67148230978.089996</v>
      </c>
      <c r="D105" s="82">
        <f>E105-21378876661.45</f>
        <v>11501508255.529999</v>
      </c>
      <c r="E105" s="82">
        <v>32880384916.98</v>
      </c>
      <c r="F105" s="82">
        <f>C105-E105</f>
        <v>34267846061.109997</v>
      </c>
      <c r="G105" s="98">
        <f>H105-19872580612.52</f>
        <v>11571784627.349998</v>
      </c>
      <c r="H105" s="172">
        <v>31444365239.869999</v>
      </c>
      <c r="I105" s="174"/>
      <c r="J105" s="82">
        <f>C105-H105</f>
        <v>35703865738.220001</v>
      </c>
      <c r="K105" s="162">
        <v>30695294700.470001</v>
      </c>
      <c r="L105" s="266"/>
      <c r="M105" s="36"/>
    </row>
    <row r="106" spans="1:17" s="3" customFormat="1" ht="15.95" customHeight="1" x14ac:dyDescent="0.25">
      <c r="A106" s="3" t="s">
        <v>113</v>
      </c>
      <c r="B106" s="82">
        <v>5474801201</v>
      </c>
      <c r="C106" s="82">
        <v>4636259638.8999996</v>
      </c>
      <c r="D106" s="82">
        <f>E106-1130072871.6</f>
        <v>560089285.96000004</v>
      </c>
      <c r="E106" s="82">
        <v>1690162157.5599999</v>
      </c>
      <c r="F106" s="82">
        <f t="shared" ref="F106:F114" si="8">C106-E106</f>
        <v>2946097481.3399997</v>
      </c>
      <c r="G106" s="98">
        <f>H106-1130068720.33</f>
        <v>560087607.58000016</v>
      </c>
      <c r="H106" s="172">
        <v>1690156327.9100001</v>
      </c>
      <c r="I106" s="174"/>
      <c r="J106" s="82">
        <f>C106-H106</f>
        <v>2946103310.9899998</v>
      </c>
      <c r="K106" s="162">
        <v>1690137993.9000001</v>
      </c>
      <c r="L106" s="266"/>
      <c r="M106" s="37"/>
    </row>
    <row r="107" spans="1:17" s="3" customFormat="1" ht="15.95" customHeight="1" x14ac:dyDescent="0.25">
      <c r="A107" s="3" t="s">
        <v>114</v>
      </c>
      <c r="B107" s="82">
        <f>B108+B109</f>
        <v>33228879197</v>
      </c>
      <c r="C107" s="82">
        <f>C108+C109</f>
        <v>36708479074.720001</v>
      </c>
      <c r="D107" s="82">
        <f>D108+D109</f>
        <v>4946181165.4099998</v>
      </c>
      <c r="E107" s="82">
        <f>E108+E109</f>
        <v>18752512224.18</v>
      </c>
      <c r="F107" s="82">
        <f t="shared" si="8"/>
        <v>17955966850.540001</v>
      </c>
      <c r="G107" s="98">
        <f>G108+G109</f>
        <v>5223755545.8600006</v>
      </c>
      <c r="H107" s="172">
        <f>H108+H109</f>
        <v>14211976712.26</v>
      </c>
      <c r="I107" s="174"/>
      <c r="J107" s="82">
        <f>C107-H107</f>
        <v>22496502362.459999</v>
      </c>
      <c r="K107" s="162">
        <f>K108+K109</f>
        <v>13858868211.65</v>
      </c>
      <c r="L107" s="266"/>
      <c r="M107" s="38"/>
    </row>
    <row r="108" spans="1:17" s="3" customFormat="1" ht="15.95" customHeight="1" x14ac:dyDescent="0.25">
      <c r="A108" s="148" t="s">
        <v>115</v>
      </c>
      <c r="B108" s="82">
        <v>0</v>
      </c>
      <c r="C108" s="82">
        <v>0</v>
      </c>
      <c r="D108" s="82">
        <f>E108</f>
        <v>0</v>
      </c>
      <c r="E108" s="82">
        <v>0</v>
      </c>
      <c r="F108" s="82">
        <f t="shared" si="8"/>
        <v>0</v>
      </c>
      <c r="G108" s="98">
        <f>H108</f>
        <v>0</v>
      </c>
      <c r="H108" s="172">
        <v>0</v>
      </c>
      <c r="I108" s="174"/>
      <c r="J108" s="82">
        <f t="shared" si="7"/>
        <v>0</v>
      </c>
      <c r="K108" s="162">
        <v>0</v>
      </c>
      <c r="L108" s="266"/>
    </row>
    <row r="109" spans="1:17" s="3" customFormat="1" ht="15.95" customHeight="1" x14ac:dyDescent="0.25">
      <c r="A109" s="148" t="s">
        <v>116</v>
      </c>
      <c r="B109" s="82">
        <v>33228879197</v>
      </c>
      <c r="C109" s="82">
        <v>36708479074.720001</v>
      </c>
      <c r="D109" s="82">
        <f>E109-13806331058.77</f>
        <v>4946181165.4099998</v>
      </c>
      <c r="E109" s="82">
        <v>18752512224.18</v>
      </c>
      <c r="F109" s="82">
        <f t="shared" si="8"/>
        <v>17955966850.540001</v>
      </c>
      <c r="G109" s="98">
        <f>H109-8988221166.4</f>
        <v>5223755545.8600006</v>
      </c>
      <c r="H109" s="172">
        <v>14211976712.26</v>
      </c>
      <c r="I109" s="174"/>
      <c r="J109" s="82">
        <f t="shared" ref="J109:J117" si="9">C109-H109</f>
        <v>22496502362.459999</v>
      </c>
      <c r="K109" s="162">
        <v>13858868211.65</v>
      </c>
      <c r="L109" s="266"/>
    </row>
    <row r="110" spans="1:17" s="1" customFormat="1" ht="15.75" x14ac:dyDescent="0.25">
      <c r="A110" s="1" t="s">
        <v>117</v>
      </c>
      <c r="B110" s="87">
        <f>SUM(B111:B113)</f>
        <v>6416035305</v>
      </c>
      <c r="C110" s="87">
        <f>SUM(C111:C113)</f>
        <v>8583103966.5099993</v>
      </c>
      <c r="D110" s="87">
        <f>SUM(D111:D113)</f>
        <v>1721037475.2300003</v>
      </c>
      <c r="E110" s="87">
        <f>SUM(E111:E113)</f>
        <v>3704814242.4500003</v>
      </c>
      <c r="F110" s="87">
        <f t="shared" si="8"/>
        <v>4878289724.0599995</v>
      </c>
      <c r="G110" s="95">
        <f>SUM(G111:G113)</f>
        <v>1630867198.4300001</v>
      </c>
      <c r="H110" s="175">
        <f>SUM(H111:I113)</f>
        <v>2913137821.0500002</v>
      </c>
      <c r="I110" s="176"/>
      <c r="J110" s="87">
        <f t="shared" si="9"/>
        <v>5669966145.4599991</v>
      </c>
      <c r="K110" s="222">
        <f>SUM(K111:K113)</f>
        <v>2856713606.7399998</v>
      </c>
      <c r="L110" s="223"/>
      <c r="N110" s="36"/>
    </row>
    <row r="111" spans="1:17" s="3" customFormat="1" ht="15.95" customHeight="1" x14ac:dyDescent="0.25">
      <c r="A111" s="3" t="s">
        <v>118</v>
      </c>
      <c r="B111" s="82">
        <v>5843780774</v>
      </c>
      <c r="C111" s="82">
        <v>6394957745.3599997</v>
      </c>
      <c r="D111" s="82">
        <f>E111-1729008993</f>
        <v>631539963.17000008</v>
      </c>
      <c r="E111" s="82">
        <v>2360548956.1700001</v>
      </c>
      <c r="F111" s="82">
        <f t="shared" si="8"/>
        <v>4034408789.1899996</v>
      </c>
      <c r="G111" s="98">
        <f>H111-1027696211.89</f>
        <v>546814787.32000005</v>
      </c>
      <c r="H111" s="172">
        <v>1574510999.21</v>
      </c>
      <c r="I111" s="174"/>
      <c r="J111" s="82">
        <f t="shared" si="9"/>
        <v>4820446746.1499996</v>
      </c>
      <c r="K111" s="162">
        <v>1518114507.6800001</v>
      </c>
      <c r="L111" s="266"/>
      <c r="N111" s="37"/>
    </row>
    <row r="112" spans="1:17" s="3" customFormat="1" ht="15.95" customHeight="1" x14ac:dyDescent="0.25">
      <c r="A112" s="3" t="s">
        <v>119</v>
      </c>
      <c r="B112" s="82">
        <v>170116675</v>
      </c>
      <c r="C112" s="82">
        <v>1212120675</v>
      </c>
      <c r="D112" s="82">
        <f>E112-823990</f>
        <v>1039001515.34</v>
      </c>
      <c r="E112" s="82">
        <v>1039825505.34</v>
      </c>
      <c r="F112" s="82">
        <f t="shared" si="8"/>
        <v>172295169.65999997</v>
      </c>
      <c r="G112" s="98">
        <f>H112-745285.32</f>
        <v>1033560462.29</v>
      </c>
      <c r="H112" s="172">
        <v>1034305747.61</v>
      </c>
      <c r="I112" s="174"/>
      <c r="J112" s="82">
        <f t="shared" si="9"/>
        <v>177814927.38999999</v>
      </c>
      <c r="K112" s="162">
        <v>1034305747.61</v>
      </c>
      <c r="L112" s="266"/>
    </row>
    <row r="113" spans="1:17" s="3" customFormat="1" ht="15.95" customHeight="1" x14ac:dyDescent="0.25">
      <c r="A113" s="3" t="s">
        <v>120</v>
      </c>
      <c r="B113" s="82">
        <v>402137856</v>
      </c>
      <c r="C113" s="82">
        <v>976025546.14999998</v>
      </c>
      <c r="D113" s="82">
        <f>E113-253943784.22</f>
        <v>50495996.719999999</v>
      </c>
      <c r="E113" s="82">
        <v>304439780.94</v>
      </c>
      <c r="F113" s="82">
        <f>C113-E113</f>
        <v>671585765.21000004</v>
      </c>
      <c r="G113" s="98">
        <f>H113-253829125.41</f>
        <v>50491948.820000023</v>
      </c>
      <c r="H113" s="172">
        <v>304321074.23000002</v>
      </c>
      <c r="I113" s="174"/>
      <c r="J113" s="82">
        <f t="shared" si="9"/>
        <v>671704471.91999996</v>
      </c>
      <c r="K113" s="162">
        <v>304293351.44999999</v>
      </c>
      <c r="L113" s="266"/>
      <c r="N113" s="37"/>
    </row>
    <row r="114" spans="1:17" s="3" customFormat="1" ht="15.95" customHeight="1" x14ac:dyDescent="0.25">
      <c r="A114" s="1" t="s">
        <v>121</v>
      </c>
      <c r="B114" s="95">
        <v>919658425</v>
      </c>
      <c r="C114" s="95">
        <v>895190882</v>
      </c>
      <c r="D114" s="114"/>
      <c r="E114" s="114"/>
      <c r="F114" s="95">
        <f t="shared" si="8"/>
        <v>895190882</v>
      </c>
      <c r="G114" s="114"/>
      <c r="H114" s="263"/>
      <c r="I114" s="264"/>
      <c r="J114" s="95">
        <f t="shared" si="9"/>
        <v>895190882</v>
      </c>
      <c r="K114" s="263"/>
      <c r="L114" s="265"/>
    </row>
    <row r="115" spans="1:17" s="3" customFormat="1" ht="15.95" customHeight="1" x14ac:dyDescent="0.25">
      <c r="A115" s="1" t="s">
        <v>122</v>
      </c>
      <c r="B115" s="95">
        <f>B214</f>
        <v>8455219897</v>
      </c>
      <c r="C115" s="95">
        <f>C214</f>
        <v>8758689508.4099998</v>
      </c>
      <c r="D115" s="95">
        <f>D214</f>
        <v>1357665904.5099998</v>
      </c>
      <c r="E115" s="95">
        <f>E214</f>
        <v>5099321909.0600004</v>
      </c>
      <c r="F115" s="95">
        <f>C115-E115</f>
        <v>3659367599.3499994</v>
      </c>
      <c r="G115" s="95">
        <f>G214</f>
        <v>1463592676.1399999</v>
      </c>
      <c r="H115" s="175">
        <f>H214</f>
        <v>4850635294.7399998</v>
      </c>
      <c r="I115" s="176"/>
      <c r="J115" s="87">
        <f>C115-H115</f>
        <v>3908054213.6700001</v>
      </c>
      <c r="K115" s="222">
        <f>K214</f>
        <v>3726653179.4099998</v>
      </c>
      <c r="L115" s="223"/>
    </row>
    <row r="116" spans="1:17" s="3" customFormat="1" ht="15.95" customHeight="1" x14ac:dyDescent="0.25">
      <c r="A116" s="149" t="s">
        <v>123</v>
      </c>
      <c r="B116" s="96">
        <f>B103+B115</f>
        <v>121988663220</v>
      </c>
      <c r="C116" s="96">
        <f>C103+C115</f>
        <v>126729954048.62999</v>
      </c>
      <c r="D116" s="109">
        <f>D103+D115</f>
        <v>20086482086.639996</v>
      </c>
      <c r="E116" s="109">
        <f>E103+E115</f>
        <v>62127195450.229996</v>
      </c>
      <c r="F116" s="96">
        <f>C116-E116</f>
        <v>64602758598.399994</v>
      </c>
      <c r="G116" s="96">
        <f>G103+G115</f>
        <v>20450087655.360001</v>
      </c>
      <c r="H116" s="215">
        <f>H103+H115</f>
        <v>55110271395.830002</v>
      </c>
      <c r="I116" s="216" t="e">
        <f>I103+#REF!</f>
        <v>#REF!</v>
      </c>
      <c r="J116" s="84">
        <f t="shared" si="9"/>
        <v>71619682652.799988</v>
      </c>
      <c r="K116" s="218">
        <f>K103+K115</f>
        <v>52827667692.169998</v>
      </c>
      <c r="L116" s="219" t="e">
        <f>L103+#REF!</f>
        <v>#REF!</v>
      </c>
      <c r="M116" s="39"/>
      <c r="N116" s="39"/>
      <c r="O116" s="39"/>
      <c r="P116" s="39"/>
      <c r="Q116" s="39"/>
    </row>
    <row r="117" spans="1:17" s="3" customFormat="1" ht="18.75" customHeight="1" x14ac:dyDescent="0.25">
      <c r="A117" s="150" t="s">
        <v>124</v>
      </c>
      <c r="B117" s="97">
        <f>B118+B121</f>
        <v>4583007776</v>
      </c>
      <c r="C117" s="97">
        <f>C118+C121</f>
        <v>4583007776</v>
      </c>
      <c r="D117" s="107">
        <f>D118+D121</f>
        <v>213860702.25</v>
      </c>
      <c r="E117" s="97">
        <f>E118+E121</f>
        <v>938275248.92999995</v>
      </c>
      <c r="F117" s="97">
        <f t="shared" ref="F117:F122" si="10">C117-E117</f>
        <v>3644732527.0700002</v>
      </c>
      <c r="G117" s="97">
        <f>G118+G121</f>
        <v>213860702.25</v>
      </c>
      <c r="H117" s="242">
        <f>H118+H121</f>
        <v>938275248.92999995</v>
      </c>
      <c r="I117" s="243">
        <f>I118+I121</f>
        <v>0</v>
      </c>
      <c r="J117" s="84">
        <f t="shared" si="9"/>
        <v>3644732527.0700002</v>
      </c>
      <c r="K117" s="267">
        <f>K118+K121</f>
        <v>938275248.92999995</v>
      </c>
      <c r="L117" s="267"/>
      <c r="M117" s="39"/>
      <c r="N117" s="39"/>
      <c r="O117" s="39"/>
      <c r="P117" s="39"/>
      <c r="Q117" s="39"/>
    </row>
    <row r="118" spans="1:17" s="3" customFormat="1" ht="15.95" customHeight="1" x14ac:dyDescent="0.25">
      <c r="A118" s="148" t="s">
        <v>125</v>
      </c>
      <c r="B118" s="98">
        <f>B119+B120</f>
        <v>4583007776</v>
      </c>
      <c r="C118" s="98">
        <f>C119+C120</f>
        <v>4583007776</v>
      </c>
      <c r="D118" s="108">
        <f>D119+D120</f>
        <v>213860702.25</v>
      </c>
      <c r="E118" s="82">
        <f>E119+E120</f>
        <v>938275248.92999995</v>
      </c>
      <c r="F118" s="82">
        <f t="shared" si="10"/>
        <v>3644732527.0700002</v>
      </c>
      <c r="G118" s="98">
        <f>G119+G120</f>
        <v>213860702.25</v>
      </c>
      <c r="H118" s="164">
        <f>H119+H120</f>
        <v>938275248.92999995</v>
      </c>
      <c r="I118" s="165">
        <f>I119+I120</f>
        <v>0</v>
      </c>
      <c r="J118" s="82">
        <f t="shared" ref="J118:J123" si="11">C118-H118</f>
        <v>3644732527.0700002</v>
      </c>
      <c r="K118" s="217">
        <f>K119+K120</f>
        <v>938275248.92999995</v>
      </c>
      <c r="L118" s="217"/>
      <c r="M118" s="39"/>
      <c r="N118" s="39"/>
      <c r="O118" s="39"/>
      <c r="P118" s="39"/>
      <c r="Q118" s="39"/>
    </row>
    <row r="119" spans="1:17" s="3" customFormat="1" ht="15.95" customHeight="1" x14ac:dyDescent="0.25">
      <c r="A119" s="148" t="s">
        <v>126</v>
      </c>
      <c r="B119" s="98">
        <v>0</v>
      </c>
      <c r="C119" s="35">
        <v>0</v>
      </c>
      <c r="D119" s="108">
        <f>E119</f>
        <v>0</v>
      </c>
      <c r="E119" s="98">
        <v>0</v>
      </c>
      <c r="F119" s="82">
        <f t="shared" si="10"/>
        <v>0</v>
      </c>
      <c r="G119" s="98">
        <f>H119</f>
        <v>0</v>
      </c>
      <c r="H119" s="220">
        <v>0</v>
      </c>
      <c r="I119" s="221"/>
      <c r="J119" s="82">
        <f t="shared" si="11"/>
        <v>0</v>
      </c>
      <c r="K119" s="217">
        <v>0</v>
      </c>
      <c r="L119" s="217"/>
    </row>
    <row r="120" spans="1:17" s="3" customFormat="1" ht="15.95" customHeight="1" x14ac:dyDescent="0.25">
      <c r="A120" s="148" t="s">
        <v>127</v>
      </c>
      <c r="B120" s="98">
        <v>4583007776</v>
      </c>
      <c r="C120" s="98">
        <v>4583007776</v>
      </c>
      <c r="D120" s="108">
        <f>E120-724414546.68</f>
        <v>213860702.25</v>
      </c>
      <c r="E120" s="82">
        <v>938275248.92999995</v>
      </c>
      <c r="F120" s="82">
        <f t="shared" si="10"/>
        <v>3644732527.0700002</v>
      </c>
      <c r="G120" s="110">
        <f>H120-724414546.68</f>
        <v>213860702.25</v>
      </c>
      <c r="H120" s="172">
        <v>938275248.92999995</v>
      </c>
      <c r="I120" s="173"/>
      <c r="J120" s="82">
        <f>C120-H120</f>
        <v>3644732527.0700002</v>
      </c>
      <c r="K120" s="217">
        <v>938275248.92999995</v>
      </c>
      <c r="L120" s="217"/>
    </row>
    <row r="121" spans="1:17" s="3" customFormat="1" ht="15.95" customHeight="1" x14ac:dyDescent="0.25">
      <c r="A121" s="148" t="s">
        <v>128</v>
      </c>
      <c r="B121" s="98">
        <f>B122+B123</f>
        <v>0</v>
      </c>
      <c r="C121" s="35">
        <f>C122+C123</f>
        <v>0</v>
      </c>
      <c r="D121" s="108">
        <f>D122+D123</f>
        <v>0</v>
      </c>
      <c r="E121" s="98">
        <f>E122+E123</f>
        <v>0</v>
      </c>
      <c r="F121" s="82">
        <f t="shared" si="10"/>
        <v>0</v>
      </c>
      <c r="G121" s="98">
        <f>G122+G123</f>
        <v>0</v>
      </c>
      <c r="H121" s="220">
        <f>H122+H123</f>
        <v>0</v>
      </c>
      <c r="I121" s="221">
        <f>I122+I123</f>
        <v>0</v>
      </c>
      <c r="J121" s="82">
        <f t="shared" si="11"/>
        <v>0</v>
      </c>
      <c r="K121" s="217">
        <f>K122+K123</f>
        <v>0</v>
      </c>
      <c r="L121" s="217"/>
    </row>
    <row r="122" spans="1:17" s="3" customFormat="1" ht="15.95" customHeight="1" x14ac:dyDescent="0.25">
      <c r="A122" s="148" t="s">
        <v>126</v>
      </c>
      <c r="B122" s="98">
        <v>0</v>
      </c>
      <c r="C122" s="35">
        <v>0</v>
      </c>
      <c r="D122" s="108">
        <f>E122-0</f>
        <v>0</v>
      </c>
      <c r="E122" s="98">
        <v>0</v>
      </c>
      <c r="F122" s="82">
        <f t="shared" si="10"/>
        <v>0</v>
      </c>
      <c r="G122" s="98">
        <f>H122-0</f>
        <v>0</v>
      </c>
      <c r="H122" s="220">
        <v>0</v>
      </c>
      <c r="I122" s="221"/>
      <c r="J122" s="82">
        <f t="shared" si="11"/>
        <v>0</v>
      </c>
      <c r="K122" s="217">
        <v>0</v>
      </c>
      <c r="L122" s="217"/>
    </row>
    <row r="123" spans="1:17" s="3" customFormat="1" ht="15.95" customHeight="1" x14ac:dyDescent="0.25">
      <c r="A123" s="148" t="s">
        <v>127</v>
      </c>
      <c r="B123" s="99">
        <v>0</v>
      </c>
      <c r="C123" s="40">
        <v>0</v>
      </c>
      <c r="D123" s="158">
        <f>E123-0</f>
        <v>0</v>
      </c>
      <c r="E123" s="102">
        <v>0</v>
      </c>
      <c r="F123" s="102">
        <v>0</v>
      </c>
      <c r="G123" s="104">
        <f>H123-0</f>
        <v>0</v>
      </c>
      <c r="H123" s="259">
        <v>0</v>
      </c>
      <c r="I123" s="260"/>
      <c r="J123" s="102">
        <f t="shared" si="11"/>
        <v>0</v>
      </c>
      <c r="K123" s="214">
        <v>0</v>
      </c>
      <c r="L123" s="214"/>
    </row>
    <row r="124" spans="1:17" s="3" customFormat="1" ht="15.95" customHeight="1" x14ac:dyDescent="0.25">
      <c r="A124" s="149" t="s">
        <v>129</v>
      </c>
      <c r="B124" s="91">
        <f t="shared" ref="B124:L124" si="12">B116+B117</f>
        <v>126571670996</v>
      </c>
      <c r="C124" s="101">
        <f>C116+C117</f>
        <v>131312961824.62999</v>
      </c>
      <c r="D124" s="101">
        <f t="shared" si="12"/>
        <v>20300342788.889996</v>
      </c>
      <c r="E124" s="101">
        <f t="shared" si="12"/>
        <v>63065470699.159996</v>
      </c>
      <c r="F124" s="101">
        <f>F116+F117</f>
        <v>68247491125.469994</v>
      </c>
      <c r="G124" s="101">
        <f t="shared" si="12"/>
        <v>20663948357.610001</v>
      </c>
      <c r="H124" s="215">
        <f t="shared" si="12"/>
        <v>56048546644.760002</v>
      </c>
      <c r="I124" s="216" t="e">
        <f t="shared" si="12"/>
        <v>#REF!</v>
      </c>
      <c r="J124" s="103">
        <f t="shared" si="12"/>
        <v>75264415179.869995</v>
      </c>
      <c r="K124" s="218">
        <f t="shared" si="12"/>
        <v>53765942941.099998</v>
      </c>
      <c r="L124" s="219" t="e">
        <f t="shared" si="12"/>
        <v>#REF!</v>
      </c>
      <c r="M124" s="41"/>
      <c r="N124" s="38"/>
    </row>
    <row r="125" spans="1:17" s="3" customFormat="1" ht="15.95" customHeight="1" x14ac:dyDescent="0.25">
      <c r="A125" s="149" t="s">
        <v>130</v>
      </c>
      <c r="B125" s="112"/>
      <c r="C125" s="112"/>
      <c r="D125" s="112"/>
      <c r="E125" s="109">
        <f>IF((E124&lt;G92),(G92-E124),0)</f>
        <v>0</v>
      </c>
      <c r="F125" s="112"/>
      <c r="G125" s="112"/>
      <c r="H125" s="261">
        <f>IF((H124&lt;G92),(G92-H124),0)</f>
        <v>5846763247.5599976</v>
      </c>
      <c r="I125" s="262"/>
      <c r="J125" s="112"/>
      <c r="K125" s="218">
        <f>IF((K124&lt;G92),(G92-K124),0)</f>
        <v>8129366951.2200012</v>
      </c>
      <c r="L125" s="219"/>
      <c r="M125" s="22"/>
    </row>
    <row r="126" spans="1:17" s="3" customFormat="1" ht="15.95" customHeight="1" x14ac:dyDescent="0.25">
      <c r="A126" s="151" t="s">
        <v>131</v>
      </c>
      <c r="B126" s="100">
        <f>B124+B125</f>
        <v>126571670996</v>
      </c>
      <c r="C126" s="101">
        <f>C124+C125</f>
        <v>131312961824.62999</v>
      </c>
      <c r="D126" s="101">
        <f>D124+D125</f>
        <v>20300342788.889996</v>
      </c>
      <c r="E126" s="101">
        <f>E124+E125</f>
        <v>63065470699.159996</v>
      </c>
      <c r="F126" s="112"/>
      <c r="G126" s="96">
        <f>G124+G125</f>
        <v>20663948357.610001</v>
      </c>
      <c r="H126" s="215">
        <f>H124+H125</f>
        <v>61895309892.32</v>
      </c>
      <c r="I126" s="216"/>
      <c r="J126" s="112"/>
      <c r="K126" s="218">
        <f>K124+K125</f>
        <v>61895309892.32</v>
      </c>
      <c r="L126" s="219"/>
    </row>
    <row r="127" spans="1:17" s="3" customFormat="1" ht="15.95" customHeight="1" x14ac:dyDescent="0.25">
      <c r="A127" s="151" t="s">
        <v>132</v>
      </c>
      <c r="B127" s="116">
        <v>895180882</v>
      </c>
      <c r="C127" s="127">
        <v>895180882</v>
      </c>
      <c r="D127" s="112"/>
      <c r="E127" s="112"/>
      <c r="F127" s="111">
        <f>C127-E127</f>
        <v>895180882</v>
      </c>
      <c r="G127" s="112"/>
      <c r="H127" s="226"/>
      <c r="I127" s="226"/>
      <c r="J127" s="115">
        <f>C127-H127</f>
        <v>895180882</v>
      </c>
      <c r="K127" s="224"/>
      <c r="L127" s="225"/>
    </row>
    <row r="128" spans="1:17" ht="15.75" x14ac:dyDescent="0.25">
      <c r="A128" s="42"/>
      <c r="B128" s="43"/>
      <c r="C128" s="43"/>
      <c r="D128" s="44"/>
      <c r="E128" s="44"/>
      <c r="F128" s="43"/>
      <c r="G128" s="44"/>
      <c r="H128" s="45"/>
      <c r="I128" s="45"/>
      <c r="J128" s="45"/>
      <c r="K128" s="45"/>
      <c r="L128" s="46" t="s">
        <v>133</v>
      </c>
      <c r="M128" s="125"/>
    </row>
    <row r="129" spans="1:13" ht="15" x14ac:dyDescent="0.25">
      <c r="A129" s="42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</row>
    <row r="130" spans="1:13" ht="12.75" x14ac:dyDescent="0.2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</row>
    <row r="131" spans="1:13" ht="15.75" x14ac:dyDescent="0.2">
      <c r="A131" s="30"/>
      <c r="B131" s="31"/>
      <c r="C131" s="31"/>
      <c r="D131" s="32"/>
      <c r="E131" s="32"/>
      <c r="F131" s="31"/>
      <c r="G131" s="32"/>
      <c r="H131" s="33"/>
      <c r="I131" s="33"/>
      <c r="J131" s="33"/>
      <c r="K131" s="33"/>
      <c r="L131" s="34"/>
    </row>
    <row r="132" spans="1:13" ht="15.75" x14ac:dyDescent="0.2">
      <c r="A132" s="30"/>
      <c r="B132" s="31"/>
      <c r="C132" s="31"/>
      <c r="D132" s="32"/>
      <c r="E132" s="32"/>
      <c r="F132" s="31"/>
      <c r="G132" s="32"/>
      <c r="H132" s="33"/>
      <c r="I132" s="33"/>
      <c r="J132" s="33"/>
      <c r="K132" s="33"/>
      <c r="L132" s="46" t="s">
        <v>134</v>
      </c>
    </row>
    <row r="133" spans="1:13" ht="16.5" x14ac:dyDescent="0.25">
      <c r="A133" s="208" t="str">
        <f>A6</f>
        <v>GOVERNO DO ESTADO DO RIO DE JANEIRO</v>
      </c>
      <c r="B133" s="208"/>
      <c r="C133" s="208"/>
      <c r="D133" s="208"/>
      <c r="E133" s="208"/>
      <c r="F133" s="208"/>
      <c r="G133" s="208"/>
      <c r="H133" s="208"/>
      <c r="I133" s="208"/>
      <c r="J133" s="208"/>
      <c r="K133" s="208"/>
      <c r="L133" s="208"/>
    </row>
    <row r="134" spans="1:13" ht="16.5" x14ac:dyDescent="0.25">
      <c r="A134" s="209" t="str">
        <f>A7</f>
        <v>RELATÓRIO RESUMIDO DA EXECUÇÃO ORÇAMENTÁRIA</v>
      </c>
      <c r="B134" s="208"/>
      <c r="C134" s="208"/>
      <c r="D134" s="208"/>
      <c r="E134" s="208"/>
      <c r="F134" s="208"/>
      <c r="G134" s="208"/>
      <c r="H134" s="208"/>
      <c r="I134" s="208"/>
      <c r="J134" s="208"/>
      <c r="K134" s="208"/>
      <c r="L134" s="208"/>
    </row>
    <row r="135" spans="1:13" ht="16.5" x14ac:dyDescent="0.25">
      <c r="A135" s="258" t="str">
        <f>A8</f>
        <v>BALANÇO ORÇAMENTÁRIO</v>
      </c>
      <c r="B135" s="258"/>
      <c r="C135" s="258"/>
      <c r="D135" s="258"/>
      <c r="E135" s="258"/>
      <c r="F135" s="258"/>
      <c r="G135" s="258"/>
      <c r="H135" s="258"/>
      <c r="I135" s="258"/>
      <c r="J135" s="258"/>
      <c r="K135" s="258"/>
      <c r="L135" s="258"/>
    </row>
    <row r="136" spans="1:13" ht="16.5" x14ac:dyDescent="0.25">
      <c r="A136" s="208" t="str">
        <f>A9</f>
        <v>ORÇAMENTOS FISCAL E DA SEGURIDADE SOCIAL</v>
      </c>
      <c r="B136" s="208"/>
      <c r="C136" s="208"/>
      <c r="D136" s="208"/>
      <c r="E136" s="208"/>
      <c r="F136" s="208"/>
      <c r="G136" s="208"/>
      <c r="H136" s="208"/>
      <c r="I136" s="208"/>
      <c r="J136" s="208"/>
      <c r="K136" s="208"/>
      <c r="L136" s="208"/>
    </row>
    <row r="137" spans="1:13" ht="16.5" x14ac:dyDescent="0.25">
      <c r="A137" s="209" t="str">
        <f>A10</f>
        <v>JANEIRO A JUNHO 2026/BIMESTRE MAIO - JUNHO</v>
      </c>
      <c r="B137" s="208"/>
      <c r="C137" s="208"/>
      <c r="D137" s="208"/>
      <c r="E137" s="208"/>
      <c r="F137" s="208"/>
      <c r="G137" s="208"/>
      <c r="H137" s="208"/>
      <c r="I137" s="208"/>
      <c r="J137" s="208"/>
      <c r="K137" s="208"/>
      <c r="L137" s="208"/>
    </row>
    <row r="138" spans="1:13" ht="16.5" x14ac:dyDescent="0.25">
      <c r="A138" s="47"/>
      <c r="B138" s="126"/>
      <c r="C138" s="126"/>
      <c r="D138" s="126"/>
      <c r="E138" s="126"/>
      <c r="F138" s="126"/>
      <c r="G138" s="126"/>
      <c r="H138" s="126"/>
      <c r="I138" s="126"/>
      <c r="J138" s="126"/>
      <c r="K138" s="126"/>
      <c r="L138" s="126"/>
      <c r="M138" s="126"/>
    </row>
    <row r="139" spans="1:13" ht="15.75" x14ac:dyDescent="0.25">
      <c r="A139" s="48"/>
      <c r="B139" s="48"/>
      <c r="C139" s="66"/>
      <c r="D139" s="66"/>
      <c r="E139" s="66"/>
      <c r="F139" s="66"/>
      <c r="G139" s="66"/>
      <c r="H139" s="66"/>
      <c r="I139" s="66"/>
      <c r="J139" s="49"/>
      <c r="K139" s="49"/>
      <c r="L139" s="81" t="str">
        <f>L12</f>
        <v>Emissão: 17/07/2026</v>
      </c>
    </row>
    <row r="140" spans="1:13" ht="15.75" x14ac:dyDescent="0.25">
      <c r="A140" s="50" t="str">
        <f>A13</f>
        <v>RREO - Anexo 1 (LRF, Art. 52, inciso I, alíneas "a" e "b" do inciso II e §1º)</v>
      </c>
      <c r="B140" s="51"/>
      <c r="C140" s="80"/>
      <c r="D140" s="80"/>
      <c r="E140" s="80"/>
      <c r="F140" s="80"/>
      <c r="G140" s="80"/>
      <c r="H140" s="80"/>
      <c r="I140" s="49"/>
      <c r="J140" s="52"/>
      <c r="K140" s="51"/>
      <c r="L140" s="52">
        <v>1</v>
      </c>
    </row>
    <row r="141" spans="1:13" ht="15.75" x14ac:dyDescent="0.25">
      <c r="A141" s="254" t="s">
        <v>135</v>
      </c>
      <c r="B141" s="194"/>
      <c r="C141" s="244" t="s">
        <v>6</v>
      </c>
      <c r="D141" s="62" t="s">
        <v>7</v>
      </c>
      <c r="E141" s="247" t="s">
        <v>8</v>
      </c>
      <c r="F141" s="248"/>
      <c r="G141" s="248"/>
      <c r="H141" s="248"/>
      <c r="I141" s="249"/>
      <c r="J141" s="250" t="s">
        <v>9</v>
      </c>
      <c r="K141" s="257"/>
      <c r="L141" s="257"/>
    </row>
    <row r="142" spans="1:13" ht="15.75" x14ac:dyDescent="0.25">
      <c r="A142" s="255"/>
      <c r="B142" s="195"/>
      <c r="C142" s="245"/>
      <c r="D142" s="63" t="s">
        <v>10</v>
      </c>
      <c r="E142" s="62" t="s">
        <v>11</v>
      </c>
      <c r="F142" s="64" t="s">
        <v>12</v>
      </c>
      <c r="G142" s="250" t="s">
        <v>13</v>
      </c>
      <c r="H142" s="251"/>
      <c r="I142" s="64" t="s">
        <v>12</v>
      </c>
      <c r="J142" s="252"/>
      <c r="K142" s="253"/>
      <c r="L142" s="253"/>
    </row>
    <row r="143" spans="1:13" ht="15.75" x14ac:dyDescent="0.25">
      <c r="A143" s="256"/>
      <c r="B143" s="196"/>
      <c r="C143" s="246"/>
      <c r="D143" s="65" t="s">
        <v>14</v>
      </c>
      <c r="E143" s="65" t="s">
        <v>15</v>
      </c>
      <c r="F143" s="65" t="s">
        <v>16</v>
      </c>
      <c r="G143" s="212" t="s">
        <v>17</v>
      </c>
      <c r="H143" s="213"/>
      <c r="I143" s="65" t="s">
        <v>18</v>
      </c>
      <c r="J143" s="212" t="s">
        <v>19</v>
      </c>
      <c r="K143" s="314"/>
      <c r="L143" s="314"/>
    </row>
    <row r="144" spans="1:13" ht="15.75" x14ac:dyDescent="0.25">
      <c r="A144" s="238" t="s">
        <v>81</v>
      </c>
      <c r="B144" s="239"/>
      <c r="C144" s="83">
        <f>C145+C185</f>
        <v>8455219897</v>
      </c>
      <c r="D144" s="84">
        <f>D145+D185</f>
        <v>8837822459.7600002</v>
      </c>
      <c r="E144" s="85">
        <f>E145+E185</f>
        <v>1462824316.1699998</v>
      </c>
      <c r="F144" s="14">
        <f t="shared" ref="F144:F203" si="13">(E144/D144)*100</f>
        <v>16.55186357081136</v>
      </c>
      <c r="G144" s="240">
        <f>G145+G185</f>
        <v>4123248607.7799997</v>
      </c>
      <c r="H144" s="241"/>
      <c r="I144" s="14">
        <f>(G144/D144)*100</f>
        <v>46.654576130645317</v>
      </c>
      <c r="J144" s="242">
        <f>D144-G144</f>
        <v>4714573851.9800005</v>
      </c>
      <c r="K144" s="243"/>
      <c r="L144" s="243"/>
    </row>
    <row r="145" spans="1:12" ht="15.75" x14ac:dyDescent="0.25">
      <c r="A145" s="171" t="s">
        <v>21</v>
      </c>
      <c r="B145" s="171"/>
      <c r="C145" s="86">
        <f>C146+C150+C155+C163+C164+C165+C171+C179</f>
        <v>8455219897</v>
      </c>
      <c r="D145" s="87">
        <f>D146+D150+D155+D163+D164+D165+D171+D179</f>
        <v>8837774247.4500008</v>
      </c>
      <c r="E145" s="85">
        <f>E146+E150+E155+E163+E164+E165+E171+E179</f>
        <v>1462807136.2699997</v>
      </c>
      <c r="F145" s="16">
        <f t="shared" si="13"/>
        <v>16.551759473739324</v>
      </c>
      <c r="G145" s="227">
        <f>G146+G150+G155+G163+G164+G165+G171+G179</f>
        <v>4123190936.4199996</v>
      </c>
      <c r="H145" s="228"/>
      <c r="I145" s="16">
        <f t="shared" ref="I145:I203" si="14">(G145/D145)*100</f>
        <v>46.654178087991788</v>
      </c>
      <c r="J145" s="229">
        <f t="shared" ref="J145:J208" si="15">D145-G145</f>
        <v>4714583311.0300007</v>
      </c>
      <c r="K145" s="230"/>
      <c r="L145" s="230"/>
    </row>
    <row r="146" spans="1:12" ht="15.75" x14ac:dyDescent="0.25">
      <c r="A146" s="161" t="s">
        <v>22</v>
      </c>
      <c r="B146" s="161"/>
      <c r="C146" s="88">
        <f>C147+C148+C149</f>
        <v>0</v>
      </c>
      <c r="D146" s="82">
        <f>D147+D148+D149</f>
        <v>0</v>
      </c>
      <c r="E146" s="89">
        <f>E147+E148+E149</f>
        <v>0</v>
      </c>
      <c r="F146" s="21">
        <v>0</v>
      </c>
      <c r="G146" s="231">
        <f>G147+G148+G149</f>
        <v>0</v>
      </c>
      <c r="H146" s="232" t="e">
        <f>H147+H148+#REF!</f>
        <v>#REF!</v>
      </c>
      <c r="I146" s="21">
        <v>0</v>
      </c>
      <c r="J146" s="164">
        <f t="shared" si="15"/>
        <v>0</v>
      </c>
      <c r="K146" s="165"/>
      <c r="L146" s="165"/>
    </row>
    <row r="147" spans="1:12" ht="15.75" x14ac:dyDescent="0.25">
      <c r="A147" s="161" t="s">
        <v>136</v>
      </c>
      <c r="B147" s="161"/>
      <c r="C147" s="88">
        <v>0</v>
      </c>
      <c r="D147" s="82">
        <v>0</v>
      </c>
      <c r="E147" s="89">
        <f>G147</f>
        <v>0</v>
      </c>
      <c r="F147" s="21">
        <v>0</v>
      </c>
      <c r="G147" s="162">
        <v>0</v>
      </c>
      <c r="H147" s="163"/>
      <c r="I147" s="21">
        <v>0</v>
      </c>
      <c r="J147" s="164">
        <f t="shared" si="15"/>
        <v>0</v>
      </c>
      <c r="K147" s="165"/>
      <c r="L147" s="165"/>
    </row>
    <row r="148" spans="1:12" ht="15.75" x14ac:dyDescent="0.25">
      <c r="A148" s="161" t="s">
        <v>137</v>
      </c>
      <c r="B148" s="161"/>
      <c r="C148" s="88">
        <v>0</v>
      </c>
      <c r="D148" s="82">
        <v>0</v>
      </c>
      <c r="E148" s="89">
        <f>G148</f>
        <v>0</v>
      </c>
      <c r="F148" s="21">
        <v>0</v>
      </c>
      <c r="G148" s="162">
        <v>0</v>
      </c>
      <c r="H148" s="163"/>
      <c r="I148" s="21">
        <v>0</v>
      </c>
      <c r="J148" s="164">
        <f t="shared" si="15"/>
        <v>0</v>
      </c>
      <c r="K148" s="165"/>
      <c r="L148" s="165"/>
    </row>
    <row r="149" spans="1:12" ht="15.75" x14ac:dyDescent="0.25">
      <c r="A149" s="235" t="s">
        <v>25</v>
      </c>
      <c r="B149" s="235"/>
      <c r="C149" s="88">
        <v>0</v>
      </c>
      <c r="D149" s="82">
        <v>0</v>
      </c>
      <c r="E149" s="89">
        <f>G149</f>
        <v>0</v>
      </c>
      <c r="F149" s="21">
        <v>0</v>
      </c>
      <c r="G149" s="162">
        <v>0</v>
      </c>
      <c r="H149" s="163"/>
      <c r="I149" s="21">
        <v>0</v>
      </c>
      <c r="J149" s="164">
        <f t="shared" si="15"/>
        <v>0</v>
      </c>
      <c r="K149" s="165"/>
      <c r="L149" s="165"/>
    </row>
    <row r="150" spans="1:12" ht="15.75" x14ac:dyDescent="0.25">
      <c r="A150" s="161" t="s">
        <v>26</v>
      </c>
      <c r="B150" s="161"/>
      <c r="C150" s="88">
        <f>C152+C151+C153+C154</f>
        <v>3552275817</v>
      </c>
      <c r="D150" s="82">
        <f>D152+D151+D153+D154</f>
        <v>3751827697.1999998</v>
      </c>
      <c r="E150" s="89">
        <f>E152+E151+E153+E154</f>
        <v>539289671.3599999</v>
      </c>
      <c r="F150" s="21">
        <f t="shared" si="13"/>
        <v>14.374052192281466</v>
      </c>
      <c r="G150" s="231">
        <f>G151+G152+G153+G154</f>
        <v>1701642273.6199999</v>
      </c>
      <c r="H150" s="232"/>
      <c r="I150" s="21">
        <f t="shared" si="14"/>
        <v>45.355021897459217</v>
      </c>
      <c r="J150" s="164">
        <f t="shared" si="15"/>
        <v>2050185423.5799999</v>
      </c>
      <c r="K150" s="165"/>
      <c r="L150" s="165"/>
    </row>
    <row r="151" spans="1:12" ht="15.75" x14ac:dyDescent="0.25">
      <c r="A151" s="161" t="s">
        <v>27</v>
      </c>
      <c r="B151" s="161"/>
      <c r="C151" s="132">
        <v>3552275817</v>
      </c>
      <c r="D151" s="133">
        <v>3751827697.1999998</v>
      </c>
      <c r="E151" s="89">
        <f>G151-1162352602.26</f>
        <v>539289671.3599999</v>
      </c>
      <c r="F151" s="21">
        <f t="shared" si="13"/>
        <v>14.374052192281466</v>
      </c>
      <c r="G151" s="162">
        <v>1701642273.6199999</v>
      </c>
      <c r="H151" s="163"/>
      <c r="I151" s="21">
        <f t="shared" si="14"/>
        <v>45.355021897459217</v>
      </c>
      <c r="J151" s="164">
        <f t="shared" si="15"/>
        <v>2050185423.5799999</v>
      </c>
      <c r="K151" s="165"/>
      <c r="L151" s="165"/>
    </row>
    <row r="152" spans="1:12" ht="15.75" x14ac:dyDescent="0.25">
      <c r="A152" s="161" t="s">
        <v>28</v>
      </c>
      <c r="B152" s="161"/>
      <c r="C152" s="88">
        <v>0</v>
      </c>
      <c r="D152" s="82">
        <v>0</v>
      </c>
      <c r="E152" s="89">
        <f>G152</f>
        <v>0</v>
      </c>
      <c r="F152" s="21">
        <v>0</v>
      </c>
      <c r="G152" s="162">
        <v>0</v>
      </c>
      <c r="H152" s="163"/>
      <c r="I152" s="21">
        <v>0</v>
      </c>
      <c r="J152" s="164">
        <f t="shared" si="15"/>
        <v>0</v>
      </c>
      <c r="K152" s="165"/>
      <c r="L152" s="165"/>
    </row>
    <row r="153" spans="1:12" ht="15.75" x14ac:dyDescent="0.25">
      <c r="A153" s="161" t="s">
        <v>29</v>
      </c>
      <c r="B153" s="161"/>
      <c r="C153" s="88">
        <v>0</v>
      </c>
      <c r="D153" s="82">
        <v>0</v>
      </c>
      <c r="E153" s="89">
        <f>G153</f>
        <v>0</v>
      </c>
      <c r="F153" s="21">
        <v>0</v>
      </c>
      <c r="G153" s="162">
        <v>0</v>
      </c>
      <c r="H153" s="163"/>
      <c r="I153" s="21">
        <v>0</v>
      </c>
      <c r="J153" s="172">
        <f t="shared" si="15"/>
        <v>0</v>
      </c>
      <c r="K153" s="173"/>
      <c r="L153" s="173"/>
    </row>
    <row r="154" spans="1:12" ht="15.75" x14ac:dyDescent="0.25">
      <c r="A154" s="161" t="s">
        <v>30</v>
      </c>
      <c r="B154" s="161"/>
      <c r="C154" s="88">
        <v>0</v>
      </c>
      <c r="D154" s="82">
        <v>0</v>
      </c>
      <c r="E154" s="89">
        <f>G154</f>
        <v>0</v>
      </c>
      <c r="F154" s="21">
        <v>0</v>
      </c>
      <c r="G154" s="162">
        <v>0</v>
      </c>
      <c r="H154" s="163"/>
      <c r="I154" s="21">
        <v>0</v>
      </c>
      <c r="J154" s="172">
        <f t="shared" si="15"/>
        <v>0</v>
      </c>
      <c r="K154" s="173"/>
      <c r="L154" s="173"/>
    </row>
    <row r="155" spans="1:12" ht="15.75" x14ac:dyDescent="0.25">
      <c r="A155" s="161" t="s">
        <v>31</v>
      </c>
      <c r="B155" s="161"/>
      <c r="C155" s="88">
        <f>SUM(C156:C162)</f>
        <v>14988149</v>
      </c>
      <c r="D155" s="82">
        <f>SUM(D156:D162)</f>
        <v>11828505.449999999</v>
      </c>
      <c r="E155" s="89">
        <f>SUM(E156:E162)</f>
        <v>1571181.33</v>
      </c>
      <c r="F155" s="21">
        <f t="shared" si="13"/>
        <v>13.283008040546662</v>
      </c>
      <c r="G155" s="231">
        <f>SUM(G156:H162)</f>
        <v>5275800.92</v>
      </c>
      <c r="H155" s="232">
        <f>SUM(H156:H162)</f>
        <v>0</v>
      </c>
      <c r="I155" s="21">
        <f t="shared" si="14"/>
        <v>44.602430478653581</v>
      </c>
      <c r="J155" s="164">
        <f t="shared" si="15"/>
        <v>6552704.5299999993</v>
      </c>
      <c r="K155" s="165"/>
      <c r="L155" s="165"/>
    </row>
    <row r="156" spans="1:12" ht="15.75" x14ac:dyDescent="0.25">
      <c r="A156" s="161" t="s">
        <v>32</v>
      </c>
      <c r="B156" s="161"/>
      <c r="C156" s="132">
        <v>14988149</v>
      </c>
      <c r="D156" s="133">
        <v>11828339.689999999</v>
      </c>
      <c r="E156" s="89">
        <f>G156-3704453.83</f>
        <v>1571181.33</v>
      </c>
      <c r="F156" s="21">
        <f t="shared" si="13"/>
        <v>13.283194185979621</v>
      </c>
      <c r="G156" s="162">
        <v>5275635.16</v>
      </c>
      <c r="H156" s="163"/>
      <c r="I156" s="21">
        <f t="shared" si="14"/>
        <v>44.601654148131757</v>
      </c>
      <c r="J156" s="164">
        <f t="shared" si="15"/>
        <v>6552704.5299999993</v>
      </c>
      <c r="K156" s="165"/>
      <c r="L156" s="165"/>
    </row>
    <row r="157" spans="1:12" ht="15.75" x14ac:dyDescent="0.25">
      <c r="A157" s="161" t="s">
        <v>33</v>
      </c>
      <c r="B157" s="161"/>
      <c r="C157" s="88">
        <v>0</v>
      </c>
      <c r="D157" s="82">
        <v>0</v>
      </c>
      <c r="E157" s="89">
        <f t="shared" ref="E157:E164" si="16">G157</f>
        <v>0</v>
      </c>
      <c r="F157" s="21">
        <v>0</v>
      </c>
      <c r="G157" s="162">
        <v>0</v>
      </c>
      <c r="H157" s="163"/>
      <c r="I157" s="21">
        <v>0</v>
      </c>
      <c r="J157" s="164">
        <f t="shared" si="15"/>
        <v>0</v>
      </c>
      <c r="K157" s="165"/>
      <c r="L157" s="165"/>
    </row>
    <row r="158" spans="1:12" ht="15.75" x14ac:dyDescent="0.25">
      <c r="A158" s="161" t="s">
        <v>34</v>
      </c>
      <c r="B158" s="161"/>
      <c r="C158" s="88">
        <v>0</v>
      </c>
      <c r="D158" s="82">
        <v>0</v>
      </c>
      <c r="E158" s="89">
        <f t="shared" si="16"/>
        <v>0</v>
      </c>
      <c r="F158" s="21">
        <v>0</v>
      </c>
      <c r="G158" s="162">
        <v>0</v>
      </c>
      <c r="H158" s="163"/>
      <c r="I158" s="21">
        <v>0</v>
      </c>
      <c r="J158" s="164">
        <f t="shared" si="15"/>
        <v>0</v>
      </c>
      <c r="K158" s="165"/>
      <c r="L158" s="165"/>
    </row>
    <row r="159" spans="1:12" ht="15.75" x14ac:dyDescent="0.25">
      <c r="A159" s="161" t="s">
        <v>35</v>
      </c>
      <c r="B159" s="161"/>
      <c r="C159" s="88">
        <v>0</v>
      </c>
      <c r="D159" s="82">
        <v>165.76</v>
      </c>
      <c r="E159" s="89">
        <f>G159-165.76</f>
        <v>0</v>
      </c>
      <c r="F159" s="21">
        <v>0</v>
      </c>
      <c r="G159" s="162">
        <v>165.76</v>
      </c>
      <c r="H159" s="163"/>
      <c r="I159" s="21">
        <v>0</v>
      </c>
      <c r="J159" s="164">
        <f t="shared" si="15"/>
        <v>0</v>
      </c>
      <c r="K159" s="165"/>
      <c r="L159" s="165"/>
    </row>
    <row r="160" spans="1:12" ht="15" customHeight="1" x14ac:dyDescent="0.25">
      <c r="A160" s="161" t="s">
        <v>36</v>
      </c>
      <c r="B160" s="161"/>
      <c r="C160" s="88">
        <v>0</v>
      </c>
      <c r="D160" s="82">
        <v>0</v>
      </c>
      <c r="E160" s="89">
        <f t="shared" si="16"/>
        <v>0</v>
      </c>
      <c r="F160" s="21">
        <v>0</v>
      </c>
      <c r="G160" s="162">
        <v>0</v>
      </c>
      <c r="H160" s="163"/>
      <c r="I160" s="21">
        <v>0</v>
      </c>
      <c r="J160" s="164">
        <f t="shared" si="15"/>
        <v>0</v>
      </c>
      <c r="K160" s="165"/>
      <c r="L160" s="165"/>
    </row>
    <row r="161" spans="1:18" ht="15.75" x14ac:dyDescent="0.25">
      <c r="A161" s="161" t="s">
        <v>37</v>
      </c>
      <c r="B161" s="161"/>
      <c r="C161" s="88">
        <v>0</v>
      </c>
      <c r="D161" s="82">
        <v>0</v>
      </c>
      <c r="E161" s="89">
        <f t="shared" si="16"/>
        <v>0</v>
      </c>
      <c r="F161" s="21">
        <v>0</v>
      </c>
      <c r="G161" s="162">
        <v>0</v>
      </c>
      <c r="H161" s="163"/>
      <c r="I161" s="21">
        <v>0</v>
      </c>
      <c r="J161" s="164">
        <f t="shared" si="15"/>
        <v>0</v>
      </c>
      <c r="K161" s="165"/>
      <c r="L161" s="165"/>
      <c r="N161" s="155"/>
      <c r="O161" s="155"/>
      <c r="P161" s="155"/>
      <c r="Q161" s="155"/>
      <c r="R161" s="155"/>
    </row>
    <row r="162" spans="1:18" ht="15.75" customHeight="1" x14ac:dyDescent="0.25">
      <c r="A162" s="161" t="s">
        <v>38</v>
      </c>
      <c r="B162" s="161"/>
      <c r="C162" s="88">
        <v>0</v>
      </c>
      <c r="D162" s="82">
        <v>0</v>
      </c>
      <c r="E162" s="89">
        <f>G162-0</f>
        <v>0</v>
      </c>
      <c r="F162" s="21">
        <v>0</v>
      </c>
      <c r="G162" s="162">
        <v>0</v>
      </c>
      <c r="H162" s="163"/>
      <c r="I162" s="21">
        <v>0</v>
      </c>
      <c r="J162" s="164">
        <f t="shared" si="15"/>
        <v>0</v>
      </c>
      <c r="K162" s="165"/>
      <c r="L162" s="165"/>
      <c r="N162" s="155"/>
      <c r="O162" s="155"/>
      <c r="P162" s="155"/>
      <c r="Q162" s="155"/>
      <c r="R162" s="155"/>
    </row>
    <row r="163" spans="1:18" ht="15.75" x14ac:dyDescent="0.25">
      <c r="A163" s="161" t="s">
        <v>39</v>
      </c>
      <c r="B163" s="161"/>
      <c r="C163" s="88">
        <v>0</v>
      </c>
      <c r="D163" s="82">
        <v>0</v>
      </c>
      <c r="E163" s="89">
        <f t="shared" si="16"/>
        <v>0</v>
      </c>
      <c r="F163" s="21">
        <v>0</v>
      </c>
      <c r="G163" s="231">
        <v>0</v>
      </c>
      <c r="H163" s="232"/>
      <c r="I163" s="21">
        <v>0</v>
      </c>
      <c r="J163" s="164">
        <f t="shared" si="15"/>
        <v>0</v>
      </c>
      <c r="K163" s="165"/>
      <c r="L163" s="165"/>
      <c r="N163" s="155"/>
      <c r="O163" s="155"/>
      <c r="P163" s="155"/>
      <c r="Q163" s="155"/>
      <c r="R163" s="155"/>
    </row>
    <row r="164" spans="1:18" ht="15.75" x14ac:dyDescent="0.25">
      <c r="A164" s="161" t="s">
        <v>40</v>
      </c>
      <c r="B164" s="161"/>
      <c r="C164" s="88">
        <v>0</v>
      </c>
      <c r="D164" s="82">
        <v>0</v>
      </c>
      <c r="E164" s="89">
        <f t="shared" si="16"/>
        <v>0</v>
      </c>
      <c r="F164" s="21">
        <v>0</v>
      </c>
      <c r="G164" s="231">
        <v>0</v>
      </c>
      <c r="H164" s="232"/>
      <c r="I164" s="21">
        <v>0</v>
      </c>
      <c r="J164" s="164">
        <f t="shared" si="15"/>
        <v>0</v>
      </c>
      <c r="K164" s="165"/>
      <c r="L164" s="165"/>
    </row>
    <row r="165" spans="1:18" ht="15.75" x14ac:dyDescent="0.25">
      <c r="A165" s="161" t="s">
        <v>41</v>
      </c>
      <c r="B165" s="161"/>
      <c r="C165" s="88">
        <f>SUM(C166:C170)</f>
        <v>4155450113</v>
      </c>
      <c r="D165" s="82">
        <f>SUM(D166:D170)</f>
        <v>4271449674.6200004</v>
      </c>
      <c r="E165" s="89">
        <f>SUM(E166:E170)</f>
        <v>748463349.73999989</v>
      </c>
      <c r="F165" s="21">
        <f t="shared" si="13"/>
        <v>17.522466767832988</v>
      </c>
      <c r="G165" s="231">
        <f>SUM(G166:H170)</f>
        <v>1919578274.0099998</v>
      </c>
      <c r="H165" s="232"/>
      <c r="I165" s="21">
        <f t="shared" si="14"/>
        <v>44.939737565344736</v>
      </c>
      <c r="J165" s="164">
        <f t="shared" si="15"/>
        <v>2351871400.6100006</v>
      </c>
      <c r="K165" s="165"/>
      <c r="L165" s="165"/>
    </row>
    <row r="166" spans="1:18" ht="15.75" x14ac:dyDescent="0.25">
      <c r="A166" s="161" t="s">
        <v>42</v>
      </c>
      <c r="B166" s="161"/>
      <c r="C166" s="132">
        <v>383152745</v>
      </c>
      <c r="D166" s="133">
        <v>447522000.24000001</v>
      </c>
      <c r="E166" s="89">
        <f>G166-140028779.44</f>
        <v>69022901.879999995</v>
      </c>
      <c r="F166" s="21">
        <f t="shared" si="13"/>
        <v>15.423353900586775</v>
      </c>
      <c r="G166" s="162">
        <v>209051681.31999999</v>
      </c>
      <c r="H166" s="163"/>
      <c r="I166" s="21">
        <f t="shared" si="14"/>
        <v>46.713162974756187</v>
      </c>
      <c r="J166" s="164">
        <f t="shared" si="15"/>
        <v>238470318.92000002</v>
      </c>
      <c r="K166" s="165"/>
      <c r="L166" s="165"/>
    </row>
    <row r="167" spans="1:18" ht="15.75" x14ac:dyDescent="0.25">
      <c r="A167" s="161" t="s">
        <v>43</v>
      </c>
      <c r="B167" s="161"/>
      <c r="C167" s="88">
        <v>0</v>
      </c>
      <c r="D167" s="82">
        <v>0</v>
      </c>
      <c r="E167" s="89">
        <f>G167</f>
        <v>0</v>
      </c>
      <c r="F167" s="21">
        <v>0</v>
      </c>
      <c r="G167" s="162">
        <v>0</v>
      </c>
      <c r="H167" s="163"/>
      <c r="I167" s="21">
        <v>0</v>
      </c>
      <c r="J167" s="172">
        <f t="shared" si="15"/>
        <v>0</v>
      </c>
      <c r="K167" s="173"/>
      <c r="L167" s="173"/>
    </row>
    <row r="168" spans="1:18" ht="15.75" x14ac:dyDescent="0.25">
      <c r="A168" s="161" t="s">
        <v>44</v>
      </c>
      <c r="B168" s="161"/>
      <c r="C168" s="132">
        <v>3604970856</v>
      </c>
      <c r="D168" s="133">
        <v>3662614998.5700002</v>
      </c>
      <c r="E168" s="89">
        <f>G168-978963220.57</f>
        <v>657427729.99999988</v>
      </c>
      <c r="F168" s="21">
        <f t="shared" si="13"/>
        <v>17.949681586972158</v>
      </c>
      <c r="G168" s="162">
        <v>1636390950.5699999</v>
      </c>
      <c r="H168" s="163"/>
      <c r="I168" s="21">
        <f t="shared" si="14"/>
        <v>44.678213549851634</v>
      </c>
      <c r="J168" s="172">
        <f t="shared" si="15"/>
        <v>2026224048.0000002</v>
      </c>
      <c r="K168" s="173"/>
      <c r="L168" s="173"/>
    </row>
    <row r="169" spans="1:18" ht="15.75" x14ac:dyDescent="0.25">
      <c r="A169" s="161" t="s">
        <v>45</v>
      </c>
      <c r="B169" s="161"/>
      <c r="C169" s="88">
        <v>0</v>
      </c>
      <c r="D169" s="82">
        <v>0</v>
      </c>
      <c r="E169" s="89">
        <f>G169</f>
        <v>0</v>
      </c>
      <c r="F169" s="21">
        <v>0</v>
      </c>
      <c r="G169" s="162">
        <v>0</v>
      </c>
      <c r="H169" s="163"/>
      <c r="I169" s="21">
        <v>0</v>
      </c>
      <c r="J169" s="172">
        <f t="shared" si="15"/>
        <v>0</v>
      </c>
      <c r="K169" s="173"/>
      <c r="L169" s="173"/>
    </row>
    <row r="170" spans="1:18" ht="15.75" x14ac:dyDescent="0.25">
      <c r="A170" s="161" t="s">
        <v>46</v>
      </c>
      <c r="B170" s="161"/>
      <c r="C170" s="88">
        <v>167326512</v>
      </c>
      <c r="D170" s="82">
        <v>161312675.81</v>
      </c>
      <c r="E170" s="89">
        <f>G170-52122924.26</f>
        <v>22012717.860000007</v>
      </c>
      <c r="F170" s="21">
        <f t="shared" si="13"/>
        <v>13.645993874608711</v>
      </c>
      <c r="G170" s="162">
        <v>74135642.120000005</v>
      </c>
      <c r="H170" s="163"/>
      <c r="I170" s="21">
        <f t="shared" si="14"/>
        <v>45.957728831750138</v>
      </c>
      <c r="J170" s="172">
        <f t="shared" si="15"/>
        <v>87177033.689999998</v>
      </c>
      <c r="K170" s="173"/>
      <c r="L170" s="173"/>
    </row>
    <row r="171" spans="1:18" ht="15.75" x14ac:dyDescent="0.25">
      <c r="A171" s="161" t="s">
        <v>47</v>
      </c>
      <c r="B171" s="161"/>
      <c r="C171" s="88">
        <f>SUM(C172:C178)</f>
        <v>0</v>
      </c>
      <c r="D171" s="82">
        <f>SUM(D172:D178)</f>
        <v>0</v>
      </c>
      <c r="E171" s="89">
        <f>SUM(E172:E178)</f>
        <v>0</v>
      </c>
      <c r="F171" s="21">
        <v>0</v>
      </c>
      <c r="G171" s="231">
        <f>SUM(G172:H178)</f>
        <v>0</v>
      </c>
      <c r="H171" s="232">
        <f>SUM(H172:H176)</f>
        <v>0</v>
      </c>
      <c r="I171" s="21">
        <v>0</v>
      </c>
      <c r="J171" s="164">
        <f t="shared" si="15"/>
        <v>0</v>
      </c>
      <c r="K171" s="165"/>
      <c r="L171" s="165"/>
    </row>
    <row r="172" spans="1:18" ht="15.75" x14ac:dyDescent="0.25">
      <c r="A172" s="161" t="s">
        <v>48</v>
      </c>
      <c r="B172" s="161"/>
      <c r="C172" s="88">
        <v>0</v>
      </c>
      <c r="D172" s="82">
        <v>0</v>
      </c>
      <c r="E172" s="89">
        <f t="shared" ref="E172:E178" si="17">G172</f>
        <v>0</v>
      </c>
      <c r="F172" s="21">
        <v>0</v>
      </c>
      <c r="G172" s="162">
        <v>0</v>
      </c>
      <c r="H172" s="163"/>
      <c r="I172" s="21">
        <v>0</v>
      </c>
      <c r="J172" s="164">
        <f t="shared" si="15"/>
        <v>0</v>
      </c>
      <c r="K172" s="165"/>
      <c r="L172" s="165"/>
    </row>
    <row r="173" spans="1:18" ht="15.75" x14ac:dyDescent="0.25">
      <c r="A173" s="161" t="s">
        <v>49</v>
      </c>
      <c r="B173" s="161"/>
      <c r="C173" s="117">
        <v>0</v>
      </c>
      <c r="D173" s="118">
        <v>0</v>
      </c>
      <c r="E173" s="89">
        <f>G173-0</f>
        <v>0</v>
      </c>
      <c r="F173" s="21">
        <v>0</v>
      </c>
      <c r="G173" s="162">
        <v>0</v>
      </c>
      <c r="H173" s="163"/>
      <c r="I173" s="21">
        <v>0</v>
      </c>
      <c r="J173" s="164">
        <f t="shared" si="15"/>
        <v>0</v>
      </c>
      <c r="K173" s="165"/>
      <c r="L173" s="165"/>
    </row>
    <row r="174" spans="1:18" ht="15.75" x14ac:dyDescent="0.25">
      <c r="A174" s="161" t="s">
        <v>50</v>
      </c>
      <c r="B174" s="161"/>
      <c r="C174" s="117">
        <v>0</v>
      </c>
      <c r="D174" s="118">
        <v>0</v>
      </c>
      <c r="E174" s="89">
        <f t="shared" si="17"/>
        <v>0</v>
      </c>
      <c r="F174" s="21">
        <v>0</v>
      </c>
      <c r="G174" s="162">
        <v>0</v>
      </c>
      <c r="H174" s="163"/>
      <c r="I174" s="21">
        <v>0</v>
      </c>
      <c r="J174" s="164">
        <f t="shared" si="15"/>
        <v>0</v>
      </c>
      <c r="K174" s="165"/>
      <c r="L174" s="165"/>
    </row>
    <row r="175" spans="1:18" ht="15.75" x14ac:dyDescent="0.25">
      <c r="A175" s="161" t="s">
        <v>51</v>
      </c>
      <c r="B175" s="161"/>
      <c r="C175" s="117">
        <v>0</v>
      </c>
      <c r="D175" s="118">
        <v>0</v>
      </c>
      <c r="E175" s="92">
        <f t="shared" si="17"/>
        <v>0</v>
      </c>
      <c r="F175" s="119">
        <v>0</v>
      </c>
      <c r="G175" s="169">
        <v>0</v>
      </c>
      <c r="H175" s="170"/>
      <c r="I175" s="119">
        <v>0</v>
      </c>
      <c r="J175" s="159">
        <f t="shared" si="15"/>
        <v>0</v>
      </c>
      <c r="K175" s="160"/>
      <c r="L175" s="160"/>
    </row>
    <row r="176" spans="1:18" ht="15.75" x14ac:dyDescent="0.25">
      <c r="A176" s="161" t="s">
        <v>52</v>
      </c>
      <c r="B176" s="161"/>
      <c r="C176" s="117">
        <v>0</v>
      </c>
      <c r="D176" s="118">
        <v>0</v>
      </c>
      <c r="E176" s="92">
        <f t="shared" si="17"/>
        <v>0</v>
      </c>
      <c r="F176" s="119">
        <v>0</v>
      </c>
      <c r="G176" s="169">
        <v>0</v>
      </c>
      <c r="H176" s="170"/>
      <c r="I176" s="119">
        <v>0</v>
      </c>
      <c r="J176" s="159">
        <f t="shared" si="15"/>
        <v>0</v>
      </c>
      <c r="K176" s="160"/>
      <c r="L176" s="160"/>
    </row>
    <row r="177" spans="1:14" ht="15.75" x14ac:dyDescent="0.25">
      <c r="A177" s="161" t="s">
        <v>53</v>
      </c>
      <c r="B177" s="161"/>
      <c r="C177" s="117">
        <v>0</v>
      </c>
      <c r="D177" s="118">
        <v>0</v>
      </c>
      <c r="E177" s="92">
        <f t="shared" si="17"/>
        <v>0</v>
      </c>
      <c r="F177" s="119">
        <v>0</v>
      </c>
      <c r="G177" s="169">
        <v>0</v>
      </c>
      <c r="H177" s="170"/>
      <c r="I177" s="119">
        <v>0</v>
      </c>
      <c r="J177" s="233">
        <f t="shared" si="15"/>
        <v>0</v>
      </c>
      <c r="K177" s="234"/>
      <c r="L177" s="234"/>
    </row>
    <row r="178" spans="1:14" ht="15.75" x14ac:dyDescent="0.25">
      <c r="A178" s="161" t="s">
        <v>54</v>
      </c>
      <c r="B178" s="161"/>
      <c r="C178" s="117">
        <v>0</v>
      </c>
      <c r="D178" s="118">
        <v>0</v>
      </c>
      <c r="E178" s="92">
        <f t="shared" si="17"/>
        <v>0</v>
      </c>
      <c r="F178" s="119">
        <v>0</v>
      </c>
      <c r="G178" s="169">
        <v>0</v>
      </c>
      <c r="H178" s="170"/>
      <c r="I178" s="119">
        <v>0</v>
      </c>
      <c r="J178" s="233">
        <f t="shared" si="15"/>
        <v>0</v>
      </c>
      <c r="K178" s="234"/>
      <c r="L178" s="234"/>
      <c r="M178" s="325"/>
      <c r="N178" s="325"/>
    </row>
    <row r="179" spans="1:14" ht="15.75" x14ac:dyDescent="0.25">
      <c r="A179" s="161" t="s">
        <v>55</v>
      </c>
      <c r="B179" s="161"/>
      <c r="C179" s="117">
        <f>SUM(C180:C184)</f>
        <v>732505818</v>
      </c>
      <c r="D179" s="118">
        <f>SUM(D180:D184)</f>
        <v>802668370.18000007</v>
      </c>
      <c r="E179" s="92">
        <f>SUM(E180:E184)</f>
        <v>173482933.84</v>
      </c>
      <c r="F179" s="119">
        <f t="shared" si="13"/>
        <v>21.613276452029133</v>
      </c>
      <c r="G179" s="185">
        <f>SUM(G180:H184)</f>
        <v>496694587.87</v>
      </c>
      <c r="H179" s="186">
        <f>SUM(H180:H184)</f>
        <v>0</v>
      </c>
      <c r="I179" s="119">
        <f t="shared" si="14"/>
        <v>61.880423637300574</v>
      </c>
      <c r="J179" s="159">
        <f t="shared" si="15"/>
        <v>305973782.31000006</v>
      </c>
      <c r="K179" s="160"/>
      <c r="L179" s="160"/>
    </row>
    <row r="180" spans="1:14" ht="15.75" x14ac:dyDescent="0.25">
      <c r="A180" s="161" t="s">
        <v>56</v>
      </c>
      <c r="B180" s="161"/>
      <c r="C180" s="117">
        <v>0</v>
      </c>
      <c r="D180" s="118">
        <v>0</v>
      </c>
      <c r="E180" s="92">
        <f>G180-0</f>
        <v>0</v>
      </c>
      <c r="F180" s="119">
        <v>0</v>
      </c>
      <c r="G180" s="169">
        <v>0</v>
      </c>
      <c r="H180" s="170"/>
      <c r="I180" s="119">
        <v>0</v>
      </c>
      <c r="J180" s="159">
        <f t="shared" si="15"/>
        <v>0</v>
      </c>
      <c r="K180" s="160"/>
      <c r="L180" s="160"/>
    </row>
    <row r="181" spans="1:14" ht="15.75" x14ac:dyDescent="0.25">
      <c r="A181" s="161" t="s">
        <v>57</v>
      </c>
      <c r="B181" s="161"/>
      <c r="C181" s="117">
        <v>535426132</v>
      </c>
      <c r="D181" s="118">
        <v>608421158.23000002</v>
      </c>
      <c r="E181" s="92">
        <f>G181-229639134.21</f>
        <v>130971933.84</v>
      </c>
      <c r="F181" s="119">
        <f t="shared" si="13"/>
        <v>21.52652518216485</v>
      </c>
      <c r="G181" s="185">
        <v>360611068.05000001</v>
      </c>
      <c r="H181" s="186"/>
      <c r="I181" s="119">
        <f t="shared" si="14"/>
        <v>59.269974946150548</v>
      </c>
      <c r="J181" s="159">
        <f t="shared" si="15"/>
        <v>247810090.18000001</v>
      </c>
      <c r="K181" s="160"/>
      <c r="L181" s="160"/>
    </row>
    <row r="182" spans="1:14" ht="15.75" x14ac:dyDescent="0.25">
      <c r="A182" s="161" t="s">
        <v>58</v>
      </c>
      <c r="B182" s="161"/>
      <c r="C182" s="117">
        <v>0</v>
      </c>
      <c r="D182" s="119">
        <v>0</v>
      </c>
      <c r="E182" s="92">
        <f>G182</f>
        <v>0</v>
      </c>
      <c r="F182" s="119">
        <v>0</v>
      </c>
      <c r="G182" s="169">
        <v>0</v>
      </c>
      <c r="H182" s="170"/>
      <c r="I182" s="119">
        <v>0</v>
      </c>
      <c r="J182" s="159">
        <f t="shared" si="15"/>
        <v>0</v>
      </c>
      <c r="K182" s="160"/>
      <c r="L182" s="160"/>
    </row>
    <row r="183" spans="1:14" ht="15.75" x14ac:dyDescent="0.25">
      <c r="A183" s="161" t="s">
        <v>59</v>
      </c>
      <c r="B183" s="161"/>
      <c r="C183" s="117">
        <v>0</v>
      </c>
      <c r="D183" s="119">
        <v>0</v>
      </c>
      <c r="E183" s="92">
        <f>G183</f>
        <v>0</v>
      </c>
      <c r="F183" s="119">
        <v>0</v>
      </c>
      <c r="G183" s="169">
        <v>0</v>
      </c>
      <c r="H183" s="170"/>
      <c r="I183" s="119">
        <v>0</v>
      </c>
      <c r="J183" s="159">
        <f t="shared" si="15"/>
        <v>0</v>
      </c>
      <c r="K183" s="160"/>
      <c r="L183" s="160"/>
      <c r="M183" s="325"/>
      <c r="N183" s="325"/>
    </row>
    <row r="184" spans="1:14" ht="15" customHeight="1" x14ac:dyDescent="0.25">
      <c r="A184" s="161" t="s">
        <v>60</v>
      </c>
      <c r="B184" s="161"/>
      <c r="C184" s="117">
        <v>197079686</v>
      </c>
      <c r="D184" s="117">
        <v>194247211.94999999</v>
      </c>
      <c r="E184" s="92">
        <f>G184-93572519.82</f>
        <v>42511000</v>
      </c>
      <c r="F184" s="119">
        <f t="shared" si="13"/>
        <v>21.884998797790985</v>
      </c>
      <c r="G184" s="169">
        <v>136083519.81999999</v>
      </c>
      <c r="H184" s="170"/>
      <c r="I184" s="119">
        <f t="shared" si="14"/>
        <v>70.056871578176597</v>
      </c>
      <c r="J184" s="159">
        <f t="shared" si="15"/>
        <v>58163692.129999995</v>
      </c>
      <c r="K184" s="160"/>
      <c r="L184" s="160"/>
    </row>
    <row r="185" spans="1:14" ht="15.75" x14ac:dyDescent="0.25">
      <c r="A185" s="171" t="s">
        <v>61</v>
      </c>
      <c r="B185" s="171"/>
      <c r="C185" s="121">
        <f>C186+C189+C193+C194+C204</f>
        <v>0</v>
      </c>
      <c r="D185" s="122">
        <f>D186+D189+D193+D194+D204</f>
        <v>48212.31</v>
      </c>
      <c r="E185" s="123">
        <f>E186+E189+E193+E194+E204</f>
        <v>17179.900000000001</v>
      </c>
      <c r="F185" s="124">
        <v>0</v>
      </c>
      <c r="G185" s="167">
        <f>G186+G189+G193+G194+G204</f>
        <v>57671.360000000001</v>
      </c>
      <c r="H185" s="168"/>
      <c r="I185" s="124">
        <v>0</v>
      </c>
      <c r="J185" s="187">
        <f t="shared" si="15"/>
        <v>-9459.0500000000029</v>
      </c>
      <c r="K185" s="188"/>
      <c r="L185" s="188"/>
    </row>
    <row r="186" spans="1:14" ht="15.75" x14ac:dyDescent="0.25">
      <c r="A186" s="161" t="s">
        <v>62</v>
      </c>
      <c r="B186" s="161"/>
      <c r="C186" s="88">
        <f>C187+C188</f>
        <v>0</v>
      </c>
      <c r="D186" s="82">
        <f>D187+D188</f>
        <v>0</v>
      </c>
      <c r="E186" s="89">
        <f>E187+E188</f>
        <v>0</v>
      </c>
      <c r="F186" s="21">
        <v>0</v>
      </c>
      <c r="G186" s="162">
        <f>G187+G188</f>
        <v>0</v>
      </c>
      <c r="H186" s="163"/>
      <c r="I186" s="21">
        <v>0</v>
      </c>
      <c r="J186" s="164">
        <f t="shared" si="15"/>
        <v>0</v>
      </c>
      <c r="K186" s="165"/>
      <c r="L186" s="165"/>
    </row>
    <row r="187" spans="1:14" ht="15.75" x14ac:dyDescent="0.25">
      <c r="A187" s="161" t="s">
        <v>63</v>
      </c>
      <c r="B187" s="161"/>
      <c r="C187" s="88">
        <v>0</v>
      </c>
      <c r="D187" s="82">
        <v>0</v>
      </c>
      <c r="E187" s="89">
        <f>G187</f>
        <v>0</v>
      </c>
      <c r="F187" s="21">
        <v>0</v>
      </c>
      <c r="G187" s="162">
        <v>0</v>
      </c>
      <c r="H187" s="163"/>
      <c r="I187" s="21">
        <v>0</v>
      </c>
      <c r="J187" s="164">
        <f t="shared" si="15"/>
        <v>0</v>
      </c>
      <c r="K187" s="165"/>
      <c r="L187" s="165"/>
    </row>
    <row r="188" spans="1:14" ht="15.75" x14ac:dyDescent="0.25">
      <c r="A188" s="161" t="s">
        <v>64</v>
      </c>
      <c r="B188" s="161"/>
      <c r="C188" s="88">
        <v>0</v>
      </c>
      <c r="D188" s="82">
        <v>0</v>
      </c>
      <c r="E188" s="89">
        <f>G188</f>
        <v>0</v>
      </c>
      <c r="F188" s="21">
        <v>0</v>
      </c>
      <c r="G188" s="162">
        <v>0</v>
      </c>
      <c r="H188" s="163"/>
      <c r="I188" s="21">
        <v>0</v>
      </c>
      <c r="J188" s="164">
        <f t="shared" si="15"/>
        <v>0</v>
      </c>
      <c r="K188" s="165"/>
      <c r="L188" s="165"/>
    </row>
    <row r="189" spans="1:14" ht="15.75" x14ac:dyDescent="0.25">
      <c r="A189" s="161" t="s">
        <v>65</v>
      </c>
      <c r="B189" s="161"/>
      <c r="C189" s="88">
        <f>C190+C191+C192</f>
        <v>0</v>
      </c>
      <c r="D189" s="82">
        <f>D190+D191+D192</f>
        <v>0</v>
      </c>
      <c r="E189" s="89">
        <f>E190+E191+E192</f>
        <v>0</v>
      </c>
      <c r="F189" s="21">
        <v>0</v>
      </c>
      <c r="G189" s="162">
        <f>SUM(G190:H192)</f>
        <v>0</v>
      </c>
      <c r="H189" s="163"/>
      <c r="I189" s="21">
        <v>0</v>
      </c>
      <c r="J189" s="164">
        <f t="shared" si="15"/>
        <v>0</v>
      </c>
      <c r="K189" s="165"/>
      <c r="L189" s="165"/>
    </row>
    <row r="190" spans="1:14" ht="15.75" x14ac:dyDescent="0.25">
      <c r="A190" s="161" t="s">
        <v>66</v>
      </c>
      <c r="B190" s="161"/>
      <c r="C190" s="88">
        <v>0</v>
      </c>
      <c r="D190" s="82">
        <v>0</v>
      </c>
      <c r="E190" s="89">
        <f>G190</f>
        <v>0</v>
      </c>
      <c r="F190" s="21">
        <v>0</v>
      </c>
      <c r="G190" s="162">
        <v>0</v>
      </c>
      <c r="H190" s="163"/>
      <c r="I190" s="21">
        <v>0</v>
      </c>
      <c r="J190" s="164">
        <f t="shared" si="15"/>
        <v>0</v>
      </c>
      <c r="K190" s="165"/>
      <c r="L190" s="165"/>
    </row>
    <row r="191" spans="1:14" ht="15.75" x14ac:dyDescent="0.25">
      <c r="A191" s="161" t="s">
        <v>67</v>
      </c>
      <c r="B191" s="161"/>
      <c r="C191" s="88">
        <v>0</v>
      </c>
      <c r="D191" s="82">
        <v>0</v>
      </c>
      <c r="E191" s="89">
        <f>G191</f>
        <v>0</v>
      </c>
      <c r="F191" s="21">
        <v>0</v>
      </c>
      <c r="G191" s="162">
        <v>0</v>
      </c>
      <c r="H191" s="163"/>
      <c r="I191" s="21">
        <v>0</v>
      </c>
      <c r="J191" s="164">
        <f t="shared" si="15"/>
        <v>0</v>
      </c>
      <c r="K191" s="165"/>
      <c r="L191" s="165"/>
    </row>
    <row r="192" spans="1:14" ht="15.75" x14ac:dyDescent="0.25">
      <c r="A192" s="161" t="s">
        <v>68</v>
      </c>
      <c r="B192" s="161"/>
      <c r="C192" s="88">
        <v>0</v>
      </c>
      <c r="D192" s="82">
        <v>0</v>
      </c>
      <c r="E192" s="89">
        <f>G192</f>
        <v>0</v>
      </c>
      <c r="F192" s="21">
        <v>0</v>
      </c>
      <c r="G192" s="162">
        <v>0</v>
      </c>
      <c r="H192" s="163"/>
      <c r="I192" s="21">
        <v>0</v>
      </c>
      <c r="J192" s="172">
        <f t="shared" si="15"/>
        <v>0</v>
      </c>
      <c r="K192" s="173"/>
      <c r="L192" s="173"/>
    </row>
    <row r="193" spans="1:16" ht="15.75" x14ac:dyDescent="0.25">
      <c r="A193" s="161" t="s">
        <v>69</v>
      </c>
      <c r="B193" s="161"/>
      <c r="C193" s="88">
        <v>0</v>
      </c>
      <c r="D193" s="82">
        <v>48212.31</v>
      </c>
      <c r="E193" s="89">
        <f>G193-40491.46</f>
        <v>17179.900000000001</v>
      </c>
      <c r="F193" s="21">
        <v>0</v>
      </c>
      <c r="G193" s="162">
        <v>57671.360000000001</v>
      </c>
      <c r="H193" s="163"/>
      <c r="I193" s="21">
        <v>0</v>
      </c>
      <c r="J193" s="164">
        <f t="shared" si="15"/>
        <v>-9459.0500000000029</v>
      </c>
      <c r="K193" s="165"/>
      <c r="L193" s="165"/>
    </row>
    <row r="194" spans="1:16" ht="15.75" x14ac:dyDescent="0.25">
      <c r="A194" s="161" t="s">
        <v>70</v>
      </c>
      <c r="B194" s="161"/>
      <c r="C194" s="88">
        <f>SUM(C195:C203)</f>
        <v>0</v>
      </c>
      <c r="D194" s="88">
        <f>SUM(D195:D203)</f>
        <v>0</v>
      </c>
      <c r="E194" s="89">
        <f>SUM(E195:E203)</f>
        <v>0</v>
      </c>
      <c r="F194" s="21">
        <v>0</v>
      </c>
      <c r="G194" s="162">
        <f>SUM(G195:H203)</f>
        <v>0</v>
      </c>
      <c r="H194" s="163">
        <f>SUM(H195:H203)</f>
        <v>0</v>
      </c>
      <c r="I194" s="21">
        <v>0</v>
      </c>
      <c r="J194" s="164">
        <f t="shared" si="15"/>
        <v>0</v>
      </c>
      <c r="K194" s="165"/>
      <c r="L194" s="165"/>
    </row>
    <row r="195" spans="1:16" ht="15.75" x14ac:dyDescent="0.25">
      <c r="A195" s="161" t="s">
        <v>48</v>
      </c>
      <c r="B195" s="161"/>
      <c r="C195" s="88">
        <v>0</v>
      </c>
      <c r="D195" s="82">
        <v>0</v>
      </c>
      <c r="E195" s="89">
        <f t="shared" ref="E195:E203" si="18">G195</f>
        <v>0</v>
      </c>
      <c r="F195" s="21">
        <v>0</v>
      </c>
      <c r="G195" s="162">
        <v>0</v>
      </c>
      <c r="H195" s="163"/>
      <c r="I195" s="21">
        <v>0</v>
      </c>
      <c r="J195" s="164">
        <f t="shared" si="15"/>
        <v>0</v>
      </c>
      <c r="K195" s="165"/>
      <c r="L195" s="165"/>
    </row>
    <row r="196" spans="1:16" ht="15.75" x14ac:dyDescent="0.25">
      <c r="A196" s="161" t="s">
        <v>49</v>
      </c>
      <c r="B196" s="161"/>
      <c r="C196" s="88">
        <v>0</v>
      </c>
      <c r="D196" s="82">
        <v>0</v>
      </c>
      <c r="E196" s="89">
        <f t="shared" si="18"/>
        <v>0</v>
      </c>
      <c r="F196" s="21">
        <v>0</v>
      </c>
      <c r="G196" s="162">
        <v>0</v>
      </c>
      <c r="H196" s="163"/>
      <c r="I196" s="21">
        <v>0</v>
      </c>
      <c r="J196" s="164">
        <f t="shared" si="15"/>
        <v>0</v>
      </c>
      <c r="K196" s="165"/>
      <c r="L196" s="165"/>
    </row>
    <row r="197" spans="1:16" ht="15.75" x14ac:dyDescent="0.25">
      <c r="A197" s="161" t="s">
        <v>50</v>
      </c>
      <c r="B197" s="161"/>
      <c r="C197" s="88">
        <v>0</v>
      </c>
      <c r="D197" s="82">
        <v>0</v>
      </c>
      <c r="E197" s="89">
        <f t="shared" si="18"/>
        <v>0</v>
      </c>
      <c r="F197" s="21">
        <v>0</v>
      </c>
      <c r="G197" s="162">
        <v>0</v>
      </c>
      <c r="H197" s="163"/>
      <c r="I197" s="21">
        <v>0</v>
      </c>
      <c r="J197" s="164">
        <f t="shared" si="15"/>
        <v>0</v>
      </c>
      <c r="K197" s="165"/>
      <c r="L197" s="165"/>
    </row>
    <row r="198" spans="1:16" ht="15.75" x14ac:dyDescent="0.25">
      <c r="A198" s="161" t="s">
        <v>51</v>
      </c>
      <c r="B198" s="161"/>
      <c r="C198" s="88">
        <v>0</v>
      </c>
      <c r="D198" s="82">
        <v>0</v>
      </c>
      <c r="E198" s="89">
        <f t="shared" si="18"/>
        <v>0</v>
      </c>
      <c r="F198" s="21">
        <v>0</v>
      </c>
      <c r="G198" s="162">
        <v>0</v>
      </c>
      <c r="H198" s="163"/>
      <c r="I198" s="21">
        <v>0</v>
      </c>
      <c r="J198" s="164">
        <f t="shared" si="15"/>
        <v>0</v>
      </c>
      <c r="K198" s="165"/>
      <c r="L198" s="165"/>
      <c r="M198" s="337"/>
      <c r="N198" s="337"/>
      <c r="O198" s="337"/>
      <c r="P198" s="337"/>
    </row>
    <row r="199" spans="1:16" ht="15.75" x14ac:dyDescent="0.25">
      <c r="A199" s="161" t="s">
        <v>52</v>
      </c>
      <c r="B199" s="161"/>
      <c r="C199" s="88">
        <v>0</v>
      </c>
      <c r="D199" s="82">
        <v>0</v>
      </c>
      <c r="E199" s="89">
        <f t="shared" si="18"/>
        <v>0</v>
      </c>
      <c r="F199" s="21">
        <v>0</v>
      </c>
      <c r="G199" s="162">
        <v>0</v>
      </c>
      <c r="H199" s="163"/>
      <c r="I199" s="21">
        <v>0</v>
      </c>
      <c r="J199" s="164">
        <f t="shared" si="15"/>
        <v>0</v>
      </c>
      <c r="K199" s="165"/>
      <c r="L199" s="165"/>
      <c r="M199" s="337"/>
      <c r="N199" s="337"/>
      <c r="O199" s="337"/>
      <c r="P199" s="337"/>
    </row>
    <row r="200" spans="1:16" ht="15.75" x14ac:dyDescent="0.25">
      <c r="A200" s="161" t="s">
        <v>53</v>
      </c>
      <c r="B200" s="161"/>
      <c r="C200" s="88">
        <v>0</v>
      </c>
      <c r="D200" s="82">
        <v>0</v>
      </c>
      <c r="E200" s="89">
        <f t="shared" si="18"/>
        <v>0</v>
      </c>
      <c r="F200" s="21">
        <v>0</v>
      </c>
      <c r="G200" s="162">
        <v>0</v>
      </c>
      <c r="H200" s="163"/>
      <c r="I200" s="21">
        <v>0</v>
      </c>
      <c r="J200" s="164">
        <f t="shared" si="15"/>
        <v>0</v>
      </c>
      <c r="K200" s="165"/>
      <c r="L200" s="165"/>
      <c r="M200" s="337"/>
      <c r="N200" s="337"/>
      <c r="O200" s="337"/>
      <c r="P200" s="337"/>
    </row>
    <row r="201" spans="1:16" ht="15.75" x14ac:dyDescent="0.25">
      <c r="A201" s="166" t="s">
        <v>71</v>
      </c>
      <c r="B201" s="161"/>
      <c r="C201" s="88">
        <v>0</v>
      </c>
      <c r="D201" s="82">
        <v>0</v>
      </c>
      <c r="E201" s="89">
        <f>G201-0</f>
        <v>0</v>
      </c>
      <c r="F201" s="21">
        <v>0</v>
      </c>
      <c r="G201" s="162">
        <v>0</v>
      </c>
      <c r="H201" s="163"/>
      <c r="I201" s="21">
        <v>0</v>
      </c>
      <c r="J201" s="164">
        <f t="shared" si="15"/>
        <v>0</v>
      </c>
      <c r="K201" s="165"/>
      <c r="L201" s="165"/>
      <c r="M201" s="327"/>
      <c r="N201" s="327"/>
      <c r="O201" s="327"/>
      <c r="P201" s="327"/>
    </row>
    <row r="202" spans="1:16" ht="15.75" hidden="1" x14ac:dyDescent="0.25">
      <c r="A202" s="161" t="s">
        <v>72</v>
      </c>
      <c r="B202" s="161"/>
      <c r="C202" s="88">
        <v>0</v>
      </c>
      <c r="D202" s="82">
        <v>0</v>
      </c>
      <c r="E202" s="89">
        <f t="shared" si="18"/>
        <v>0</v>
      </c>
      <c r="F202" s="21" t="e">
        <f t="shared" si="13"/>
        <v>#DIV/0!</v>
      </c>
      <c r="G202" s="162">
        <v>0</v>
      </c>
      <c r="H202" s="163"/>
      <c r="I202" s="21" t="e">
        <f t="shared" si="14"/>
        <v>#DIV/0!</v>
      </c>
      <c r="J202" s="172">
        <f t="shared" si="15"/>
        <v>0</v>
      </c>
      <c r="K202" s="173"/>
      <c r="L202" s="173"/>
      <c r="M202" s="337"/>
      <c r="N202" s="338"/>
      <c r="O202" s="337"/>
      <c r="P202" s="337"/>
    </row>
    <row r="203" spans="1:16" ht="15.75" hidden="1" x14ac:dyDescent="0.25">
      <c r="A203" s="161" t="s">
        <v>74</v>
      </c>
      <c r="B203" s="161"/>
      <c r="C203" s="88">
        <v>0</v>
      </c>
      <c r="D203" s="82">
        <v>0</v>
      </c>
      <c r="E203" s="89">
        <f t="shared" si="18"/>
        <v>0</v>
      </c>
      <c r="F203" s="21" t="e">
        <f t="shared" si="13"/>
        <v>#DIV/0!</v>
      </c>
      <c r="G203" s="162">
        <v>0</v>
      </c>
      <c r="H203" s="163"/>
      <c r="I203" s="21" t="e">
        <f t="shared" si="14"/>
        <v>#DIV/0!</v>
      </c>
      <c r="J203" s="172">
        <f t="shared" si="15"/>
        <v>0</v>
      </c>
      <c r="K203" s="173"/>
      <c r="L203" s="173"/>
      <c r="M203" s="337"/>
      <c r="N203" s="338"/>
      <c r="O203" s="337"/>
      <c r="P203" s="337"/>
    </row>
    <row r="204" spans="1:16" ht="15.75" x14ac:dyDescent="0.25">
      <c r="A204" s="166" t="s">
        <v>76</v>
      </c>
      <c r="B204" s="161"/>
      <c r="C204" s="88">
        <f>SUM(C205:C208)</f>
        <v>0</v>
      </c>
      <c r="D204" s="82">
        <f>SUM(D205:D208)</f>
        <v>0</v>
      </c>
      <c r="E204" s="89">
        <f>SUM(E205:E208)</f>
        <v>0</v>
      </c>
      <c r="F204" s="21">
        <v>0</v>
      </c>
      <c r="G204" s="162">
        <f>SUM(G205:H208)</f>
        <v>0</v>
      </c>
      <c r="H204" s="163">
        <f>SUM(H206:H208)</f>
        <v>0</v>
      </c>
      <c r="I204" s="21">
        <v>0</v>
      </c>
      <c r="J204" s="164">
        <f t="shared" si="15"/>
        <v>0</v>
      </c>
      <c r="K204" s="165"/>
      <c r="L204" s="165"/>
      <c r="M204" s="337"/>
      <c r="N204" s="337"/>
      <c r="O204" s="337"/>
      <c r="P204" s="337"/>
    </row>
    <row r="205" spans="1:16" ht="15.75" x14ac:dyDescent="0.25">
      <c r="A205" s="161" t="s">
        <v>77</v>
      </c>
      <c r="B205" s="161"/>
      <c r="C205" s="88">
        <v>0</v>
      </c>
      <c r="D205" s="82">
        <v>0</v>
      </c>
      <c r="E205" s="89">
        <f>G205</f>
        <v>0</v>
      </c>
      <c r="F205" s="21">
        <v>0</v>
      </c>
      <c r="G205" s="162">
        <v>0</v>
      </c>
      <c r="H205" s="163"/>
      <c r="I205" s="21">
        <v>0</v>
      </c>
      <c r="J205" s="164">
        <f t="shared" si="15"/>
        <v>0</v>
      </c>
      <c r="K205" s="165"/>
      <c r="L205" s="165"/>
      <c r="M205" s="337"/>
      <c r="N205" s="337"/>
      <c r="O205" s="337"/>
      <c r="P205" s="337"/>
    </row>
    <row r="206" spans="1:16" ht="15.75" x14ac:dyDescent="0.25">
      <c r="A206" s="161" t="s">
        <v>78</v>
      </c>
      <c r="B206" s="161"/>
      <c r="C206" s="88">
        <v>0</v>
      </c>
      <c r="D206" s="82">
        <v>0</v>
      </c>
      <c r="E206" s="89">
        <f>G206</f>
        <v>0</v>
      </c>
      <c r="F206" s="21">
        <v>0</v>
      </c>
      <c r="G206" s="162">
        <v>0</v>
      </c>
      <c r="H206" s="163"/>
      <c r="I206" s="21">
        <v>0</v>
      </c>
      <c r="J206" s="164">
        <f t="shared" si="15"/>
        <v>0</v>
      </c>
      <c r="K206" s="165"/>
      <c r="L206" s="165"/>
      <c r="M206" s="337"/>
      <c r="N206" s="337"/>
      <c r="O206" s="337"/>
      <c r="P206" s="337"/>
    </row>
    <row r="207" spans="1:16" ht="15.75" x14ac:dyDescent="0.25">
      <c r="A207" s="161" t="s">
        <v>79</v>
      </c>
      <c r="B207" s="161"/>
      <c r="C207" s="88">
        <v>0</v>
      </c>
      <c r="D207" s="82">
        <v>0</v>
      </c>
      <c r="E207" s="89">
        <f>G207</f>
        <v>0</v>
      </c>
      <c r="F207" s="21">
        <v>0</v>
      </c>
      <c r="G207" s="162">
        <v>0</v>
      </c>
      <c r="H207" s="163"/>
      <c r="I207" s="21">
        <v>0</v>
      </c>
      <c r="J207" s="164">
        <f t="shared" si="15"/>
        <v>0</v>
      </c>
      <c r="K207" s="165"/>
      <c r="L207" s="165"/>
      <c r="M207" s="337"/>
      <c r="N207" s="337"/>
      <c r="O207" s="337"/>
      <c r="P207" s="337"/>
    </row>
    <row r="208" spans="1:16" ht="15.75" x14ac:dyDescent="0.25">
      <c r="A208" s="197" t="s">
        <v>80</v>
      </c>
      <c r="B208" s="197"/>
      <c r="C208" s="105">
        <v>0</v>
      </c>
      <c r="D208" s="102">
        <v>0</v>
      </c>
      <c r="E208" s="106">
        <f>G208</f>
        <v>0</v>
      </c>
      <c r="F208" s="28">
        <v>0</v>
      </c>
      <c r="G208" s="192">
        <v>0</v>
      </c>
      <c r="H208" s="193"/>
      <c r="I208" s="28">
        <v>0</v>
      </c>
      <c r="J208" s="206">
        <f t="shared" si="15"/>
        <v>0</v>
      </c>
      <c r="K208" s="207"/>
      <c r="L208" s="207"/>
    </row>
    <row r="209" spans="1:12" ht="15.75" customHeight="1" x14ac:dyDescent="0.25">
      <c r="A209" s="42"/>
      <c r="B209" s="43"/>
      <c r="C209" s="43"/>
      <c r="D209" s="44"/>
      <c r="E209" s="67"/>
      <c r="F209" s="43"/>
      <c r="G209" s="67"/>
      <c r="H209" s="198"/>
      <c r="I209" s="198"/>
      <c r="J209" s="45"/>
      <c r="K209" s="198"/>
      <c r="L209" s="198"/>
    </row>
    <row r="210" spans="1:12" ht="15.75" x14ac:dyDescent="0.25">
      <c r="A210" s="194" t="s">
        <v>138</v>
      </c>
      <c r="B210" s="68" t="s">
        <v>95</v>
      </c>
      <c r="C210" s="68" t="s">
        <v>95</v>
      </c>
      <c r="D210" s="189" t="s">
        <v>96</v>
      </c>
      <c r="E210" s="190"/>
      <c r="F210" s="69" t="s">
        <v>9</v>
      </c>
      <c r="G210" s="189" t="s">
        <v>97</v>
      </c>
      <c r="H210" s="190"/>
      <c r="I210" s="191"/>
      <c r="J210" s="70" t="s">
        <v>9</v>
      </c>
      <c r="K210" s="202" t="s">
        <v>98</v>
      </c>
      <c r="L210" s="203"/>
    </row>
    <row r="211" spans="1:12" ht="15.75" x14ac:dyDescent="0.25">
      <c r="A211" s="195"/>
      <c r="B211" s="71" t="s">
        <v>99</v>
      </c>
      <c r="C211" s="71" t="s">
        <v>10</v>
      </c>
      <c r="D211" s="72" t="s">
        <v>100</v>
      </c>
      <c r="E211" s="72" t="s">
        <v>101</v>
      </c>
      <c r="F211" s="73"/>
      <c r="G211" s="72" t="s">
        <v>100</v>
      </c>
      <c r="H211" s="181" t="s">
        <v>101</v>
      </c>
      <c r="I211" s="182"/>
      <c r="J211" s="74"/>
      <c r="K211" s="204"/>
      <c r="L211" s="205"/>
    </row>
    <row r="212" spans="1:12" ht="15.75" x14ac:dyDescent="0.25">
      <c r="A212" s="195"/>
      <c r="B212" s="71"/>
      <c r="C212" s="71"/>
      <c r="D212" s="73" t="s">
        <v>102</v>
      </c>
      <c r="E212" s="73" t="s">
        <v>102</v>
      </c>
      <c r="F212" s="73"/>
      <c r="G212" s="73" t="s">
        <v>102</v>
      </c>
      <c r="H212" s="183" t="s">
        <v>102</v>
      </c>
      <c r="I212" s="184"/>
      <c r="J212" s="74"/>
      <c r="K212" s="204"/>
      <c r="L212" s="205"/>
    </row>
    <row r="213" spans="1:12" ht="15.75" x14ac:dyDescent="0.25">
      <c r="A213" s="196"/>
      <c r="B213" s="75" t="s">
        <v>103</v>
      </c>
      <c r="C213" s="75" t="s">
        <v>104</v>
      </c>
      <c r="D213" s="75"/>
      <c r="E213" s="71" t="s">
        <v>105</v>
      </c>
      <c r="F213" s="76" t="s">
        <v>106</v>
      </c>
      <c r="G213" s="75"/>
      <c r="H213" s="199" t="s">
        <v>107</v>
      </c>
      <c r="I213" s="200"/>
      <c r="J213" s="77" t="s">
        <v>108</v>
      </c>
      <c r="K213" s="199" t="s">
        <v>109</v>
      </c>
      <c r="L213" s="201"/>
    </row>
    <row r="214" spans="1:12" s="3" customFormat="1" ht="15.75" x14ac:dyDescent="0.25">
      <c r="A214" s="1" t="s">
        <v>122</v>
      </c>
      <c r="B214" s="95">
        <f>B215+B219</f>
        <v>8455219897</v>
      </c>
      <c r="C214" s="95">
        <f>C215+C219</f>
        <v>8758689508.4099998</v>
      </c>
      <c r="D214" s="95">
        <f>D215+D219</f>
        <v>1357665904.5099998</v>
      </c>
      <c r="E214" s="84">
        <f>E215+E219</f>
        <v>5099321909.0600004</v>
      </c>
      <c r="F214" s="146">
        <f>C214-E214</f>
        <v>3659367599.3499994</v>
      </c>
      <c r="G214" s="95">
        <f>G215+G219</f>
        <v>1463592676.1399999</v>
      </c>
      <c r="H214" s="175">
        <f>H215+H219</f>
        <v>4850635294.7399998</v>
      </c>
      <c r="I214" s="176"/>
      <c r="J214" s="87">
        <f t="shared" ref="J214:J223" si="19">C214-H214</f>
        <v>3908054213.6700001</v>
      </c>
      <c r="K214" s="175">
        <f>K215+K219</f>
        <v>3726653179.4099998</v>
      </c>
      <c r="L214" s="177"/>
    </row>
    <row r="215" spans="1:12" s="3" customFormat="1" ht="15.75" x14ac:dyDescent="0.25">
      <c r="A215" s="1" t="s">
        <v>111</v>
      </c>
      <c r="B215" s="95">
        <f>SUM(B216:B218)</f>
        <v>8451991869</v>
      </c>
      <c r="C215" s="95">
        <f>SUM(C216:C218)</f>
        <v>8754894881.25</v>
      </c>
      <c r="D215" s="95">
        <f>SUM(D216:D218)</f>
        <v>1357642653.0899997</v>
      </c>
      <c r="E215" s="87">
        <f>SUM(E216:E218)</f>
        <v>5099197638.54</v>
      </c>
      <c r="F215" s="146">
        <f t="shared" ref="F215:F223" si="20">C215-E215</f>
        <v>3655697242.71</v>
      </c>
      <c r="G215" s="95">
        <f>SUM(G216:G218)</f>
        <v>1463558324.8599999</v>
      </c>
      <c r="H215" s="175">
        <f>SUM(H216:I218)</f>
        <v>4850549873.7299995</v>
      </c>
      <c r="I215" s="176">
        <f>SUM(I216:I218)</f>
        <v>0</v>
      </c>
      <c r="J215" s="87">
        <f t="shared" si="19"/>
        <v>3904345007.5200005</v>
      </c>
      <c r="K215" s="175">
        <f>SUM(K216:L218)</f>
        <v>3726577217.4499998</v>
      </c>
      <c r="L215" s="177"/>
    </row>
    <row r="216" spans="1:12" s="3" customFormat="1" ht="15.95" customHeight="1" x14ac:dyDescent="0.25">
      <c r="A216" s="3" t="s">
        <v>112</v>
      </c>
      <c r="B216" s="98">
        <v>3702212272</v>
      </c>
      <c r="C216" s="98">
        <v>3759877184.9499998</v>
      </c>
      <c r="D216" s="98">
        <f>E216-1397164234.16</f>
        <v>525945105.90999985</v>
      </c>
      <c r="E216" s="157">
        <v>1923109340.0699999</v>
      </c>
      <c r="F216" s="145">
        <f t="shared" si="20"/>
        <v>1836767844.8799999</v>
      </c>
      <c r="G216" s="98">
        <f>H216-1112603442.49</f>
        <v>586652573.33999991</v>
      </c>
      <c r="H216" s="172">
        <v>1699256015.8299999</v>
      </c>
      <c r="I216" s="174"/>
      <c r="J216" s="82">
        <f t="shared" si="19"/>
        <v>2060621169.1199999</v>
      </c>
      <c r="K216" s="172">
        <v>1453155852.8199999</v>
      </c>
      <c r="L216" s="173"/>
    </row>
    <row r="217" spans="1:12" s="3" customFormat="1" ht="15.95" customHeight="1" x14ac:dyDescent="0.25">
      <c r="A217" s="152" t="s">
        <v>139</v>
      </c>
      <c r="B217" s="98">
        <v>0</v>
      </c>
      <c r="C217" s="98">
        <v>0</v>
      </c>
      <c r="D217" s="98">
        <f>E217</f>
        <v>0</v>
      </c>
      <c r="E217" s="82">
        <v>0</v>
      </c>
      <c r="F217" s="145">
        <f t="shared" si="20"/>
        <v>0</v>
      </c>
      <c r="G217" s="98">
        <f>H217</f>
        <v>0</v>
      </c>
      <c r="H217" s="172">
        <v>0</v>
      </c>
      <c r="I217" s="174"/>
      <c r="J217" s="82">
        <f t="shared" si="19"/>
        <v>0</v>
      </c>
      <c r="K217" s="172">
        <v>0</v>
      </c>
      <c r="L217" s="173"/>
    </row>
    <row r="218" spans="1:12" s="3" customFormat="1" ht="15.95" customHeight="1" x14ac:dyDescent="0.25">
      <c r="A218" s="3" t="s">
        <v>114</v>
      </c>
      <c r="B218" s="132">
        <v>4749779597</v>
      </c>
      <c r="C218" s="132">
        <v>4995017696.3000002</v>
      </c>
      <c r="D218" s="98">
        <f>E218-2344390751.29</f>
        <v>831697547.17999983</v>
      </c>
      <c r="E218" s="157">
        <v>3176088298.4699998</v>
      </c>
      <c r="F218" s="145">
        <f t="shared" si="20"/>
        <v>1818929397.8300004</v>
      </c>
      <c r="G218" s="98">
        <f>H218-2274388106.38</f>
        <v>876905751.51999998</v>
      </c>
      <c r="H218" s="172">
        <v>3151293857.9000001</v>
      </c>
      <c r="I218" s="174"/>
      <c r="J218" s="82">
        <f t="shared" si="19"/>
        <v>1843723838.4000001</v>
      </c>
      <c r="K218" s="172">
        <v>2273421364.6300001</v>
      </c>
      <c r="L218" s="173"/>
    </row>
    <row r="219" spans="1:12" s="3" customFormat="1" ht="15.95" customHeight="1" x14ac:dyDescent="0.25">
      <c r="A219" s="1" t="s">
        <v>117</v>
      </c>
      <c r="B219" s="95">
        <f>B220+B221+B222</f>
        <v>3228028</v>
      </c>
      <c r="C219" s="95">
        <f>C220+C221+C222</f>
        <v>3794627.16</v>
      </c>
      <c r="D219" s="95">
        <f>D220+D221+D222</f>
        <v>23251.42</v>
      </c>
      <c r="E219" s="87">
        <f>E220+E221+E222</f>
        <v>124270.52</v>
      </c>
      <c r="F219" s="146">
        <f t="shared" si="20"/>
        <v>3670356.64</v>
      </c>
      <c r="G219" s="95">
        <f>G220+G221+G222</f>
        <v>34351.279999999999</v>
      </c>
      <c r="H219" s="175">
        <f>H220+H221+H222</f>
        <v>85421.010000000009</v>
      </c>
      <c r="I219" s="176"/>
      <c r="J219" s="87">
        <f t="shared" si="19"/>
        <v>3709206.1500000004</v>
      </c>
      <c r="K219" s="175">
        <f>K220+K221+K222</f>
        <v>75961.959999999992</v>
      </c>
      <c r="L219" s="177"/>
    </row>
    <row r="220" spans="1:12" s="3" customFormat="1" ht="15.95" customHeight="1" x14ac:dyDescent="0.25">
      <c r="A220" s="3" t="s">
        <v>118</v>
      </c>
      <c r="B220" s="98">
        <v>0</v>
      </c>
      <c r="C220" s="98">
        <v>566599.16</v>
      </c>
      <c r="D220" s="98">
        <f>E220-66599.16</f>
        <v>0</v>
      </c>
      <c r="E220" s="82">
        <v>66599.16</v>
      </c>
      <c r="F220" s="145">
        <f t="shared" si="20"/>
        <v>500000</v>
      </c>
      <c r="G220" s="82">
        <f>H220-16649.79</f>
        <v>11099.86</v>
      </c>
      <c r="H220" s="173">
        <v>27749.65</v>
      </c>
      <c r="I220" s="174"/>
      <c r="J220" s="82">
        <f t="shared" si="19"/>
        <v>538849.51</v>
      </c>
      <c r="K220" s="173">
        <v>27749.65</v>
      </c>
      <c r="L220" s="173"/>
    </row>
    <row r="221" spans="1:12" s="3" customFormat="1" ht="15.95" customHeight="1" x14ac:dyDescent="0.25">
      <c r="A221" s="3" t="s">
        <v>119</v>
      </c>
      <c r="B221" s="98">
        <v>0</v>
      </c>
      <c r="C221" s="98">
        <v>0</v>
      </c>
      <c r="D221" s="98">
        <f>E221</f>
        <v>0</v>
      </c>
      <c r="E221" s="82">
        <v>0</v>
      </c>
      <c r="F221" s="145">
        <f t="shared" si="20"/>
        <v>0</v>
      </c>
      <c r="G221" s="82">
        <f>H221</f>
        <v>0</v>
      </c>
      <c r="H221" s="172">
        <v>0</v>
      </c>
      <c r="I221" s="174"/>
      <c r="J221" s="82">
        <f t="shared" si="19"/>
        <v>0</v>
      </c>
      <c r="K221" s="172">
        <v>0</v>
      </c>
      <c r="L221" s="173"/>
    </row>
    <row r="222" spans="1:12" s="3" customFormat="1" ht="15.95" customHeight="1" x14ac:dyDescent="0.25">
      <c r="A222" s="3" t="s">
        <v>120</v>
      </c>
      <c r="B222" s="98">
        <v>3228028</v>
      </c>
      <c r="C222" s="98">
        <v>3228028</v>
      </c>
      <c r="D222" s="98">
        <f>E222-34419.94</f>
        <v>23251.42</v>
      </c>
      <c r="E222" s="157">
        <v>57671.360000000001</v>
      </c>
      <c r="F222" s="145">
        <f t="shared" si="20"/>
        <v>3170356.64</v>
      </c>
      <c r="G222" s="98">
        <f>H222-34419.94</f>
        <v>23251.42</v>
      </c>
      <c r="H222" s="172">
        <v>57671.360000000001</v>
      </c>
      <c r="I222" s="174"/>
      <c r="J222" s="82">
        <f t="shared" si="19"/>
        <v>3170356.64</v>
      </c>
      <c r="K222" s="172">
        <v>48212.31</v>
      </c>
      <c r="L222" s="173"/>
    </row>
    <row r="223" spans="1:12" s="3" customFormat="1" ht="15.95" customHeight="1" x14ac:dyDescent="0.25">
      <c r="A223" s="153" t="s">
        <v>140</v>
      </c>
      <c r="B223" s="101">
        <v>0</v>
      </c>
      <c r="C223" s="101">
        <v>0</v>
      </c>
      <c r="D223" s="101">
        <f>E223-0</f>
        <v>0</v>
      </c>
      <c r="E223" s="100">
        <v>0</v>
      </c>
      <c r="F223" s="156">
        <f t="shared" si="20"/>
        <v>0</v>
      </c>
      <c r="G223" s="101">
        <f>H223-0</f>
        <v>0</v>
      </c>
      <c r="H223" s="178">
        <v>0</v>
      </c>
      <c r="I223" s="179"/>
      <c r="J223" s="102">
        <f t="shared" si="19"/>
        <v>0</v>
      </c>
      <c r="K223" s="178">
        <v>0</v>
      </c>
      <c r="L223" s="180"/>
    </row>
    <row r="224" spans="1:12" s="3" customFormat="1" ht="15.75" x14ac:dyDescent="0.25">
      <c r="A224" s="61" t="s">
        <v>141</v>
      </c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4" t="s">
        <v>142</v>
      </c>
    </row>
    <row r="225" spans="1:13" s="3" customFormat="1" ht="18" x14ac:dyDescent="0.25">
      <c r="A225" s="61" t="s">
        <v>143</v>
      </c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4"/>
    </row>
    <row r="226" spans="1:13" s="3" customFormat="1" ht="18" x14ac:dyDescent="0.25">
      <c r="A226" s="61" t="s">
        <v>144</v>
      </c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4"/>
    </row>
    <row r="227" spans="1:13" s="3" customFormat="1" ht="15.95" customHeight="1" x14ac:dyDescent="0.25">
      <c r="A227" s="60" t="s">
        <v>145</v>
      </c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136"/>
    </row>
    <row r="228" spans="1:13" s="3" customFormat="1" ht="15.95" hidden="1" customHeight="1" x14ac:dyDescent="0.25">
      <c r="A228" s="142" t="s">
        <v>155</v>
      </c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4"/>
    </row>
    <row r="229" spans="1:13" s="3" customFormat="1" ht="15.95" customHeight="1" x14ac:dyDescent="0.25">
      <c r="A229" s="320" t="s">
        <v>157</v>
      </c>
      <c r="B229" s="320"/>
      <c r="C229" s="320"/>
      <c r="D229" s="320"/>
      <c r="E229" s="320"/>
      <c r="F229" s="320"/>
      <c r="G229" s="320"/>
      <c r="H229" s="320"/>
      <c r="I229" s="320"/>
      <c r="J229" s="320"/>
      <c r="K229" s="320"/>
      <c r="L229" s="320"/>
    </row>
    <row r="230" spans="1:13" s="3" customFormat="1" ht="15.75" x14ac:dyDescent="0.25">
      <c r="A230" s="318" t="s">
        <v>156</v>
      </c>
      <c r="B230" s="318"/>
      <c r="C230" s="318"/>
      <c r="D230" s="318"/>
      <c r="E230" s="318"/>
      <c r="F230" s="318"/>
      <c r="G230" s="318"/>
      <c r="H230" s="318"/>
      <c r="I230" s="318"/>
      <c r="J230" s="318"/>
      <c r="K230" s="318"/>
      <c r="L230" s="318"/>
    </row>
    <row r="231" spans="1:13" s="3" customFormat="1" ht="15.95" customHeight="1" x14ac:dyDescent="0.25">
      <c r="A231" s="134"/>
      <c r="B231" s="60"/>
      <c r="C231" s="78"/>
      <c r="D231" s="60"/>
      <c r="E231" s="79"/>
      <c r="F231" s="60"/>
      <c r="G231" s="79"/>
      <c r="H231" s="60"/>
      <c r="I231" s="60"/>
      <c r="J231" s="60"/>
      <c r="K231" s="60"/>
      <c r="L231" s="60"/>
    </row>
    <row r="232" spans="1:13" s="3" customFormat="1" ht="15.95" customHeight="1" x14ac:dyDescent="0.25">
      <c r="A232" s="135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</row>
    <row r="233" spans="1:13" s="3" customFormat="1" ht="15.95" customHeight="1" x14ac:dyDescent="0.25">
      <c r="A233" s="57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8"/>
    </row>
    <row r="234" spans="1:13" s="3" customFormat="1" ht="15.95" customHeight="1" x14ac:dyDescent="0.25">
      <c r="A234" s="59"/>
      <c r="B234" s="154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</row>
    <row r="235" spans="1:13" s="3" customFormat="1" ht="15.95" customHeight="1" x14ac:dyDescent="0.25">
      <c r="A235" s="59"/>
      <c r="B235" s="154"/>
      <c r="C235" s="56"/>
      <c r="D235" s="56"/>
      <c r="E235" s="56"/>
      <c r="F235" s="56"/>
      <c r="G235" s="56"/>
      <c r="H235" s="56"/>
      <c r="I235" s="56"/>
      <c r="J235" s="56"/>
      <c r="K235" s="56"/>
      <c r="L235" s="56"/>
    </row>
    <row r="236" spans="1:13" s="3" customFormat="1" ht="15.95" customHeight="1" x14ac:dyDescent="0.25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</row>
    <row r="237" spans="1:13" s="3" customFormat="1" ht="15.95" customHeight="1" x14ac:dyDescent="0.25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</row>
    <row r="238" spans="1:13" s="3" customFormat="1" ht="15.95" customHeight="1" x14ac:dyDescent="0.25">
      <c r="A238" s="317" t="s">
        <v>146</v>
      </c>
      <c r="B238" s="317"/>
      <c r="C238" s="317" t="s">
        <v>147</v>
      </c>
      <c r="D238" s="317"/>
      <c r="E238" s="317"/>
      <c r="F238" s="317"/>
      <c r="G238" s="319" t="s">
        <v>148</v>
      </c>
      <c r="H238" s="319"/>
      <c r="I238" s="319"/>
      <c r="J238" s="319"/>
      <c r="K238" s="319"/>
      <c r="L238" s="319"/>
    </row>
    <row r="239" spans="1:13" s="3" customFormat="1" ht="15.95" customHeight="1" x14ac:dyDescent="0.25">
      <c r="A239" s="317" t="s">
        <v>149</v>
      </c>
      <c r="B239" s="317"/>
      <c r="C239" s="317" t="s">
        <v>150</v>
      </c>
      <c r="D239" s="317"/>
      <c r="E239" s="317"/>
      <c r="F239" s="317"/>
      <c r="G239" s="319" t="s">
        <v>151</v>
      </c>
      <c r="H239" s="319"/>
      <c r="I239" s="319"/>
      <c r="J239" s="319"/>
      <c r="K239" s="319"/>
      <c r="L239" s="319"/>
    </row>
    <row r="240" spans="1:13" s="3" customFormat="1" ht="15.95" customHeight="1" x14ac:dyDescent="0.25">
      <c r="A240" s="317" t="s">
        <v>152</v>
      </c>
      <c r="B240" s="317"/>
      <c r="C240" s="317" t="s">
        <v>153</v>
      </c>
      <c r="D240" s="317"/>
      <c r="E240" s="317"/>
      <c r="F240" s="317"/>
      <c r="G240" s="319" t="s">
        <v>154</v>
      </c>
      <c r="H240" s="319"/>
      <c r="I240" s="319"/>
      <c r="J240" s="319"/>
      <c r="K240" s="319"/>
      <c r="L240" s="319"/>
    </row>
    <row r="241" spans="1:12" ht="15.95" customHeight="1" x14ac:dyDescent="0.2">
      <c r="A241" s="60"/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</row>
    <row r="242" spans="1:12" ht="11.25" customHeight="1" x14ac:dyDescent="0.2">
      <c r="A242" s="60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</row>
    <row r="243" spans="1:12" ht="11.25" customHeight="1" x14ac:dyDescent="0.2">
      <c r="A243" s="60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</row>
    <row r="244" spans="1:12" ht="11.25" customHeight="1" x14ac:dyDescent="0.2">
      <c r="A244" s="60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</row>
    <row r="245" spans="1:12" ht="11.25" customHeight="1" x14ac:dyDescent="0.2">
      <c r="A245" s="60"/>
      <c r="B245" s="60"/>
      <c r="C245" s="60"/>
      <c r="D245" s="141"/>
      <c r="E245" s="60"/>
      <c r="F245" s="60"/>
      <c r="G245" s="60"/>
      <c r="H245" s="60"/>
      <c r="I245" s="60"/>
      <c r="J245" s="60"/>
      <c r="K245" s="60"/>
      <c r="L245" s="60"/>
    </row>
    <row r="246" spans="1:12" ht="11.25" customHeight="1" x14ac:dyDescent="0.2">
      <c r="A246" s="60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</row>
    <row r="247" spans="1:12" ht="11.25" customHeight="1" x14ac:dyDescent="0.2">
      <c r="A247" s="60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</row>
    <row r="248" spans="1:12" ht="11.25" customHeight="1" x14ac:dyDescent="0.2">
      <c r="A248" s="60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</row>
    <row r="249" spans="1:12" ht="11.25" customHeight="1" x14ac:dyDescent="0.25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</row>
    <row r="250" spans="1:12" ht="11.25" customHeight="1" x14ac:dyDescent="0.25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</row>
    <row r="251" spans="1:12" ht="11.25" customHeight="1" x14ac:dyDescent="0.25">
      <c r="A251" s="61"/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</row>
    <row r="252" spans="1:12" ht="11.25" customHeight="1" x14ac:dyDescent="0.25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</row>
  </sheetData>
  <dataConsolidate/>
  <mergeCells count="578">
    <mergeCell ref="A57:B57"/>
    <mergeCell ref="A60:B60"/>
    <mergeCell ref="J58:L58"/>
    <mergeCell ref="G60:H60"/>
    <mergeCell ref="G58:H58"/>
    <mergeCell ref="G59:H59"/>
    <mergeCell ref="A58:B58"/>
    <mergeCell ref="J60:L60"/>
    <mergeCell ref="M201:P201"/>
    <mergeCell ref="A61:B61"/>
    <mergeCell ref="A62:B62"/>
    <mergeCell ref="J63:L63"/>
    <mergeCell ref="G61:H61"/>
    <mergeCell ref="G63:H63"/>
    <mergeCell ref="J62:L62"/>
    <mergeCell ref="A64:B64"/>
    <mergeCell ref="G62:H62"/>
    <mergeCell ref="A67:B67"/>
    <mergeCell ref="G64:H64"/>
    <mergeCell ref="J64:L64"/>
    <mergeCell ref="A68:B68"/>
    <mergeCell ref="A63:B63"/>
    <mergeCell ref="J65:L65"/>
    <mergeCell ref="G76:H76"/>
    <mergeCell ref="M57:N57"/>
    <mergeCell ref="M58:N58"/>
    <mergeCell ref="O57:P57"/>
    <mergeCell ref="O58:P58"/>
    <mergeCell ref="M178:N178"/>
    <mergeCell ref="M183:N183"/>
    <mergeCell ref="J70:L70"/>
    <mergeCell ref="K103:L103"/>
    <mergeCell ref="K106:L106"/>
    <mergeCell ref="J143:L143"/>
    <mergeCell ref="J148:L148"/>
    <mergeCell ref="J166:L166"/>
    <mergeCell ref="J162:L162"/>
    <mergeCell ref="J176:L176"/>
    <mergeCell ref="J173:L173"/>
    <mergeCell ref="J180:L180"/>
    <mergeCell ref="J179:L179"/>
    <mergeCell ref="J181:L181"/>
    <mergeCell ref="J182:L182"/>
    <mergeCell ref="J59:L59"/>
    <mergeCell ref="J61:L61"/>
    <mergeCell ref="J87:L87"/>
    <mergeCell ref="J147:L147"/>
    <mergeCell ref="J149:L149"/>
    <mergeCell ref="Q57:T57"/>
    <mergeCell ref="N82:Q84"/>
    <mergeCell ref="M74:P74"/>
    <mergeCell ref="M75:P77"/>
    <mergeCell ref="N94:Q98"/>
    <mergeCell ref="M51:N51"/>
    <mergeCell ref="M56:N56"/>
    <mergeCell ref="G239:L239"/>
    <mergeCell ref="G238:L238"/>
    <mergeCell ref="G81:H81"/>
    <mergeCell ref="G65:H65"/>
    <mergeCell ref="G68:H68"/>
    <mergeCell ref="G66:H66"/>
    <mergeCell ref="J73:L73"/>
    <mergeCell ref="G70:H70"/>
    <mergeCell ref="G72:H72"/>
    <mergeCell ref="J66:L66"/>
    <mergeCell ref="G69:H69"/>
    <mergeCell ref="J71:L71"/>
    <mergeCell ref="J74:L74"/>
    <mergeCell ref="G78:H78"/>
    <mergeCell ref="J76:L76"/>
    <mergeCell ref="J72:L72"/>
    <mergeCell ref="N202:N203"/>
    <mergeCell ref="A18:B18"/>
    <mergeCell ref="G18:H18"/>
    <mergeCell ref="J14:L14"/>
    <mergeCell ref="G15:H15"/>
    <mergeCell ref="A19:B19"/>
    <mergeCell ref="G19:H19"/>
    <mergeCell ref="J19:L19"/>
    <mergeCell ref="A240:B240"/>
    <mergeCell ref="H217:I217"/>
    <mergeCell ref="K217:L217"/>
    <mergeCell ref="C238:F238"/>
    <mergeCell ref="C239:F239"/>
    <mergeCell ref="C240:F240"/>
    <mergeCell ref="A230:L230"/>
    <mergeCell ref="H220:I220"/>
    <mergeCell ref="K220:L220"/>
    <mergeCell ref="H221:I221"/>
    <mergeCell ref="G240:L240"/>
    <mergeCell ref="A239:B239"/>
    <mergeCell ref="A238:B238"/>
    <mergeCell ref="A229:L229"/>
    <mergeCell ref="G57:H57"/>
    <mergeCell ref="A59:B59"/>
    <mergeCell ref="J57:L57"/>
    <mergeCell ref="A6:L6"/>
    <mergeCell ref="A7:L7"/>
    <mergeCell ref="A8:L8"/>
    <mergeCell ref="A9:L9"/>
    <mergeCell ref="A10:L10"/>
    <mergeCell ref="C14:C16"/>
    <mergeCell ref="E14:I14"/>
    <mergeCell ref="J15:L15"/>
    <mergeCell ref="G16:H16"/>
    <mergeCell ref="J16:L16"/>
    <mergeCell ref="A14:B16"/>
    <mergeCell ref="A17:B17"/>
    <mergeCell ref="G17:H17"/>
    <mergeCell ref="A21:B21"/>
    <mergeCell ref="G21:H21"/>
    <mergeCell ref="J21:L21"/>
    <mergeCell ref="A23:B23"/>
    <mergeCell ref="A28:B28"/>
    <mergeCell ref="G23:H23"/>
    <mergeCell ref="J23:L23"/>
    <mergeCell ref="A22:B22"/>
    <mergeCell ref="A26:B26"/>
    <mergeCell ref="J25:L25"/>
    <mergeCell ref="A24:B24"/>
    <mergeCell ref="G24:H24"/>
    <mergeCell ref="J26:L26"/>
    <mergeCell ref="J27:L27"/>
    <mergeCell ref="G28:H28"/>
    <mergeCell ref="J28:L28"/>
    <mergeCell ref="A20:B20"/>
    <mergeCell ref="G20:H20"/>
    <mergeCell ref="J20:L20"/>
    <mergeCell ref="J17:L17"/>
    <mergeCell ref="J18:L18"/>
    <mergeCell ref="J22:L22"/>
    <mergeCell ref="G22:H22"/>
    <mergeCell ref="A25:B25"/>
    <mergeCell ref="G25:H25"/>
    <mergeCell ref="J24:L24"/>
    <mergeCell ref="G26:H26"/>
    <mergeCell ref="A33:B33"/>
    <mergeCell ref="J33:L33"/>
    <mergeCell ref="G32:H32"/>
    <mergeCell ref="G33:H33"/>
    <mergeCell ref="A27:B27"/>
    <mergeCell ref="G27:H27"/>
    <mergeCell ref="J31:L31"/>
    <mergeCell ref="G30:H30"/>
    <mergeCell ref="A34:B34"/>
    <mergeCell ref="J34:L34"/>
    <mergeCell ref="A32:B32"/>
    <mergeCell ref="J32:L32"/>
    <mergeCell ref="G34:H34"/>
    <mergeCell ref="G31:H31"/>
    <mergeCell ref="A31:B31"/>
    <mergeCell ref="A29:B29"/>
    <mergeCell ref="J29:L29"/>
    <mergeCell ref="J30:L30"/>
    <mergeCell ref="A30:B30"/>
    <mergeCell ref="G29:H29"/>
    <mergeCell ref="J44:L44"/>
    <mergeCell ref="J43:L43"/>
    <mergeCell ref="G38:H38"/>
    <mergeCell ref="A37:B37"/>
    <mergeCell ref="G37:H37"/>
    <mergeCell ref="J37:L37"/>
    <mergeCell ref="A35:B35"/>
    <mergeCell ref="J35:L35"/>
    <mergeCell ref="G35:H35"/>
    <mergeCell ref="A36:B36"/>
    <mergeCell ref="G36:H36"/>
    <mergeCell ref="J36:L36"/>
    <mergeCell ref="A41:B41"/>
    <mergeCell ref="A42:B42"/>
    <mergeCell ref="A43:B43"/>
    <mergeCell ref="J40:L40"/>
    <mergeCell ref="G47:H47"/>
    <mergeCell ref="G48:H48"/>
    <mergeCell ref="J48:L48"/>
    <mergeCell ref="A47:B47"/>
    <mergeCell ref="J47:L47"/>
    <mergeCell ref="J46:L46"/>
    <mergeCell ref="J38:L38"/>
    <mergeCell ref="G39:H39"/>
    <mergeCell ref="A45:B45"/>
    <mergeCell ref="J45:L45"/>
    <mergeCell ref="A46:B46"/>
    <mergeCell ref="G41:H41"/>
    <mergeCell ref="G42:H42"/>
    <mergeCell ref="G43:H43"/>
    <mergeCell ref="J41:L41"/>
    <mergeCell ref="J42:L42"/>
    <mergeCell ref="G40:H40"/>
    <mergeCell ref="G45:H45"/>
    <mergeCell ref="G46:H46"/>
    <mergeCell ref="J39:L39"/>
    <mergeCell ref="A39:B39"/>
    <mergeCell ref="A38:B38"/>
    <mergeCell ref="A44:B44"/>
    <mergeCell ref="G44:H44"/>
    <mergeCell ref="J49:L49"/>
    <mergeCell ref="G49:H49"/>
    <mergeCell ref="G55:H55"/>
    <mergeCell ref="A52:B52"/>
    <mergeCell ref="J52:L52"/>
    <mergeCell ref="G50:H50"/>
    <mergeCell ref="G52:H52"/>
    <mergeCell ref="J55:L55"/>
    <mergeCell ref="J51:L51"/>
    <mergeCell ref="G51:H51"/>
    <mergeCell ref="J54:L54"/>
    <mergeCell ref="G53:H53"/>
    <mergeCell ref="G54:H54"/>
    <mergeCell ref="J53:L53"/>
    <mergeCell ref="A53:B53"/>
    <mergeCell ref="A49:B49"/>
    <mergeCell ref="A50:B50"/>
    <mergeCell ref="A51:B51"/>
    <mergeCell ref="A54:B54"/>
    <mergeCell ref="A55:B55"/>
    <mergeCell ref="G75:H75"/>
    <mergeCell ref="J86:L86"/>
    <mergeCell ref="A81:B81"/>
    <mergeCell ref="J67:L67"/>
    <mergeCell ref="A69:B69"/>
    <mergeCell ref="J69:L69"/>
    <mergeCell ref="A70:B70"/>
    <mergeCell ref="J68:L68"/>
    <mergeCell ref="J78:L78"/>
    <mergeCell ref="A73:B73"/>
    <mergeCell ref="G86:H86"/>
    <mergeCell ref="J82:L82"/>
    <mergeCell ref="A80:B80"/>
    <mergeCell ref="G73:H73"/>
    <mergeCell ref="G77:H77"/>
    <mergeCell ref="J77:L77"/>
    <mergeCell ref="A76:B76"/>
    <mergeCell ref="A74:B74"/>
    <mergeCell ref="A75:B75"/>
    <mergeCell ref="A78:B78"/>
    <mergeCell ref="A77:B77"/>
    <mergeCell ref="G74:H74"/>
    <mergeCell ref="J81:L81"/>
    <mergeCell ref="A85:B85"/>
    <mergeCell ref="J80:L80"/>
    <mergeCell ref="G82:H82"/>
    <mergeCell ref="A86:B86"/>
    <mergeCell ref="A79:B79"/>
    <mergeCell ref="J79:L79"/>
    <mergeCell ref="G79:H79"/>
    <mergeCell ref="J84:L84"/>
    <mergeCell ref="A84:B84"/>
    <mergeCell ref="G80:H80"/>
    <mergeCell ref="G84:H84"/>
    <mergeCell ref="A87:B87"/>
    <mergeCell ref="A88:B88"/>
    <mergeCell ref="G88:H88"/>
    <mergeCell ref="J88:L88"/>
    <mergeCell ref="A82:B82"/>
    <mergeCell ref="J83:L83"/>
    <mergeCell ref="J85:L85"/>
    <mergeCell ref="A83:B83"/>
    <mergeCell ref="G83:H83"/>
    <mergeCell ref="G87:H87"/>
    <mergeCell ref="G85:H85"/>
    <mergeCell ref="A93:B93"/>
    <mergeCell ref="G93:H93"/>
    <mergeCell ref="J93:L93"/>
    <mergeCell ref="A92:B92"/>
    <mergeCell ref="G92:H92"/>
    <mergeCell ref="J92:L92"/>
    <mergeCell ref="A89:B89"/>
    <mergeCell ref="G89:H89"/>
    <mergeCell ref="J89:L89"/>
    <mergeCell ref="A91:B91"/>
    <mergeCell ref="G91:H91"/>
    <mergeCell ref="J91:L91"/>
    <mergeCell ref="A90:B90"/>
    <mergeCell ref="G90:H90"/>
    <mergeCell ref="J90:L90"/>
    <mergeCell ref="H104:I104"/>
    <mergeCell ref="K104:L104"/>
    <mergeCell ref="K105:L105"/>
    <mergeCell ref="H102:I102"/>
    <mergeCell ref="G95:H95"/>
    <mergeCell ref="J95:L95"/>
    <mergeCell ref="J94:L94"/>
    <mergeCell ref="A94:B94"/>
    <mergeCell ref="G94:H94"/>
    <mergeCell ref="K99:L101"/>
    <mergeCell ref="H100:I100"/>
    <mergeCell ref="H101:I101"/>
    <mergeCell ref="J96:L96"/>
    <mergeCell ref="G96:H96"/>
    <mergeCell ref="J97:L97"/>
    <mergeCell ref="A99:A102"/>
    <mergeCell ref="G97:H97"/>
    <mergeCell ref="D99:E99"/>
    <mergeCell ref="G99:I99"/>
    <mergeCell ref="A95:B95"/>
    <mergeCell ref="A97:B97"/>
    <mergeCell ref="A96:B96"/>
    <mergeCell ref="K102:L102"/>
    <mergeCell ref="H103:I103"/>
    <mergeCell ref="H108:I108"/>
    <mergeCell ref="K108:L108"/>
    <mergeCell ref="K107:L107"/>
    <mergeCell ref="H109:I109"/>
    <mergeCell ref="K109:L109"/>
    <mergeCell ref="H106:I106"/>
    <mergeCell ref="H107:I107"/>
    <mergeCell ref="H105:I105"/>
    <mergeCell ref="H110:I110"/>
    <mergeCell ref="K110:L110"/>
    <mergeCell ref="H114:I114"/>
    <mergeCell ref="K114:L114"/>
    <mergeCell ref="H111:I111"/>
    <mergeCell ref="H112:I112"/>
    <mergeCell ref="H113:I113"/>
    <mergeCell ref="K111:L111"/>
    <mergeCell ref="K112:L112"/>
    <mergeCell ref="K113:L113"/>
    <mergeCell ref="H117:I117"/>
    <mergeCell ref="K117:L117"/>
    <mergeCell ref="H116:I116"/>
    <mergeCell ref="K116:L116"/>
    <mergeCell ref="H118:I118"/>
    <mergeCell ref="K118:L118"/>
    <mergeCell ref="K119:L119"/>
    <mergeCell ref="A136:L136"/>
    <mergeCell ref="K122:L122"/>
    <mergeCell ref="H120:I120"/>
    <mergeCell ref="H119:I119"/>
    <mergeCell ref="A135:L135"/>
    <mergeCell ref="K121:L121"/>
    <mergeCell ref="H122:I122"/>
    <mergeCell ref="H126:I126"/>
    <mergeCell ref="K126:L126"/>
    <mergeCell ref="K125:L125"/>
    <mergeCell ref="H123:I123"/>
    <mergeCell ref="H125:I125"/>
    <mergeCell ref="A144:B144"/>
    <mergeCell ref="G144:H144"/>
    <mergeCell ref="J144:L144"/>
    <mergeCell ref="G149:H149"/>
    <mergeCell ref="C141:C143"/>
    <mergeCell ref="E141:I141"/>
    <mergeCell ref="G142:H142"/>
    <mergeCell ref="J142:L142"/>
    <mergeCell ref="A141:B143"/>
    <mergeCell ref="J141:L141"/>
    <mergeCell ref="G164:H164"/>
    <mergeCell ref="A164:B164"/>
    <mergeCell ref="J163:L163"/>
    <mergeCell ref="A149:B149"/>
    <mergeCell ref="A40:B40"/>
    <mergeCell ref="J50:L50"/>
    <mergeCell ref="A66:B66"/>
    <mergeCell ref="G67:H67"/>
    <mergeCell ref="J56:L56"/>
    <mergeCell ref="A156:B156"/>
    <mergeCell ref="G156:H156"/>
    <mergeCell ref="J156:L156"/>
    <mergeCell ref="A157:B157"/>
    <mergeCell ref="G157:H157"/>
    <mergeCell ref="J157:L157"/>
    <mergeCell ref="J164:L164"/>
    <mergeCell ref="G161:H161"/>
    <mergeCell ref="J161:L161"/>
    <mergeCell ref="G158:H158"/>
    <mergeCell ref="J75:L75"/>
    <mergeCell ref="A150:B150"/>
    <mergeCell ref="G150:H150"/>
    <mergeCell ref="J150:L150"/>
    <mergeCell ref="G147:H147"/>
    <mergeCell ref="J178:L178"/>
    <mergeCell ref="J175:L175"/>
    <mergeCell ref="J177:L177"/>
    <mergeCell ref="A152:B152"/>
    <mergeCell ref="G152:H152"/>
    <mergeCell ref="J152:L152"/>
    <mergeCell ref="A155:B155"/>
    <mergeCell ref="G155:H155"/>
    <mergeCell ref="J155:L155"/>
    <mergeCell ref="J153:L153"/>
    <mergeCell ref="G154:H154"/>
    <mergeCell ref="J154:L154"/>
    <mergeCell ref="A153:B153"/>
    <mergeCell ref="A163:B163"/>
    <mergeCell ref="A166:B166"/>
    <mergeCell ref="G166:H166"/>
    <mergeCell ref="A154:B154"/>
    <mergeCell ref="J158:L158"/>
    <mergeCell ref="A159:B159"/>
    <mergeCell ref="G159:H159"/>
    <mergeCell ref="J159:L159"/>
    <mergeCell ref="A158:B158"/>
    <mergeCell ref="A165:B165"/>
    <mergeCell ref="G165:H165"/>
    <mergeCell ref="A179:B179"/>
    <mergeCell ref="G179:H179"/>
    <mergeCell ref="A160:B160"/>
    <mergeCell ref="A172:B172"/>
    <mergeCell ref="G176:H176"/>
    <mergeCell ref="A175:B175"/>
    <mergeCell ref="A176:B176"/>
    <mergeCell ref="G177:H177"/>
    <mergeCell ref="A170:B170"/>
    <mergeCell ref="A177:B177"/>
    <mergeCell ref="A178:B178"/>
    <mergeCell ref="G178:H178"/>
    <mergeCell ref="A161:B161"/>
    <mergeCell ref="G163:H163"/>
    <mergeCell ref="G168:H168"/>
    <mergeCell ref="A169:B169"/>
    <mergeCell ref="A171:B171"/>
    <mergeCell ref="G171:H171"/>
    <mergeCell ref="G172:H172"/>
    <mergeCell ref="A174:B174"/>
    <mergeCell ref="G174:H174"/>
    <mergeCell ref="G173:H173"/>
    <mergeCell ref="G160:H160"/>
    <mergeCell ref="G170:H170"/>
    <mergeCell ref="A56:B56"/>
    <mergeCell ref="G56:H56"/>
    <mergeCell ref="G71:H71"/>
    <mergeCell ref="A148:B148"/>
    <mergeCell ref="G148:H148"/>
    <mergeCell ref="G143:H143"/>
    <mergeCell ref="A137:L137"/>
    <mergeCell ref="K123:L123"/>
    <mergeCell ref="H124:I124"/>
    <mergeCell ref="K120:L120"/>
    <mergeCell ref="K124:L124"/>
    <mergeCell ref="H121:I121"/>
    <mergeCell ref="H115:I115"/>
    <mergeCell ref="K115:L115"/>
    <mergeCell ref="K127:L127"/>
    <mergeCell ref="H127:I127"/>
    <mergeCell ref="A145:B145"/>
    <mergeCell ref="G145:H145"/>
    <mergeCell ref="A65:B65"/>
    <mergeCell ref="J145:L145"/>
    <mergeCell ref="A146:B146"/>
    <mergeCell ref="G146:H146"/>
    <mergeCell ref="J146:L146"/>
    <mergeCell ref="A147:B147"/>
    <mergeCell ref="J160:L160"/>
    <mergeCell ref="J174:L174"/>
    <mergeCell ref="A48:B48"/>
    <mergeCell ref="A133:L133"/>
    <mergeCell ref="A134:L134"/>
    <mergeCell ref="A168:B168"/>
    <mergeCell ref="G153:H153"/>
    <mergeCell ref="A167:B167"/>
    <mergeCell ref="A173:B173"/>
    <mergeCell ref="G167:H167"/>
    <mergeCell ref="J168:L168"/>
    <mergeCell ref="J169:L169"/>
    <mergeCell ref="J170:L170"/>
    <mergeCell ref="A162:B162"/>
    <mergeCell ref="G162:H162"/>
    <mergeCell ref="G169:H169"/>
    <mergeCell ref="A71:B71"/>
    <mergeCell ref="A72:B72"/>
    <mergeCell ref="J171:L171"/>
    <mergeCell ref="J172:L172"/>
    <mergeCell ref="J165:L165"/>
    <mergeCell ref="A151:B151"/>
    <mergeCell ref="G151:H151"/>
    <mergeCell ref="J151:L151"/>
    <mergeCell ref="H214:I214"/>
    <mergeCell ref="K214:L214"/>
    <mergeCell ref="H215:I215"/>
    <mergeCell ref="K215:L215"/>
    <mergeCell ref="H213:I213"/>
    <mergeCell ref="K213:L213"/>
    <mergeCell ref="J198:L198"/>
    <mergeCell ref="G197:H197"/>
    <mergeCell ref="K210:L212"/>
    <mergeCell ref="G201:H201"/>
    <mergeCell ref="J201:L201"/>
    <mergeCell ref="K209:L209"/>
    <mergeCell ref="J208:L208"/>
    <mergeCell ref="J206:L206"/>
    <mergeCell ref="J207:L207"/>
    <mergeCell ref="D210:E210"/>
    <mergeCell ref="G210:I210"/>
    <mergeCell ref="A203:B203"/>
    <mergeCell ref="G207:H207"/>
    <mergeCell ref="G200:H200"/>
    <mergeCell ref="A204:B204"/>
    <mergeCell ref="G208:H208"/>
    <mergeCell ref="A207:B207"/>
    <mergeCell ref="G202:H202"/>
    <mergeCell ref="A210:A213"/>
    <mergeCell ref="A205:B205"/>
    <mergeCell ref="A202:B202"/>
    <mergeCell ref="A200:B200"/>
    <mergeCell ref="A208:B208"/>
    <mergeCell ref="H209:I209"/>
    <mergeCell ref="G206:H206"/>
    <mergeCell ref="A206:B206"/>
    <mergeCell ref="G175:H175"/>
    <mergeCell ref="H216:I216"/>
    <mergeCell ref="K216:L216"/>
    <mergeCell ref="H218:I218"/>
    <mergeCell ref="K218:L218"/>
    <mergeCell ref="H219:I219"/>
    <mergeCell ref="K219:L219"/>
    <mergeCell ref="K221:L221"/>
    <mergeCell ref="H223:I223"/>
    <mergeCell ref="K223:L223"/>
    <mergeCell ref="K222:L222"/>
    <mergeCell ref="H222:I222"/>
    <mergeCell ref="H211:I211"/>
    <mergeCell ref="H212:I212"/>
    <mergeCell ref="G181:H181"/>
    <mergeCell ref="J195:L195"/>
    <mergeCell ref="J193:L193"/>
    <mergeCell ref="J191:L191"/>
    <mergeCell ref="J192:L192"/>
    <mergeCell ref="J183:L183"/>
    <mergeCell ref="J187:L187"/>
    <mergeCell ref="J188:L188"/>
    <mergeCell ref="J186:L186"/>
    <mergeCell ref="J185:L185"/>
    <mergeCell ref="J167:L167"/>
    <mergeCell ref="J200:L200"/>
    <mergeCell ref="J202:L202"/>
    <mergeCell ref="J204:L204"/>
    <mergeCell ref="J203:L203"/>
    <mergeCell ref="G194:H194"/>
    <mergeCell ref="A195:B195"/>
    <mergeCell ref="G199:H199"/>
    <mergeCell ref="G189:H189"/>
    <mergeCell ref="G190:H190"/>
    <mergeCell ref="G192:H192"/>
    <mergeCell ref="G191:H191"/>
    <mergeCell ref="G196:H196"/>
    <mergeCell ref="A191:B191"/>
    <mergeCell ref="A196:B196"/>
    <mergeCell ref="A194:B194"/>
    <mergeCell ref="G180:H180"/>
    <mergeCell ref="A180:B180"/>
    <mergeCell ref="A181:B181"/>
    <mergeCell ref="A182:B182"/>
    <mergeCell ref="A197:B197"/>
    <mergeCell ref="A187:B187"/>
    <mergeCell ref="J190:L190"/>
    <mergeCell ref="A190:B190"/>
    <mergeCell ref="G182:H182"/>
    <mergeCell ref="A188:B188"/>
    <mergeCell ref="A189:B189"/>
    <mergeCell ref="G188:H188"/>
    <mergeCell ref="G184:H184"/>
    <mergeCell ref="G193:H193"/>
    <mergeCell ref="A186:B186"/>
    <mergeCell ref="G186:H186"/>
    <mergeCell ref="A184:B184"/>
    <mergeCell ref="A183:B183"/>
    <mergeCell ref="A185:B185"/>
    <mergeCell ref="G187:H187"/>
    <mergeCell ref="G183:H183"/>
    <mergeCell ref="J184:L184"/>
    <mergeCell ref="A198:B198"/>
    <mergeCell ref="A199:B199"/>
    <mergeCell ref="A192:B192"/>
    <mergeCell ref="G198:H198"/>
    <mergeCell ref="J205:L205"/>
    <mergeCell ref="J194:L194"/>
    <mergeCell ref="G195:H195"/>
    <mergeCell ref="A201:B201"/>
    <mergeCell ref="G204:H204"/>
    <mergeCell ref="G205:H205"/>
    <mergeCell ref="G203:H203"/>
    <mergeCell ref="J199:L199"/>
    <mergeCell ref="J196:L196"/>
    <mergeCell ref="J197:L197"/>
    <mergeCell ref="A193:B193"/>
    <mergeCell ref="G185:H185"/>
    <mergeCell ref="J189:L189"/>
  </mergeCells>
  <printOptions horizontalCentered="1"/>
  <pageMargins left="0.39370078740157483" right="0.39370078740157483" top="0.39370078740157483" bottom="0.39370078740157483" header="0" footer="0.19685039370078741"/>
  <pageSetup paperSize="9" scale="33" fitToHeight="0" orientation="portrait" r:id="rId1"/>
  <headerFooter alignWithMargins="0"/>
  <rowBreaks count="1" manualBreakCount="1">
    <brk id="128" max="11" man="1"/>
  </rowBreaks>
  <ignoredErrors>
    <ignoredError sqref="F115:F118 J116:J118 J103 F121:G121 J121 F103:F105 F218:F219 F214:F216 E28 E23 E194 E189 E179 E155 E150 E38 D121 E44 E58 H92 H94 H93 E62 D107:D108 E204 G217 D217 E52 E171 E172:E173 E169 E65 E201 E33 E67 E71 F22 G110:I110 F84:F94 F65 F72:F82 E162 E167 E165 E160:E161 E163:E164 E159 E166 E168" formula="1"/>
    <ignoredError sqref="B104:C104 K104:L104 B110:C110 K110 L116 H104 K124:L124 I124 L117 B122:C122 B123:C123 L118 L121 D104:E104 C78:D78 C155:D155 C28:D28 C204:D204 E110" formulaRange="1"/>
    <ignoredError sqref="F110 G104 F106:F109 F111:F112 J104 I116 J110:J112 F114 J114 E78 D110" formula="1" formulaRange="1"/>
    <ignoredError sqref="I144 E85:E92 G44:H44 I17:I49 I50:I63 G67:I67 H66:I66 G69:I71 H68:I68 F147:F170 I145:I170" evalError="1"/>
    <ignoredError sqref="E84 F17 F83 F18:F21 F23:F50 F51:F64 F66:F71 F144:F146" evalError="1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74BBF854C49E478CC09B3E53C2FE20" ma:contentTypeVersion="11" ma:contentTypeDescription="Create a new document." ma:contentTypeScope="" ma:versionID="63d54850c693ae4464fc8451daf066d0">
  <xsd:schema xmlns:xsd="http://www.w3.org/2001/XMLSchema" xmlns:xs="http://www.w3.org/2001/XMLSchema" xmlns:p="http://schemas.microsoft.com/office/2006/metadata/properties" xmlns:ns2="ebfcc7d6-e1dc-4701-b230-8bbb8f498e60" targetNamespace="http://schemas.microsoft.com/office/2006/metadata/properties" ma:root="true" ma:fieldsID="860b85fa13d0b3f8cfeb90c06dd5513c" ns2:_="">
    <xsd:import namespace="ebfcc7d6-e1dc-4701-b230-8bbb8f498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fcc7d6-e1dc-4701-b230-8bbb8f498e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f008325-463b-45ed-9e9b-5388e118c1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fcc7d6-e1dc-4701-b230-8bbb8f498e6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AF40CF-9744-444F-9DF8-FEE0DE0A6F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fcc7d6-e1dc-4701-b230-8bbb8f498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B6671F-1C1E-4AA9-A540-3FDE1B3688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FA27B0-2487-4C29-87DA-3DF4E02FDDCD}">
  <ds:schemaRefs>
    <ds:schemaRef ds:uri="http://purl.org/dc/dcmitype/"/>
    <ds:schemaRef ds:uri="ebfcc7d6-e1dc-4701-b230-8bbb8f498e60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1 - Balanço Orçamentário</vt:lpstr>
      <vt:lpstr>'Anexo 1 - Balanço Orçamentário'!Area_de_impressao</vt:lpstr>
    </vt:vector>
  </TitlesOfParts>
  <Manager/>
  <Company>sefcon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Dcpacheco</dc:creator>
  <cp:keywords/>
  <dc:description/>
  <cp:lastModifiedBy>Yago Barros Barbosa</cp:lastModifiedBy>
  <cp:revision/>
  <cp:lastPrinted>2026-07-15T18:28:36Z</cp:lastPrinted>
  <dcterms:created xsi:type="dcterms:W3CDTF">2005-03-07T15:54:32Z</dcterms:created>
  <dcterms:modified xsi:type="dcterms:W3CDTF">2026-08-03T12:33:22Z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ContentTypeId">
    <vt:lpwstr>0x010100C874BBF854C49E478CC09B3E53C2FE20</vt:lpwstr>
  </property>
  <property fmtid="{D5CDD505-2E9C-101B-9397-08002B2CF9AE}" pid="4" name="MediaServiceImageTags">
    <vt:lpwstr/>
  </property>
</Properties>
</file>