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6BIM 2025\Site\"/>
    </mc:Choice>
  </mc:AlternateContent>
  <xr:revisionPtr revIDLastSave="0" documentId="13_ncr:1_{173A5A17-1709-4EC6-9750-C67975F9E6BE}" xr6:coauthVersionLast="47" xr6:coauthVersionMax="47" xr10:uidLastSave="{00000000-0000-0000-0000-000000000000}"/>
  <bookViews>
    <workbookView xWindow="-28920" yWindow="-105" windowWidth="29040" windowHeight="15720" tabRatio="934" xr2:uid="{D1EC1809-AC90-4EF4-B8E0-622D38FE1C8F}"/>
  </bookViews>
  <sheets>
    <sheet name="Anexo 4" sheetId="1" r:id="rId1"/>
    <sheet name="Plan3" sheetId="5" state="hidden" r:id="rId2"/>
  </sheets>
  <definedNames>
    <definedName name="_xlnm.Print_Area" localSheetId="0">'Anexo 4'!$A$1:$M$210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2" i="1" l="1"/>
  <c r="M195" i="1" l="1"/>
  <c r="M194" i="1"/>
  <c r="M193" i="1"/>
  <c r="M192" i="1"/>
  <c r="R197" i="1"/>
  <c r="S195" i="1"/>
  <c r="S197" i="1" s="1"/>
  <c r="D197" i="1"/>
  <c r="H197" i="1"/>
  <c r="K197" i="1"/>
  <c r="K194" i="1"/>
  <c r="H194" i="1"/>
  <c r="D194" i="1"/>
  <c r="C194" i="1"/>
  <c r="C193" i="1"/>
  <c r="D193" i="1"/>
  <c r="H193" i="1"/>
  <c r="K193" i="1"/>
  <c r="K192" i="1"/>
  <c r="H192" i="1"/>
  <c r="D192" i="1"/>
  <c r="C186" i="1"/>
  <c r="M186" i="1"/>
  <c r="M185" i="1"/>
  <c r="C185" i="1"/>
  <c r="C184" i="1"/>
  <c r="M184" i="1"/>
  <c r="M183" i="1"/>
  <c r="C183" i="1"/>
  <c r="M175" i="1"/>
  <c r="M174" i="1"/>
  <c r="M173" i="1"/>
  <c r="M172" i="1"/>
  <c r="R176" i="1"/>
  <c r="S175" i="1"/>
  <c r="S176" i="1" s="1"/>
  <c r="K177" i="1"/>
  <c r="H177" i="1"/>
  <c r="D177" i="1"/>
  <c r="C177" i="1"/>
  <c r="K174" i="1"/>
  <c r="H174" i="1"/>
  <c r="D174" i="1"/>
  <c r="C174" i="1"/>
  <c r="C173" i="1"/>
  <c r="D173" i="1"/>
  <c r="H173" i="1"/>
  <c r="K173" i="1"/>
  <c r="K172" i="1"/>
  <c r="H172" i="1"/>
  <c r="D172" i="1"/>
  <c r="C172" i="1"/>
  <c r="M159" i="1"/>
  <c r="M158" i="1"/>
  <c r="M157" i="1"/>
  <c r="T150" i="1"/>
  <c r="T149" i="1"/>
  <c r="T151" i="1" s="1"/>
  <c r="M151" i="1"/>
  <c r="M150" i="1"/>
  <c r="M149" i="1"/>
  <c r="M148" i="1"/>
  <c r="M147" i="1"/>
  <c r="K112" i="1"/>
  <c r="H112" i="1"/>
  <c r="D112" i="1"/>
  <c r="C112" i="1"/>
  <c r="K150" i="1"/>
  <c r="H150" i="1"/>
  <c r="D150" i="1"/>
  <c r="C150" i="1"/>
  <c r="C149" i="1"/>
  <c r="D149" i="1"/>
  <c r="H149" i="1"/>
  <c r="K149" i="1"/>
  <c r="K148" i="1"/>
  <c r="H148" i="1"/>
  <c r="D148" i="1"/>
  <c r="C148" i="1"/>
  <c r="M110" i="1"/>
  <c r="M109" i="1"/>
  <c r="M108" i="1"/>
  <c r="M107" i="1"/>
  <c r="M106" i="1"/>
  <c r="M105" i="1"/>
  <c r="M104" i="1"/>
  <c r="M141" i="1"/>
  <c r="C141" i="1"/>
  <c r="M135" i="1"/>
  <c r="M134" i="1"/>
  <c r="M133" i="1"/>
  <c r="M128" i="1"/>
  <c r="K109" i="1"/>
  <c r="H109" i="1"/>
  <c r="D109" i="1"/>
  <c r="C109" i="1"/>
  <c r="C106" i="1"/>
  <c r="D106" i="1"/>
  <c r="H106" i="1"/>
  <c r="K106" i="1"/>
  <c r="K105" i="1"/>
  <c r="H105" i="1"/>
  <c r="D105" i="1"/>
  <c r="C105" i="1"/>
  <c r="C94" i="1"/>
  <c r="M94" i="1"/>
  <c r="M93" i="1"/>
  <c r="C93" i="1"/>
  <c r="C89" i="1"/>
  <c r="M89" i="1"/>
  <c r="M88" i="1"/>
  <c r="C88" i="1"/>
  <c r="C84" i="1"/>
  <c r="M84" i="1"/>
  <c r="M82" i="1"/>
  <c r="C82" i="1"/>
  <c r="C81" i="1"/>
  <c r="M81" i="1"/>
  <c r="M80" i="1"/>
  <c r="C80" i="1"/>
  <c r="M72" i="1"/>
  <c r="M71" i="1"/>
  <c r="M70" i="1"/>
  <c r="M66" i="1" l="1"/>
  <c r="K59" i="1"/>
  <c r="K53" i="1"/>
  <c r="H53" i="1"/>
  <c r="D53" i="1"/>
  <c r="C53" i="1"/>
  <c r="M51" i="1"/>
  <c r="M50" i="1"/>
  <c r="M49" i="1"/>
  <c r="M48" i="1"/>
  <c r="M47" i="1"/>
  <c r="M46" i="1"/>
  <c r="M45" i="1"/>
  <c r="C50" i="1"/>
  <c r="K47" i="1"/>
  <c r="H47" i="1"/>
  <c r="D47" i="1"/>
  <c r="C47" i="1"/>
  <c r="K46" i="1"/>
  <c r="H46" i="1"/>
  <c r="D46" i="1"/>
  <c r="C46" i="1"/>
  <c r="K29" i="1"/>
  <c r="A121" i="1"/>
  <c r="A120" i="1"/>
  <c r="A119" i="1"/>
  <c r="A118" i="1"/>
  <c r="A122" i="1"/>
  <c r="C147" i="1"/>
  <c r="C151" i="1"/>
  <c r="D147" i="1"/>
  <c r="D151" i="1"/>
  <c r="C104" i="1"/>
  <c r="C110" i="1" s="1"/>
  <c r="D43" i="1"/>
  <c r="D145" i="1" s="1"/>
  <c r="D170" i="1"/>
  <c r="D190" i="1"/>
  <c r="M125" i="1"/>
  <c r="M124" i="1"/>
  <c r="D181" i="1"/>
  <c r="D163" i="1"/>
  <c r="D139" i="1"/>
  <c r="D76" i="1"/>
  <c r="K43" i="1"/>
  <c r="K145" i="1" s="1"/>
  <c r="K170" i="1"/>
  <c r="H43" i="1"/>
  <c r="H145" i="1" s="1"/>
  <c r="M187" i="1"/>
  <c r="M167" i="1"/>
  <c r="M142" i="1"/>
  <c r="M95" i="1"/>
  <c r="M92" i="1"/>
  <c r="M87" i="1"/>
  <c r="M83" i="1"/>
  <c r="M79" i="1"/>
  <c r="K175" i="1"/>
  <c r="H175" i="1"/>
  <c r="D175" i="1"/>
  <c r="D104" i="1"/>
  <c r="D110" i="1" s="1"/>
  <c r="H104" i="1"/>
  <c r="H45" i="1"/>
  <c r="H51" i="1"/>
  <c r="C195" i="1"/>
  <c r="C197" i="1" s="1"/>
  <c r="C187" i="1"/>
  <c r="J195" i="1"/>
  <c r="I195" i="1"/>
  <c r="G195" i="1"/>
  <c r="F195" i="1"/>
  <c r="E195" i="1"/>
  <c r="J175" i="1"/>
  <c r="I175" i="1"/>
  <c r="G175" i="1"/>
  <c r="F175" i="1"/>
  <c r="E175" i="1"/>
  <c r="C175" i="1"/>
  <c r="C167" i="1"/>
  <c r="J151" i="1"/>
  <c r="I151" i="1"/>
  <c r="G151" i="1"/>
  <c r="F151" i="1"/>
  <c r="E151" i="1"/>
  <c r="J147" i="1"/>
  <c r="I147" i="1"/>
  <c r="G147" i="1"/>
  <c r="F147" i="1"/>
  <c r="E147" i="1"/>
  <c r="C142" i="1"/>
  <c r="C153" i="1" s="1"/>
  <c r="C107" i="1"/>
  <c r="K107" i="1"/>
  <c r="J107" i="1"/>
  <c r="I107" i="1"/>
  <c r="H107" i="1"/>
  <c r="H110" i="1" s="1"/>
  <c r="G107" i="1"/>
  <c r="F107" i="1"/>
  <c r="F110" i="1" s="1"/>
  <c r="E107" i="1"/>
  <c r="D107" i="1"/>
  <c r="J104" i="1"/>
  <c r="J110" i="1"/>
  <c r="I104" i="1"/>
  <c r="I110" i="1"/>
  <c r="G104" i="1"/>
  <c r="G110" i="1"/>
  <c r="F104" i="1"/>
  <c r="E104" i="1"/>
  <c r="E110" i="1" s="1"/>
  <c r="C95" i="1"/>
  <c r="C92" i="1"/>
  <c r="C87" i="1"/>
  <c r="C83" i="1"/>
  <c r="C79" i="1"/>
  <c r="H48" i="1"/>
  <c r="K48" i="1"/>
  <c r="J48" i="1"/>
  <c r="I48" i="1"/>
  <c r="J45" i="1"/>
  <c r="J51" i="1"/>
  <c r="I45" i="1"/>
  <c r="I51" i="1" s="1"/>
  <c r="D48" i="1"/>
  <c r="G48" i="1"/>
  <c r="F48" i="1"/>
  <c r="E48" i="1"/>
  <c r="G45" i="1"/>
  <c r="G51" i="1" s="1"/>
  <c r="F45" i="1"/>
  <c r="F51" i="1"/>
  <c r="E45" i="1"/>
  <c r="E51" i="1"/>
  <c r="K36" i="1"/>
  <c r="K32" i="1"/>
  <c r="K27" i="1"/>
  <c r="K23" i="1"/>
  <c r="K19" i="1"/>
  <c r="C19" i="1"/>
  <c r="C36" i="1"/>
  <c r="C32" i="1"/>
  <c r="C27" i="1"/>
  <c r="C23" i="1"/>
  <c r="C48" i="1"/>
  <c r="E27" i="5"/>
  <c r="E28" i="5"/>
  <c r="K104" i="1"/>
  <c r="H195" i="1"/>
  <c r="D195" i="1"/>
  <c r="K195" i="1"/>
  <c r="K190" i="1"/>
  <c r="K102" i="1"/>
  <c r="K147" i="1"/>
  <c r="K151" i="1"/>
  <c r="S150" i="1" s="1"/>
  <c r="S151" i="1" s="1"/>
  <c r="H147" i="1"/>
  <c r="H151" i="1"/>
  <c r="R150" i="1" s="1"/>
  <c r="R151" i="1" s="1"/>
  <c r="K110" i="1" l="1"/>
  <c r="C78" i="1"/>
  <c r="C99" i="1" s="1"/>
  <c r="K45" i="1"/>
  <c r="K51" i="1" s="1"/>
  <c r="D45" i="1"/>
  <c r="D51" i="1" s="1"/>
  <c r="C45" i="1"/>
  <c r="C51" i="1" s="1"/>
  <c r="C18" i="1"/>
  <c r="C40" i="1" s="1"/>
  <c r="K153" i="1"/>
  <c r="D153" i="1"/>
  <c r="H153" i="1"/>
  <c r="M78" i="1"/>
  <c r="M99" i="1" s="1"/>
  <c r="K18" i="1"/>
  <c r="K40" i="1" s="1"/>
  <c r="H190" i="1"/>
  <c r="H102" i="1"/>
  <c r="H170" i="1"/>
  <c r="D102" i="1"/>
</calcChain>
</file>

<file path=xl/sharedStrings.xml><?xml version="1.0" encoding="utf-8"?>
<sst xmlns="http://schemas.openxmlformats.org/spreadsheetml/2006/main" count="321" uniqueCount="163">
  <si>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</si>
  <si>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</si>
  <si>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</si>
  <si>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</si>
  <si>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</si>
  <si>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</si>
  <si>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</si>
  <si>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</si>
  <si>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</si>
  <si>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</si>
  <si>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</si>
  <si>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</si>
  <si>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</si>
  <si>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</si>
  <si>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</si>
  <si>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</si>
  <si>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</si>
  <si>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</si>
  <si>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</si>
  <si>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</si>
  <si>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</si>
  <si>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</si>
  <si>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</si>
  <si>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</si>
  <si>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</si>
  <si>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</si>
  <si>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</si>
  <si>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</si>
  <si>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</si>
  <si>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</si>
  <si>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</si>
  <si>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</si>
  <si>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</si>
  <si>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</si>
  <si>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</si>
  <si>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</si>
  <si>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</si>
  <si>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</si>
  <si>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INSCRITAS EM RESTOS A PAGAR NÃO PROCESSADOS</t>
  </si>
  <si>
    <t>ATUALIZADA</t>
  </si>
  <si>
    <t xml:space="preserve"> No Exercício</t>
  </si>
  <si>
    <t>(c)</t>
  </si>
  <si>
    <t>(d)</t>
  </si>
  <si>
    <t>(e)</t>
  </si>
  <si>
    <t>(f)</t>
  </si>
  <si>
    <t>(g)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</si>
  <si>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</si>
  <si>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</si>
  <si>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</si>
  <si>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</si>
  <si>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</si>
  <si>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</si>
  <si>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</si>
  <si>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</si>
  <si>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</si>
  <si>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</si>
  <si>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</si>
  <si>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</si>
  <si>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</si>
  <si>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</si>
  <si>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</si>
  <si>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</si>
  <si>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</si>
  <si>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</si>
  <si>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</si>
  <si>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</si>
  <si>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</si>
  <si>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</si>
  <si>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</si>
  <si>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</si>
  <si>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</si>
  <si>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</si>
  <si>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</si>
  <si>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</si>
  <si>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>TOTAL DAS DESPESAS DO FUNDO EM REPARTIÇÃO (X)</t>
  </si>
  <si>
    <r>
      <t>RESULTADO PREVIDENCIÁRIO - FUNDO EM REPARTIÇÃO (Xl)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</si>
  <si>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</si>
  <si>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</si>
  <si>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</si>
  <si>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</si>
  <si>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</si>
  <si>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</si>
  <si>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</si>
  <si>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</si>
  <si>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</si>
  <si>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</si>
  <si>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</si>
  <si>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</si>
  <si>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</si>
  <si>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</si>
  <si>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</si>
  <si>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</si>
  <si>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</si>
  <si>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</si>
  <si>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</si>
  <si>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</si>
  <si>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</si>
  <si>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</si>
  <si>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</si>
  <si>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</si>
  <si>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 xml:space="preserve">Aposentadorias 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</si>
  <si>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</si>
  <si>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</si>
  <si>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</si>
  <si>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</si>
  <si>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</si>
  <si>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</si>
  <si>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</si>
  <si>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</si>
  <si>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</si>
  <si>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</si>
  <si>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</si>
  <si>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</si>
  <si>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</si>
  <si>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</si>
  <si>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t>SUB-FUNÇÃO ADM</t>
  </si>
  <si>
    <r>
      <t>RESULTADO ASSOCIADO ÀS PENSÕES E AOS INATIVOS MILITARES  (XXII) = (XX–XXI)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</si>
  <si>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</si>
  <si>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</si>
  <si>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</si>
  <si>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</si>
  <si>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</si>
  <si>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</si>
  <si>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</si>
  <si>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</si>
  <si>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</si>
  <si>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</si>
  <si>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</si>
  <si>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</si>
  <si>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</si>
  <si>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</si>
  <si>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</si>
  <si>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</si>
  <si>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</si>
  <si>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</si>
  <si>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</si>
  <si>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</si>
  <si>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</si>
  <si>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</si>
  <si>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</si>
  <si>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</si>
  <si>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</si>
  <si>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</si>
  <si>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</si>
  <si>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</si>
  <si>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</si>
  <si>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</si>
  <si>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</si>
  <si>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</si>
  <si>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</si>
  <si>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</si>
  <si>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</si>
  <si>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</si>
  <si>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</si>
  <si>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</si>
  <si>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</si>
  <si>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</si>
  <si>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</si>
  <si>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</si>
  <si>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</si>
  <si>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JANEIRO A DEZEMBRO 2025/BIMESTRE NOVEMBRO - DEZEMBRO</t>
  </si>
  <si>
    <t>Jan a Dez 2025</t>
  </si>
  <si>
    <t>Emissão: 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</si>
</sst>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25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8"/>
      <color rgb="FFFF0000"/>
      <name val="Arial"/>
      <family val="2"/>
    </font>
    <font>
      <sz val="10"/>
      <color theme="1"/>
      <name val="Times New Roman"/>
      <family val="1"/>
    </font>
    <font>
      <b/>
      <sz val="11"/>
      <color rgb="FFFF0000"/>
      <name val="Arial"/>
      <family val="2"/>
    </font>
    <font>
      <b/>
      <sz val="8"/>
      <color theme="6" tint="-0.249977111117893"/>
      <name val="Arial"/>
      <family val="2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2" fillId="0" borderId="18" applyNumberFormat="0" applyFill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6">
    <xf numFmtId="0" fontId="0" fillId="0" borderId="0" xfId="0"/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1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4" borderId="0" xfId="0" applyFont="1" applyFill="1"/>
    <xf numFmtId="0" fontId="3" fillId="4" borderId="0" xfId="0" applyFont="1" applyFill="1"/>
    <xf numFmtId="166" fontId="3" fillId="4" borderId="0" xfId="0" applyNumberFormat="1" applyFont="1" applyFill="1" applyAlignment="1">
      <alignment vertical="center" wrapText="1"/>
    </xf>
    <xf numFmtId="164" fontId="3" fillId="4" borderId="0" xfId="3" applyFont="1" applyFill="1"/>
    <xf numFmtId="0" fontId="2" fillId="4" borderId="0" xfId="0" applyFont="1" applyFill="1"/>
    <xf numFmtId="0" fontId="5" fillId="4" borderId="0" xfId="0" applyFont="1" applyFill="1" applyAlignment="1">
      <alignment vertical="center"/>
    </xf>
    <xf numFmtId="0" fontId="13" fillId="4" borderId="0" xfId="0" applyFont="1" applyFill="1"/>
    <xf numFmtId="166" fontId="3" fillId="4" borderId="0" xfId="0" applyNumberFormat="1" applyFont="1" applyFill="1"/>
    <xf numFmtId="166" fontId="3" fillId="4" borderId="0" xfId="3" applyNumberFormat="1" applyFont="1" applyFill="1"/>
    <xf numFmtId="43" fontId="3" fillId="4" borderId="0" xfId="0" applyNumberFormat="1" applyFont="1" applyFill="1"/>
    <xf numFmtId="0" fontId="14" fillId="4" borderId="0" xfId="0" applyFont="1" applyFill="1"/>
    <xf numFmtId="166" fontId="3" fillId="4" borderId="0" xfId="3" applyNumberFormat="1" applyFont="1" applyFill="1" applyBorder="1" applyAlignment="1">
      <alignment wrapText="1"/>
    </xf>
    <xf numFmtId="0" fontId="4" fillId="4" borderId="0" xfId="0" applyFont="1" applyFill="1"/>
    <xf numFmtId="166" fontId="3" fillId="4" borderId="0" xfId="0" applyNumberFormat="1" applyFont="1" applyFill="1" applyAlignment="1">
      <alignment wrapText="1"/>
    </xf>
    <xf numFmtId="49" fontId="6" fillId="4" borderId="0" xfId="0" applyNumberFormat="1" applyFont="1" applyFill="1"/>
    <xf numFmtId="0" fontId="6" fillId="4" borderId="0" xfId="0" applyFont="1" applyFill="1"/>
    <xf numFmtId="49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vertical="center"/>
    </xf>
    <xf numFmtId="49" fontId="7" fillId="4" borderId="0" xfId="0" applyNumberFormat="1" applyFont="1" applyFill="1" applyAlignment="1">
      <alignment horizontal="justify" vertical="center"/>
    </xf>
    <xf numFmtId="166" fontId="7" fillId="4" borderId="0" xfId="3" applyNumberFormat="1" applyFont="1" applyFill="1" applyBorder="1" applyAlignment="1">
      <alignment vertical="center"/>
    </xf>
    <xf numFmtId="166" fontId="7" fillId="4" borderId="0" xfId="3" applyNumberFormat="1" applyFont="1" applyFill="1" applyBorder="1" applyAlignment="1">
      <alignment horizontal="center" vertical="center" wrapText="1"/>
    </xf>
    <xf numFmtId="166" fontId="7" fillId="4" borderId="0" xfId="3" applyNumberFormat="1" applyFont="1" applyFill="1" applyBorder="1" applyAlignment="1">
      <alignment vertical="center" wrapText="1"/>
    </xf>
    <xf numFmtId="37" fontId="6" fillId="4" borderId="0" xfId="0" applyNumberFormat="1" applyFont="1" applyFill="1" applyAlignment="1">
      <alignment vertical="center"/>
    </xf>
    <xf numFmtId="166" fontId="6" fillId="4" borderId="0" xfId="3" applyNumberFormat="1" applyFont="1" applyFill="1" applyBorder="1" applyAlignment="1">
      <alignment vertical="center" wrapText="1"/>
    </xf>
    <xf numFmtId="41" fontId="6" fillId="4" borderId="0" xfId="3" applyNumberFormat="1" applyFont="1" applyFill="1" applyBorder="1" applyAlignment="1">
      <alignment vertical="center" wrapText="1"/>
    </xf>
    <xf numFmtId="166" fontId="6" fillId="4" borderId="1" xfId="3" applyNumberFormat="1" applyFont="1" applyFill="1" applyBorder="1" applyAlignment="1">
      <alignment vertical="center" wrapText="1"/>
    </xf>
    <xf numFmtId="41" fontId="6" fillId="4" borderId="1" xfId="3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right" vertical="center"/>
    </xf>
    <xf numFmtId="4" fontId="6" fillId="4" borderId="0" xfId="0" applyNumberFormat="1" applyFont="1" applyFill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66" fontId="6" fillId="4" borderId="0" xfId="0" applyNumberFormat="1" applyFont="1" applyFill="1" applyAlignment="1">
      <alignment vertical="center"/>
    </xf>
    <xf numFmtId="0" fontId="7" fillId="5" borderId="6" xfId="0" applyFont="1" applyFill="1" applyBorder="1" applyAlignment="1">
      <alignment horizontal="center" vertical="center"/>
    </xf>
    <xf numFmtId="0" fontId="15" fillId="0" borderId="0" xfId="0" applyFont="1"/>
    <xf numFmtId="0" fontId="6" fillId="4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4" borderId="7" xfId="1" applyFont="1" applyFill="1" applyBorder="1"/>
    <xf numFmtId="0" fontId="16" fillId="4" borderId="0" xfId="0" applyFont="1" applyFill="1"/>
    <xf numFmtId="164" fontId="6" fillId="4" borderId="8" xfId="3" applyFont="1" applyFill="1" applyBorder="1" applyAlignment="1">
      <alignment vertical="center" wrapText="1"/>
    </xf>
    <xf numFmtId="164" fontId="6" fillId="4" borderId="0" xfId="3" applyFont="1" applyFill="1" applyBorder="1" applyAlignment="1">
      <alignment vertical="center" wrapText="1"/>
    </xf>
    <xf numFmtId="164" fontId="7" fillId="4" borderId="5" xfId="3" applyFont="1" applyFill="1" applyBorder="1" applyAlignment="1">
      <alignment vertical="center"/>
    </xf>
    <xf numFmtId="164" fontId="7" fillId="4" borderId="7" xfId="3" applyFont="1" applyFill="1" applyBorder="1" applyAlignment="1">
      <alignment vertical="center" wrapText="1"/>
    </xf>
    <xf numFmtId="43" fontId="6" fillId="4" borderId="0" xfId="0" applyNumberFormat="1" applyFont="1" applyFill="1" applyAlignment="1">
      <alignment vertical="center"/>
    </xf>
    <xf numFmtId="164" fontId="6" fillId="4" borderId="8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6" fillId="4" borderId="9" xfId="3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164" fontId="6" fillId="4" borderId="5" xfId="3" applyFont="1" applyFill="1" applyBorder="1" applyAlignment="1">
      <alignment horizontal="center" vertical="center" wrapText="1"/>
    </xf>
    <xf numFmtId="164" fontId="6" fillId="4" borderId="4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4" borderId="0" xfId="3" applyFont="1" applyFill="1" applyBorder="1" applyAlignment="1">
      <alignment vertical="center"/>
    </xf>
    <xf numFmtId="164" fontId="6" fillId="4" borderId="9" xfId="3" applyFont="1" applyFill="1" applyBorder="1" applyAlignment="1">
      <alignment vertical="center"/>
    </xf>
    <xf numFmtId="164" fontId="7" fillId="4" borderId="3" xfId="3" applyFont="1" applyFill="1" applyBorder="1" applyAlignment="1">
      <alignment vertical="center"/>
    </xf>
    <xf numFmtId="164" fontId="7" fillId="4" borderId="0" xfId="3" applyFont="1" applyFill="1" applyBorder="1" applyAlignment="1">
      <alignment vertical="center"/>
    </xf>
    <xf numFmtId="164" fontId="7" fillId="4" borderId="4" xfId="3" applyFont="1" applyFill="1" applyBorder="1" applyAlignment="1">
      <alignment vertical="center"/>
    </xf>
    <xf numFmtId="164" fontId="7" fillId="4" borderId="11" xfId="3" applyFont="1" applyFill="1" applyBorder="1" applyAlignment="1">
      <alignment vertical="center"/>
    </xf>
    <xf numFmtId="164" fontId="6" fillId="4" borderId="9" xfId="3" applyFont="1" applyFill="1" applyBorder="1" applyAlignment="1">
      <alignment vertical="center" wrapText="1"/>
    </xf>
    <xf numFmtId="37" fontId="7" fillId="5" borderId="10" xfId="0" applyNumberFormat="1" applyFont="1" applyFill="1" applyBorder="1" applyAlignment="1">
      <alignment horizontal="center"/>
    </xf>
    <xf numFmtId="37" fontId="7" fillId="5" borderId="8" xfId="0" applyNumberFormat="1" applyFont="1" applyFill="1" applyBorder="1" applyAlignment="1">
      <alignment horizontal="center" wrapText="1"/>
    </xf>
    <xf numFmtId="37" fontId="7" fillId="5" borderId="5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164" fontId="6" fillId="4" borderId="1" xfId="3" applyFont="1" applyFill="1" applyBorder="1" applyAlignment="1">
      <alignment vertical="center"/>
    </xf>
    <xf numFmtId="166" fontId="7" fillId="4" borderId="11" xfId="3" applyNumberFormat="1" applyFont="1" applyFill="1" applyBorder="1" applyAlignment="1">
      <alignment vertical="center"/>
    </xf>
    <xf numFmtId="166" fontId="6" fillId="4" borderId="9" xfId="3" applyNumberFormat="1" applyFont="1" applyFill="1" applyBorder="1" applyAlignment="1"/>
    <xf numFmtId="49" fontId="7" fillId="4" borderId="0" xfId="1" applyNumberFormat="1" applyFont="1" applyFill="1" applyAlignment="1">
      <alignment vertical="center"/>
    </xf>
    <xf numFmtId="164" fontId="7" fillId="4" borderId="0" xfId="3" applyFont="1" applyFill="1" applyBorder="1" applyAlignment="1">
      <alignment horizontal="center" vertical="center" wrapText="1"/>
    </xf>
    <xf numFmtId="164" fontId="7" fillId="4" borderId="0" xfId="3" applyFont="1" applyFill="1" applyBorder="1" applyAlignment="1">
      <alignment vertical="center" wrapText="1"/>
    </xf>
    <xf numFmtId="164" fontId="7" fillId="4" borderId="7" xfId="3" applyFont="1" applyFill="1" applyBorder="1" applyAlignment="1">
      <alignment vertical="center"/>
    </xf>
    <xf numFmtId="164" fontId="6" fillId="4" borderId="8" xfId="3" applyFont="1" applyFill="1" applyBorder="1" applyAlignment="1">
      <alignment vertical="center"/>
    </xf>
    <xf numFmtId="164" fontId="7" fillId="4" borderId="12" xfId="3" applyFont="1" applyFill="1" applyBorder="1" applyAlignment="1">
      <alignment vertical="center"/>
    </xf>
    <xf numFmtId="164" fontId="7" fillId="4" borderId="13" xfId="3" applyFont="1" applyFill="1" applyBorder="1" applyAlignment="1">
      <alignment vertical="center" wrapText="1"/>
    </xf>
    <xf numFmtId="164" fontId="7" fillId="4" borderId="1" xfId="3" applyFont="1" applyFill="1" applyBorder="1" applyAlignment="1">
      <alignment vertical="center" wrapText="1"/>
    </xf>
    <xf numFmtId="164" fontId="6" fillId="4" borderId="1" xfId="3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/>
    </xf>
    <xf numFmtId="164" fontId="7" fillId="4" borderId="10" xfId="3" applyFont="1" applyFill="1" applyBorder="1" applyAlignment="1">
      <alignment vertical="center" wrapText="1"/>
    </xf>
    <xf numFmtId="166" fontId="16" fillId="4" borderId="0" xfId="3" applyNumberFormat="1" applyFont="1" applyFill="1" applyAlignment="1"/>
    <xf numFmtId="164" fontId="6" fillId="0" borderId="8" xfId="3" applyFont="1" applyFill="1" applyBorder="1" applyAlignment="1">
      <alignment vertical="center" wrapText="1"/>
    </xf>
    <xf numFmtId="164" fontId="6" fillId="0" borderId="14" xfId="3" applyFont="1" applyFill="1" applyBorder="1" applyAlignment="1">
      <alignment horizontal="right" vertical="top" wrapText="1"/>
    </xf>
    <xf numFmtId="0" fontId="3" fillId="0" borderId="0" xfId="0" applyFont="1"/>
    <xf numFmtId="49" fontId="7" fillId="4" borderId="3" xfId="1" applyNumberFormat="1" applyFont="1" applyFill="1" applyBorder="1" applyAlignment="1">
      <alignment vertical="center"/>
    </xf>
    <xf numFmtId="164" fontId="7" fillId="4" borderId="3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right" vertical="center"/>
    </xf>
    <xf numFmtId="164" fontId="6" fillId="0" borderId="0" xfId="3" applyFont="1" applyFill="1" applyBorder="1" applyAlignment="1">
      <alignment vertical="center" wrapText="1"/>
    </xf>
    <xf numFmtId="164" fontId="6" fillId="0" borderId="0" xfId="3" applyFont="1" applyBorder="1"/>
    <xf numFmtId="164" fontId="3" fillId="4" borderId="0" xfId="3" applyFont="1" applyFill="1" applyBorder="1"/>
    <xf numFmtId="164" fontId="6" fillId="4" borderId="8" xfId="3" applyFont="1" applyFill="1" applyBorder="1" applyAlignment="1">
      <alignment horizontal="center" vertical="center" wrapText="1"/>
    </xf>
    <xf numFmtId="43" fontId="6" fillId="0" borderId="0" xfId="1" applyNumberFormat="1" applyFont="1"/>
    <xf numFmtId="166" fontId="18" fillId="4" borderId="0" xfId="0" applyNumberFormat="1" applyFont="1" applyFill="1" applyAlignment="1">
      <alignment horizontal="center" wrapText="1"/>
    </xf>
    <xf numFmtId="166" fontId="18" fillId="4" borderId="0" xfId="0" applyNumberFormat="1" applyFont="1" applyFill="1" applyAlignment="1">
      <alignment wrapText="1"/>
    </xf>
    <xf numFmtId="166" fontId="3" fillId="4" borderId="13" xfId="3" applyNumberFormat="1" applyFont="1" applyFill="1" applyBorder="1"/>
    <xf numFmtId="166" fontId="3" fillId="4" borderId="10" xfId="3" applyNumberFormat="1" applyFont="1" applyFill="1" applyBorder="1"/>
    <xf numFmtId="166" fontId="3" fillId="4" borderId="8" xfId="3" applyNumberFormat="1" applyFont="1" applyFill="1" applyBorder="1"/>
    <xf numFmtId="0" fontId="6" fillId="4" borderId="5" xfId="0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vertical="center"/>
    </xf>
    <xf numFmtId="166" fontId="6" fillId="4" borderId="5" xfId="3" applyNumberFormat="1" applyFont="1" applyFill="1" applyBorder="1" applyAlignment="1">
      <alignment vertical="center"/>
    </xf>
    <xf numFmtId="0" fontId="3" fillId="4" borderId="1" xfId="0" applyFont="1" applyFill="1" applyBorder="1"/>
    <xf numFmtId="166" fontId="4" fillId="0" borderId="1" xfId="0" applyNumberFormat="1" applyFont="1" applyBorder="1"/>
    <xf numFmtId="0" fontId="19" fillId="4" borderId="0" xfId="0" applyFont="1" applyFill="1" applyAlignment="1">
      <alignment wrapText="1"/>
    </xf>
    <xf numFmtId="0" fontId="3" fillId="4" borderId="7" xfId="0" applyFont="1" applyFill="1" applyBorder="1"/>
    <xf numFmtId="164" fontId="16" fillId="0" borderId="0" xfId="3" applyFont="1" applyFill="1"/>
    <xf numFmtId="43" fontId="3" fillId="0" borderId="0" xfId="0" applyNumberFormat="1" applyFont="1"/>
    <xf numFmtId="0" fontId="14" fillId="4" borderId="10" xfId="0" applyFont="1" applyFill="1" applyBorder="1"/>
    <xf numFmtId="0" fontId="14" fillId="4" borderId="8" xfId="0" applyFont="1" applyFill="1" applyBorder="1"/>
    <xf numFmtId="164" fontId="14" fillId="4" borderId="8" xfId="3" applyFont="1" applyFill="1" applyBorder="1"/>
    <xf numFmtId="164" fontId="16" fillId="0" borderId="8" xfId="3" applyFont="1" applyFill="1" applyBorder="1"/>
    <xf numFmtId="0" fontId="16" fillId="0" borderId="8" xfId="0" applyFont="1" applyBorder="1" applyAlignment="1">
      <alignment horizontal="left"/>
    </xf>
    <xf numFmtId="166" fontId="3" fillId="0" borderId="8" xfId="3" applyNumberFormat="1" applyFont="1" applyFill="1" applyBorder="1"/>
    <xf numFmtId="0" fontId="3" fillId="0" borderId="8" xfId="0" applyFont="1" applyBorder="1"/>
    <xf numFmtId="43" fontId="3" fillId="0" borderId="13" xfId="0" applyNumberFormat="1" applyFont="1" applyBorder="1"/>
    <xf numFmtId="164" fontId="6" fillId="4" borderId="3" xfId="3" applyFont="1" applyFill="1" applyBorder="1" applyAlignment="1">
      <alignment vertical="center" wrapText="1"/>
    </xf>
    <xf numFmtId="0" fontId="20" fillId="0" borderId="0" xfId="0" applyFont="1" applyAlignment="1">
      <alignment horizontal="right"/>
    </xf>
    <xf numFmtId="0" fontId="10" fillId="4" borderId="7" xfId="1" applyFont="1" applyFill="1" applyBorder="1" applyAlignment="1">
      <alignment vertical="center"/>
    </xf>
    <xf numFmtId="0" fontId="6" fillId="0" borderId="1" xfId="1" applyFont="1" applyBorder="1"/>
    <xf numFmtId="0" fontId="6" fillId="0" borderId="7" xfId="1" applyFont="1" applyBorder="1"/>
    <xf numFmtId="0" fontId="6" fillId="0" borderId="3" xfId="1" applyFont="1" applyBorder="1"/>
    <xf numFmtId="164" fontId="6" fillId="0" borderId="7" xfId="3" applyFont="1" applyBorder="1"/>
    <xf numFmtId="164" fontId="6" fillId="0" borderId="13" xfId="3" applyFont="1" applyBorder="1"/>
    <xf numFmtId="0" fontId="6" fillId="0" borderId="10" xfId="1" applyFont="1" applyBorder="1"/>
    <xf numFmtId="0" fontId="6" fillId="0" borderId="8" xfId="1" applyFont="1" applyBorder="1"/>
    <xf numFmtId="165" fontId="6" fillId="4" borderId="0" xfId="0" applyNumberFormat="1" applyFont="1" applyFill="1"/>
    <xf numFmtId="0" fontId="20" fillId="0" borderId="0" xfId="0" applyFont="1" applyAlignment="1">
      <alignment horizontal="center"/>
    </xf>
    <xf numFmtId="165" fontId="20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4" fontId="6" fillId="0" borderId="0" xfId="1" applyNumberFormat="1" applyFont="1"/>
    <xf numFmtId="164" fontId="7" fillId="0" borderId="7" xfId="3" applyFont="1" applyBorder="1"/>
    <xf numFmtId="37" fontId="6" fillId="3" borderId="13" xfId="1" applyNumberFormat="1" applyFont="1" applyFill="1" applyBorder="1" applyAlignment="1">
      <alignment horizontal="center"/>
    </xf>
    <xf numFmtId="37" fontId="6" fillId="3" borderId="7" xfId="1" applyNumberFormat="1" applyFont="1" applyFill="1" applyBorder="1" applyAlignment="1">
      <alignment horizontal="center"/>
    </xf>
    <xf numFmtId="166" fontId="3" fillId="4" borderId="0" xfId="3" applyNumberFormat="1" applyFont="1" applyFill="1" applyBorder="1"/>
    <xf numFmtId="164" fontId="14" fillId="4" borderId="0" xfId="3" applyFont="1" applyFill="1" applyBorder="1"/>
    <xf numFmtId="164" fontId="16" fillId="0" borderId="0" xfId="3" applyFont="1" applyFill="1" applyBorder="1"/>
    <xf numFmtId="0" fontId="16" fillId="0" borderId="0" xfId="0" applyFont="1" applyAlignment="1">
      <alignment horizontal="left"/>
    </xf>
    <xf numFmtId="166" fontId="3" fillId="0" borderId="0" xfId="3" applyNumberFormat="1" applyFont="1" applyFill="1" applyBorder="1"/>
    <xf numFmtId="164" fontId="6" fillId="4" borderId="0" xfId="3" applyFont="1" applyFill="1"/>
    <xf numFmtId="164" fontId="20" fillId="4" borderId="0" xfId="3" applyFont="1" applyFill="1" applyAlignment="1"/>
    <xf numFmtId="164" fontId="20" fillId="0" borderId="1" xfId="3" applyFont="1" applyFill="1" applyBorder="1"/>
    <xf numFmtId="164" fontId="6" fillId="4" borderId="3" xfId="3" applyFont="1" applyFill="1" applyBorder="1" applyAlignment="1">
      <alignment vertical="center"/>
    </xf>
    <xf numFmtId="164" fontId="6" fillId="4" borderId="15" xfId="3" applyFont="1" applyFill="1" applyBorder="1" applyAlignment="1">
      <alignment vertical="center"/>
    </xf>
    <xf numFmtId="164" fontId="6" fillId="4" borderId="16" xfId="3" applyFont="1" applyFill="1" applyBorder="1" applyAlignment="1">
      <alignment vertical="center"/>
    </xf>
    <xf numFmtId="164" fontId="6" fillId="4" borderId="6" xfId="3" applyFont="1" applyFill="1" applyBorder="1" applyAlignment="1">
      <alignment vertical="center"/>
    </xf>
    <xf numFmtId="166" fontId="6" fillId="4" borderId="7" xfId="0" applyNumberFormat="1" applyFont="1" applyFill="1" applyBorder="1" applyAlignment="1">
      <alignment vertical="center"/>
    </xf>
    <xf numFmtId="164" fontId="6" fillId="4" borderId="7" xfId="3" applyFont="1" applyFill="1" applyBorder="1" applyAlignment="1"/>
    <xf numFmtId="164" fontId="6" fillId="4" borderId="12" xfId="3" applyFont="1" applyFill="1" applyBorder="1" applyAlignment="1"/>
    <xf numFmtId="49" fontId="7" fillId="4" borderId="7" xfId="0" applyNumberFormat="1" applyFont="1" applyFill="1" applyBorder="1" applyAlignment="1">
      <alignment vertical="center"/>
    </xf>
    <xf numFmtId="164" fontId="6" fillId="4" borderId="3" xfId="3" applyFont="1" applyFill="1" applyBorder="1" applyAlignment="1"/>
    <xf numFmtId="164" fontId="6" fillId="4" borderId="0" xfId="3" applyFont="1" applyFill="1" applyBorder="1" applyAlignment="1"/>
    <xf numFmtId="164" fontId="6" fillId="4" borderId="0" xfId="3" applyFont="1" applyFill="1" applyBorder="1" applyAlignment="1">
      <alignment wrapText="1"/>
    </xf>
    <xf numFmtId="164" fontId="6" fillId="0" borderId="0" xfId="3" applyFont="1" applyFill="1" applyBorder="1" applyAlignment="1">
      <alignment wrapText="1"/>
    </xf>
    <xf numFmtId="0" fontId="10" fillId="4" borderId="0" xfId="1" applyFont="1" applyFill="1"/>
    <xf numFmtId="43" fontId="6" fillId="0" borderId="8" xfId="1" applyNumberFormat="1" applyFont="1" applyBorder="1"/>
    <xf numFmtId="164" fontId="6" fillId="0" borderId="0" xfId="3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0" xfId="0" applyNumberFormat="1" applyFont="1" applyAlignment="1">
      <alignment horizontal="right"/>
    </xf>
    <xf numFmtId="0" fontId="6" fillId="4" borderId="10" xfId="0" applyFont="1" applyFill="1" applyBorder="1" applyAlignment="1">
      <alignment vertical="center" wrapText="1"/>
    </xf>
    <xf numFmtId="166" fontId="6" fillId="4" borderId="3" xfId="3" applyNumberFormat="1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3" fillId="4" borderId="3" xfId="0" applyFont="1" applyFill="1" applyBorder="1"/>
    <xf numFmtId="164" fontId="7" fillId="4" borderId="0" xfId="3" applyFont="1" applyFill="1" applyBorder="1" applyAlignment="1">
      <alignment horizontal="center" vertical="center"/>
    </xf>
    <xf numFmtId="164" fontId="7" fillId="4" borderId="2" xfId="3" applyFont="1" applyFill="1" applyBorder="1" applyAlignment="1">
      <alignment vertical="center"/>
    </xf>
    <xf numFmtId="164" fontId="7" fillId="4" borderId="10" xfId="3" applyFont="1" applyFill="1" applyBorder="1" applyAlignment="1">
      <alignment vertical="center"/>
    </xf>
    <xf numFmtId="164" fontId="7" fillId="4" borderId="9" xfId="3" applyFont="1" applyFill="1" applyBorder="1" applyAlignment="1">
      <alignment vertical="center"/>
    </xf>
    <xf numFmtId="164" fontId="7" fillId="4" borderId="8" xfId="3" applyFont="1" applyFill="1" applyBorder="1" applyAlignment="1">
      <alignment vertical="center"/>
    </xf>
    <xf numFmtId="164" fontId="7" fillId="4" borderId="1" xfId="3" applyFont="1" applyFill="1" applyBorder="1" applyAlignment="1">
      <alignment horizontal="center" vertical="center"/>
    </xf>
    <xf numFmtId="164" fontId="7" fillId="4" borderId="1" xfId="3" applyFont="1" applyFill="1" applyBorder="1" applyAlignment="1">
      <alignment vertical="center"/>
    </xf>
    <xf numFmtId="43" fontId="20" fillId="4" borderId="0" xfId="0" applyNumberFormat="1" applyFont="1" applyFill="1"/>
    <xf numFmtId="164" fontId="20" fillId="4" borderId="0" xfId="3" applyFont="1" applyFill="1"/>
    <xf numFmtId="166" fontId="6" fillId="0" borderId="0" xfId="3" applyNumberFormat="1" applyFont="1" applyFill="1"/>
    <xf numFmtId="43" fontId="7" fillId="0" borderId="7" xfId="0" applyNumberFormat="1" applyFont="1" applyBorder="1"/>
    <xf numFmtId="0" fontId="6" fillId="0" borderId="0" xfId="0" applyFont="1" applyAlignment="1">
      <alignment vertical="center" wrapText="1"/>
    </xf>
    <xf numFmtId="164" fontId="6" fillId="0" borderId="9" xfId="3" applyFont="1" applyFill="1" applyBorder="1" applyAlignment="1">
      <alignment vertical="center"/>
    </xf>
    <xf numFmtId="164" fontId="6" fillId="0" borderId="15" xfId="3" applyFont="1" applyFill="1" applyBorder="1" applyAlignment="1">
      <alignment vertical="center" wrapText="1"/>
    </xf>
    <xf numFmtId="164" fontId="6" fillId="0" borderId="0" xfId="3" applyFont="1" applyFill="1" applyBorder="1" applyAlignment="1">
      <alignment vertical="center"/>
    </xf>
    <xf numFmtId="164" fontId="6" fillId="0" borderId="16" xfId="3" applyFont="1" applyFill="1" applyBorder="1" applyAlignment="1">
      <alignment vertical="center" wrapText="1"/>
    </xf>
    <xf numFmtId="164" fontId="6" fillId="0" borderId="6" xfId="3" applyFont="1" applyFill="1" applyBorder="1" applyAlignment="1">
      <alignment vertical="center" wrapText="1"/>
    </xf>
    <xf numFmtId="164" fontId="7" fillId="0" borderId="11" xfId="3" applyFont="1" applyFill="1" applyBorder="1" applyAlignment="1">
      <alignment vertical="center"/>
    </xf>
    <xf numFmtId="164" fontId="7" fillId="0" borderId="3" xfId="3" applyFont="1" applyFill="1" applyBorder="1" applyAlignment="1">
      <alignment vertical="center"/>
    </xf>
    <xf numFmtId="164" fontId="7" fillId="0" borderId="10" xfId="3" applyFont="1" applyFill="1" applyBorder="1" applyAlignment="1">
      <alignment vertical="center" wrapText="1"/>
    </xf>
    <xf numFmtId="164" fontId="7" fillId="0" borderId="4" xfId="3" applyFont="1" applyFill="1" applyBorder="1" applyAlignment="1">
      <alignment vertical="center"/>
    </xf>
    <xf numFmtId="164" fontId="7" fillId="0" borderId="5" xfId="3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164" fontId="7" fillId="4" borderId="7" xfId="3" applyFont="1" applyFill="1" applyBorder="1"/>
    <xf numFmtId="164" fontId="6" fillId="2" borderId="14" xfId="3" applyFont="1" applyFill="1" applyBorder="1" applyAlignment="1">
      <alignment horizontal="right" vertical="top" wrapText="1"/>
    </xf>
    <xf numFmtId="4" fontId="6" fillId="0" borderId="0" xfId="1" applyNumberFormat="1" applyFont="1" applyAlignment="1">
      <alignment horizontal="right"/>
    </xf>
    <xf numFmtId="0" fontId="22" fillId="4" borderId="0" xfId="0" applyFont="1" applyFill="1"/>
    <xf numFmtId="164" fontId="7" fillId="0" borderId="0" xfId="3" applyFont="1" applyFill="1" applyBorder="1" applyAlignment="1">
      <alignment vertical="center"/>
    </xf>
    <xf numFmtId="164" fontId="3" fillId="4" borderId="0" xfId="0" applyNumberFormat="1" applyFont="1" applyFill="1"/>
    <xf numFmtId="0" fontId="16" fillId="6" borderId="0" xfId="0" applyFont="1" applyFill="1" applyAlignment="1">
      <alignment horizontal="center"/>
    </xf>
    <xf numFmtId="0" fontId="23" fillId="0" borderId="0" xfId="1" applyFont="1"/>
    <xf numFmtId="43" fontId="23" fillId="0" borderId="0" xfId="1" applyNumberFormat="1" applyFont="1"/>
    <xf numFmtId="0" fontId="7" fillId="0" borderId="7" xfId="1" applyFont="1" applyBorder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9" fontId="6" fillId="0" borderId="0" xfId="1" applyNumberFormat="1" applyFont="1" applyAlignment="1">
      <alignment horizontal="left" vertical="center"/>
    </xf>
    <xf numFmtId="49" fontId="7" fillId="0" borderId="7" xfId="1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20" fillId="0" borderId="3" xfId="1" applyFont="1" applyBorder="1" applyAlignment="1">
      <alignment wrapText="1"/>
    </xf>
    <xf numFmtId="0" fontId="20" fillId="0" borderId="0" xfId="1" applyFont="1" applyAlignment="1">
      <alignment wrapText="1"/>
    </xf>
    <xf numFmtId="0" fontId="20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vertical="center"/>
    </xf>
    <xf numFmtId="164" fontId="3" fillId="4" borderId="0" xfId="3" quotePrefix="1" applyFont="1" applyFill="1"/>
    <xf numFmtId="43" fontId="6" fillId="4" borderId="1" xfId="0" applyNumberFormat="1" applyFont="1" applyFill="1" applyBorder="1"/>
    <xf numFmtId="164" fontId="6" fillId="0" borderId="0" xfId="3" applyFont="1"/>
    <xf numFmtId="49" fontId="6" fillId="4" borderId="0" xfId="0" applyNumberFormat="1" applyFont="1" applyFill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5" borderId="10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164" fontId="6" fillId="4" borderId="8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center" vertical="center"/>
    </xf>
    <xf numFmtId="37" fontId="7" fillId="5" borderId="3" xfId="0" applyNumberFormat="1" applyFont="1" applyFill="1" applyBorder="1" applyAlignment="1">
      <alignment horizontal="center" vertical="center" wrapText="1"/>
    </xf>
    <xf numFmtId="37" fontId="7" fillId="5" borderId="2" xfId="0" applyNumberFormat="1" applyFont="1" applyFill="1" applyBorder="1" applyAlignment="1">
      <alignment horizontal="center" vertical="center" wrapText="1"/>
    </xf>
    <xf numFmtId="37" fontId="7" fillId="5" borderId="1" xfId="0" applyNumberFormat="1" applyFont="1" applyFill="1" applyBorder="1" applyAlignment="1">
      <alignment horizontal="center" vertical="center" wrapText="1"/>
    </xf>
    <xf numFmtId="37" fontId="7" fillId="5" borderId="4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4" fontId="6" fillId="4" borderId="8" xfId="3" applyFont="1" applyFill="1" applyBorder="1" applyAlignment="1">
      <alignment horizontal="center" vertical="center" wrapText="1"/>
    </xf>
    <xf numFmtId="164" fontId="6" fillId="4" borderId="0" xfId="3" applyFont="1" applyFill="1" applyBorder="1" applyAlignment="1">
      <alignment horizontal="center" vertical="center" wrapText="1"/>
    </xf>
    <xf numFmtId="164" fontId="6" fillId="4" borderId="9" xfId="3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164" fontId="6" fillId="4" borderId="5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 wrapText="1"/>
    </xf>
    <xf numFmtId="164" fontId="6" fillId="4" borderId="4" xfId="3" applyFont="1" applyFill="1" applyBorder="1" applyAlignment="1">
      <alignment horizontal="center" vertical="center" wrapText="1"/>
    </xf>
    <xf numFmtId="164" fontId="7" fillId="4" borderId="13" xfId="3" applyFont="1" applyFill="1" applyBorder="1" applyAlignment="1">
      <alignment horizontal="center" vertical="center"/>
    </xf>
    <xf numFmtId="164" fontId="7" fillId="4" borderId="7" xfId="3" applyFont="1" applyFill="1" applyBorder="1" applyAlignment="1">
      <alignment horizontal="center" vertical="center"/>
    </xf>
    <xf numFmtId="164" fontId="7" fillId="4" borderId="11" xfId="3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4" borderId="7" xfId="3" applyFont="1" applyFill="1" applyBorder="1" applyAlignment="1">
      <alignment horizontal="center" vertical="center" wrapText="1"/>
    </xf>
    <xf numFmtId="166" fontId="6" fillId="4" borderId="7" xfId="3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6" fillId="4" borderId="0" xfId="0" applyNumberFormat="1" applyFont="1" applyFill="1" applyAlignment="1">
      <alignment horizontal="center" vertical="center"/>
    </xf>
    <xf numFmtId="166" fontId="18" fillId="5" borderId="10" xfId="0" applyNumberFormat="1" applyFont="1" applyFill="1" applyBorder="1" applyAlignment="1">
      <alignment horizontal="center" vertical="center" wrapText="1"/>
    </xf>
    <xf numFmtId="166" fontId="18" fillId="5" borderId="3" xfId="0" applyNumberFormat="1" applyFont="1" applyFill="1" applyBorder="1" applyAlignment="1">
      <alignment horizontal="center" vertical="center" wrapText="1"/>
    </xf>
    <xf numFmtId="166" fontId="18" fillId="5" borderId="8" xfId="0" applyNumberFormat="1" applyFont="1" applyFill="1" applyBorder="1" applyAlignment="1">
      <alignment horizontal="center" vertical="center" wrapText="1"/>
    </xf>
    <xf numFmtId="166" fontId="18" fillId="5" borderId="0" xfId="0" applyNumberFormat="1" applyFont="1" applyFill="1" applyAlignment="1">
      <alignment horizontal="center" vertical="center" wrapText="1"/>
    </xf>
    <xf numFmtId="166" fontId="18" fillId="5" borderId="5" xfId="0" applyNumberFormat="1" applyFont="1" applyFill="1" applyBorder="1" applyAlignment="1">
      <alignment horizontal="center" wrapText="1"/>
    </xf>
    <xf numFmtId="166" fontId="18" fillId="5" borderId="1" xfId="0" applyNumberFormat="1" applyFont="1" applyFill="1" applyBorder="1" applyAlignment="1">
      <alignment horizontal="center" wrapText="1"/>
    </xf>
    <xf numFmtId="164" fontId="6" fillId="4" borderId="0" xfId="3" applyFont="1" applyFill="1" applyBorder="1" applyAlignment="1">
      <alignment horizontal="right"/>
    </xf>
    <xf numFmtId="0" fontId="7" fillId="5" borderId="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37" fontId="7" fillId="5" borderId="3" xfId="0" applyNumberFormat="1" applyFont="1" applyFill="1" applyBorder="1" applyAlignment="1">
      <alignment horizontal="center" vertical="center"/>
    </xf>
    <xf numFmtId="37" fontId="7" fillId="5" borderId="2" xfId="0" applyNumberFormat="1" applyFont="1" applyFill="1" applyBorder="1" applyAlignment="1">
      <alignment horizontal="center" vertical="center"/>
    </xf>
    <xf numFmtId="37" fontId="7" fillId="5" borderId="0" xfId="0" applyNumberFormat="1" applyFont="1" applyFill="1" applyAlignment="1">
      <alignment horizontal="center" vertical="center"/>
    </xf>
    <xf numFmtId="37" fontId="7" fillId="5" borderId="9" xfId="0" applyNumberFormat="1" applyFont="1" applyFill="1" applyBorder="1" applyAlignment="1">
      <alignment horizontal="center" vertical="center"/>
    </xf>
    <xf numFmtId="37" fontId="7" fillId="5" borderId="1" xfId="0" applyNumberFormat="1" applyFont="1" applyFill="1" applyBorder="1" applyAlignment="1">
      <alignment horizontal="center" vertical="center"/>
    </xf>
    <xf numFmtId="37" fontId="7" fillId="5" borderId="4" xfId="0" applyNumberFormat="1" applyFont="1" applyFill="1" applyBorder="1" applyAlignment="1">
      <alignment horizontal="center" vertical="center"/>
    </xf>
    <xf numFmtId="164" fontId="6" fillId="4" borderId="17" xfId="3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164" fontId="7" fillId="4" borderId="13" xfId="3" applyFont="1" applyFill="1" applyBorder="1" applyAlignment="1">
      <alignment horizontal="center" vertical="center" wrapText="1"/>
    </xf>
    <xf numFmtId="164" fontId="7" fillId="4" borderId="11" xfId="3" applyFont="1" applyFill="1" applyBorder="1" applyAlignment="1">
      <alignment horizontal="center" vertical="center" wrapText="1"/>
    </xf>
    <xf numFmtId="164" fontId="6" fillId="0" borderId="8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9" xfId="3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8" fillId="5" borderId="10" xfId="1" applyFont="1" applyFill="1" applyBorder="1" applyAlignment="1">
      <alignment horizontal="center" vertical="center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164" fontId="6" fillId="0" borderId="17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164" fontId="7" fillId="0" borderId="13" xfId="3" applyFont="1" applyFill="1" applyBorder="1" applyAlignment="1">
      <alignment horizontal="center" vertical="center"/>
    </xf>
    <xf numFmtId="164" fontId="7" fillId="0" borderId="7" xfId="3" applyFont="1" applyFill="1" applyBorder="1" applyAlignment="1">
      <alignment horizontal="center" vertical="center"/>
    </xf>
    <xf numFmtId="164" fontId="7" fillId="0" borderId="11" xfId="3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right"/>
    </xf>
    <xf numFmtId="164" fontId="6" fillId="0" borderId="5" xfId="3" applyFont="1" applyFill="1" applyBorder="1" applyAlignment="1">
      <alignment horizontal="center" vertical="center" wrapText="1"/>
    </xf>
    <xf numFmtId="164" fontId="6" fillId="0" borderId="1" xfId="3" applyFont="1" applyFill="1" applyBorder="1" applyAlignment="1">
      <alignment horizontal="center" vertical="center" wrapText="1"/>
    </xf>
    <xf numFmtId="164" fontId="6" fillId="0" borderId="4" xfId="3" applyFont="1" applyFill="1" applyBorder="1" applyAlignment="1">
      <alignment horizontal="center" vertical="center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7" xfId="3" applyFont="1" applyFill="1" applyBorder="1" applyAlignment="1">
      <alignment horizontal="center" vertical="center" wrapText="1"/>
    </xf>
    <xf numFmtId="164" fontId="7" fillId="0" borderId="11" xfId="3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/>
    </xf>
    <xf numFmtId="0" fontId="7" fillId="5" borderId="10" xfId="1" applyFont="1" applyFill="1" applyBorder="1" applyAlignment="1">
      <alignment horizontal="center" wrapText="1"/>
    </xf>
    <xf numFmtId="0" fontId="7" fillId="5" borderId="3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7" fillId="5" borderId="5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164" fontId="6" fillId="4" borderId="7" xfId="3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/>
    <xf numFmtId="166" fontId="4" fillId="0" borderId="0" xfId="0" applyNumberFormat="1" applyFont="1" applyFill="1"/>
    <xf numFmtId="166" fontId="4" fillId="0" borderId="0" xfId="3" applyNumberFormat="1" applyFont="1" applyFill="1"/>
    <xf numFmtId="0" fontId="13" fillId="0" borderId="0" xfId="0" applyFont="1" applyFill="1"/>
    <xf numFmtId="166" fontId="3" fillId="0" borderId="0" xfId="3" applyNumberFormat="1" applyFont="1" applyFill="1"/>
    <xf numFmtId="166" fontId="16" fillId="0" borderId="0" xfId="3" applyNumberFormat="1" applyFont="1" applyFill="1" applyBorder="1" applyAlignment="1"/>
    <xf numFmtId="166" fontId="16" fillId="0" borderId="0" xfId="3" applyNumberFormat="1" applyFont="1" applyFill="1" applyAlignment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164" fontId="3" fillId="0" borderId="0" xfId="3" applyFont="1" applyFill="1"/>
    <xf numFmtId="0" fontId="4" fillId="0" borderId="0" xfId="0" applyFont="1" applyFill="1"/>
    <xf numFmtId="166" fontId="3" fillId="0" borderId="0" xfId="3" applyNumberFormat="1" applyFont="1" applyFill="1" applyBorder="1" applyAlignment="1">
      <alignment wrapText="1"/>
    </xf>
    <xf numFmtId="164" fontId="3" fillId="0" borderId="0" xfId="3" applyFont="1" applyFill="1" applyAlignment="1"/>
    <xf numFmtId="0" fontId="3" fillId="0" borderId="0" xfId="0" applyFont="1" applyFill="1" applyAlignment="1">
      <alignment vertical="center" wrapText="1"/>
    </xf>
    <xf numFmtId="0" fontId="14" fillId="0" borderId="0" xfId="0" applyFont="1" applyFill="1"/>
    <xf numFmtId="43" fontId="14" fillId="0" borderId="0" xfId="0" applyNumberFormat="1" applyFont="1" applyFill="1"/>
    <xf numFmtId="164" fontId="14" fillId="0" borderId="0" xfId="3" quotePrefix="1" applyFont="1" applyFill="1"/>
    <xf numFmtId="164" fontId="14" fillId="0" borderId="0" xfId="3" applyFont="1" applyFill="1"/>
    <xf numFmtId="0" fontId="16" fillId="0" borderId="0" xfId="3" applyNumberFormat="1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43" fontId="17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43" fontId="21" fillId="0" borderId="0" xfId="0" applyNumberFormat="1" applyFont="1" applyFill="1"/>
    <xf numFmtId="0" fontId="21" fillId="0" borderId="0" xfId="0" applyFont="1" applyFill="1"/>
    <xf numFmtId="43" fontId="4" fillId="0" borderId="0" xfId="0" applyNumberFormat="1" applyFont="1" applyFill="1"/>
    <xf numFmtId="0" fontId="22" fillId="0" borderId="0" xfId="0" applyFont="1" applyFill="1"/>
    <xf numFmtId="166" fontId="16" fillId="0" borderId="0" xfId="3" applyNumberFormat="1" applyFont="1" applyFill="1"/>
    <xf numFmtId="0" fontId="16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164" fontId="3" fillId="0" borderId="0" xfId="0" applyNumberFormat="1" applyFont="1" applyFill="1"/>
  </cellXfs>
  <cellStyles count="6">
    <cellStyle name="Normal" xfId="0" builtinId="0"/>
    <cellStyle name="Normal 2" xfId="1" xr:uid="{2CF76B09-3721-4F49-8907-0CAA03A62E7E}"/>
    <cellStyle name="Total" xfId="2" builtinId="25" customBuiltin="1"/>
    <cellStyle name="Vírgula" xfId="3" builtinId="3"/>
    <cellStyle name="Vírgula 2" xfId="4" xr:uid="{7351C185-05B0-40FD-AD80-30D71C322228}"/>
    <cellStyle name="Vírgula 2 2" xfId="5" xr:uid="{C7A73B52-E9F1-48A6-9B67-BE1A33CE99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142875</xdr:rowOff>
    </xdr:from>
    <xdr:to>
      <xdr:col>3</xdr:col>
      <xdr:colOff>257175</xdr:colOff>
      <xdr:row>3</xdr:row>
      <xdr:rowOff>104775</xdr:rowOff>
    </xdr:to>
    <xdr:pic>
      <xdr:nvPicPr>
        <xdr:cNvPr id="29768" name="Picture 1">
          <a:extLst>
            <a:ext uri="{FF2B5EF4-FFF2-40B4-BE49-F238E27FC236}">
              <a16:creationId xmlns:a16="http://schemas.microsoft.com/office/drawing/2014/main" id="{39FE6DD0-9A54-AC60-E520-646AE3A5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42875"/>
          <a:ext cx="514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914400</xdr:colOff>
      <xdr:row>113</xdr:row>
      <xdr:rowOff>95250</xdr:rowOff>
    </xdr:from>
    <xdr:to>
      <xdr:col>3</xdr:col>
      <xdr:colOff>257175</xdr:colOff>
      <xdr:row>116</xdr:row>
      <xdr:rowOff>142875</xdr:rowOff>
    </xdr:to>
    <xdr:pic>
      <xdr:nvPicPr>
        <xdr:cNvPr id="29769" name="Picture 1">
          <a:extLst>
            <a:ext uri="{FF2B5EF4-FFF2-40B4-BE49-F238E27FC236}">
              <a16:creationId xmlns:a16="http://schemas.microsoft.com/office/drawing/2014/main" id="{3B885A5A-537E-AB0F-4AA8-CEB496A3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0202525"/>
          <a:ext cx="523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095C-53DB-4C3C-B935-26DC72A2C4D5}">
  <sheetPr>
    <pageSetUpPr fitToPage="1"/>
  </sheetPr>
  <dimension ref="A1:Y250"/>
  <sheetViews>
    <sheetView showGridLines="0" tabSelected="1" topLeftCell="A183" zoomScale="90" zoomScaleNormal="90" workbookViewId="0">
      <selection activeCell="O185" sqref="O185:Q201"/>
    </sheetView>
  </sheetViews>
  <sheetFormatPr defaultRowHeight="14.25"/>
  <cols>
    <col min="1" max="1" width="68.42578125" style="8" customWidth="1"/>
    <col min="2" max="2" width="16.28515625" style="8" customWidth="1"/>
    <col min="3" max="3" width="17.7109375" style="8" bestFit="1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9" style="8" customWidth="1"/>
    <col min="9" max="9" width="10.85546875" style="8" customWidth="1"/>
    <col min="10" max="10" width="9.28515625" style="8" customWidth="1"/>
    <col min="11" max="11" width="22.5703125" style="8" customWidth="1"/>
    <col min="12" max="13" width="19.28515625" style="9" customWidth="1"/>
    <col min="14" max="14" width="21" style="9" customWidth="1"/>
    <col min="15" max="15" width="19.28515625" style="9" customWidth="1"/>
    <col min="16" max="16" width="19.42578125" style="9" bestFit="1" customWidth="1"/>
    <col min="17" max="17" width="16.7109375" style="9" bestFit="1" customWidth="1"/>
    <col min="18" max="18" width="22.7109375" style="9" customWidth="1"/>
    <col min="19" max="19" width="17" style="9" bestFit="1" customWidth="1"/>
    <col min="20" max="20" width="17.42578125" style="9" customWidth="1"/>
    <col min="21" max="21" width="63.7109375" style="9" bestFit="1" customWidth="1"/>
    <col min="22" max="22" width="9.140625" style="9"/>
    <col min="23" max="16384" width="9.140625" style="8"/>
  </cols>
  <sheetData>
    <row r="1" spans="1:19">
      <c r="S1" s="20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9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9">
      <c r="A5" s="236" t="s">
        <v>0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9">
      <c r="A6" s="236" t="s">
        <v>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</row>
    <row r="7" spans="1:19">
      <c r="A7" s="237" t="s">
        <v>2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</row>
    <row r="8" spans="1:19">
      <c r="A8" s="236" t="s">
        <v>3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</row>
    <row r="9" spans="1:19">
      <c r="A9" s="236" t="s">
        <v>160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3"/>
    </row>
    <row r="11" spans="1:19">
      <c r="A11" s="22"/>
      <c r="B11" s="22"/>
      <c r="C11" s="22"/>
      <c r="D11" s="22"/>
      <c r="E11" s="22"/>
      <c r="F11" s="22"/>
      <c r="G11" s="321"/>
      <c r="H11" s="321"/>
      <c r="I11" s="321"/>
      <c r="J11" s="321"/>
      <c r="K11" s="321"/>
      <c r="M11" s="25" t="s">
        <v>162</v>
      </c>
    </row>
    <row r="12" spans="1:19" ht="18">
      <c r="A12" s="23" t="s">
        <v>4</v>
      </c>
      <c r="B12" s="23"/>
      <c r="C12" s="23"/>
      <c r="D12" s="23"/>
      <c r="E12" s="23"/>
      <c r="F12" s="25"/>
      <c r="G12" s="23"/>
      <c r="H12" s="23"/>
      <c r="I12" s="328"/>
      <c r="J12" s="328"/>
      <c r="K12" s="328"/>
      <c r="L12" s="144"/>
      <c r="M12" s="144">
        <v>1</v>
      </c>
      <c r="N12" s="144"/>
      <c r="Q12" s="45"/>
    </row>
    <row r="13" spans="1:19" ht="14.25" customHeight="1">
      <c r="A13" s="283" t="s">
        <v>5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Q13" s="45"/>
    </row>
    <row r="14" spans="1:19">
      <c r="A14" s="284" t="s">
        <v>6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</row>
    <row r="15" spans="1:19" ht="14.25" customHeight="1">
      <c r="A15" s="283" t="s">
        <v>7</v>
      </c>
      <c r="B15" s="285"/>
      <c r="C15" s="290" t="s">
        <v>8</v>
      </c>
      <c r="D15" s="292" t="s">
        <v>9</v>
      </c>
      <c r="E15" s="293"/>
      <c r="F15" s="293"/>
      <c r="G15" s="293"/>
      <c r="H15" s="293"/>
      <c r="I15" s="293"/>
      <c r="J15" s="293"/>
      <c r="K15" s="293"/>
      <c r="L15" s="293"/>
      <c r="M15" s="293"/>
    </row>
    <row r="16" spans="1:19" ht="14.25" customHeight="1">
      <c r="A16" s="286"/>
      <c r="B16" s="287"/>
      <c r="C16" s="291"/>
      <c r="D16" s="305" t="s">
        <v>161</v>
      </c>
      <c r="E16" s="306"/>
      <c r="F16" s="306"/>
      <c r="G16" s="306"/>
      <c r="H16" s="306"/>
      <c r="I16" s="306"/>
      <c r="J16" s="306"/>
      <c r="K16" s="306"/>
      <c r="L16" s="306"/>
      <c r="M16" s="306"/>
    </row>
    <row r="17" spans="1:17" ht="15" customHeight="1">
      <c r="A17" s="288"/>
      <c r="B17" s="289"/>
      <c r="C17" s="44" t="s">
        <v>10</v>
      </c>
      <c r="D17" s="304" t="s">
        <v>11</v>
      </c>
      <c r="E17" s="288"/>
      <c r="F17" s="288"/>
      <c r="G17" s="288"/>
      <c r="H17" s="288"/>
      <c r="I17" s="288"/>
      <c r="J17" s="288"/>
      <c r="K17" s="288"/>
      <c r="L17" s="288"/>
      <c r="M17" s="288"/>
      <c r="N17" s="14"/>
      <c r="O17" s="14"/>
    </row>
    <row r="18" spans="1:17">
      <c r="A18" s="51" t="s">
        <v>12</v>
      </c>
      <c r="B18" s="51"/>
      <c r="C18" s="161">
        <f>C19+C23+C27+C31+C32</f>
        <v>1136478040.5699999</v>
      </c>
      <c r="D18" s="74"/>
      <c r="E18" s="74"/>
      <c r="F18" s="74"/>
      <c r="G18" s="74"/>
      <c r="H18" s="74"/>
      <c r="I18" s="55"/>
      <c r="J18" s="55"/>
      <c r="K18" s="252">
        <f>K19+K23+K27+K31+K32</f>
        <v>1190375760.48</v>
      </c>
      <c r="L18" s="252"/>
      <c r="M18" s="252"/>
    </row>
    <row r="19" spans="1:17">
      <c r="A19" s="70" t="s">
        <v>13</v>
      </c>
      <c r="B19" s="70"/>
      <c r="C19" s="162">
        <f>C20+C21+C22</f>
        <v>271305627.14999998</v>
      </c>
      <c r="D19" s="74"/>
      <c r="E19" s="74"/>
      <c r="F19" s="74"/>
      <c r="G19" s="74"/>
      <c r="H19" s="74"/>
      <c r="I19" s="55"/>
      <c r="J19" s="55"/>
      <c r="K19" s="252">
        <f>K20+K21+K22</f>
        <v>269276564.26999998</v>
      </c>
      <c r="L19" s="252"/>
      <c r="M19" s="252"/>
    </row>
    <row r="20" spans="1:17" ht="14.25" customHeight="1">
      <c r="A20" s="72" t="s">
        <v>14</v>
      </c>
      <c r="B20" s="71"/>
      <c r="C20" s="162">
        <v>271305627.14999998</v>
      </c>
      <c r="D20" s="74"/>
      <c r="E20" s="74"/>
      <c r="F20" s="74"/>
      <c r="G20" s="74"/>
      <c r="H20" s="74"/>
      <c r="I20" s="74"/>
      <c r="J20" s="74"/>
      <c r="K20" s="242">
        <v>269276564.26999998</v>
      </c>
      <c r="L20" s="242"/>
      <c r="M20" s="242"/>
    </row>
    <row r="21" spans="1:17">
      <c r="A21" s="72" t="s">
        <v>15</v>
      </c>
      <c r="B21" s="71"/>
      <c r="C21" s="162">
        <v>0</v>
      </c>
      <c r="D21" s="74"/>
      <c r="E21" s="74"/>
      <c r="F21" s="74"/>
      <c r="G21" s="74"/>
      <c r="H21" s="74"/>
      <c r="I21" s="55"/>
      <c r="J21" s="55"/>
      <c r="K21" s="252">
        <v>0</v>
      </c>
      <c r="L21" s="252"/>
      <c r="M21" s="252"/>
      <c r="P21" s="15"/>
    </row>
    <row r="22" spans="1:17">
      <c r="A22" s="72" t="s">
        <v>16</v>
      </c>
      <c r="B22" s="71"/>
      <c r="C22" s="162">
        <v>0</v>
      </c>
      <c r="D22" s="74"/>
      <c r="E22" s="74"/>
      <c r="F22" s="74"/>
      <c r="G22" s="74"/>
      <c r="H22" s="74"/>
      <c r="I22" s="61"/>
      <c r="J22" s="61"/>
      <c r="K22" s="252">
        <v>0</v>
      </c>
      <c r="L22" s="252"/>
      <c r="M22" s="252"/>
    </row>
    <row r="23" spans="1:17">
      <c r="A23" s="70" t="s">
        <v>17</v>
      </c>
      <c r="B23" s="51"/>
      <c r="C23" s="162">
        <f>C24+C25+C26</f>
        <v>394919806.86000001</v>
      </c>
      <c r="D23" s="74"/>
      <c r="E23" s="74"/>
      <c r="F23" s="74"/>
      <c r="G23" s="74"/>
      <c r="H23" s="74"/>
      <c r="I23" s="55"/>
      <c r="J23" s="55"/>
      <c r="K23" s="252">
        <f>K24+K25+K26</f>
        <v>421800758.94999999</v>
      </c>
      <c r="L23" s="252"/>
      <c r="M23" s="252"/>
    </row>
    <row r="24" spans="1:17">
      <c r="A24" s="72" t="s">
        <v>18</v>
      </c>
      <c r="B24" s="71"/>
      <c r="C24" s="162">
        <v>394919806.86000001</v>
      </c>
      <c r="D24" s="74"/>
      <c r="E24" s="74"/>
      <c r="F24" s="74"/>
      <c r="G24" s="74"/>
      <c r="H24" s="74"/>
      <c r="I24" s="55"/>
      <c r="J24" s="55"/>
      <c r="K24" s="252">
        <v>421800758.94999999</v>
      </c>
      <c r="L24" s="252"/>
      <c r="M24" s="252"/>
    </row>
    <row r="25" spans="1:17">
      <c r="A25" s="72" t="s">
        <v>15</v>
      </c>
      <c r="B25" s="71"/>
      <c r="C25" s="162">
        <v>0</v>
      </c>
      <c r="D25" s="74"/>
      <c r="E25" s="74"/>
      <c r="F25" s="74"/>
      <c r="G25" s="74"/>
      <c r="H25" s="74"/>
      <c r="I25" s="55"/>
      <c r="J25" s="55"/>
      <c r="K25" s="252">
        <v>0</v>
      </c>
      <c r="L25" s="252"/>
      <c r="M25" s="252"/>
    </row>
    <row r="26" spans="1:17" ht="14.25" customHeight="1">
      <c r="A26" s="72" t="s">
        <v>16</v>
      </c>
      <c r="B26" s="71"/>
      <c r="C26" s="162">
        <v>0</v>
      </c>
      <c r="D26" s="74"/>
      <c r="E26" s="74"/>
      <c r="F26" s="74"/>
      <c r="G26" s="74"/>
      <c r="H26" s="74"/>
      <c r="I26" s="55"/>
      <c r="J26" s="55"/>
      <c r="K26" s="252">
        <v>0</v>
      </c>
      <c r="L26" s="252"/>
      <c r="M26" s="252"/>
      <c r="N26"/>
      <c r="O26"/>
      <c r="P26"/>
      <c r="Q26" s="21"/>
    </row>
    <row r="27" spans="1:17" ht="15">
      <c r="A27" s="70" t="s">
        <v>19</v>
      </c>
      <c r="B27" s="70"/>
      <c r="C27" s="162">
        <f>C28+C29+C30</f>
        <v>470252606.56</v>
      </c>
      <c r="D27" s="74"/>
      <c r="E27" s="74"/>
      <c r="F27" s="74"/>
      <c r="G27" s="74"/>
      <c r="H27" s="74"/>
      <c r="I27" s="55"/>
      <c r="J27" s="55"/>
      <c r="K27" s="252">
        <f>K28+K29+K30</f>
        <v>499298437.25999999</v>
      </c>
      <c r="L27" s="252"/>
      <c r="M27" s="252"/>
      <c r="N27"/>
      <c r="O27"/>
      <c r="P27"/>
    </row>
    <row r="28" spans="1:17" ht="15">
      <c r="A28" s="72" t="s">
        <v>20</v>
      </c>
      <c r="B28" s="72"/>
      <c r="C28" s="162">
        <v>0</v>
      </c>
      <c r="D28" s="74"/>
      <c r="E28" s="74"/>
      <c r="F28" s="74"/>
      <c r="G28" s="74"/>
      <c r="H28" s="74"/>
      <c r="I28" s="55"/>
      <c r="J28" s="55"/>
      <c r="K28" s="252">
        <v>0</v>
      </c>
      <c r="L28" s="252"/>
      <c r="M28" s="252"/>
      <c r="N28"/>
      <c r="O28"/>
      <c r="P28"/>
    </row>
    <row r="29" spans="1:17" ht="15">
      <c r="A29" s="72" t="s">
        <v>21</v>
      </c>
      <c r="B29" s="72"/>
      <c r="C29" s="162">
        <v>470252606.56</v>
      </c>
      <c r="D29" s="74"/>
      <c r="E29" s="74"/>
      <c r="F29" s="74"/>
      <c r="G29" s="74"/>
      <c r="H29" s="74"/>
      <c r="I29" s="55"/>
      <c r="J29" s="55"/>
      <c r="K29" s="252">
        <f>499298437.26</f>
        <v>499298437.25999999</v>
      </c>
      <c r="L29" s="252"/>
      <c r="M29" s="252"/>
      <c r="N29"/>
      <c r="O29"/>
      <c r="P29"/>
    </row>
    <row r="30" spans="1:17" ht="15">
      <c r="A30" s="72" t="s">
        <v>22</v>
      </c>
      <c r="B30" s="72"/>
      <c r="C30" s="162">
        <v>0</v>
      </c>
      <c r="D30" s="74"/>
      <c r="E30" s="74"/>
      <c r="F30" s="74"/>
      <c r="G30" s="74"/>
      <c r="H30" s="74"/>
      <c r="I30" s="55"/>
      <c r="J30" s="55"/>
      <c r="K30" s="252">
        <v>0</v>
      </c>
      <c r="L30" s="252"/>
      <c r="M30" s="252"/>
      <c r="N30"/>
      <c r="O30"/>
      <c r="P30"/>
    </row>
    <row r="31" spans="1:17" ht="15">
      <c r="A31" s="70" t="s">
        <v>23</v>
      </c>
      <c r="B31" s="70"/>
      <c r="C31" s="162">
        <v>0</v>
      </c>
      <c r="D31" s="74"/>
      <c r="E31" s="74"/>
      <c r="F31" s="74"/>
      <c r="G31" s="74"/>
      <c r="H31" s="74"/>
      <c r="I31" s="55"/>
      <c r="J31" s="55"/>
      <c r="K31" s="252">
        <v>0</v>
      </c>
      <c r="L31" s="252"/>
      <c r="M31" s="252"/>
      <c r="N31"/>
      <c r="O31"/>
      <c r="P31"/>
    </row>
    <row r="32" spans="1:17">
      <c r="A32" s="70" t="s">
        <v>24</v>
      </c>
      <c r="B32" s="70"/>
      <c r="C32" s="162">
        <f>SUM(C33:C35)</f>
        <v>0</v>
      </c>
      <c r="D32" s="74"/>
      <c r="E32" s="74"/>
      <c r="F32" s="74"/>
      <c r="G32" s="74"/>
      <c r="H32" s="74"/>
      <c r="I32" s="55"/>
      <c r="J32" s="55"/>
      <c r="K32" s="252">
        <f>K33+K34+K35</f>
        <v>0</v>
      </c>
      <c r="L32" s="252"/>
      <c r="M32" s="252"/>
    </row>
    <row r="33" spans="1:22">
      <c r="A33" s="72" t="s">
        <v>25</v>
      </c>
      <c r="B33" s="72"/>
      <c r="C33" s="162">
        <v>0</v>
      </c>
      <c r="D33" s="74"/>
      <c r="E33" s="74"/>
      <c r="F33" s="74"/>
      <c r="G33" s="74"/>
      <c r="H33" s="74"/>
      <c r="I33" s="55"/>
      <c r="J33" s="55"/>
      <c r="K33" s="252">
        <v>0</v>
      </c>
      <c r="L33" s="252"/>
      <c r="M33" s="252"/>
    </row>
    <row r="34" spans="1:22" ht="15.75">
      <c r="A34" s="72" t="s">
        <v>26</v>
      </c>
      <c r="B34" s="73"/>
      <c r="C34" s="162">
        <v>0</v>
      </c>
      <c r="D34" s="74"/>
      <c r="E34" s="74"/>
      <c r="F34" s="74"/>
      <c r="G34" s="74"/>
      <c r="H34" s="74"/>
      <c r="I34" s="55"/>
      <c r="J34" s="55"/>
      <c r="K34" s="252">
        <v>0</v>
      </c>
      <c r="L34" s="252"/>
      <c r="M34" s="252"/>
    </row>
    <row r="35" spans="1:22" ht="14.25" customHeight="1">
      <c r="A35" s="72" t="s">
        <v>27</v>
      </c>
      <c r="B35" s="72"/>
      <c r="C35" s="162"/>
      <c r="D35" s="74"/>
      <c r="E35" s="74"/>
      <c r="F35" s="74"/>
      <c r="G35" s="74"/>
      <c r="H35" s="74"/>
      <c r="I35" s="55"/>
      <c r="J35" s="74"/>
      <c r="K35" s="282">
        <v>0</v>
      </c>
      <c r="L35" s="282"/>
      <c r="M35" s="282"/>
      <c r="N35" s="15"/>
      <c r="O35" s="15"/>
    </row>
    <row r="36" spans="1:22">
      <c r="A36" s="51" t="s">
        <v>28</v>
      </c>
      <c r="B36" s="51"/>
      <c r="C36" s="162">
        <f>C37+C38+C39</f>
        <v>0</v>
      </c>
      <c r="D36" s="74"/>
      <c r="E36" s="74"/>
      <c r="F36" s="74"/>
      <c r="G36" s="74"/>
      <c r="H36" s="74"/>
      <c r="I36" s="55"/>
      <c r="J36" s="55"/>
      <c r="K36" s="252">
        <f>K37+K38+K39</f>
        <v>0</v>
      </c>
      <c r="L36" s="252"/>
      <c r="M36" s="252"/>
    </row>
    <row r="37" spans="1:22">
      <c r="A37" s="70" t="s">
        <v>29</v>
      </c>
      <c r="B37" s="70"/>
      <c r="C37" s="162">
        <v>0</v>
      </c>
      <c r="D37" s="74"/>
      <c r="E37" s="74"/>
      <c r="F37" s="74"/>
      <c r="G37" s="74"/>
      <c r="H37" s="74"/>
      <c r="I37" s="55"/>
      <c r="J37" s="55"/>
      <c r="K37" s="252">
        <v>0</v>
      </c>
      <c r="L37" s="252"/>
      <c r="M37" s="252"/>
    </row>
    <row r="38" spans="1:22">
      <c r="A38" s="70" t="s">
        <v>30</v>
      </c>
      <c r="B38" s="70"/>
      <c r="C38" s="162">
        <v>0</v>
      </c>
      <c r="D38" s="74"/>
      <c r="E38" s="74"/>
      <c r="F38" s="74"/>
      <c r="G38" s="74"/>
      <c r="H38" s="74"/>
      <c r="I38" s="55"/>
      <c r="J38" s="55"/>
      <c r="K38" s="252">
        <v>0</v>
      </c>
      <c r="L38" s="252"/>
      <c r="M38" s="252"/>
    </row>
    <row r="39" spans="1:22">
      <c r="A39" s="70" t="s">
        <v>31</v>
      </c>
      <c r="B39" s="70"/>
      <c r="C39" s="163">
        <v>0</v>
      </c>
      <c r="D39" s="86"/>
      <c r="E39" s="86"/>
      <c r="F39" s="86"/>
      <c r="G39" s="86"/>
      <c r="H39" s="74"/>
      <c r="I39" s="55"/>
      <c r="J39" s="55"/>
      <c r="K39" s="252">
        <v>0</v>
      </c>
      <c r="L39" s="252"/>
      <c r="M39" s="252"/>
      <c r="P39" s="11"/>
      <c r="Q39" s="11"/>
    </row>
    <row r="40" spans="1:22">
      <c r="A40" s="216" t="s">
        <v>32</v>
      </c>
      <c r="B40" s="52"/>
      <c r="C40" s="94">
        <f>C18+C36-C34</f>
        <v>1136478040.5699999</v>
      </c>
      <c r="D40" s="92"/>
      <c r="E40" s="92"/>
      <c r="F40" s="92"/>
      <c r="G40" s="92"/>
      <c r="H40" s="76"/>
      <c r="I40" s="57"/>
      <c r="J40" s="57"/>
      <c r="K40" s="265">
        <f>K18+K36-K34</f>
        <v>1190375760.48</v>
      </c>
      <c r="L40" s="265"/>
      <c r="M40" s="265"/>
      <c r="N40" s="152"/>
      <c r="O40" s="16"/>
      <c r="P40" s="233"/>
      <c r="Q40" s="11"/>
      <c r="R40" s="16"/>
      <c r="S40" s="16"/>
      <c r="T40" s="16"/>
      <c r="V40" s="16"/>
    </row>
    <row r="41" spans="1:22" ht="6" customHeight="1">
      <c r="A41" s="26"/>
      <c r="B41" s="26"/>
      <c r="C41" s="26"/>
      <c r="D41" s="26"/>
      <c r="E41" s="26"/>
      <c r="F41" s="26"/>
      <c r="G41" s="26"/>
      <c r="H41" s="164"/>
      <c r="I41" s="26"/>
      <c r="J41" s="26"/>
      <c r="K41" s="23"/>
    </row>
    <row r="42" spans="1:22" ht="28.5" customHeight="1">
      <c r="A42" s="296" t="s">
        <v>33</v>
      </c>
      <c r="B42" s="297"/>
      <c r="C42" s="81" t="s">
        <v>34</v>
      </c>
      <c r="D42" s="273" t="s">
        <v>35</v>
      </c>
      <c r="E42" s="263"/>
      <c r="F42" s="263"/>
      <c r="G42" s="274"/>
      <c r="H42" s="267" t="s">
        <v>36</v>
      </c>
      <c r="I42" s="263"/>
      <c r="J42" s="274"/>
      <c r="K42" s="64" t="s">
        <v>37</v>
      </c>
      <c r="L42" s="276" t="s">
        <v>38</v>
      </c>
      <c r="M42" s="277"/>
      <c r="N42" s="112"/>
      <c r="O42" s="112"/>
      <c r="P42" s="11"/>
      <c r="Q42" s="17"/>
    </row>
    <row r="43" spans="1:22" ht="14.25" customHeight="1">
      <c r="A43" s="298"/>
      <c r="B43" s="299"/>
      <c r="C43" s="82" t="s">
        <v>39</v>
      </c>
      <c r="D43" s="267" t="str">
        <f>D16</f>
        <v>Jan a Dez 2025</v>
      </c>
      <c r="E43" s="268"/>
      <c r="F43" s="268"/>
      <c r="G43" s="269"/>
      <c r="H43" s="267" t="str">
        <f>D16</f>
        <v>Jan a Dez 2025</v>
      </c>
      <c r="I43" s="268"/>
      <c r="J43" s="269"/>
      <c r="K43" s="84" t="str">
        <f>D16</f>
        <v>Jan a Dez 2025</v>
      </c>
      <c r="L43" s="278" t="s">
        <v>40</v>
      </c>
      <c r="M43" s="279"/>
      <c r="N43" s="112"/>
      <c r="O43" s="112"/>
      <c r="P43" s="10"/>
      <c r="Q43" s="10"/>
    </row>
    <row r="44" spans="1:22">
      <c r="A44" s="300"/>
      <c r="B44" s="301"/>
      <c r="C44" s="83" t="s">
        <v>41</v>
      </c>
      <c r="D44" s="294" t="s">
        <v>42</v>
      </c>
      <c r="E44" s="264"/>
      <c r="F44" s="264"/>
      <c r="G44" s="295"/>
      <c r="H44" s="294" t="s">
        <v>43</v>
      </c>
      <c r="I44" s="264"/>
      <c r="J44" s="295"/>
      <c r="K44" s="65" t="s">
        <v>44</v>
      </c>
      <c r="L44" s="280" t="s">
        <v>45</v>
      </c>
      <c r="M44" s="281"/>
      <c r="N44" s="113"/>
      <c r="O44" s="113"/>
    </row>
    <row r="45" spans="1:22">
      <c r="A45" s="217" t="s">
        <v>46</v>
      </c>
      <c r="B45" s="75"/>
      <c r="C45" s="75">
        <f t="shared" ref="C45:K45" si="0">C46+C47</f>
        <v>21460252</v>
      </c>
      <c r="D45" s="251">
        <f t="shared" si="0"/>
        <v>21365133.189999998</v>
      </c>
      <c r="E45" s="252">
        <f t="shared" si="0"/>
        <v>0</v>
      </c>
      <c r="F45" s="252">
        <f t="shared" si="0"/>
        <v>0</v>
      </c>
      <c r="G45" s="253">
        <f t="shared" si="0"/>
        <v>0</v>
      </c>
      <c r="H45" s="251">
        <f t="shared" si="0"/>
        <v>21365133.189999998</v>
      </c>
      <c r="I45" s="252">
        <f t="shared" si="0"/>
        <v>0</v>
      </c>
      <c r="J45" s="253">
        <f t="shared" si="0"/>
        <v>0</v>
      </c>
      <c r="K45" s="54">
        <f t="shared" si="0"/>
        <v>21011480.73</v>
      </c>
      <c r="L45" s="115"/>
      <c r="M45" s="157">
        <f>M46+M47</f>
        <v>0</v>
      </c>
      <c r="N45" s="152"/>
      <c r="O45" s="16"/>
      <c r="P45" s="16"/>
    </row>
    <row r="46" spans="1:22">
      <c r="A46" s="218" t="s">
        <v>47</v>
      </c>
      <c r="B46" s="75"/>
      <c r="C46" s="75">
        <f>9441972</f>
        <v>9441972</v>
      </c>
      <c r="D46" s="251">
        <f>9505964.49</f>
        <v>9505964.4900000002</v>
      </c>
      <c r="E46" s="252"/>
      <c r="F46" s="252"/>
      <c r="G46" s="253"/>
      <c r="H46" s="251">
        <f>9505964.49</f>
        <v>9505964.4900000002</v>
      </c>
      <c r="I46" s="252"/>
      <c r="J46" s="253"/>
      <c r="K46" s="54">
        <f>9363026.88</f>
        <v>9363026.8800000008</v>
      </c>
      <c r="L46" s="116"/>
      <c r="M46" s="157">
        <f>D46-H46</f>
        <v>0</v>
      </c>
      <c r="N46" s="152"/>
      <c r="O46" s="16"/>
      <c r="P46" s="16"/>
    </row>
    <row r="47" spans="1:22">
      <c r="A47" s="218" t="s">
        <v>48</v>
      </c>
      <c r="B47" s="75"/>
      <c r="C47" s="75">
        <f>12018280</f>
        <v>12018280</v>
      </c>
      <c r="D47" s="251">
        <f>11859168.7</f>
        <v>11859168.699999999</v>
      </c>
      <c r="E47" s="252"/>
      <c r="F47" s="252"/>
      <c r="G47" s="253"/>
      <c r="H47" s="251">
        <f>11859168.7</f>
        <v>11859168.699999999</v>
      </c>
      <c r="I47" s="252"/>
      <c r="J47" s="302"/>
      <c r="K47" s="208">
        <f>11648453.85</f>
        <v>11648453.85</v>
      </c>
      <c r="L47" s="116"/>
      <c r="M47" s="157">
        <f>D47-H47</f>
        <v>0</v>
      </c>
      <c r="N47" s="152"/>
      <c r="O47" s="16"/>
      <c r="P47" s="16"/>
    </row>
    <row r="48" spans="1:22">
      <c r="A48" s="219" t="s">
        <v>49</v>
      </c>
      <c r="B48" s="75"/>
      <c r="C48" s="75">
        <f t="shared" ref="C48:K48" si="1">C49+C50</f>
        <v>20000000</v>
      </c>
      <c r="D48" s="251">
        <f t="shared" si="1"/>
        <v>0</v>
      </c>
      <c r="E48" s="252">
        <f t="shared" si="1"/>
        <v>0</v>
      </c>
      <c r="F48" s="252">
        <f t="shared" si="1"/>
        <v>0</v>
      </c>
      <c r="G48" s="253">
        <f t="shared" si="1"/>
        <v>0</v>
      </c>
      <c r="H48" s="251">
        <f t="shared" si="1"/>
        <v>0</v>
      </c>
      <c r="I48" s="252">
        <f t="shared" si="1"/>
        <v>0</v>
      </c>
      <c r="J48" s="253">
        <f t="shared" si="1"/>
        <v>0</v>
      </c>
      <c r="K48" s="54">
        <f t="shared" si="1"/>
        <v>0</v>
      </c>
      <c r="L48" s="116"/>
      <c r="M48" s="157">
        <f>D48-H48</f>
        <v>0</v>
      </c>
      <c r="N48" s="152"/>
      <c r="O48" s="16"/>
      <c r="P48" s="16"/>
    </row>
    <row r="49" spans="1:20">
      <c r="A49" s="218" t="s">
        <v>25</v>
      </c>
      <c r="B49" s="75"/>
      <c r="C49" s="74">
        <v>0</v>
      </c>
      <c r="D49" s="251">
        <v>0</v>
      </c>
      <c r="E49" s="252"/>
      <c r="F49" s="252"/>
      <c r="G49" s="253"/>
      <c r="H49" s="251">
        <v>0</v>
      </c>
      <c r="I49" s="252"/>
      <c r="J49" s="253"/>
      <c r="K49" s="54">
        <v>0</v>
      </c>
      <c r="L49" s="116"/>
      <c r="M49" s="157">
        <f>D49-H49</f>
        <v>0</v>
      </c>
      <c r="N49" s="152"/>
      <c r="O49" s="16"/>
      <c r="P49" s="16"/>
    </row>
    <row r="50" spans="1:20">
      <c r="A50" s="218" t="s">
        <v>50</v>
      </c>
      <c r="B50" s="75"/>
      <c r="C50" s="74">
        <f>20000000</f>
        <v>20000000</v>
      </c>
      <c r="D50" s="255">
        <v>0</v>
      </c>
      <c r="E50" s="256"/>
      <c r="F50" s="256"/>
      <c r="G50" s="257"/>
      <c r="H50" s="255">
        <v>0</v>
      </c>
      <c r="I50" s="256"/>
      <c r="J50" s="257"/>
      <c r="K50" s="54">
        <v>0</v>
      </c>
      <c r="L50" s="116"/>
      <c r="M50" s="157">
        <f>D50-H50</f>
        <v>0</v>
      </c>
      <c r="N50" s="152"/>
      <c r="O50" s="16"/>
      <c r="P50" s="16"/>
    </row>
    <row r="51" spans="1:20">
      <c r="A51" s="220" t="s">
        <v>51</v>
      </c>
      <c r="B51" s="79"/>
      <c r="C51" s="76">
        <f t="shared" ref="C51:K51" si="2">C45+C48</f>
        <v>41460252</v>
      </c>
      <c r="D51" s="307">
        <f t="shared" si="2"/>
        <v>21365133.189999998</v>
      </c>
      <c r="E51" s="265">
        <f t="shared" si="2"/>
        <v>0</v>
      </c>
      <c r="F51" s="265">
        <f t="shared" si="2"/>
        <v>0</v>
      </c>
      <c r="G51" s="308">
        <f t="shared" si="2"/>
        <v>0</v>
      </c>
      <c r="H51" s="307">
        <f t="shared" si="2"/>
        <v>21365133.189999998</v>
      </c>
      <c r="I51" s="265">
        <f t="shared" si="2"/>
        <v>0</v>
      </c>
      <c r="J51" s="308">
        <f t="shared" si="2"/>
        <v>0</v>
      </c>
      <c r="K51" s="99">
        <f t="shared" si="2"/>
        <v>21011480.73</v>
      </c>
      <c r="L51" s="114"/>
      <c r="M51" s="207">
        <f>M45+M48</f>
        <v>0</v>
      </c>
      <c r="N51" s="152"/>
      <c r="O51" s="16"/>
      <c r="P51" s="11"/>
      <c r="Q51" s="11"/>
      <c r="R51" s="11"/>
      <c r="S51" s="11"/>
      <c r="T51" s="11"/>
    </row>
    <row r="52" spans="1:20" ht="6" customHeight="1">
      <c r="A52" s="221"/>
      <c r="B52" s="98"/>
      <c r="C52" s="167"/>
      <c r="D52" s="167"/>
      <c r="E52" s="167"/>
      <c r="F52" s="167"/>
      <c r="G52" s="167"/>
      <c r="H52" s="167"/>
      <c r="I52" s="167"/>
      <c r="J52" s="167"/>
      <c r="K52" s="167"/>
      <c r="L52" s="16"/>
      <c r="M52" s="16"/>
      <c r="N52" s="152"/>
      <c r="O52" s="16"/>
      <c r="P52" s="11"/>
      <c r="Q52" s="11"/>
      <c r="R52" s="11"/>
      <c r="S52" s="11"/>
      <c r="T52" s="11"/>
    </row>
    <row r="53" spans="1:20" ht="15.75">
      <c r="A53" s="220" t="s">
        <v>52</v>
      </c>
      <c r="B53" s="78"/>
      <c r="C53" s="56">
        <f>C40-C51</f>
        <v>1095017788.5699999</v>
      </c>
      <c r="D53" s="258">
        <f>K40-D51</f>
        <v>1169010627.29</v>
      </c>
      <c r="E53" s="259"/>
      <c r="F53" s="259"/>
      <c r="G53" s="260"/>
      <c r="H53" s="258">
        <f>K40-H51</f>
        <v>1169010627.29</v>
      </c>
      <c r="I53" s="259"/>
      <c r="J53" s="260"/>
      <c r="K53" s="56">
        <f>K40-K51</f>
        <v>1169364279.75</v>
      </c>
      <c r="L53" s="150"/>
      <c r="M53" s="151"/>
      <c r="N53" s="15"/>
      <c r="O53" s="15"/>
      <c r="P53" s="11"/>
      <c r="Q53" s="11"/>
      <c r="R53" s="11"/>
      <c r="S53" s="11"/>
      <c r="T53" s="11"/>
    </row>
    <row r="54" spans="1:20" ht="6" customHeight="1">
      <c r="A54" s="27"/>
      <c r="B54" s="28"/>
      <c r="C54" s="28"/>
      <c r="D54" s="29"/>
      <c r="E54" s="29"/>
      <c r="F54" s="29"/>
      <c r="G54" s="29"/>
      <c r="H54" s="29"/>
      <c r="I54" s="29"/>
      <c r="J54" s="29"/>
      <c r="K54" s="30"/>
      <c r="L54" s="15"/>
      <c r="M54" s="15"/>
      <c r="N54" s="15"/>
      <c r="O54" s="15"/>
      <c r="P54" s="15"/>
      <c r="Q54" s="15"/>
    </row>
    <row r="55" spans="1:20">
      <c r="A55" s="262" t="s">
        <v>53</v>
      </c>
      <c r="B55" s="303"/>
      <c r="C55" s="261" t="s">
        <v>54</v>
      </c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15"/>
      <c r="O55" s="15"/>
      <c r="P55" s="15"/>
      <c r="Q55" s="15"/>
    </row>
    <row r="56" spans="1:20" ht="15" customHeight="1">
      <c r="A56" s="222" t="s">
        <v>55</v>
      </c>
      <c r="B56" s="66"/>
      <c r="C56" s="117"/>
      <c r="D56" s="118"/>
      <c r="E56" s="118"/>
      <c r="F56" s="118"/>
      <c r="G56" s="118"/>
      <c r="H56" s="118"/>
      <c r="I56" s="118"/>
      <c r="J56" s="118"/>
      <c r="K56" s="266">
        <v>0</v>
      </c>
      <c r="L56" s="266"/>
      <c r="M56" s="266"/>
      <c r="N56" s="15"/>
      <c r="O56" s="15"/>
      <c r="P56" s="15"/>
      <c r="Q56" s="15"/>
    </row>
    <row r="57" spans="1:20" ht="6" customHeight="1">
      <c r="A57" s="27"/>
      <c r="B57" s="28"/>
      <c r="C57" s="28"/>
      <c r="D57" s="29"/>
      <c r="E57" s="29"/>
      <c r="F57" s="29"/>
      <c r="G57" s="29"/>
      <c r="H57" s="29"/>
      <c r="I57" s="29"/>
      <c r="J57" s="29"/>
      <c r="K57" s="30"/>
      <c r="L57" s="15"/>
      <c r="M57" s="15"/>
      <c r="N57" s="15"/>
      <c r="O57" s="15"/>
      <c r="P57" s="15"/>
      <c r="Q57" s="15"/>
    </row>
    <row r="58" spans="1:20">
      <c r="A58" s="262" t="s">
        <v>56</v>
      </c>
      <c r="B58" s="262"/>
      <c r="C58" s="261" t="s">
        <v>54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15"/>
      <c r="O58" s="15"/>
      <c r="P58" s="15"/>
      <c r="Q58" s="15"/>
    </row>
    <row r="59" spans="1:20" ht="15" customHeight="1">
      <c r="A59" s="222" t="s">
        <v>55</v>
      </c>
      <c r="B59" s="66"/>
      <c r="C59" s="119"/>
      <c r="D59" s="118"/>
      <c r="E59" s="118"/>
      <c r="F59" s="118"/>
      <c r="G59" s="118"/>
      <c r="H59" s="118"/>
      <c r="I59" s="118"/>
      <c r="J59" s="118"/>
      <c r="K59" s="345">
        <f>777506156</f>
        <v>777506156</v>
      </c>
      <c r="L59" s="345"/>
      <c r="M59" s="345"/>
      <c r="N59" s="15"/>
      <c r="O59" s="15"/>
      <c r="P59" s="15"/>
      <c r="Q59" s="15"/>
    </row>
    <row r="60" spans="1:20" ht="6" customHeight="1">
      <c r="A60" s="26"/>
      <c r="B60" s="31"/>
      <c r="C60" s="31"/>
      <c r="D60" s="31"/>
      <c r="E60" s="31"/>
      <c r="F60" s="31"/>
      <c r="G60" s="31"/>
      <c r="H60" s="31"/>
      <c r="I60" s="31"/>
      <c r="J60" s="31"/>
      <c r="K60" s="23"/>
    </row>
    <row r="61" spans="1:20" ht="14.25" customHeight="1">
      <c r="A61" s="263" t="s">
        <v>57</v>
      </c>
      <c r="B61" s="263"/>
      <c r="C61" s="273" t="s">
        <v>58</v>
      </c>
      <c r="D61" s="263"/>
      <c r="E61" s="263"/>
      <c r="F61" s="263"/>
      <c r="G61" s="263"/>
      <c r="H61" s="263"/>
      <c r="I61" s="263"/>
      <c r="J61" s="263"/>
      <c r="K61" s="263"/>
      <c r="L61" s="263"/>
      <c r="M61" s="263"/>
    </row>
    <row r="62" spans="1:20">
      <c r="A62" s="264"/>
      <c r="B62" s="264"/>
      <c r="C62" s="29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109"/>
      <c r="O62" s="11"/>
    </row>
    <row r="63" spans="1:20">
      <c r="A63" s="223" t="s">
        <v>59</v>
      </c>
      <c r="B63" s="39"/>
      <c r="C63" s="85"/>
      <c r="D63" s="32"/>
      <c r="E63" s="32"/>
      <c r="F63" s="32"/>
      <c r="G63" s="32"/>
      <c r="H63" s="32"/>
      <c r="I63" s="32"/>
      <c r="J63" s="32"/>
      <c r="K63" s="33"/>
      <c r="L63" s="17"/>
      <c r="M63" s="17">
        <v>0</v>
      </c>
      <c r="N63" s="350"/>
      <c r="O63" s="350"/>
      <c r="P63" s="351"/>
    </row>
    <row r="64" spans="1:20">
      <c r="A64" s="195" t="s">
        <v>60</v>
      </c>
      <c r="B64" s="46"/>
      <c r="C64" s="85"/>
      <c r="D64" s="32"/>
      <c r="E64" s="32"/>
      <c r="F64" s="32"/>
      <c r="G64" s="32"/>
      <c r="H64" s="32"/>
      <c r="I64" s="32"/>
      <c r="J64" s="32"/>
      <c r="K64" s="33"/>
      <c r="M64" s="17">
        <v>0</v>
      </c>
      <c r="N64" s="351"/>
      <c r="O64" s="351"/>
      <c r="P64" s="351"/>
    </row>
    <row r="65" spans="1:22">
      <c r="A65" s="195" t="s">
        <v>61</v>
      </c>
      <c r="B65" s="46"/>
      <c r="C65" s="85"/>
      <c r="D65" s="32"/>
      <c r="E65" s="32"/>
      <c r="F65" s="32"/>
      <c r="G65" s="32"/>
      <c r="H65" s="32"/>
      <c r="I65" s="32"/>
      <c r="J65" s="32"/>
      <c r="K65" s="33"/>
      <c r="M65" s="17">
        <v>0</v>
      </c>
      <c r="N65" s="351"/>
      <c r="O65" s="351"/>
      <c r="P65" s="351"/>
    </row>
    <row r="66" spans="1:22">
      <c r="A66" s="224" t="s">
        <v>62</v>
      </c>
      <c r="B66" s="42"/>
      <c r="C66" s="41"/>
      <c r="D66" s="34"/>
      <c r="E66" s="34"/>
      <c r="F66" s="34"/>
      <c r="G66" s="34"/>
      <c r="H66" s="34"/>
      <c r="I66" s="34"/>
      <c r="J66" s="34"/>
      <c r="K66" s="35"/>
      <c r="L66" s="120"/>
      <c r="M66" s="234">
        <f>5403.76</f>
        <v>5403.76</v>
      </c>
      <c r="N66" s="352"/>
      <c r="O66" s="352"/>
      <c r="P66" s="353"/>
    </row>
    <row r="67" spans="1:22" ht="6" customHeight="1">
      <c r="A67" s="26"/>
      <c r="B67" s="31"/>
      <c r="C67" s="31"/>
      <c r="D67" s="31"/>
      <c r="E67" s="31"/>
      <c r="F67" s="31"/>
      <c r="G67" s="31"/>
      <c r="H67" s="31"/>
      <c r="I67" s="31"/>
      <c r="J67" s="31"/>
      <c r="K67" s="23"/>
      <c r="N67" s="351"/>
      <c r="O67" s="351"/>
      <c r="P67" s="351"/>
    </row>
    <row r="68" spans="1:22" ht="15" customHeight="1">
      <c r="A68" s="243" t="s">
        <v>63</v>
      </c>
      <c r="B68" s="244"/>
      <c r="C68" s="247" t="s">
        <v>64</v>
      </c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351"/>
      <c r="O68" s="351"/>
      <c r="P68" s="351"/>
    </row>
    <row r="69" spans="1:22" ht="14.25" customHeight="1">
      <c r="A69" s="245"/>
      <c r="B69" s="246"/>
      <c r="C69" s="249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354"/>
      <c r="O69" s="354"/>
      <c r="P69" s="351"/>
    </row>
    <row r="70" spans="1:22">
      <c r="A70" s="225" t="s">
        <v>65</v>
      </c>
      <c r="B70" s="63"/>
      <c r="C70" s="110"/>
      <c r="D70" s="61"/>
      <c r="E70" s="61"/>
      <c r="F70" s="61"/>
      <c r="G70" s="74"/>
      <c r="H70" s="74"/>
      <c r="I70" s="74"/>
      <c r="J70" s="74"/>
      <c r="K70" s="74"/>
      <c r="L70" s="16"/>
      <c r="M70" s="157">
        <f>52235033.54</f>
        <v>52235033.539999999</v>
      </c>
      <c r="N70" s="156"/>
      <c r="O70" s="355"/>
      <c r="P70" s="355"/>
      <c r="Q70" s="16"/>
      <c r="R70" s="16"/>
    </row>
    <row r="71" spans="1:22">
      <c r="A71" s="225" t="s">
        <v>66</v>
      </c>
      <c r="B71" s="80"/>
      <c r="C71" s="54"/>
      <c r="D71" s="55"/>
      <c r="E71" s="55"/>
      <c r="F71" s="55"/>
      <c r="G71" s="74"/>
      <c r="H71" s="74"/>
      <c r="I71" s="74"/>
      <c r="J71" s="74"/>
      <c r="K71" s="74"/>
      <c r="L71" s="100"/>
      <c r="M71" s="158">
        <f>5158987557.34</f>
        <v>5158987557.3400002</v>
      </c>
      <c r="N71" s="356"/>
      <c r="O71" s="357"/>
      <c r="P71" s="357"/>
      <c r="Q71" s="16"/>
      <c r="R71" s="16"/>
    </row>
    <row r="72" spans="1:22">
      <c r="A72" s="226" t="s">
        <v>67</v>
      </c>
      <c r="B72" s="68"/>
      <c r="C72" s="67"/>
      <c r="D72" s="69"/>
      <c r="E72" s="69"/>
      <c r="F72" s="69"/>
      <c r="G72" s="86"/>
      <c r="H72" s="86"/>
      <c r="I72" s="86"/>
      <c r="J72" s="86"/>
      <c r="K72" s="86"/>
      <c r="L72" s="121"/>
      <c r="M72" s="159">
        <f>481178129.51</f>
        <v>481178129.50999999</v>
      </c>
      <c r="N72" s="352"/>
      <c r="O72" s="352"/>
      <c r="P72" s="353"/>
      <c r="Q72" s="16"/>
      <c r="R72" s="16"/>
    </row>
    <row r="73" spans="1:22" ht="6" customHeight="1">
      <c r="A73" s="36"/>
      <c r="B73" s="26"/>
      <c r="C73" s="26"/>
      <c r="D73" s="242"/>
      <c r="E73" s="242"/>
      <c r="F73" s="242"/>
      <c r="G73" s="26"/>
      <c r="H73" s="26"/>
      <c r="I73" s="313"/>
      <c r="J73" s="313"/>
      <c r="K73" s="313"/>
      <c r="N73" s="351"/>
      <c r="O73" s="351"/>
      <c r="P73" s="351"/>
    </row>
    <row r="74" spans="1:22" s="13" customFormat="1">
      <c r="A74" s="254" t="s">
        <v>68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358"/>
      <c r="O74" s="358"/>
      <c r="P74" s="358"/>
      <c r="Q74" s="2"/>
      <c r="R74" s="2"/>
      <c r="S74" s="2"/>
      <c r="T74" s="2"/>
      <c r="U74" s="2"/>
      <c r="V74" s="2"/>
    </row>
    <row r="75" spans="1:22" ht="14.25" customHeight="1">
      <c r="A75" s="286" t="s">
        <v>69</v>
      </c>
      <c r="B75" s="287"/>
      <c r="C75" s="291" t="s">
        <v>8</v>
      </c>
      <c r="D75" s="292" t="s">
        <v>9</v>
      </c>
      <c r="E75" s="293"/>
      <c r="F75" s="293"/>
      <c r="G75" s="293"/>
      <c r="H75" s="293"/>
      <c r="I75" s="293"/>
      <c r="J75" s="293"/>
      <c r="K75" s="293"/>
      <c r="L75" s="293"/>
      <c r="M75" s="293"/>
      <c r="N75" s="351"/>
      <c r="O75" s="351"/>
      <c r="P75" s="351"/>
    </row>
    <row r="76" spans="1:22">
      <c r="A76" s="286"/>
      <c r="B76" s="287"/>
      <c r="C76" s="291"/>
      <c r="D76" s="305" t="str">
        <f>D16</f>
        <v>Jan a Dez 2025</v>
      </c>
      <c r="E76" s="306"/>
      <c r="F76" s="306"/>
      <c r="G76" s="306"/>
      <c r="H76" s="306"/>
      <c r="I76" s="306"/>
      <c r="J76" s="306"/>
      <c r="K76" s="306"/>
      <c r="L76" s="306"/>
      <c r="M76" s="306"/>
      <c r="N76" s="14"/>
      <c r="O76" s="14"/>
    </row>
    <row r="77" spans="1:22">
      <c r="A77" s="288"/>
      <c r="B77" s="289"/>
      <c r="C77" s="44" t="s">
        <v>10</v>
      </c>
      <c r="D77" s="304" t="s">
        <v>11</v>
      </c>
      <c r="E77" s="288"/>
      <c r="F77" s="288"/>
      <c r="G77" s="288"/>
      <c r="H77" s="288"/>
      <c r="I77" s="288"/>
      <c r="J77" s="288"/>
      <c r="K77" s="288"/>
      <c r="L77" s="288"/>
      <c r="M77" s="288"/>
    </row>
    <row r="78" spans="1:22">
      <c r="A78" s="51" t="s">
        <v>70</v>
      </c>
      <c r="B78" s="175"/>
      <c r="C78" s="177">
        <f>C79+C83+C87+C91+C92</f>
        <v>7182401242.9899998</v>
      </c>
      <c r="D78" s="176"/>
      <c r="E78" s="175"/>
      <c r="F78" s="175"/>
      <c r="G78" s="175"/>
      <c r="H78" s="175"/>
      <c r="I78" s="175"/>
      <c r="J78" s="175"/>
      <c r="K78" s="175"/>
      <c r="L78" s="178"/>
      <c r="M78" s="179">
        <f>M79+M83+M87+M91+M92</f>
        <v>6963799600.7300005</v>
      </c>
    </row>
    <row r="79" spans="1:22">
      <c r="A79" s="70" t="s">
        <v>13</v>
      </c>
      <c r="B79" s="70"/>
      <c r="C79" s="93">
        <f>C80+C81+C82</f>
        <v>2466905709.9699998</v>
      </c>
      <c r="D79" s="241"/>
      <c r="E79" s="242"/>
      <c r="F79" s="242"/>
      <c r="G79" s="242"/>
      <c r="H79" s="242"/>
      <c r="I79" s="55"/>
      <c r="J79" s="55"/>
      <c r="K79" s="55"/>
      <c r="M79" s="55">
        <f>M80+M81+M82</f>
        <v>2386929502.5900002</v>
      </c>
    </row>
    <row r="80" spans="1:22" ht="15" customHeight="1">
      <c r="A80" s="72" t="s">
        <v>14</v>
      </c>
      <c r="B80" s="71"/>
      <c r="C80" s="93">
        <f>1500707050.48</f>
        <v>1500707050.48</v>
      </c>
      <c r="D80" s="241"/>
      <c r="E80" s="242"/>
      <c r="F80" s="242"/>
      <c r="G80" s="242"/>
      <c r="H80" s="242"/>
      <c r="I80" s="74"/>
      <c r="J80" s="74"/>
      <c r="K80" s="74"/>
      <c r="L80" s="53"/>
      <c r="M80" s="74">
        <f>1438703888.08</f>
        <v>1438703888.0799999</v>
      </c>
      <c r="N80" s="53"/>
      <c r="O80" s="53"/>
      <c r="P80" s="53"/>
      <c r="Q80" s="53"/>
      <c r="R80" s="53"/>
      <c r="S80" s="53"/>
      <c r="T80" s="53"/>
      <c r="U80" s="53"/>
    </row>
    <row r="81" spans="1:23" ht="15" customHeight="1">
      <c r="A81" s="72" t="s">
        <v>15</v>
      </c>
      <c r="B81" s="71"/>
      <c r="C81" s="93">
        <f>754860424.43</f>
        <v>754860424.42999995</v>
      </c>
      <c r="D81" s="241"/>
      <c r="E81" s="242"/>
      <c r="F81" s="242"/>
      <c r="G81" s="242"/>
      <c r="H81" s="242"/>
      <c r="I81" s="55"/>
      <c r="J81" s="55"/>
      <c r="K81" s="55"/>
      <c r="M81" s="74">
        <f>724128665.3</f>
        <v>724128665.29999995</v>
      </c>
    </row>
    <row r="82" spans="1:23" ht="15" customHeight="1">
      <c r="A82" s="72" t="s">
        <v>16</v>
      </c>
      <c r="B82" s="71"/>
      <c r="C82" s="93">
        <f>211338235.06</f>
        <v>211338235.06</v>
      </c>
      <c r="D82" s="59"/>
      <c r="E82" s="60"/>
      <c r="F82" s="60"/>
      <c r="G82" s="60"/>
      <c r="H82" s="60"/>
      <c r="I82" s="61"/>
      <c r="J82" s="61"/>
      <c r="K82" s="61"/>
      <c r="M82" s="74">
        <f>224096949.21</f>
        <v>224096949.21000001</v>
      </c>
    </row>
    <row r="83" spans="1:23">
      <c r="A83" s="70" t="s">
        <v>17</v>
      </c>
      <c r="B83" s="51"/>
      <c r="C83" s="93">
        <f>C84+C85+C86</f>
        <v>3191951866.7199998</v>
      </c>
      <c r="D83" s="241"/>
      <c r="E83" s="242"/>
      <c r="F83" s="242"/>
      <c r="G83" s="242"/>
      <c r="H83" s="242"/>
      <c r="I83" s="55"/>
      <c r="J83" s="55"/>
      <c r="K83" s="55"/>
      <c r="M83" s="55">
        <f>M84+M85+M86</f>
        <v>3083158722.5900002</v>
      </c>
    </row>
    <row r="84" spans="1:23">
      <c r="A84" s="72" t="s">
        <v>18</v>
      </c>
      <c r="B84" s="71"/>
      <c r="C84" s="93">
        <f>3191951866.72</f>
        <v>3191951866.7199998</v>
      </c>
      <c r="D84" s="241"/>
      <c r="E84" s="242"/>
      <c r="F84" s="242"/>
      <c r="G84" s="242"/>
      <c r="H84" s="242"/>
      <c r="I84" s="55"/>
      <c r="J84" s="55"/>
      <c r="K84" s="55"/>
      <c r="M84" s="74">
        <f>3083158722.59</f>
        <v>3083158722.5900002</v>
      </c>
    </row>
    <row r="85" spans="1:23">
      <c r="A85" s="72" t="s">
        <v>15</v>
      </c>
      <c r="B85" s="71"/>
      <c r="C85" s="93">
        <v>0</v>
      </c>
      <c r="D85" s="241"/>
      <c r="E85" s="242"/>
      <c r="F85" s="242"/>
      <c r="G85" s="242"/>
      <c r="H85" s="242"/>
      <c r="I85" s="55"/>
      <c r="J85" s="55"/>
      <c r="K85" s="55"/>
      <c r="M85" s="74">
        <v>0</v>
      </c>
    </row>
    <row r="86" spans="1:23">
      <c r="A86" s="72" t="s">
        <v>16</v>
      </c>
      <c r="B86" s="71"/>
      <c r="C86" s="93">
        <v>0</v>
      </c>
      <c r="D86" s="241"/>
      <c r="E86" s="242"/>
      <c r="F86" s="242"/>
      <c r="G86" s="242"/>
      <c r="H86" s="242"/>
      <c r="I86" s="55"/>
      <c r="J86" s="55"/>
      <c r="K86" s="55"/>
      <c r="M86" s="74">
        <v>0</v>
      </c>
    </row>
    <row r="87" spans="1:23">
      <c r="A87" s="70" t="s">
        <v>19</v>
      </c>
      <c r="B87" s="70"/>
      <c r="C87" s="93">
        <f>C88+C89+C90</f>
        <v>724292105.00999999</v>
      </c>
      <c r="D87" s="241"/>
      <c r="E87" s="242"/>
      <c r="F87" s="242"/>
      <c r="G87" s="242"/>
      <c r="H87" s="242"/>
      <c r="I87" s="55"/>
      <c r="J87" s="55"/>
      <c r="K87" s="55"/>
      <c r="L87" s="122"/>
      <c r="M87" s="74">
        <f>M88+M89+M90</f>
        <v>688111022.97000003</v>
      </c>
      <c r="N87" s="122"/>
      <c r="O87" s="122"/>
      <c r="P87" s="122"/>
      <c r="Q87" s="122"/>
    </row>
    <row r="88" spans="1:23">
      <c r="A88" s="72" t="s">
        <v>20</v>
      </c>
      <c r="B88" s="72"/>
      <c r="C88" s="93">
        <f>9719516.25</f>
        <v>9719516.25</v>
      </c>
      <c r="D88" s="241"/>
      <c r="E88" s="242"/>
      <c r="F88" s="242"/>
      <c r="G88" s="242"/>
      <c r="H88" s="242"/>
      <c r="I88" s="55"/>
      <c r="J88" s="55"/>
      <c r="K88" s="55"/>
      <c r="L88" s="122"/>
      <c r="M88" s="74">
        <f>10384901.46</f>
        <v>10384901.460000001</v>
      </c>
      <c r="N88" s="122"/>
      <c r="O88" s="122"/>
      <c r="P88" s="122"/>
      <c r="Q88" s="122"/>
    </row>
    <row r="89" spans="1:23">
      <c r="A89" s="72" t="s">
        <v>21</v>
      </c>
      <c r="B89" s="72"/>
      <c r="C89" s="93">
        <f>714572588.76</f>
        <v>714572588.75999999</v>
      </c>
      <c r="D89" s="241"/>
      <c r="E89" s="242"/>
      <c r="F89" s="242"/>
      <c r="G89" s="242"/>
      <c r="H89" s="242"/>
      <c r="I89" s="55"/>
      <c r="J89" s="55"/>
      <c r="K89" s="55"/>
      <c r="L89" s="122"/>
      <c r="M89" s="74">
        <f>677726121.51</f>
        <v>677726121.50999999</v>
      </c>
      <c r="N89" s="122"/>
      <c r="O89" s="122"/>
      <c r="P89" s="122"/>
      <c r="Q89" s="122"/>
    </row>
    <row r="90" spans="1:23">
      <c r="A90" s="72" t="s">
        <v>22</v>
      </c>
      <c r="B90" s="72"/>
      <c r="C90" s="93">
        <v>0</v>
      </c>
      <c r="D90" s="241"/>
      <c r="E90" s="242"/>
      <c r="F90" s="242"/>
      <c r="G90" s="242"/>
      <c r="H90" s="242"/>
      <c r="I90" s="55"/>
      <c r="J90" s="55"/>
      <c r="K90" s="55"/>
      <c r="M90" s="74">
        <v>0</v>
      </c>
      <c r="O90" s="351"/>
      <c r="P90" s="351"/>
      <c r="Q90" s="351"/>
      <c r="R90" s="351"/>
      <c r="S90" s="351"/>
      <c r="T90" s="351"/>
      <c r="U90" s="351"/>
      <c r="V90" s="351"/>
      <c r="W90" s="359"/>
    </row>
    <row r="91" spans="1:23">
      <c r="A91" s="70" t="s">
        <v>23</v>
      </c>
      <c r="B91" s="70"/>
      <c r="C91" s="93">
        <v>0</v>
      </c>
      <c r="D91" s="241"/>
      <c r="E91" s="242"/>
      <c r="F91" s="242"/>
      <c r="G91" s="242"/>
      <c r="H91" s="242"/>
      <c r="I91" s="55"/>
      <c r="J91" s="55"/>
      <c r="K91" s="55"/>
      <c r="M91" s="74">
        <v>0</v>
      </c>
      <c r="O91" s="351"/>
      <c r="P91" s="351"/>
      <c r="Q91" s="351"/>
      <c r="R91" s="351"/>
      <c r="S91" s="351"/>
      <c r="T91" s="351"/>
      <c r="U91" s="351"/>
      <c r="V91" s="351"/>
      <c r="W91" s="359"/>
    </row>
    <row r="92" spans="1:23">
      <c r="A92" s="70" t="s">
        <v>24</v>
      </c>
      <c r="B92" s="70"/>
      <c r="C92" s="93">
        <f>SUM(C93:C94)</f>
        <v>799251561.28999996</v>
      </c>
      <c r="D92" s="241"/>
      <c r="E92" s="242"/>
      <c r="F92" s="242"/>
      <c r="G92" s="242"/>
      <c r="H92" s="242"/>
      <c r="I92" s="55"/>
      <c r="J92" s="55"/>
      <c r="K92" s="55"/>
      <c r="M92" s="74">
        <f>M93+M94</f>
        <v>805600352.58000004</v>
      </c>
      <c r="O92" s="351"/>
      <c r="P92" s="351"/>
      <c r="Q92" s="351"/>
      <c r="R92" s="351"/>
      <c r="S92" s="351"/>
      <c r="T92" s="351"/>
      <c r="U92" s="351"/>
      <c r="V92" s="351"/>
      <c r="W92" s="359"/>
    </row>
    <row r="93" spans="1:23">
      <c r="A93" s="72" t="s">
        <v>25</v>
      </c>
      <c r="B93" s="72"/>
      <c r="C93" s="93">
        <f>181762417.78</f>
        <v>181762417.78</v>
      </c>
      <c r="D93" s="241"/>
      <c r="E93" s="242"/>
      <c r="F93" s="242"/>
      <c r="G93" s="242"/>
      <c r="H93" s="242"/>
      <c r="I93" s="55"/>
      <c r="J93" s="55"/>
      <c r="K93" s="55"/>
      <c r="M93" s="74">
        <f>188276181.73</f>
        <v>188276181.72999999</v>
      </c>
      <c r="O93" s="351"/>
      <c r="P93" s="351"/>
      <c r="Q93" s="351"/>
      <c r="R93" s="351"/>
      <c r="S93" s="351"/>
      <c r="T93" s="351"/>
      <c r="U93" s="351"/>
      <c r="V93" s="351"/>
      <c r="W93" s="359"/>
    </row>
    <row r="94" spans="1:23">
      <c r="A94" s="72" t="s">
        <v>27</v>
      </c>
      <c r="B94" s="72"/>
      <c r="C94" s="93">
        <f>617489143.51</f>
        <v>617489143.50999999</v>
      </c>
      <c r="D94" s="59"/>
      <c r="E94" s="60"/>
      <c r="F94" s="60"/>
      <c r="G94" s="60"/>
      <c r="H94" s="60"/>
      <c r="I94" s="55"/>
      <c r="J94" s="74"/>
      <c r="K94" s="74"/>
      <c r="M94" s="74">
        <f>617324170.85</f>
        <v>617324170.85000002</v>
      </c>
      <c r="O94" s="351"/>
      <c r="P94" s="360"/>
      <c r="Q94" s="360"/>
      <c r="R94" s="351"/>
      <c r="S94" s="351"/>
      <c r="T94" s="351"/>
      <c r="U94" s="351"/>
      <c r="V94" s="351"/>
      <c r="W94" s="359"/>
    </row>
    <row r="95" spans="1:23">
      <c r="A95" s="51" t="s">
        <v>71</v>
      </c>
      <c r="B95" s="51"/>
      <c r="C95" s="93">
        <f>C96+C97+C98</f>
        <v>0</v>
      </c>
      <c r="D95" s="241"/>
      <c r="E95" s="242"/>
      <c r="F95" s="242"/>
      <c r="G95" s="242"/>
      <c r="H95" s="242"/>
      <c r="I95" s="55"/>
      <c r="J95" s="55"/>
      <c r="K95" s="55"/>
      <c r="M95" s="74">
        <f>M96+M97+M98</f>
        <v>0</v>
      </c>
      <c r="O95" s="351"/>
      <c r="P95" s="360"/>
      <c r="Q95" s="360"/>
      <c r="R95" s="351"/>
      <c r="S95" s="351"/>
      <c r="T95" s="351"/>
      <c r="U95" s="351"/>
      <c r="V95" s="351"/>
      <c r="W95" s="359"/>
    </row>
    <row r="96" spans="1:23">
      <c r="A96" s="70" t="s">
        <v>29</v>
      </c>
      <c r="B96" s="70"/>
      <c r="C96" s="93">
        <v>0</v>
      </c>
      <c r="D96" s="241"/>
      <c r="E96" s="242"/>
      <c r="F96" s="242"/>
      <c r="G96" s="242"/>
      <c r="H96" s="242"/>
      <c r="I96" s="55"/>
      <c r="J96" s="55"/>
      <c r="K96" s="55"/>
      <c r="M96" s="74">
        <v>0</v>
      </c>
      <c r="O96" s="351"/>
      <c r="P96" s="351"/>
      <c r="Q96" s="351"/>
      <c r="R96" s="351"/>
      <c r="S96" s="351"/>
      <c r="T96" s="351"/>
      <c r="U96" s="351"/>
      <c r="V96" s="351"/>
      <c r="W96" s="359"/>
    </row>
    <row r="97" spans="1:25">
      <c r="A97" s="70" t="s">
        <v>30</v>
      </c>
      <c r="B97" s="70"/>
      <c r="C97" s="93">
        <v>0</v>
      </c>
      <c r="D97" s="241"/>
      <c r="E97" s="242"/>
      <c r="F97" s="242"/>
      <c r="G97" s="242"/>
      <c r="H97" s="242"/>
      <c r="I97" s="55"/>
      <c r="J97" s="55"/>
      <c r="K97" s="55"/>
      <c r="M97" s="74">
        <v>0</v>
      </c>
      <c r="O97" s="351"/>
      <c r="P97" s="351"/>
      <c r="Q97" s="351"/>
      <c r="R97" s="351"/>
      <c r="S97" s="351"/>
      <c r="T97" s="351"/>
      <c r="U97" s="351"/>
      <c r="V97" s="351"/>
      <c r="W97" s="359"/>
    </row>
    <row r="98" spans="1:25">
      <c r="A98" s="70" t="s">
        <v>31</v>
      </c>
      <c r="B98" s="70"/>
      <c r="C98" s="93">
        <v>0</v>
      </c>
      <c r="D98" s="241"/>
      <c r="E98" s="242"/>
      <c r="F98" s="242"/>
      <c r="G98" s="242"/>
      <c r="H98" s="242"/>
      <c r="I98" s="55"/>
      <c r="J98" s="55"/>
      <c r="K98" s="55"/>
      <c r="M98" s="74">
        <v>0</v>
      </c>
      <c r="O98" s="351"/>
      <c r="P98" s="351"/>
      <c r="Q98" s="351"/>
      <c r="R98" s="351"/>
      <c r="S98" s="351"/>
      <c r="T98" s="351"/>
      <c r="U98" s="351"/>
      <c r="V98" s="351"/>
      <c r="W98" s="359"/>
    </row>
    <row r="99" spans="1:25">
      <c r="A99" s="216" t="s">
        <v>72</v>
      </c>
      <c r="B99" s="52"/>
      <c r="C99" s="94">
        <f>C78+C95</f>
        <v>7182401242.9899998</v>
      </c>
      <c r="D99" s="259"/>
      <c r="E99" s="259"/>
      <c r="F99" s="259"/>
      <c r="G99" s="259"/>
      <c r="H99" s="259"/>
      <c r="I99" s="57"/>
      <c r="J99" s="57"/>
      <c r="K99" s="57"/>
      <c r="L99" s="123"/>
      <c r="M99" s="57">
        <f>M78+M95</f>
        <v>6963799600.7300005</v>
      </c>
      <c r="O99" s="351"/>
      <c r="P99" s="360"/>
      <c r="Q99" s="360"/>
      <c r="R99" s="351"/>
      <c r="S99" s="351"/>
      <c r="T99" s="351"/>
      <c r="U99" s="351"/>
      <c r="V99" s="351"/>
      <c r="W99" s="359"/>
    </row>
    <row r="100" spans="1:25" ht="6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3"/>
      <c r="O100" s="351"/>
      <c r="P100" s="360"/>
      <c r="Q100" s="360"/>
      <c r="R100" s="351"/>
      <c r="S100" s="351"/>
      <c r="T100" s="351"/>
      <c r="U100" s="351"/>
      <c r="V100" s="351"/>
      <c r="W100" s="359"/>
    </row>
    <row r="101" spans="1:25" ht="28.5" customHeight="1">
      <c r="A101" s="296" t="s">
        <v>73</v>
      </c>
      <c r="B101" s="297"/>
      <c r="C101" s="81" t="s">
        <v>34</v>
      </c>
      <c r="D101" s="273" t="s">
        <v>35</v>
      </c>
      <c r="E101" s="263"/>
      <c r="F101" s="263"/>
      <c r="G101" s="274"/>
      <c r="H101" s="273" t="s">
        <v>36</v>
      </c>
      <c r="I101" s="263"/>
      <c r="J101" s="274"/>
      <c r="K101" s="64" t="s">
        <v>37</v>
      </c>
      <c r="L101" s="239" t="s">
        <v>38</v>
      </c>
      <c r="M101" s="240"/>
      <c r="N101" s="152"/>
      <c r="O101" s="355"/>
      <c r="P101" s="360"/>
      <c r="Q101" s="360"/>
      <c r="R101" s="361"/>
      <c r="S101" s="351"/>
      <c r="T101" s="351"/>
      <c r="U101" s="351"/>
      <c r="V101" s="351"/>
      <c r="W101" s="359"/>
    </row>
    <row r="102" spans="1:25">
      <c r="A102" s="298"/>
      <c r="B102" s="299"/>
      <c r="C102" s="82" t="s">
        <v>39</v>
      </c>
      <c r="D102" s="267" t="str">
        <f>D43</f>
        <v>Jan a Dez 2025</v>
      </c>
      <c r="E102" s="268"/>
      <c r="F102" s="268"/>
      <c r="G102" s="269"/>
      <c r="H102" s="267" t="str">
        <f>H43</f>
        <v>Jan a Dez 2025</v>
      </c>
      <c r="I102" s="268"/>
      <c r="J102" s="269"/>
      <c r="K102" s="84" t="str">
        <f>K43</f>
        <v>Jan a Dez 2025</v>
      </c>
      <c r="L102" s="270" t="s">
        <v>40</v>
      </c>
      <c r="M102" s="271"/>
      <c r="N102" s="19"/>
      <c r="O102" s="362"/>
      <c r="P102" s="363"/>
      <c r="Q102" s="363"/>
      <c r="R102" s="357"/>
      <c r="S102" s="351"/>
      <c r="T102" s="351"/>
      <c r="U102" s="351"/>
      <c r="V102" s="351"/>
      <c r="W102" s="359"/>
    </row>
    <row r="103" spans="1:25">
      <c r="A103" s="300"/>
      <c r="B103" s="301"/>
      <c r="C103" s="83" t="s">
        <v>41</v>
      </c>
      <c r="D103" s="294" t="s">
        <v>42</v>
      </c>
      <c r="E103" s="264"/>
      <c r="F103" s="264"/>
      <c r="G103" s="295"/>
      <c r="H103" s="294" t="s">
        <v>43</v>
      </c>
      <c r="I103" s="264"/>
      <c r="J103" s="295"/>
      <c r="K103" s="65" t="s">
        <v>44</v>
      </c>
      <c r="L103" s="314" t="s">
        <v>45</v>
      </c>
      <c r="M103" s="315"/>
      <c r="N103" s="1"/>
      <c r="O103" s="364"/>
      <c r="P103" s="351"/>
      <c r="Q103" s="351"/>
      <c r="R103" s="351"/>
      <c r="S103" s="351"/>
      <c r="T103" s="351"/>
      <c r="U103" s="351"/>
      <c r="V103" s="351"/>
      <c r="W103" s="359"/>
    </row>
    <row r="104" spans="1:25">
      <c r="A104" s="217" t="s">
        <v>46</v>
      </c>
      <c r="B104" s="75"/>
      <c r="C104" s="75">
        <f t="shared" ref="C104:K104" si="3">C105+C106</f>
        <v>18686959291</v>
      </c>
      <c r="D104" s="251">
        <f t="shared" si="3"/>
        <v>18131430700.48</v>
      </c>
      <c r="E104" s="252">
        <f t="shared" si="3"/>
        <v>0</v>
      </c>
      <c r="F104" s="252">
        <f t="shared" si="3"/>
        <v>0</v>
      </c>
      <c r="G104" s="253">
        <f t="shared" si="3"/>
        <v>0</v>
      </c>
      <c r="H104" s="251">
        <f t="shared" si="3"/>
        <v>18131430700.48</v>
      </c>
      <c r="I104" s="252">
        <f t="shared" si="3"/>
        <v>0</v>
      </c>
      <c r="J104" s="253">
        <f t="shared" si="3"/>
        <v>0</v>
      </c>
      <c r="K104" s="54">
        <f t="shared" si="3"/>
        <v>18075880921.580002</v>
      </c>
      <c r="L104" s="126"/>
      <c r="M104" s="134">
        <f>M105+M106</f>
        <v>0</v>
      </c>
      <c r="N104" s="18"/>
      <c r="O104" s="365"/>
      <c r="P104" s="366"/>
      <c r="Q104" s="365"/>
      <c r="R104" s="351"/>
      <c r="S104" s="351"/>
      <c r="T104" s="351"/>
      <c r="U104" s="351"/>
      <c r="V104" s="351"/>
      <c r="W104" s="359"/>
    </row>
    <row r="105" spans="1:25">
      <c r="A105" s="218" t="s">
        <v>47</v>
      </c>
      <c r="B105" s="75"/>
      <c r="C105" s="75">
        <f>13888595995</f>
        <v>13888595995</v>
      </c>
      <c r="D105" s="251">
        <f>13469538695.2</f>
        <v>13469538695.200001</v>
      </c>
      <c r="E105" s="252"/>
      <c r="F105" s="252"/>
      <c r="G105" s="253"/>
      <c r="H105" s="309">
        <f>13469538695.2</f>
        <v>13469538695.200001</v>
      </c>
      <c r="I105" s="310"/>
      <c r="J105" s="311"/>
      <c r="K105" s="101">
        <f>13455212815.5</f>
        <v>13455212815.5</v>
      </c>
      <c r="L105" s="127"/>
      <c r="M105" s="191">
        <f>D105-H105</f>
        <v>0</v>
      </c>
      <c r="N105" s="18"/>
      <c r="O105" s="365"/>
      <c r="P105" s="365"/>
      <c r="Q105" s="365"/>
      <c r="R105" s="351"/>
      <c r="S105" s="351"/>
      <c r="T105" s="351"/>
      <c r="U105" s="351"/>
      <c r="V105" s="351"/>
      <c r="W105" s="359"/>
    </row>
    <row r="106" spans="1:25">
      <c r="A106" s="218" t="s">
        <v>48</v>
      </c>
      <c r="B106" s="75"/>
      <c r="C106" s="75">
        <f>4798363296</f>
        <v>4798363296</v>
      </c>
      <c r="D106" s="251">
        <f>4661892005.28</f>
        <v>4661892005.2799997</v>
      </c>
      <c r="E106" s="252"/>
      <c r="F106" s="252"/>
      <c r="G106" s="253"/>
      <c r="H106" s="309">
        <f>4661892005.28</f>
        <v>4661892005.2799997</v>
      </c>
      <c r="I106" s="310"/>
      <c r="J106" s="320"/>
      <c r="K106" s="102">
        <f>4620668106.08</f>
        <v>4620668106.0799999</v>
      </c>
      <c r="L106" s="128"/>
      <c r="M106" s="192">
        <f>D106-H106</f>
        <v>0</v>
      </c>
      <c r="N106" s="153"/>
      <c r="O106" s="367"/>
      <c r="P106" s="368"/>
      <c r="Q106" s="368"/>
      <c r="R106" s="360"/>
      <c r="S106" s="350"/>
      <c r="T106" s="351"/>
      <c r="U106" s="351"/>
      <c r="V106" s="351"/>
      <c r="W106" s="351"/>
      <c r="X106" s="9"/>
      <c r="Y106" s="9"/>
    </row>
    <row r="107" spans="1:25">
      <c r="A107" s="219" t="s">
        <v>49</v>
      </c>
      <c r="B107" s="75"/>
      <c r="C107" s="75">
        <f t="shared" ref="C107:K107" si="4">C108+C109</f>
        <v>1129646583.75</v>
      </c>
      <c r="D107" s="251">
        <f t="shared" si="4"/>
        <v>2995572.62</v>
      </c>
      <c r="E107" s="252">
        <f t="shared" si="4"/>
        <v>0</v>
      </c>
      <c r="F107" s="252">
        <f t="shared" si="4"/>
        <v>0</v>
      </c>
      <c r="G107" s="253">
        <f t="shared" si="4"/>
        <v>0</v>
      </c>
      <c r="H107" s="251">
        <f t="shared" si="4"/>
        <v>2995572.62</v>
      </c>
      <c r="I107" s="252">
        <f t="shared" si="4"/>
        <v>0</v>
      </c>
      <c r="J107" s="253">
        <f t="shared" si="4"/>
        <v>0</v>
      </c>
      <c r="K107" s="54">
        <f t="shared" si="4"/>
        <v>2316728.16</v>
      </c>
      <c r="L107" s="129"/>
      <c r="M107" s="55">
        <f>M108+M109</f>
        <v>0</v>
      </c>
      <c r="N107" s="154"/>
      <c r="O107" s="369"/>
      <c r="P107" s="360"/>
      <c r="Q107" s="360"/>
      <c r="R107" s="360"/>
      <c r="S107" s="350"/>
      <c r="T107" s="351"/>
      <c r="U107" s="351"/>
      <c r="V107" s="351"/>
      <c r="W107" s="351"/>
      <c r="X107" s="9"/>
      <c r="Y107" s="9"/>
    </row>
    <row r="108" spans="1:25">
      <c r="A108" s="218" t="s">
        <v>25</v>
      </c>
      <c r="B108" s="75"/>
      <c r="C108" s="74">
        <v>0</v>
      </c>
      <c r="D108" s="251">
        <v>0</v>
      </c>
      <c r="E108" s="252"/>
      <c r="F108" s="252"/>
      <c r="G108" s="253"/>
      <c r="H108" s="251">
        <v>0</v>
      </c>
      <c r="I108" s="252"/>
      <c r="J108" s="253"/>
      <c r="K108" s="54">
        <v>0</v>
      </c>
      <c r="L108" s="130"/>
      <c r="M108" s="55">
        <f>D108-H108</f>
        <v>0</v>
      </c>
      <c r="N108" s="155"/>
      <c r="O108" s="370"/>
      <c r="P108" s="370"/>
      <c r="Q108" s="351"/>
      <c r="R108" s="351"/>
      <c r="S108" s="351"/>
      <c r="T108" s="351"/>
      <c r="U108" s="351"/>
      <c r="V108" s="351"/>
      <c r="W108" s="351"/>
      <c r="X108" s="9"/>
      <c r="Y108" s="9"/>
    </row>
    <row r="109" spans="1:25">
      <c r="A109" s="218" t="s">
        <v>50</v>
      </c>
      <c r="B109" s="75"/>
      <c r="C109" s="74">
        <f>1129646583.75</f>
        <v>1129646583.75</v>
      </c>
      <c r="D109" s="255">
        <f>2995572.62</f>
        <v>2995572.62</v>
      </c>
      <c r="E109" s="256"/>
      <c r="F109" s="256"/>
      <c r="G109" s="257"/>
      <c r="H109" s="255">
        <f>2995572.62</f>
        <v>2995572.62</v>
      </c>
      <c r="I109" s="256"/>
      <c r="J109" s="257"/>
      <c r="K109" s="54">
        <f>2316728.16</f>
        <v>2316728.16</v>
      </c>
      <c r="L109" s="131"/>
      <c r="M109" s="193">
        <f>D109-H109</f>
        <v>0</v>
      </c>
      <c r="N109" s="156"/>
      <c r="O109" s="355"/>
      <c r="P109" s="355"/>
      <c r="Q109" s="355"/>
      <c r="R109" s="355"/>
      <c r="S109" s="355"/>
      <c r="T109" s="355"/>
      <c r="U109" s="355"/>
      <c r="V109" s="355"/>
      <c r="W109" s="355"/>
      <c r="X109" s="9"/>
      <c r="Y109" s="9"/>
    </row>
    <row r="110" spans="1:25">
      <c r="A110" s="220" t="s">
        <v>74</v>
      </c>
      <c r="B110" s="79"/>
      <c r="C110" s="76">
        <f t="shared" ref="C110:J110" si="5">C104+C107</f>
        <v>19816605874.75</v>
      </c>
      <c r="D110" s="307">
        <f t="shared" si="5"/>
        <v>18134426273.099998</v>
      </c>
      <c r="E110" s="265">
        <f t="shared" si="5"/>
        <v>0</v>
      </c>
      <c r="F110" s="265">
        <f t="shared" si="5"/>
        <v>0</v>
      </c>
      <c r="G110" s="308">
        <f t="shared" si="5"/>
        <v>0</v>
      </c>
      <c r="H110" s="307">
        <f t="shared" si="5"/>
        <v>18134426273.099998</v>
      </c>
      <c r="I110" s="265">
        <f t="shared" si="5"/>
        <v>0</v>
      </c>
      <c r="J110" s="308">
        <f t="shared" si="5"/>
        <v>0</v>
      </c>
      <c r="K110" s="99">
        <f>K104+K107</f>
        <v>18078197649.740002</v>
      </c>
      <c r="L110" s="133"/>
      <c r="M110" s="194">
        <f>M104+M107</f>
        <v>0</v>
      </c>
      <c r="N110" s="125"/>
      <c r="O110" s="350"/>
      <c r="P110" s="350"/>
      <c r="Q110" s="350"/>
      <c r="R110" s="350"/>
      <c r="S110" s="350"/>
      <c r="T110" s="351"/>
      <c r="U110" s="351"/>
      <c r="V110" s="351"/>
      <c r="W110" s="351"/>
      <c r="X110" s="9"/>
      <c r="Y110" s="9"/>
    </row>
    <row r="111" spans="1:25" ht="6" customHeight="1">
      <c r="A111" s="221"/>
      <c r="B111" s="98"/>
      <c r="C111" s="92"/>
      <c r="D111" s="92"/>
      <c r="E111" s="92"/>
      <c r="F111" s="92"/>
      <c r="G111" s="92"/>
      <c r="H111" s="92"/>
      <c r="I111" s="92"/>
      <c r="J111" s="92"/>
      <c r="K111" s="92"/>
      <c r="L111" s="132"/>
      <c r="M111" s="103"/>
      <c r="N111" s="103"/>
      <c r="O111" s="351"/>
      <c r="P111" s="351"/>
      <c r="Q111" s="371"/>
      <c r="R111" s="371"/>
      <c r="S111" s="351"/>
      <c r="T111" s="351"/>
      <c r="U111" s="351"/>
      <c r="V111" s="351"/>
      <c r="W111" s="351"/>
      <c r="X111" s="9"/>
      <c r="Y111" s="9"/>
    </row>
    <row r="112" spans="1:25" ht="15.75">
      <c r="A112" s="220" t="s">
        <v>75</v>
      </c>
      <c r="B112" s="78"/>
      <c r="C112" s="56">
        <f>C99-C110</f>
        <v>-12634204631.76</v>
      </c>
      <c r="D112" s="258">
        <f>M99-D110</f>
        <v>-11170626672.369999</v>
      </c>
      <c r="E112" s="259"/>
      <c r="F112" s="259"/>
      <c r="G112" s="260"/>
      <c r="H112" s="258">
        <f>M99-H110</f>
        <v>-11170626672.369999</v>
      </c>
      <c r="I112" s="259"/>
      <c r="J112" s="260"/>
      <c r="K112" s="56">
        <f>M99-K110</f>
        <v>-11114398049.010002</v>
      </c>
      <c r="L112" s="150"/>
      <c r="M112" s="151"/>
      <c r="N112" s="125"/>
      <c r="O112" s="350"/>
      <c r="P112" s="350"/>
      <c r="Q112" s="350"/>
      <c r="R112" s="350"/>
      <c r="S112" s="350"/>
      <c r="T112" s="372"/>
      <c r="U112" s="351"/>
      <c r="V112" s="351"/>
      <c r="W112" s="373"/>
      <c r="X112" s="9"/>
      <c r="Y112" s="9"/>
    </row>
    <row r="113" spans="1:25" ht="15.75" customHeight="1">
      <c r="A113" s="104"/>
      <c r="B113" s="77"/>
      <c r="C113" s="77"/>
      <c r="D113" s="105"/>
      <c r="E113" s="105"/>
      <c r="F113" s="105"/>
      <c r="G113" s="105"/>
      <c r="H113" s="105"/>
      <c r="I113" s="105"/>
      <c r="J113" s="105"/>
      <c r="K113" s="106"/>
      <c r="L113" s="125"/>
      <c r="M113" s="106" t="s">
        <v>76</v>
      </c>
      <c r="N113" s="125"/>
      <c r="O113" s="350"/>
      <c r="P113" s="350"/>
      <c r="Q113" s="350"/>
      <c r="R113" s="350"/>
      <c r="S113" s="350"/>
      <c r="T113" s="373"/>
      <c r="U113" s="351"/>
      <c r="V113" s="351"/>
      <c r="W113" s="373"/>
      <c r="X113" s="9"/>
      <c r="Y113" s="9"/>
    </row>
    <row r="114" spans="1:25">
      <c r="A114" s="26"/>
      <c r="B114" s="26"/>
      <c r="C114" s="37"/>
      <c r="D114" s="275"/>
      <c r="E114" s="238"/>
      <c r="F114" s="238"/>
      <c r="G114" s="26"/>
      <c r="H114" s="238"/>
      <c r="I114" s="238"/>
      <c r="J114" s="275"/>
      <c r="K114" s="238"/>
      <c r="L114" s="62"/>
      <c r="M114" s="62"/>
      <c r="N114" s="62"/>
      <c r="O114" s="373"/>
      <c r="P114" s="373"/>
      <c r="Q114" s="373"/>
      <c r="R114" s="374"/>
      <c r="S114" s="373"/>
      <c r="T114" s="373"/>
      <c r="U114" s="351"/>
      <c r="V114" s="351"/>
      <c r="W114" s="359"/>
    </row>
    <row r="115" spans="1: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62"/>
      <c r="M115" s="62"/>
      <c r="N115" s="62"/>
      <c r="O115" s="374"/>
      <c r="P115" s="373"/>
      <c r="Q115" s="373"/>
      <c r="R115" s="374"/>
      <c r="S115" s="373"/>
      <c r="T115" s="373"/>
      <c r="U115" s="351"/>
      <c r="V115" s="351"/>
      <c r="W115" s="359"/>
    </row>
    <row r="116" spans="1: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62"/>
      <c r="M116" s="62"/>
      <c r="N116" s="62"/>
      <c r="O116" s="373"/>
      <c r="P116" s="373"/>
      <c r="Q116" s="373"/>
      <c r="R116" s="373"/>
      <c r="S116" s="373"/>
      <c r="T116" s="373"/>
      <c r="U116" s="351"/>
      <c r="V116" s="351"/>
      <c r="W116" s="359"/>
    </row>
    <row r="117" spans="1:25">
      <c r="A117" s="23"/>
      <c r="B117" s="23"/>
      <c r="C117" s="23"/>
      <c r="D117" s="23"/>
      <c r="E117" s="23"/>
      <c r="F117" s="23"/>
      <c r="G117" s="23"/>
      <c r="H117" s="23"/>
      <c r="I117" s="313"/>
      <c r="J117" s="313"/>
      <c r="K117" s="313"/>
      <c r="L117" s="62"/>
      <c r="M117" s="135" t="s">
        <v>77</v>
      </c>
      <c r="N117" s="62"/>
      <c r="O117" s="62"/>
      <c r="P117" s="62"/>
      <c r="Q117" s="62"/>
      <c r="R117" s="62"/>
      <c r="S117" s="62"/>
      <c r="T117" s="62"/>
    </row>
    <row r="118" spans="1:25">
      <c r="A118" s="236" t="str">
        <f>A5</f>
        <v>GOVERNO DO ESTADO DO RIO DE JANEIRO</v>
      </c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62"/>
      <c r="O118" s="62"/>
      <c r="P118" s="62"/>
      <c r="Q118" s="62"/>
      <c r="R118" s="62"/>
      <c r="S118" s="62"/>
      <c r="T118" s="62"/>
    </row>
    <row r="119" spans="1:25">
      <c r="A119" s="236" t="str">
        <f>A6</f>
        <v>RELATÓRIO RESUMIDO DA EXECUÇÃO ORÇAMENTÁRIA</v>
      </c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62"/>
      <c r="O119" s="62"/>
      <c r="P119" s="62"/>
      <c r="Q119" s="62"/>
      <c r="R119" s="62"/>
      <c r="S119" s="62"/>
      <c r="T119" s="62"/>
    </row>
    <row r="120" spans="1:25">
      <c r="A120" s="237" t="str">
        <f>A7</f>
        <v>DEMONSTRATIVO DAS RECEITAS E DESPESAS PREVIDENCIÁRIAS DO REGIME PRÓPRIO DOS SERVIDORES PÚBLICOS</v>
      </c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62"/>
      <c r="O120" s="62"/>
      <c r="P120" s="62"/>
      <c r="Q120" s="62"/>
      <c r="R120" s="62"/>
      <c r="S120" s="62"/>
      <c r="T120" s="62"/>
    </row>
    <row r="121" spans="1:25">
      <c r="A121" s="236" t="str">
        <f>A8</f>
        <v>ORÇAMENTO DA SEGURIDADE SOCIAL</v>
      </c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62"/>
      <c r="O121" s="62"/>
      <c r="P121" s="62"/>
      <c r="Q121" s="62"/>
      <c r="R121" s="62"/>
      <c r="S121" s="62"/>
      <c r="T121" s="62"/>
    </row>
    <row r="122" spans="1:25">
      <c r="A122" s="238" t="str">
        <f>A9</f>
        <v>JANEIRO A DEZEMBRO 2025/BIMESTRE NOVEMBRO - DEZEMBRO</v>
      </c>
      <c r="B122" s="238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62"/>
      <c r="O122" s="62"/>
      <c r="P122" s="62"/>
      <c r="Q122" s="62"/>
      <c r="R122" s="62"/>
      <c r="S122" s="62"/>
      <c r="T122" s="62"/>
    </row>
    <row r="123" spans="1:25">
      <c r="A123" s="22"/>
      <c r="B123" s="22"/>
      <c r="C123" s="22"/>
      <c r="D123" s="22"/>
      <c r="E123" s="22"/>
      <c r="F123" s="22"/>
      <c r="G123" s="25"/>
      <c r="H123" s="25"/>
      <c r="I123" s="25"/>
      <c r="J123" s="25"/>
      <c r="K123" s="25"/>
      <c r="L123" s="62"/>
      <c r="M123" s="62"/>
      <c r="N123" s="62"/>
      <c r="O123" s="62"/>
      <c r="P123" s="62"/>
      <c r="Q123" s="62"/>
      <c r="R123" s="62"/>
      <c r="S123" s="62"/>
      <c r="T123" s="62"/>
    </row>
    <row r="124" spans="1:25">
      <c r="A124" s="22"/>
      <c r="B124" s="22"/>
      <c r="C124" s="22"/>
      <c r="D124" s="22"/>
      <c r="E124" s="22"/>
      <c r="F124" s="22"/>
      <c r="G124" s="25"/>
      <c r="H124" s="25"/>
      <c r="I124" s="25"/>
      <c r="J124" s="25"/>
      <c r="K124" s="25"/>
      <c r="L124" s="62"/>
      <c r="M124" s="145" t="str">
        <f>M11</f>
        <v>Emissão: 23/01/2026</v>
      </c>
      <c r="N124" s="62"/>
      <c r="O124" s="62"/>
      <c r="P124" s="62"/>
      <c r="Q124" s="62"/>
      <c r="R124" s="62"/>
      <c r="S124" s="62"/>
      <c r="T124" s="62"/>
    </row>
    <row r="125" spans="1:25">
      <c r="A125" s="23" t="s">
        <v>4</v>
      </c>
      <c r="B125" s="23"/>
      <c r="C125" s="23"/>
      <c r="D125" s="23"/>
      <c r="E125" s="23"/>
      <c r="F125" s="25"/>
      <c r="G125" s="23"/>
      <c r="H125" s="23"/>
      <c r="I125" s="328"/>
      <c r="J125" s="328"/>
      <c r="K125" s="328"/>
      <c r="L125" s="62"/>
      <c r="M125" s="146">
        <f>M12</f>
        <v>1</v>
      </c>
      <c r="N125" s="373"/>
      <c r="O125" s="373"/>
      <c r="P125" s="373"/>
      <c r="Q125" s="373"/>
      <c r="R125" s="62"/>
      <c r="S125" s="62"/>
      <c r="T125" s="62"/>
    </row>
    <row r="126" spans="1:25" ht="14.25" customHeight="1">
      <c r="A126" s="263" t="s">
        <v>78</v>
      </c>
      <c r="B126" s="274"/>
      <c r="C126" s="273" t="s">
        <v>58</v>
      </c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359"/>
      <c r="O126" s="359"/>
      <c r="P126" s="359"/>
      <c r="Q126" s="359"/>
      <c r="R126" s="8"/>
      <c r="S126" s="8"/>
      <c r="T126" s="8"/>
    </row>
    <row r="127" spans="1:25" ht="15">
      <c r="A127" s="268"/>
      <c r="B127" s="269"/>
      <c r="C127" s="29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375"/>
      <c r="O127" s="375"/>
      <c r="P127" s="376"/>
      <c r="Q127" s="377"/>
      <c r="R127"/>
      <c r="S127" s="8"/>
      <c r="T127" s="8"/>
    </row>
    <row r="128" spans="1:25" ht="15" customHeight="1">
      <c r="A128" s="223" t="s">
        <v>79</v>
      </c>
      <c r="B128" s="38"/>
      <c r="C128" s="46"/>
      <c r="D128" s="32"/>
      <c r="E128" s="32"/>
      <c r="F128" s="32"/>
      <c r="G128" s="32"/>
      <c r="H128" s="32"/>
      <c r="I128" s="32"/>
      <c r="J128" s="32"/>
      <c r="K128" s="107"/>
      <c r="L128" s="124"/>
      <c r="M128" s="192">
        <f>17367378945.08</f>
        <v>17367378945.080002</v>
      </c>
      <c r="N128" s="154"/>
      <c r="O128" s="124"/>
      <c r="P128" s="378"/>
      <c r="Q128" s="379"/>
      <c r="R128"/>
      <c r="S128" s="8"/>
      <c r="T128" s="8"/>
    </row>
    <row r="129" spans="1:19">
      <c r="A129" s="224" t="s">
        <v>80</v>
      </c>
      <c r="B129" s="40"/>
      <c r="C129" s="42"/>
      <c r="D129" s="34"/>
      <c r="E129" s="34"/>
      <c r="F129" s="34"/>
      <c r="G129" s="34"/>
      <c r="H129" s="34"/>
      <c r="I129" s="34"/>
      <c r="J129" s="34"/>
      <c r="K129" s="97"/>
      <c r="L129" s="120"/>
      <c r="M129" s="97">
        <v>0</v>
      </c>
      <c r="N129" s="380"/>
      <c r="O129" s="361"/>
      <c r="P129" s="380"/>
      <c r="Q129" s="381"/>
      <c r="R129" s="210"/>
      <c r="S129" s="210"/>
    </row>
    <row r="130" spans="1:19">
      <c r="A130" s="195"/>
      <c r="B130" s="46"/>
      <c r="C130" s="46"/>
      <c r="D130" s="32"/>
      <c r="E130" s="32"/>
      <c r="F130" s="32"/>
      <c r="G130" s="32"/>
      <c r="H130" s="32"/>
      <c r="I130" s="32"/>
      <c r="J130" s="32"/>
      <c r="K130" s="55"/>
      <c r="M130" s="55"/>
      <c r="N130" s="351"/>
      <c r="O130" s="351"/>
      <c r="P130" s="351"/>
      <c r="Q130" s="351"/>
    </row>
    <row r="131" spans="1:19">
      <c r="A131" s="316" t="s">
        <v>81</v>
      </c>
      <c r="B131" s="346"/>
      <c r="C131" s="316" t="s">
        <v>64</v>
      </c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51"/>
      <c r="O131" s="351"/>
      <c r="P131" s="351"/>
      <c r="Q131" s="351"/>
    </row>
    <row r="132" spans="1:19">
      <c r="A132" s="318"/>
      <c r="B132" s="347"/>
      <c r="C132" s="318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51"/>
      <c r="O132" s="351"/>
      <c r="P132" s="351"/>
      <c r="Q132" s="351"/>
    </row>
    <row r="133" spans="1:19">
      <c r="A133" s="223" t="s">
        <v>65</v>
      </c>
      <c r="B133" s="38"/>
      <c r="C133" s="180"/>
      <c r="D133" s="181"/>
      <c r="E133" s="181"/>
      <c r="F133" s="181"/>
      <c r="G133" s="181"/>
      <c r="H133" s="181"/>
      <c r="I133" s="181"/>
      <c r="J133" s="181"/>
      <c r="K133" s="134"/>
      <c r="L133" s="183"/>
      <c r="M133" s="134">
        <f>100561520.73</f>
        <v>100561520.73</v>
      </c>
      <c r="N133" s="351"/>
      <c r="O133" s="351"/>
      <c r="P133" s="351"/>
      <c r="Q133" s="351"/>
    </row>
    <row r="134" spans="1:19">
      <c r="A134" s="195" t="s">
        <v>66</v>
      </c>
      <c r="B134" s="182"/>
      <c r="C134" s="85"/>
      <c r="D134" s="32"/>
      <c r="E134" s="32"/>
      <c r="F134" s="32"/>
      <c r="G134" s="32"/>
      <c r="H134" s="32"/>
      <c r="I134" s="32"/>
      <c r="J134" s="32"/>
      <c r="K134" s="55"/>
      <c r="M134" s="55">
        <f>823216138.03</f>
        <v>823216138.02999997</v>
      </c>
      <c r="N134" s="351"/>
      <c r="O134" s="351"/>
      <c r="P134" s="351"/>
      <c r="Q134" s="351"/>
    </row>
    <row r="135" spans="1:19">
      <c r="A135" s="224" t="s">
        <v>67</v>
      </c>
      <c r="B135" s="40"/>
      <c r="C135" s="41"/>
      <c r="D135" s="34"/>
      <c r="E135" s="34"/>
      <c r="F135" s="34"/>
      <c r="G135" s="34"/>
      <c r="H135" s="34"/>
      <c r="I135" s="34"/>
      <c r="J135" s="34"/>
      <c r="K135" s="97"/>
      <c r="L135" s="120"/>
      <c r="M135" s="97">
        <f>4862551255.51</f>
        <v>4862551255.5100002</v>
      </c>
      <c r="N135" s="352"/>
      <c r="O135" s="352"/>
      <c r="P135" s="353"/>
      <c r="Q135" s="351"/>
    </row>
    <row r="136" spans="1:19" ht="6" customHeight="1">
      <c r="A136" s="46"/>
      <c r="B136" s="46"/>
      <c r="C136" s="46"/>
      <c r="D136" s="32"/>
      <c r="E136" s="32"/>
      <c r="F136" s="32"/>
      <c r="G136" s="32"/>
      <c r="H136" s="32"/>
      <c r="I136" s="313"/>
      <c r="J136" s="313"/>
      <c r="K136" s="313"/>
      <c r="N136" s="351"/>
      <c r="O136" s="351"/>
      <c r="P136" s="382"/>
      <c r="Q136" s="351"/>
    </row>
    <row r="137" spans="1:19" ht="14.45" customHeight="1">
      <c r="A137" s="312" t="s">
        <v>82</v>
      </c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83"/>
      <c r="O137" s="383"/>
      <c r="P137" s="351"/>
      <c r="Q137" s="351"/>
    </row>
    <row r="138" spans="1:19" ht="14.25" customHeight="1">
      <c r="A138" s="283" t="s">
        <v>83</v>
      </c>
      <c r="B138" s="285"/>
      <c r="C138" s="290" t="s">
        <v>8</v>
      </c>
      <c r="D138" s="292" t="s">
        <v>9</v>
      </c>
      <c r="E138" s="293"/>
      <c r="F138" s="293"/>
      <c r="G138" s="293"/>
      <c r="H138" s="293"/>
      <c r="I138" s="293"/>
      <c r="J138" s="293"/>
      <c r="K138" s="293"/>
      <c r="L138" s="293"/>
      <c r="M138" s="293"/>
      <c r="N138" s="383"/>
      <c r="O138" s="383"/>
      <c r="P138" s="351"/>
      <c r="Q138" s="351"/>
    </row>
    <row r="139" spans="1:19" ht="14.25" customHeight="1">
      <c r="A139" s="286"/>
      <c r="B139" s="287"/>
      <c r="C139" s="291"/>
      <c r="D139" s="305" t="str">
        <f>D16</f>
        <v>Jan a Dez 2025</v>
      </c>
      <c r="E139" s="306"/>
      <c r="F139" s="306"/>
      <c r="G139" s="306"/>
      <c r="H139" s="306"/>
      <c r="I139" s="306"/>
      <c r="J139" s="306"/>
      <c r="K139" s="306"/>
      <c r="L139" s="306"/>
      <c r="M139" s="306"/>
      <c r="N139" s="383"/>
      <c r="O139" s="383"/>
      <c r="P139" s="351"/>
      <c r="Q139" s="351"/>
    </row>
    <row r="140" spans="1:19" ht="14.25" customHeight="1">
      <c r="A140" s="288"/>
      <c r="B140" s="289"/>
      <c r="C140" s="44" t="s">
        <v>10</v>
      </c>
      <c r="D140" s="304" t="s">
        <v>11</v>
      </c>
      <c r="E140" s="288"/>
      <c r="F140" s="288"/>
      <c r="G140" s="286"/>
      <c r="H140" s="288"/>
      <c r="I140" s="288"/>
      <c r="J140" s="288"/>
      <c r="K140" s="288"/>
      <c r="L140" s="288"/>
      <c r="M140" s="288"/>
      <c r="N140" s="383"/>
      <c r="O140" s="383"/>
      <c r="P140" s="360"/>
      <c r="Q140" s="360"/>
    </row>
    <row r="141" spans="1:19" ht="14.25" customHeight="1">
      <c r="A141" s="227" t="s">
        <v>84</v>
      </c>
      <c r="B141" s="88"/>
      <c r="C141" s="166">
        <f>516532363.72</f>
        <v>516532363.72000003</v>
      </c>
      <c r="D141" s="165"/>
      <c r="E141" s="165"/>
      <c r="F141" s="165"/>
      <c r="G141" s="168"/>
      <c r="H141" s="169"/>
      <c r="I141" s="170"/>
      <c r="J141" s="170"/>
      <c r="K141" s="171"/>
      <c r="L141" s="172"/>
      <c r="M141" s="209">
        <f>514077758.79</f>
        <v>514077758.79000002</v>
      </c>
      <c r="N141" s="383"/>
      <c r="O141" s="383"/>
      <c r="P141" s="360"/>
      <c r="Q141" s="360"/>
    </row>
    <row r="142" spans="1:19" ht="15" customHeight="1">
      <c r="A142" s="216" t="s">
        <v>85</v>
      </c>
      <c r="B142" s="87"/>
      <c r="C142" s="94">
        <f>C141</f>
        <v>516532363.72000003</v>
      </c>
      <c r="D142" s="92"/>
      <c r="E142" s="92"/>
      <c r="F142" s="92"/>
      <c r="G142" s="92"/>
      <c r="H142" s="92"/>
      <c r="I142" s="57"/>
      <c r="J142" s="57"/>
      <c r="K142" s="57"/>
      <c r="L142" s="136"/>
      <c r="M142" s="57">
        <f>M141</f>
        <v>514077758.79000002</v>
      </c>
      <c r="N142" s="383"/>
      <c r="O142" s="383"/>
      <c r="P142" s="211"/>
      <c r="Q142" s="211"/>
    </row>
    <row r="143" spans="1:19" ht="6" customHeight="1">
      <c r="A143" s="50"/>
      <c r="B143" s="47"/>
      <c r="C143" s="47"/>
      <c r="D143" s="48"/>
      <c r="E143" s="48"/>
      <c r="F143" s="49"/>
      <c r="G143" s="49"/>
      <c r="H143" s="49"/>
      <c r="I143" s="49"/>
      <c r="J143" s="47"/>
      <c r="K143" s="47"/>
      <c r="L143" s="51"/>
      <c r="M143" s="51"/>
      <c r="N143" s="377"/>
      <c r="O143" s="377"/>
      <c r="P143" s="351"/>
      <c r="Q143" s="351"/>
    </row>
    <row r="144" spans="1:19" ht="28.5" customHeight="1">
      <c r="A144" s="296" t="s">
        <v>86</v>
      </c>
      <c r="B144" s="297"/>
      <c r="C144" s="81" t="s">
        <v>34</v>
      </c>
      <c r="D144" s="273" t="s">
        <v>35</v>
      </c>
      <c r="E144" s="263"/>
      <c r="F144" s="263"/>
      <c r="G144" s="274"/>
      <c r="H144" s="273" t="s">
        <v>36</v>
      </c>
      <c r="I144" s="263"/>
      <c r="J144" s="274"/>
      <c r="K144" s="64" t="s">
        <v>37</v>
      </c>
      <c r="L144" s="239" t="s">
        <v>38</v>
      </c>
      <c r="M144" s="240"/>
      <c r="N144" s="383"/>
      <c r="O144" s="383"/>
      <c r="P144" s="351"/>
      <c r="Q144" s="351"/>
    </row>
    <row r="145" spans="1:21">
      <c r="A145" s="298"/>
      <c r="B145" s="299"/>
      <c r="C145" s="82" t="s">
        <v>39</v>
      </c>
      <c r="D145" s="267" t="str">
        <f>D43</f>
        <v>Jan a Dez 2025</v>
      </c>
      <c r="E145" s="268"/>
      <c r="F145" s="268"/>
      <c r="G145" s="269"/>
      <c r="H145" s="267" t="str">
        <f>H43</f>
        <v>Jan a Dez 2025</v>
      </c>
      <c r="I145" s="268"/>
      <c r="J145" s="269"/>
      <c r="K145" s="84" t="str">
        <f>K43</f>
        <v>Jan a Dez 2025</v>
      </c>
      <c r="L145" s="343" t="s">
        <v>40</v>
      </c>
      <c r="M145" s="344"/>
      <c r="N145" s="383"/>
      <c r="O145" s="383"/>
      <c r="P145" s="384"/>
      <c r="Q145" s="351"/>
    </row>
    <row r="146" spans="1:21" ht="14.25" customHeight="1">
      <c r="A146" s="300"/>
      <c r="B146" s="301"/>
      <c r="C146" s="83" t="s">
        <v>41</v>
      </c>
      <c r="D146" s="294" t="s">
        <v>42</v>
      </c>
      <c r="E146" s="264"/>
      <c r="F146" s="264"/>
      <c r="G146" s="295"/>
      <c r="H146" s="294" t="s">
        <v>43</v>
      </c>
      <c r="I146" s="264"/>
      <c r="J146" s="295"/>
      <c r="K146" s="65" t="s">
        <v>44</v>
      </c>
      <c r="L146" s="314" t="s">
        <v>45</v>
      </c>
      <c r="M146" s="315"/>
      <c r="N146" s="383"/>
      <c r="O146" s="383"/>
      <c r="P146" s="384"/>
      <c r="Q146" s="351"/>
    </row>
    <row r="147" spans="1:21">
      <c r="A147" s="217" t="s">
        <v>87</v>
      </c>
      <c r="B147" s="75"/>
      <c r="C147" s="75">
        <f>C148+C149</f>
        <v>3026117000.6599998</v>
      </c>
      <c r="D147" s="251">
        <f t="shared" ref="D147:K147" si="6">D148+D149</f>
        <v>1122132796.05</v>
      </c>
      <c r="E147" s="252">
        <f t="shared" si="6"/>
        <v>0</v>
      </c>
      <c r="F147" s="252">
        <f t="shared" si="6"/>
        <v>0</v>
      </c>
      <c r="G147" s="253">
        <f t="shared" si="6"/>
        <v>0</v>
      </c>
      <c r="H147" s="251">
        <f>H148+H149</f>
        <v>1083495270.5999999</v>
      </c>
      <c r="I147" s="252">
        <f t="shared" si="6"/>
        <v>0</v>
      </c>
      <c r="J147" s="253">
        <f t="shared" si="6"/>
        <v>0</v>
      </c>
      <c r="K147" s="54">
        <f t="shared" si="6"/>
        <v>1066193063.75</v>
      </c>
      <c r="L147" s="54"/>
      <c r="M147" s="134">
        <f>M148+M149</f>
        <v>38637525.449999928</v>
      </c>
      <c r="N147" s="383"/>
      <c r="O147" s="383"/>
      <c r="P147" s="351"/>
      <c r="Q147" s="351"/>
    </row>
    <row r="148" spans="1:21" ht="14.25" customHeight="1">
      <c r="A148" s="218" t="s">
        <v>88</v>
      </c>
      <c r="B148" s="75"/>
      <c r="C148" s="196">
        <f>220552219</f>
        <v>220552219</v>
      </c>
      <c r="D148" s="309">
        <f>92570961.37</f>
        <v>92570961.370000005</v>
      </c>
      <c r="E148" s="310"/>
      <c r="F148" s="310"/>
      <c r="G148" s="311"/>
      <c r="H148" s="309">
        <f>90745341</f>
        <v>90745341</v>
      </c>
      <c r="I148" s="310"/>
      <c r="J148" s="311"/>
      <c r="K148" s="101">
        <f>86053938.82</f>
        <v>86053938.819999993</v>
      </c>
      <c r="L148" s="173"/>
      <c r="M148" s="174">
        <f>D148-H148</f>
        <v>1825620.3700000048</v>
      </c>
      <c r="N148" s="383"/>
      <c r="O148" s="383"/>
      <c r="P148" s="351"/>
      <c r="Q148" s="351"/>
    </row>
    <row r="149" spans="1:21" ht="14.25" customHeight="1">
      <c r="A149" s="218" t="s">
        <v>89</v>
      </c>
      <c r="B149" s="75"/>
      <c r="C149" s="196">
        <f>2805564781.66</f>
        <v>2805564781.6599998</v>
      </c>
      <c r="D149" s="309">
        <f>1029561834.68</f>
        <v>1029561834.6799999</v>
      </c>
      <c r="E149" s="310"/>
      <c r="F149" s="310"/>
      <c r="G149" s="311"/>
      <c r="H149" s="309">
        <f>992749929.6</f>
        <v>992749929.60000002</v>
      </c>
      <c r="I149" s="310"/>
      <c r="J149" s="320"/>
      <c r="K149" s="102">
        <f>980139124.93</f>
        <v>980139124.92999995</v>
      </c>
      <c r="L149" s="173"/>
      <c r="M149" s="174">
        <f>D149-H149</f>
        <v>36811905.079999924</v>
      </c>
      <c r="N149" s="383"/>
      <c r="O149" s="383"/>
      <c r="P149" s="360"/>
      <c r="Q149" s="360"/>
      <c r="R149" s="11">
        <v>1099584871.6600001</v>
      </c>
      <c r="S149" s="11">
        <v>1080078486.21</v>
      </c>
      <c r="T149" s="17">
        <f>Q149-R149</f>
        <v>-1099584871.6600001</v>
      </c>
    </row>
    <row r="150" spans="1:21">
      <c r="A150" s="219" t="s">
        <v>90</v>
      </c>
      <c r="B150" s="75"/>
      <c r="C150" s="75">
        <f>78500000</f>
        <v>78500000</v>
      </c>
      <c r="D150" s="251">
        <f>23972038.18</f>
        <v>23972038.18</v>
      </c>
      <c r="E150" s="252"/>
      <c r="F150" s="252"/>
      <c r="G150" s="253"/>
      <c r="H150" s="251">
        <f>16089601.06</f>
        <v>16089601.060000001</v>
      </c>
      <c r="I150" s="252"/>
      <c r="J150" s="253"/>
      <c r="K150" s="54">
        <f>13885422.46</f>
        <v>13885422.460000001</v>
      </c>
      <c r="L150" s="173"/>
      <c r="M150" s="174">
        <f>D150-H150</f>
        <v>7882437.1199999992</v>
      </c>
      <c r="N150" s="383"/>
      <c r="O150" s="383"/>
      <c r="P150" s="360"/>
      <c r="Q150" s="385"/>
      <c r="R150" s="212">
        <f>H151</f>
        <v>1099584871.6599998</v>
      </c>
      <c r="S150" s="212">
        <f>K151</f>
        <v>1080078486.21</v>
      </c>
      <c r="T150" s="212">
        <f>M151</f>
        <v>46519962.569999926</v>
      </c>
    </row>
    <row r="151" spans="1:21" ht="15" customHeight="1">
      <c r="A151" s="220" t="s">
        <v>91</v>
      </c>
      <c r="B151" s="79"/>
      <c r="C151" s="94">
        <f>C147+C150</f>
        <v>3104617000.6599998</v>
      </c>
      <c r="D151" s="307">
        <f>D147+D150</f>
        <v>1146104834.23</v>
      </c>
      <c r="E151" s="265">
        <f>E145+E148</f>
        <v>0</v>
      </c>
      <c r="F151" s="265">
        <f>F145+F148</f>
        <v>0</v>
      </c>
      <c r="G151" s="308">
        <f>G145+G148</f>
        <v>0</v>
      </c>
      <c r="H151" s="307">
        <f>H147+H150</f>
        <v>1099584871.6599998</v>
      </c>
      <c r="I151" s="265">
        <f>I145+I148</f>
        <v>0</v>
      </c>
      <c r="J151" s="265">
        <f>J145+J148</f>
        <v>0</v>
      </c>
      <c r="K151" s="95">
        <f>K147+K150</f>
        <v>1080078486.21</v>
      </c>
      <c r="L151" s="95"/>
      <c r="M151" s="57">
        <f>M147+M150</f>
        <v>46519962.569999926</v>
      </c>
      <c r="N151" s="383"/>
      <c r="O151" s="383"/>
      <c r="P151" s="350"/>
      <c r="Q151" s="350"/>
      <c r="R151" s="17">
        <f>R149-R150</f>
        <v>0</v>
      </c>
      <c r="S151" s="17">
        <f>S149-S150</f>
        <v>0</v>
      </c>
      <c r="T151" s="17">
        <f>T149-T150</f>
        <v>-1146104834.23</v>
      </c>
      <c r="U151" s="11"/>
    </row>
    <row r="152" spans="1:21" ht="6" customHeight="1">
      <c r="A152" s="228"/>
      <c r="B152" s="92"/>
      <c r="C152" s="92"/>
      <c r="D152" s="90"/>
      <c r="E152" s="90"/>
      <c r="F152" s="90"/>
      <c r="G152" s="90"/>
      <c r="H152" s="90"/>
      <c r="I152" s="90"/>
      <c r="J152" s="90"/>
      <c r="K152" s="96"/>
      <c r="L152" s="51"/>
      <c r="M152" s="51"/>
      <c r="N152" s="383"/>
      <c r="O152" s="383"/>
      <c r="P152" s="360"/>
      <c r="Q152" s="360"/>
      <c r="R152" s="11"/>
      <c r="S152" s="11"/>
      <c r="T152" s="11"/>
      <c r="U152" s="11"/>
    </row>
    <row r="153" spans="1:21" ht="15" customHeight="1">
      <c r="A153" s="220" t="s">
        <v>92</v>
      </c>
      <c r="B153" s="78"/>
      <c r="C153" s="56">
        <f>C142-C151</f>
        <v>-2588084636.9399996</v>
      </c>
      <c r="D153" s="258">
        <f>M142-D151</f>
        <v>-632027075.44000006</v>
      </c>
      <c r="E153" s="259"/>
      <c r="F153" s="259"/>
      <c r="G153" s="260"/>
      <c r="H153" s="258">
        <f>M142-H151</f>
        <v>-585507112.86999989</v>
      </c>
      <c r="I153" s="259"/>
      <c r="J153" s="260"/>
      <c r="K153" s="56">
        <f>M142-K151</f>
        <v>-566000727.42000008</v>
      </c>
      <c r="L153" s="150"/>
      <c r="M153" s="151"/>
      <c r="N153" s="383"/>
      <c r="O153" s="383"/>
      <c r="P153" s="360"/>
      <c r="Q153" s="360"/>
      <c r="R153" s="11"/>
      <c r="S153" s="11"/>
      <c r="T153" s="11"/>
      <c r="U153" s="11"/>
    </row>
    <row r="154" spans="1:21" ht="15" customHeight="1">
      <c r="A154" s="89"/>
      <c r="B154" s="77"/>
      <c r="C154" s="77"/>
      <c r="D154" s="184"/>
      <c r="E154" s="184"/>
      <c r="F154" s="184"/>
      <c r="G154" s="184"/>
      <c r="H154" s="184"/>
      <c r="I154" s="184"/>
      <c r="J154" s="184"/>
      <c r="K154" s="77"/>
      <c r="L154" s="77"/>
      <c r="M154" s="77"/>
      <c r="N154" s="377"/>
      <c r="O154" s="377"/>
      <c r="P154" s="360"/>
      <c r="Q154" s="360"/>
      <c r="R154" s="11"/>
      <c r="S154" s="11"/>
      <c r="T154" s="11"/>
      <c r="U154" s="11"/>
    </row>
    <row r="155" spans="1:21" ht="15" customHeight="1">
      <c r="A155" s="316" t="s">
        <v>93</v>
      </c>
      <c r="B155" s="346"/>
      <c r="C155" s="316" t="s">
        <v>64</v>
      </c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83"/>
      <c r="O155" s="383"/>
      <c r="P155" s="360"/>
      <c r="Q155" s="360"/>
      <c r="R155" s="11"/>
      <c r="S155" s="11"/>
      <c r="T155" s="11"/>
      <c r="U155" s="11"/>
    </row>
    <row r="156" spans="1:21" ht="15" customHeight="1">
      <c r="A156" s="318"/>
      <c r="B156" s="347"/>
      <c r="C156" s="318"/>
      <c r="D156" s="319"/>
      <c r="E156" s="319"/>
      <c r="F156" s="319"/>
      <c r="G156" s="319"/>
      <c r="H156" s="319"/>
      <c r="I156" s="319"/>
      <c r="J156" s="319"/>
      <c r="K156" s="319"/>
      <c r="L156" s="319"/>
      <c r="M156" s="319"/>
      <c r="N156" s="383"/>
      <c r="O156" s="383"/>
      <c r="P156" s="360"/>
      <c r="Q156" s="360"/>
      <c r="R156" s="11"/>
      <c r="S156" s="11"/>
      <c r="T156" s="11"/>
      <c r="U156" s="11"/>
    </row>
    <row r="157" spans="1:21" ht="15" customHeight="1">
      <c r="A157" s="229" t="s">
        <v>65</v>
      </c>
      <c r="B157" s="185"/>
      <c r="C157" s="186"/>
      <c r="D157" s="105"/>
      <c r="E157" s="105"/>
      <c r="F157" s="105"/>
      <c r="G157" s="105"/>
      <c r="H157" s="105"/>
      <c r="I157" s="105"/>
      <c r="J157" s="105"/>
      <c r="K157" s="76"/>
      <c r="L157" s="76"/>
      <c r="M157" s="160">
        <f>210754571.2</f>
        <v>210754571.19999999</v>
      </c>
      <c r="N157" s="383"/>
      <c r="O157" s="383"/>
      <c r="P157" s="360"/>
      <c r="Q157" s="360"/>
      <c r="R157" s="11"/>
      <c r="S157" s="11"/>
      <c r="T157" s="11"/>
      <c r="U157" s="11"/>
    </row>
    <row r="158" spans="1:21" ht="15" customHeight="1">
      <c r="A158" s="230" t="s">
        <v>66</v>
      </c>
      <c r="B158" s="187"/>
      <c r="C158" s="188"/>
      <c r="D158" s="184"/>
      <c r="E158" s="184"/>
      <c r="F158" s="184"/>
      <c r="G158" s="184"/>
      <c r="H158" s="184"/>
      <c r="I158" s="184"/>
      <c r="J158" s="184"/>
      <c r="K158" s="77"/>
      <c r="L158" s="77"/>
      <c r="M158" s="74">
        <f>717600709.81</f>
        <v>717600709.80999994</v>
      </c>
      <c r="N158" s="383"/>
      <c r="O158" s="383"/>
      <c r="P158" s="360"/>
      <c r="Q158" s="360"/>
      <c r="R158" s="11"/>
      <c r="S158" s="11"/>
      <c r="T158" s="11"/>
      <c r="U158" s="11"/>
    </row>
    <row r="159" spans="1:21" ht="15" customHeight="1">
      <c r="A159" s="231" t="s">
        <v>67</v>
      </c>
      <c r="B159" s="78"/>
      <c r="C159" s="56"/>
      <c r="D159" s="189"/>
      <c r="E159" s="189"/>
      <c r="F159" s="189"/>
      <c r="G159" s="189"/>
      <c r="H159" s="189"/>
      <c r="I159" s="189"/>
      <c r="J159" s="189"/>
      <c r="K159" s="190"/>
      <c r="L159" s="190"/>
      <c r="M159" s="86">
        <f>286709832.51</f>
        <v>286709832.50999999</v>
      </c>
      <c r="N159" s="383"/>
      <c r="O159" s="383"/>
      <c r="P159" s="352"/>
      <c r="Q159" s="353"/>
      <c r="R159" s="11"/>
      <c r="S159" s="11"/>
      <c r="T159" s="11"/>
      <c r="U159" s="11"/>
    </row>
    <row r="160" spans="1:21" ht="6" customHeight="1">
      <c r="A160" s="89"/>
      <c r="B160" s="77"/>
      <c r="C160" s="77"/>
      <c r="D160" s="90"/>
      <c r="E160" s="90"/>
      <c r="F160" s="90"/>
      <c r="G160" s="90"/>
      <c r="H160" s="90"/>
      <c r="I160" s="90"/>
      <c r="J160" s="90"/>
      <c r="K160" s="91"/>
      <c r="L160" s="51"/>
      <c r="M160" s="51"/>
      <c r="N160" s="51"/>
      <c r="O160" s="51"/>
    </row>
    <row r="161" spans="1:19" ht="15" customHeight="1">
      <c r="A161" s="254" t="s">
        <v>94</v>
      </c>
      <c r="B161" s="254"/>
      <c r="C161" s="254"/>
      <c r="D161" s="254"/>
      <c r="E161" s="254"/>
      <c r="F161" s="254"/>
      <c r="G161" s="254"/>
      <c r="H161" s="254"/>
      <c r="I161" s="254"/>
      <c r="J161" s="254"/>
      <c r="K161" s="254"/>
      <c r="L161" s="254"/>
      <c r="M161" s="254"/>
      <c r="N161" s="51"/>
      <c r="O161" s="51"/>
    </row>
    <row r="162" spans="1:19" ht="15" customHeight="1">
      <c r="A162" s="283" t="s">
        <v>95</v>
      </c>
      <c r="B162" s="285"/>
      <c r="C162" s="290" t="s">
        <v>8</v>
      </c>
      <c r="D162" s="292" t="s">
        <v>9</v>
      </c>
      <c r="E162" s="293"/>
      <c r="F162" s="293"/>
      <c r="G162" s="293"/>
      <c r="H162" s="293"/>
      <c r="I162" s="293"/>
      <c r="J162" s="293"/>
      <c r="K162" s="293"/>
      <c r="L162" s="293"/>
      <c r="M162" s="293"/>
      <c r="N162" s="51"/>
      <c r="O162" s="51"/>
    </row>
    <row r="163" spans="1:19" ht="15" customHeight="1">
      <c r="A163" s="286"/>
      <c r="B163" s="287"/>
      <c r="C163" s="291"/>
      <c r="D163" s="305" t="str">
        <f>D16</f>
        <v>Jan a Dez 2025</v>
      </c>
      <c r="E163" s="306"/>
      <c r="F163" s="306"/>
      <c r="G163" s="306"/>
      <c r="H163" s="306"/>
      <c r="I163" s="306"/>
      <c r="J163" s="306"/>
      <c r="K163" s="306"/>
      <c r="L163" s="306"/>
      <c r="M163" s="306"/>
      <c r="N163" s="51"/>
      <c r="O163" s="51"/>
    </row>
    <row r="164" spans="1:19" ht="15" customHeight="1">
      <c r="A164" s="288"/>
      <c r="B164" s="289"/>
      <c r="C164" s="44" t="s">
        <v>10</v>
      </c>
      <c r="D164" s="304" t="s">
        <v>11</v>
      </c>
      <c r="E164" s="288"/>
      <c r="F164" s="288"/>
      <c r="G164" s="288"/>
      <c r="H164" s="288"/>
      <c r="I164" s="288"/>
      <c r="J164" s="288"/>
      <c r="K164" s="288"/>
      <c r="L164" s="288"/>
      <c r="M164" s="288"/>
      <c r="N164" s="51"/>
      <c r="O164" s="51"/>
    </row>
    <row r="165" spans="1:19" ht="15" customHeight="1">
      <c r="A165" s="217" t="s">
        <v>96</v>
      </c>
      <c r="B165" s="70"/>
      <c r="C165" s="93">
        <v>0</v>
      </c>
      <c r="D165" s="241"/>
      <c r="E165" s="242"/>
      <c r="F165" s="242"/>
      <c r="G165" s="242"/>
      <c r="H165" s="242"/>
      <c r="I165" s="55"/>
      <c r="J165" s="55"/>
      <c r="K165" s="55"/>
      <c r="L165" s="139"/>
      <c r="M165" s="106">
        <v>0</v>
      </c>
      <c r="N165" s="51"/>
      <c r="O165" s="51"/>
    </row>
    <row r="166" spans="1:19" ht="15" customHeight="1">
      <c r="A166" s="217" t="s">
        <v>97</v>
      </c>
      <c r="B166" s="70"/>
      <c r="C166" s="93">
        <v>0</v>
      </c>
      <c r="D166" s="241"/>
      <c r="E166" s="242"/>
      <c r="F166" s="242"/>
      <c r="G166" s="242"/>
      <c r="H166" s="242"/>
      <c r="I166" s="55"/>
      <c r="J166" s="55"/>
      <c r="K166" s="55"/>
      <c r="L166" s="137"/>
      <c r="M166" s="106">
        <v>0</v>
      </c>
      <c r="N166" s="51"/>
      <c r="O166" s="51"/>
    </row>
    <row r="167" spans="1:19" ht="15" customHeight="1">
      <c r="A167" s="216" t="s">
        <v>98</v>
      </c>
      <c r="B167" s="52"/>
      <c r="C167" s="94">
        <f>C165+C166</f>
        <v>0</v>
      </c>
      <c r="D167" s="259"/>
      <c r="E167" s="259"/>
      <c r="F167" s="259"/>
      <c r="G167" s="259"/>
      <c r="H167" s="259"/>
      <c r="I167" s="57"/>
      <c r="J167" s="57"/>
      <c r="K167" s="57"/>
      <c r="L167" s="138"/>
      <c r="M167" s="57">
        <f>M165+M166</f>
        <v>0</v>
      </c>
      <c r="N167" s="51"/>
      <c r="O167" s="51"/>
    </row>
    <row r="168" spans="1:19" ht="6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3"/>
      <c r="L168" s="51"/>
      <c r="M168" s="51"/>
      <c r="N168" s="51"/>
      <c r="O168" s="51"/>
    </row>
    <row r="169" spans="1:19" ht="28.5" customHeight="1">
      <c r="A169" s="296" t="s">
        <v>99</v>
      </c>
      <c r="B169" s="297"/>
      <c r="C169" s="81" t="s">
        <v>34</v>
      </c>
      <c r="D169" s="273" t="s">
        <v>35</v>
      </c>
      <c r="E169" s="263"/>
      <c r="F169" s="263"/>
      <c r="G169" s="274"/>
      <c r="H169" s="273" t="s">
        <v>36</v>
      </c>
      <c r="I169" s="263"/>
      <c r="J169" s="274"/>
      <c r="K169" s="64" t="s">
        <v>37</v>
      </c>
      <c r="L169" s="239" t="s">
        <v>38</v>
      </c>
      <c r="M169" s="240"/>
      <c r="N169" s="51"/>
      <c r="O169" s="51"/>
    </row>
    <row r="170" spans="1:19">
      <c r="A170" s="298"/>
      <c r="B170" s="299"/>
      <c r="C170" s="82" t="s">
        <v>39</v>
      </c>
      <c r="D170" s="267" t="str">
        <f>D43</f>
        <v>Jan a Dez 2025</v>
      </c>
      <c r="E170" s="268"/>
      <c r="F170" s="268"/>
      <c r="G170" s="269"/>
      <c r="H170" s="267" t="str">
        <f>H43</f>
        <v>Jan a Dez 2025</v>
      </c>
      <c r="I170" s="268"/>
      <c r="J170" s="269"/>
      <c r="K170" s="84" t="str">
        <f>K43</f>
        <v>Jan a Dez 2025</v>
      </c>
      <c r="L170" s="343" t="s">
        <v>40</v>
      </c>
      <c r="M170" s="344"/>
      <c r="N170" s="51"/>
      <c r="O170" s="51"/>
    </row>
    <row r="171" spans="1:19" ht="15" customHeight="1">
      <c r="A171" s="300"/>
      <c r="B171" s="301"/>
      <c r="C171" s="83" t="s">
        <v>41</v>
      </c>
      <c r="D171" s="294" t="s">
        <v>42</v>
      </c>
      <c r="E171" s="264"/>
      <c r="F171" s="264"/>
      <c r="G171" s="295"/>
      <c r="H171" s="294" t="s">
        <v>43</v>
      </c>
      <c r="I171" s="264"/>
      <c r="J171" s="295"/>
      <c r="K171" s="65" t="s">
        <v>44</v>
      </c>
      <c r="L171" s="314" t="s">
        <v>45</v>
      </c>
      <c r="M171" s="315"/>
      <c r="N171" s="51"/>
      <c r="O171" s="51"/>
    </row>
    <row r="172" spans="1:19" ht="15" customHeight="1">
      <c r="A172" s="219" t="s">
        <v>100</v>
      </c>
      <c r="B172" s="196"/>
      <c r="C172" s="196">
        <f>1746033188</f>
        <v>1746033188</v>
      </c>
      <c r="D172" s="309">
        <f>1605990710.33</f>
        <v>1605990710.3299999</v>
      </c>
      <c r="E172" s="310"/>
      <c r="F172" s="310"/>
      <c r="G172" s="311"/>
      <c r="H172" s="309">
        <f>1605990710.33</f>
        <v>1605990710.3299999</v>
      </c>
      <c r="I172" s="310"/>
      <c r="J172" s="311"/>
      <c r="K172" s="197">
        <f>1605978093.69</f>
        <v>1605978093.6900001</v>
      </c>
      <c r="L172" s="51"/>
      <c r="M172" s="111">
        <f>D172-H172</f>
        <v>0</v>
      </c>
      <c r="N172" s="51"/>
      <c r="O172" s="51"/>
    </row>
    <row r="173" spans="1:19" ht="15" customHeight="1">
      <c r="A173" s="219" t="s">
        <v>101</v>
      </c>
      <c r="B173" s="196"/>
      <c r="C173" s="198">
        <f>19748912</f>
        <v>19748912</v>
      </c>
      <c r="D173" s="309">
        <f>18612801.76</f>
        <v>18612801.760000002</v>
      </c>
      <c r="E173" s="310"/>
      <c r="F173" s="310"/>
      <c r="G173" s="311"/>
      <c r="H173" s="309">
        <f>18612801.76</f>
        <v>18612801.760000002</v>
      </c>
      <c r="I173" s="310"/>
      <c r="J173" s="311"/>
      <c r="K173" s="199">
        <f>18608674.67</f>
        <v>18608674.670000002</v>
      </c>
      <c r="L173" s="51"/>
      <c r="M173" s="111">
        <f>D173-H173</f>
        <v>0</v>
      </c>
      <c r="N173" s="51"/>
      <c r="O173" s="51"/>
    </row>
    <row r="174" spans="1:19" ht="15" customHeight="1">
      <c r="A174" s="219" t="s">
        <v>49</v>
      </c>
      <c r="B174" s="196"/>
      <c r="C174" s="198">
        <f>504415871.83</f>
        <v>504415871.82999998</v>
      </c>
      <c r="D174" s="329">
        <f>1795465.03</f>
        <v>1795465.03</v>
      </c>
      <c r="E174" s="330"/>
      <c r="F174" s="330"/>
      <c r="G174" s="331"/>
      <c r="H174" s="329">
        <f>1795465.03</f>
        <v>1795465.03</v>
      </c>
      <c r="I174" s="330"/>
      <c r="J174" s="331"/>
      <c r="K174" s="200">
        <f>1795465.03</f>
        <v>1795465.03</v>
      </c>
      <c r="L174" s="51"/>
      <c r="M174" s="111">
        <f>D174-H174</f>
        <v>0</v>
      </c>
      <c r="N174" s="51"/>
      <c r="O174" s="51"/>
    </row>
    <row r="175" spans="1:19" ht="15" customHeight="1">
      <c r="A175" s="220" t="s">
        <v>102</v>
      </c>
      <c r="B175" s="201"/>
      <c r="C175" s="202">
        <f>C172+C173+C174</f>
        <v>2270197971.8299999</v>
      </c>
      <c r="D175" s="332">
        <f>D172+D173+D174</f>
        <v>1626398977.1199999</v>
      </c>
      <c r="E175" s="333">
        <f t="shared" ref="E175:J175" si="7">E172+E173+E174</f>
        <v>0</v>
      </c>
      <c r="F175" s="333">
        <f t="shared" si="7"/>
        <v>0</v>
      </c>
      <c r="G175" s="334">
        <f t="shared" si="7"/>
        <v>0</v>
      </c>
      <c r="H175" s="332">
        <f>H172+H173+H174</f>
        <v>1626398977.1199999</v>
      </c>
      <c r="I175" s="333">
        <f t="shared" si="7"/>
        <v>0</v>
      </c>
      <c r="J175" s="334">
        <f t="shared" si="7"/>
        <v>0</v>
      </c>
      <c r="K175" s="203">
        <f>K172+K173+K174</f>
        <v>1626382233.3900001</v>
      </c>
      <c r="L175" s="141"/>
      <c r="M175" s="140">
        <f>M172+M173+M174</f>
        <v>0</v>
      </c>
      <c r="O175" s="108"/>
      <c r="P175" s="11"/>
      <c r="Q175" s="11"/>
      <c r="R175" s="11">
        <v>1626382233.3900001</v>
      </c>
      <c r="S175" s="17">
        <f>P175-Q175</f>
        <v>0</v>
      </c>
    </row>
    <row r="176" spans="1:19" ht="15" customHeight="1">
      <c r="A176" s="322"/>
      <c r="B176" s="323"/>
      <c r="C176" s="324"/>
      <c r="D176" s="324"/>
      <c r="E176" s="324"/>
      <c r="F176" s="324"/>
      <c r="G176" s="324"/>
      <c r="H176" s="324"/>
      <c r="I176" s="324"/>
      <c r="J176" s="324"/>
      <c r="K176" s="324"/>
      <c r="L176" s="111"/>
      <c r="M176" s="111"/>
      <c r="O176" s="215"/>
      <c r="P176" s="17"/>
      <c r="Q176" s="17"/>
      <c r="R176" s="17">
        <f>K175-R175</f>
        <v>0</v>
      </c>
      <c r="S176" s="17">
        <f>M175-S175</f>
        <v>0</v>
      </c>
    </row>
    <row r="177" spans="1:19" ht="15" customHeight="1">
      <c r="A177" s="220" t="s">
        <v>103</v>
      </c>
      <c r="B177" s="204"/>
      <c r="C177" s="205">
        <f>C167-C175</f>
        <v>-2270197971.8299999</v>
      </c>
      <c r="D177" s="325">
        <f>M167-D175</f>
        <v>-1626398977.1199999</v>
      </c>
      <c r="E177" s="326"/>
      <c r="F177" s="326"/>
      <c r="G177" s="327"/>
      <c r="H177" s="325">
        <f>M167-H175</f>
        <v>-1626398977.1199999</v>
      </c>
      <c r="I177" s="326"/>
      <c r="J177" s="327"/>
      <c r="K177" s="206">
        <f>M167-K175</f>
        <v>-1626382233.3900001</v>
      </c>
      <c r="L177" s="150"/>
      <c r="M177" s="151"/>
      <c r="N177" s="51"/>
      <c r="O177" s="214"/>
      <c r="P177" s="53"/>
      <c r="Q177" s="53"/>
      <c r="R177" s="53"/>
      <c r="S177" s="53"/>
    </row>
    <row r="178" spans="1:19" ht="6" customHeight="1">
      <c r="A178" s="89"/>
      <c r="B178" s="77"/>
      <c r="C178" s="77"/>
      <c r="D178" s="90"/>
      <c r="E178" s="90"/>
      <c r="F178" s="90"/>
      <c r="G178" s="90"/>
      <c r="H178" s="90"/>
      <c r="I178" s="90"/>
      <c r="J178" s="90"/>
      <c r="K178" s="91"/>
      <c r="L178" s="51"/>
      <c r="M178" s="51"/>
      <c r="N178" s="51"/>
      <c r="O178" s="51"/>
    </row>
    <row r="179" spans="1:19" ht="15" customHeight="1">
      <c r="A179" s="312" t="s">
        <v>104</v>
      </c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51"/>
      <c r="O179" s="51"/>
    </row>
    <row r="180" spans="1:19" ht="15" customHeight="1">
      <c r="A180" s="283" t="s">
        <v>105</v>
      </c>
      <c r="B180" s="285"/>
      <c r="C180" s="290" t="s">
        <v>8</v>
      </c>
      <c r="D180" s="292" t="s">
        <v>9</v>
      </c>
      <c r="E180" s="293"/>
      <c r="F180" s="293"/>
      <c r="G180" s="293"/>
      <c r="H180" s="293"/>
      <c r="I180" s="293"/>
      <c r="J180" s="293"/>
      <c r="K180" s="293"/>
      <c r="L180" s="293"/>
      <c r="M180" s="293"/>
      <c r="N180" s="51"/>
      <c r="O180" s="51"/>
    </row>
    <row r="181" spans="1:19" ht="15" customHeight="1">
      <c r="A181" s="286"/>
      <c r="B181" s="287"/>
      <c r="C181" s="291"/>
      <c r="D181" s="305" t="str">
        <f>D16</f>
        <v>Jan a Dez 2025</v>
      </c>
      <c r="E181" s="306"/>
      <c r="F181" s="306"/>
      <c r="G181" s="306"/>
      <c r="H181" s="306"/>
      <c r="I181" s="306"/>
      <c r="J181" s="306"/>
      <c r="K181" s="306"/>
      <c r="L181" s="306"/>
      <c r="M181" s="306"/>
      <c r="N181" s="51"/>
      <c r="O181" s="51"/>
    </row>
    <row r="182" spans="1:19" ht="15" customHeight="1">
      <c r="A182" s="288"/>
      <c r="B182" s="289"/>
      <c r="C182" s="44" t="s">
        <v>10</v>
      </c>
      <c r="D182" s="304" t="s">
        <v>11</v>
      </c>
      <c r="E182" s="288"/>
      <c r="F182" s="286"/>
      <c r="G182" s="288"/>
      <c r="H182" s="288"/>
      <c r="I182" s="288"/>
      <c r="J182" s="288"/>
      <c r="K182" s="288"/>
      <c r="L182" s="288"/>
      <c r="M182" s="288"/>
      <c r="N182" s="51"/>
      <c r="O182" s="51"/>
    </row>
    <row r="183" spans="1:19" ht="15" customHeight="1">
      <c r="A183" s="217" t="s">
        <v>106</v>
      </c>
      <c r="B183" s="70"/>
      <c r="C183" s="161">
        <f>927414886.47</f>
        <v>927414886.47000003</v>
      </c>
      <c r="D183" s="160"/>
      <c r="E183" s="160"/>
      <c r="F183" s="160"/>
      <c r="G183" s="74"/>
      <c r="H183" s="74"/>
      <c r="I183" s="55"/>
      <c r="J183" s="55"/>
      <c r="K183" s="55"/>
      <c r="L183" s="51"/>
      <c r="M183" s="148">
        <f>936803269.11</f>
        <v>936803269.11000001</v>
      </c>
      <c r="N183" s="51"/>
      <c r="O183" s="51"/>
    </row>
    <row r="184" spans="1:19" ht="15" customHeight="1">
      <c r="A184" s="217" t="s">
        <v>107</v>
      </c>
      <c r="B184" s="70"/>
      <c r="C184" s="162">
        <f>644382468.88</f>
        <v>644382468.88</v>
      </c>
      <c r="D184" s="74"/>
      <c r="E184" s="74"/>
      <c r="F184" s="60"/>
      <c r="G184" s="60"/>
      <c r="H184" s="60"/>
      <c r="I184" s="55"/>
      <c r="J184" s="55"/>
      <c r="K184" s="55"/>
      <c r="L184" s="51"/>
      <c r="M184" s="148">
        <f>666173575.16</f>
        <v>666173575.15999997</v>
      </c>
      <c r="N184" s="51"/>
      <c r="O184" s="51"/>
    </row>
    <row r="185" spans="1:19" ht="15" customHeight="1">
      <c r="A185" s="217" t="s">
        <v>108</v>
      </c>
      <c r="B185" s="70"/>
      <c r="C185" s="162">
        <f>29936280.72</f>
        <v>29936280.719999999</v>
      </c>
      <c r="D185" s="74"/>
      <c r="E185" s="74"/>
      <c r="F185" s="60"/>
      <c r="G185" s="60"/>
      <c r="H185" s="60"/>
      <c r="I185" s="55"/>
      <c r="J185" s="55"/>
      <c r="K185" s="55"/>
      <c r="L185" s="51"/>
      <c r="M185" s="148">
        <f>32329667.61</f>
        <v>32329667.609999999</v>
      </c>
      <c r="N185" s="51"/>
      <c r="O185" s="51"/>
    </row>
    <row r="186" spans="1:19" ht="15" customHeight="1">
      <c r="A186" s="217" t="s">
        <v>109</v>
      </c>
      <c r="B186" s="70"/>
      <c r="C186" s="163">
        <f>48841228.65</f>
        <v>48841228.649999999</v>
      </c>
      <c r="D186" s="86"/>
      <c r="E186" s="86"/>
      <c r="F186" s="74"/>
      <c r="G186" s="74"/>
      <c r="H186" s="74"/>
      <c r="I186" s="55"/>
      <c r="J186" s="55"/>
      <c r="K186" s="55"/>
      <c r="L186" s="51"/>
      <c r="M186" s="148">
        <f>47163144.19</f>
        <v>47163144.189999998</v>
      </c>
      <c r="N186" s="51"/>
      <c r="O186" s="51"/>
    </row>
    <row r="187" spans="1:19" ht="15" customHeight="1">
      <c r="A187" s="216" t="s">
        <v>110</v>
      </c>
      <c r="B187" s="52"/>
      <c r="C187" s="94">
        <f>C183+C184+C185+C186</f>
        <v>1650574864.72</v>
      </c>
      <c r="D187" s="92"/>
      <c r="E187" s="92"/>
      <c r="F187" s="92"/>
      <c r="G187" s="92"/>
      <c r="H187" s="92"/>
      <c r="I187" s="57"/>
      <c r="J187" s="57"/>
      <c r="K187" s="57"/>
      <c r="L187" s="138"/>
      <c r="M187" s="57">
        <f>M183+M184+M185+M186</f>
        <v>1682469656.0699999</v>
      </c>
      <c r="N187" s="51"/>
      <c r="O187" s="51"/>
      <c r="P187" s="11"/>
      <c r="Q187" s="11"/>
    </row>
    <row r="188" spans="1:19" ht="6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3"/>
      <c r="L188" s="51"/>
      <c r="M188" s="51"/>
      <c r="N188" s="51"/>
      <c r="O188" s="51"/>
      <c r="P188" s="11"/>
      <c r="Q188" s="11"/>
    </row>
    <row r="189" spans="1:19" ht="28.5" customHeight="1">
      <c r="A189" s="296" t="s">
        <v>111</v>
      </c>
      <c r="B189" s="297"/>
      <c r="C189" s="81" t="s">
        <v>34</v>
      </c>
      <c r="D189" s="273" t="s">
        <v>35</v>
      </c>
      <c r="E189" s="263"/>
      <c r="F189" s="263"/>
      <c r="G189" s="274"/>
      <c r="H189" s="273" t="s">
        <v>36</v>
      </c>
      <c r="I189" s="263"/>
      <c r="J189" s="274"/>
      <c r="K189" s="64" t="s">
        <v>37</v>
      </c>
      <c r="L189" s="337" t="s">
        <v>38</v>
      </c>
      <c r="M189" s="338"/>
      <c r="N189" s="51"/>
      <c r="O189" s="51"/>
      <c r="P189" s="11"/>
      <c r="Q189" s="11"/>
    </row>
    <row r="190" spans="1:19" ht="15" customHeight="1">
      <c r="A190" s="298"/>
      <c r="B190" s="299"/>
      <c r="C190" s="82" t="s">
        <v>39</v>
      </c>
      <c r="D190" s="267" t="str">
        <f>D43</f>
        <v>Jan a Dez 2025</v>
      </c>
      <c r="E190" s="268"/>
      <c r="F190" s="268"/>
      <c r="G190" s="269"/>
      <c r="H190" s="267" t="str">
        <f>H43</f>
        <v>Jan a Dez 2025</v>
      </c>
      <c r="I190" s="268"/>
      <c r="J190" s="269"/>
      <c r="K190" s="84" t="str">
        <f>K43</f>
        <v>Jan a Dez 2025</v>
      </c>
      <c r="L190" s="339" t="s">
        <v>40</v>
      </c>
      <c r="M190" s="340"/>
      <c r="N190" s="51"/>
      <c r="O190" s="51"/>
    </row>
    <row r="191" spans="1:19" ht="15" customHeight="1">
      <c r="A191" s="300"/>
      <c r="B191" s="301"/>
      <c r="C191" s="83" t="s">
        <v>41</v>
      </c>
      <c r="D191" s="294" t="s">
        <v>42</v>
      </c>
      <c r="E191" s="264"/>
      <c r="F191" s="264"/>
      <c r="G191" s="295"/>
      <c r="H191" s="294" t="s">
        <v>43</v>
      </c>
      <c r="I191" s="264"/>
      <c r="J191" s="295"/>
      <c r="K191" s="65" t="s">
        <v>44</v>
      </c>
      <c r="L191" s="341" t="s">
        <v>45</v>
      </c>
      <c r="M191" s="342"/>
      <c r="N191" s="51"/>
      <c r="O191" s="235"/>
    </row>
    <row r="192" spans="1:19" ht="15" customHeight="1">
      <c r="A192" s="219" t="s">
        <v>112</v>
      </c>
      <c r="B192" s="196"/>
      <c r="C192" s="75">
        <f>7650284762-757845052.42</f>
        <v>6892439709.5799999</v>
      </c>
      <c r="D192" s="251">
        <f>6747331681.81</f>
        <v>6747331681.8100004</v>
      </c>
      <c r="E192" s="252"/>
      <c r="F192" s="252"/>
      <c r="G192" s="253"/>
      <c r="H192" s="251">
        <f>6747331681.81</f>
        <v>6747331681.8100004</v>
      </c>
      <c r="I192" s="252"/>
      <c r="J192" s="253"/>
      <c r="K192" s="54">
        <f>6745920554.24</f>
        <v>6745920554.2399998</v>
      </c>
      <c r="L192" s="142"/>
      <c r="M192" s="111">
        <f>D192-H192</f>
        <v>0</v>
      </c>
      <c r="N192" s="51"/>
      <c r="O192" s="51"/>
    </row>
    <row r="193" spans="1:20" ht="15" customHeight="1">
      <c r="A193" s="219" t="s">
        <v>101</v>
      </c>
      <c r="B193" s="196"/>
      <c r="C193" s="74">
        <f>1783992720</f>
        <v>1783992720</v>
      </c>
      <c r="D193" s="251">
        <f>1672505832.51</f>
        <v>1672505832.51</v>
      </c>
      <c r="E193" s="252"/>
      <c r="F193" s="252"/>
      <c r="G193" s="253"/>
      <c r="H193" s="251">
        <f>1672505832.51</f>
        <v>1672505832.51</v>
      </c>
      <c r="I193" s="252"/>
      <c r="J193" s="253"/>
      <c r="K193" s="54">
        <f>1671044114.9</f>
        <v>1671044114.9000001</v>
      </c>
      <c r="L193" s="143"/>
      <c r="M193" s="111">
        <f>D193-H193</f>
        <v>0</v>
      </c>
      <c r="N193" s="51"/>
      <c r="O193" s="51"/>
    </row>
    <row r="194" spans="1:20" ht="15" customHeight="1">
      <c r="A194" s="219" t="s">
        <v>113</v>
      </c>
      <c r="B194" s="196"/>
      <c r="C194" s="74">
        <f>194970623.97</f>
        <v>194970623.97</v>
      </c>
      <c r="D194" s="255">
        <f>194970623.97</f>
        <v>194970623.97</v>
      </c>
      <c r="E194" s="256"/>
      <c r="F194" s="256"/>
      <c r="G194" s="257"/>
      <c r="H194" s="255">
        <f>194970623.97</f>
        <v>194970623.97</v>
      </c>
      <c r="I194" s="256"/>
      <c r="J194" s="257"/>
      <c r="K194" s="54">
        <f>191768452.09</f>
        <v>191768452.09</v>
      </c>
      <c r="L194" s="143"/>
      <c r="M194" s="111">
        <f>D194-H194</f>
        <v>0</v>
      </c>
      <c r="N194" s="51"/>
      <c r="O194" s="51"/>
    </row>
    <row r="195" spans="1:20" ht="15" customHeight="1">
      <c r="A195" s="220" t="s">
        <v>114</v>
      </c>
      <c r="B195" s="201"/>
      <c r="C195" s="76">
        <f t="shared" ref="C195:K195" si="8">C192+C193+C194</f>
        <v>8871403053.5499992</v>
      </c>
      <c r="D195" s="307">
        <f t="shared" si="8"/>
        <v>8614808138.2900009</v>
      </c>
      <c r="E195" s="265">
        <f t="shared" si="8"/>
        <v>0</v>
      </c>
      <c r="F195" s="265">
        <f t="shared" si="8"/>
        <v>0</v>
      </c>
      <c r="G195" s="308">
        <f t="shared" si="8"/>
        <v>0</v>
      </c>
      <c r="H195" s="307">
        <f t="shared" si="8"/>
        <v>8614808138.2900009</v>
      </c>
      <c r="I195" s="265">
        <f t="shared" si="8"/>
        <v>0</v>
      </c>
      <c r="J195" s="308">
        <f t="shared" si="8"/>
        <v>0</v>
      </c>
      <c r="K195" s="99">
        <f t="shared" si="8"/>
        <v>8608733121.2299995</v>
      </c>
      <c r="L195" s="141"/>
      <c r="M195" s="149">
        <f>M192+M193+M194</f>
        <v>0</v>
      </c>
      <c r="O195" s="108"/>
      <c r="P195" s="11"/>
      <c r="Q195" s="11"/>
      <c r="R195" s="11">
        <v>8608733121.2299995</v>
      </c>
      <c r="S195" s="17">
        <f>P195-Q195</f>
        <v>0</v>
      </c>
      <c r="T195" s="213" t="s">
        <v>115</v>
      </c>
    </row>
    <row r="196" spans="1:20" ht="6" customHeight="1">
      <c r="A196" s="221"/>
      <c r="B196" s="232"/>
      <c r="C196" s="92"/>
      <c r="D196" s="92"/>
      <c r="E196" s="92"/>
      <c r="F196" s="92"/>
      <c r="G196" s="92"/>
      <c r="H196" s="92"/>
      <c r="I196" s="92"/>
      <c r="J196" s="92"/>
      <c r="K196" s="92"/>
      <c r="L196" s="108"/>
      <c r="M196" s="108"/>
      <c r="O196" s="108"/>
      <c r="P196" s="11"/>
      <c r="Q196" s="11"/>
      <c r="R196" s="11"/>
    </row>
    <row r="197" spans="1:20" ht="15" customHeight="1">
      <c r="A197" s="220" t="s">
        <v>116</v>
      </c>
      <c r="B197" s="204"/>
      <c r="C197" s="56">
        <f>C187-C195</f>
        <v>-7220828188.829999</v>
      </c>
      <c r="D197" s="258">
        <f>M187-D195</f>
        <v>-6932338482.2200012</v>
      </c>
      <c r="E197" s="259"/>
      <c r="F197" s="259"/>
      <c r="G197" s="260"/>
      <c r="H197" s="258">
        <f>M187-H195</f>
        <v>-6932338482.2200012</v>
      </c>
      <c r="I197" s="259"/>
      <c r="J197" s="260"/>
      <c r="K197" s="56">
        <f>M187-K195</f>
        <v>-6926263465.1599998</v>
      </c>
      <c r="L197" s="150"/>
      <c r="M197" s="151"/>
      <c r="O197" s="108"/>
      <c r="P197" s="11"/>
      <c r="Q197" s="11"/>
      <c r="R197" s="11">
        <f>K195-R195</f>
        <v>0</v>
      </c>
      <c r="S197" s="17">
        <f>M195-S195</f>
        <v>0</v>
      </c>
    </row>
    <row r="198" spans="1:20">
      <c r="A198" s="26" t="s">
        <v>117</v>
      </c>
      <c r="B198" s="43"/>
      <c r="C198" s="26"/>
      <c r="D198" s="26"/>
      <c r="E198" s="26"/>
      <c r="F198" s="26"/>
      <c r="G198" s="26"/>
      <c r="H198" s="26"/>
      <c r="I198" s="26"/>
      <c r="J198" s="26"/>
      <c r="K198" s="25"/>
      <c r="L198" s="109"/>
      <c r="M198" s="25" t="s">
        <v>118</v>
      </c>
      <c r="N198" s="109"/>
      <c r="O198" s="109"/>
      <c r="P198" s="11"/>
      <c r="Q198" s="11"/>
      <c r="R198" s="11"/>
    </row>
    <row r="199" spans="1:20" ht="30" customHeight="1">
      <c r="A199" s="335" t="s">
        <v>119</v>
      </c>
      <c r="B199" s="335"/>
      <c r="C199" s="335"/>
      <c r="D199" s="335"/>
      <c r="E199" s="335"/>
      <c r="F199" s="335"/>
      <c r="G199" s="335"/>
      <c r="H199" s="335"/>
      <c r="I199" s="335"/>
      <c r="J199" s="335"/>
      <c r="K199" s="335"/>
      <c r="L199" s="335"/>
      <c r="M199" s="335"/>
      <c r="N199" s="109"/>
      <c r="O199" s="109"/>
      <c r="P199" s="11"/>
      <c r="Q199" s="11"/>
      <c r="R199" s="11"/>
    </row>
    <row r="200" spans="1:20" ht="14.25" customHeight="1">
      <c r="A200" s="335" t="s">
        <v>120</v>
      </c>
      <c r="B200" s="335"/>
      <c r="C200" s="335"/>
      <c r="D200" s="335"/>
      <c r="E200" s="335"/>
      <c r="F200" s="335"/>
      <c r="G200" s="335"/>
      <c r="H200" s="335"/>
      <c r="I200" s="335"/>
      <c r="J200" s="335"/>
      <c r="K200" s="335"/>
    </row>
    <row r="201" spans="1:20">
      <c r="A201" s="335"/>
      <c r="B201" s="335"/>
      <c r="C201" s="335"/>
      <c r="D201" s="335"/>
      <c r="E201" s="335"/>
      <c r="F201" s="335"/>
      <c r="G201" s="335"/>
      <c r="H201" s="335"/>
      <c r="I201" s="335"/>
      <c r="J201" s="335"/>
      <c r="K201" s="335"/>
    </row>
    <row r="202" spans="1:20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3"/>
    </row>
    <row r="203" spans="1:20">
      <c r="A203" s="26"/>
      <c r="B203" s="26"/>
      <c r="C203" s="58"/>
      <c r="D203" s="26"/>
      <c r="E203" s="26"/>
      <c r="F203" s="26"/>
      <c r="G203" s="26"/>
      <c r="H203" s="26"/>
      <c r="I203" s="26"/>
      <c r="J203" s="26"/>
      <c r="K203" s="23"/>
    </row>
    <row r="204" spans="1:20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3"/>
    </row>
    <row r="205" spans="1:20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3"/>
    </row>
    <row r="206" spans="1:20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3"/>
    </row>
    <row r="207" spans="1:20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3"/>
    </row>
    <row r="208" spans="1:20" ht="15" customHeight="1">
      <c r="A208" s="238" t="s">
        <v>121</v>
      </c>
      <c r="B208" s="238"/>
      <c r="C208" s="238"/>
      <c r="D208" s="238" t="s">
        <v>122</v>
      </c>
      <c r="E208" s="238"/>
      <c r="F208" s="238"/>
      <c r="G208" s="238"/>
      <c r="H208" s="238"/>
      <c r="I208" s="238"/>
      <c r="J208" s="147"/>
      <c r="K208" s="336" t="s">
        <v>123</v>
      </c>
      <c r="L208" s="336"/>
      <c r="M208" s="336"/>
    </row>
    <row r="209" spans="1:13" ht="15" customHeight="1">
      <c r="A209" s="238" t="s">
        <v>124</v>
      </c>
      <c r="B209" s="238"/>
      <c r="C209" s="238"/>
      <c r="D209" s="238" t="s">
        <v>125</v>
      </c>
      <c r="E209" s="238"/>
      <c r="F209" s="238"/>
      <c r="G209" s="238"/>
      <c r="H209" s="238"/>
      <c r="I209" s="238"/>
      <c r="J209" s="147"/>
      <c r="K209" s="336" t="s">
        <v>126</v>
      </c>
      <c r="L209" s="336"/>
      <c r="M209" s="336"/>
    </row>
    <row r="210" spans="1:13" ht="15" customHeight="1">
      <c r="A210" s="238" t="s">
        <v>127</v>
      </c>
      <c r="B210" s="238"/>
      <c r="C210" s="238"/>
      <c r="D210" s="238" t="s">
        <v>128</v>
      </c>
      <c r="E210" s="238"/>
      <c r="F210" s="238"/>
      <c r="G210" s="238"/>
      <c r="H210" s="238"/>
      <c r="I210" s="238"/>
      <c r="J210" s="147"/>
      <c r="K210" s="336" t="s">
        <v>129</v>
      </c>
      <c r="L210" s="336"/>
      <c r="M210" s="336"/>
    </row>
    <row r="211" spans="1:1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3"/>
    </row>
    <row r="212" spans="1:1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3"/>
    </row>
    <row r="213" spans="1: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3"/>
    </row>
    <row r="214" spans="1:1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3"/>
    </row>
    <row r="215" spans="1:1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3"/>
    </row>
    <row r="216" spans="1:1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3"/>
    </row>
    <row r="217" spans="1:1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3"/>
    </row>
    <row r="218" spans="1:1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3"/>
    </row>
    <row r="219" spans="1:1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</sheetData>
  <mergeCells count="241">
    <mergeCell ref="N137:O142"/>
    <mergeCell ref="N144:O153"/>
    <mergeCell ref="N155:O159"/>
    <mergeCell ref="A131:B132"/>
    <mergeCell ref="C131:M132"/>
    <mergeCell ref="D182:M182"/>
    <mergeCell ref="D162:M162"/>
    <mergeCell ref="D163:M163"/>
    <mergeCell ref="D164:M164"/>
    <mergeCell ref="D138:M138"/>
    <mergeCell ref="H151:J151"/>
    <mergeCell ref="L171:M171"/>
    <mergeCell ref="A155:B156"/>
    <mergeCell ref="H145:J145"/>
    <mergeCell ref="L144:M144"/>
    <mergeCell ref="D150:G150"/>
    <mergeCell ref="D147:G147"/>
    <mergeCell ref="D146:G146"/>
    <mergeCell ref="H146:J146"/>
    <mergeCell ref="C75:C76"/>
    <mergeCell ref="I125:K125"/>
    <mergeCell ref="H169:J169"/>
    <mergeCell ref="D170:G170"/>
    <mergeCell ref="A179:M179"/>
    <mergeCell ref="D139:M139"/>
    <mergeCell ref="D140:M140"/>
    <mergeCell ref="D16:M16"/>
    <mergeCell ref="D17:M17"/>
    <mergeCell ref="C138:C139"/>
    <mergeCell ref="I73:K73"/>
    <mergeCell ref="D87:H87"/>
    <mergeCell ref="K59:M59"/>
    <mergeCell ref="C61:M62"/>
    <mergeCell ref="D46:G46"/>
    <mergeCell ref="A169:B171"/>
    <mergeCell ref="D172:G172"/>
    <mergeCell ref="D173:G173"/>
    <mergeCell ref="H170:J170"/>
    <mergeCell ref="H150:J150"/>
    <mergeCell ref="H147:J147"/>
    <mergeCell ref="D148:G148"/>
    <mergeCell ref="A162:B164"/>
    <mergeCell ref="C162:C163"/>
    <mergeCell ref="K210:M210"/>
    <mergeCell ref="D208:I208"/>
    <mergeCell ref="D209:I209"/>
    <mergeCell ref="D210:I210"/>
    <mergeCell ref="A208:C208"/>
    <mergeCell ref="A209:C209"/>
    <mergeCell ref="A210:C210"/>
    <mergeCell ref="K209:M209"/>
    <mergeCell ref="D99:H99"/>
    <mergeCell ref="D106:G106"/>
    <mergeCell ref="C180:C181"/>
    <mergeCell ref="D180:M180"/>
    <mergeCell ref="D181:M181"/>
    <mergeCell ref="K208:M208"/>
    <mergeCell ref="L189:M189"/>
    <mergeCell ref="L190:M190"/>
    <mergeCell ref="L191:M191"/>
    <mergeCell ref="A126:B127"/>
    <mergeCell ref="L145:M145"/>
    <mergeCell ref="L146:M146"/>
    <mergeCell ref="L170:M170"/>
    <mergeCell ref="D165:H165"/>
    <mergeCell ref="D189:G189"/>
    <mergeCell ref="A180:B182"/>
    <mergeCell ref="A200:K201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A199:M199"/>
    <mergeCell ref="D197:G197"/>
    <mergeCell ref="H197:J197"/>
    <mergeCell ref="G11:K11"/>
    <mergeCell ref="I136:K136"/>
    <mergeCell ref="A176:K176"/>
    <mergeCell ref="D177:G177"/>
    <mergeCell ref="H177:J177"/>
    <mergeCell ref="A189:B191"/>
    <mergeCell ref="D51:G51"/>
    <mergeCell ref="D47:G47"/>
    <mergeCell ref="H171:J171"/>
    <mergeCell ref="H173:J173"/>
    <mergeCell ref="I12:K12"/>
    <mergeCell ref="H189:J189"/>
    <mergeCell ref="D190:G190"/>
    <mergeCell ref="D174:G174"/>
    <mergeCell ref="H174:J174"/>
    <mergeCell ref="H175:J175"/>
    <mergeCell ref="D175:G175"/>
    <mergeCell ref="D166:H166"/>
    <mergeCell ref="H172:J172"/>
    <mergeCell ref="D167:H167"/>
    <mergeCell ref="D169:G169"/>
    <mergeCell ref="H190:J190"/>
    <mergeCell ref="D191:G191"/>
    <mergeCell ref="H191:J191"/>
    <mergeCell ref="D171:G171"/>
    <mergeCell ref="L169:M169"/>
    <mergeCell ref="D92:H92"/>
    <mergeCell ref="C155:M156"/>
    <mergeCell ref="H149:J149"/>
    <mergeCell ref="D153:G153"/>
    <mergeCell ref="H153:J153"/>
    <mergeCell ref="D88:H88"/>
    <mergeCell ref="A161:M161"/>
    <mergeCell ref="A144:B146"/>
    <mergeCell ref="D144:G144"/>
    <mergeCell ref="H144:J144"/>
    <mergeCell ref="D145:G145"/>
    <mergeCell ref="H148:J148"/>
    <mergeCell ref="D149:G149"/>
    <mergeCell ref="D151:G151"/>
    <mergeCell ref="D95:H95"/>
    <mergeCell ref="D110:G110"/>
    <mergeCell ref="H110:J110"/>
    <mergeCell ref="D114:F114"/>
    <mergeCell ref="A119:M119"/>
    <mergeCell ref="H106:J106"/>
    <mergeCell ref="A137:M137"/>
    <mergeCell ref="A138:B140"/>
    <mergeCell ref="I117:K117"/>
    <mergeCell ref="C126:M127"/>
    <mergeCell ref="D108:G108"/>
    <mergeCell ref="H109:J109"/>
    <mergeCell ref="A121:M121"/>
    <mergeCell ref="A122:M122"/>
    <mergeCell ref="D83:H83"/>
    <mergeCell ref="L103:M103"/>
    <mergeCell ref="D45:G45"/>
    <mergeCell ref="H45:J45"/>
    <mergeCell ref="H47:J47"/>
    <mergeCell ref="A55:B55"/>
    <mergeCell ref="D48:G48"/>
    <mergeCell ref="H112:J112"/>
    <mergeCell ref="A75:B77"/>
    <mergeCell ref="D75:M75"/>
    <mergeCell ref="D79:H79"/>
    <mergeCell ref="D77:M77"/>
    <mergeCell ref="D81:H81"/>
    <mergeCell ref="D89:H89"/>
    <mergeCell ref="D93:H93"/>
    <mergeCell ref="D76:M76"/>
    <mergeCell ref="H103:J103"/>
    <mergeCell ref="C55:M55"/>
    <mergeCell ref="D73:F73"/>
    <mergeCell ref="D91:H91"/>
    <mergeCell ref="H51:J51"/>
    <mergeCell ref="H107:J107"/>
    <mergeCell ref="H105:J105"/>
    <mergeCell ref="D103:G103"/>
    <mergeCell ref="D112:G112"/>
    <mergeCell ref="A101:B103"/>
    <mergeCell ref="A13:M13"/>
    <mergeCell ref="A14:M14"/>
    <mergeCell ref="A15:B17"/>
    <mergeCell ref="C15:C16"/>
    <mergeCell ref="D15:M15"/>
    <mergeCell ref="K24:M24"/>
    <mergeCell ref="D43:G43"/>
    <mergeCell ref="D44:G44"/>
    <mergeCell ref="A42:B44"/>
    <mergeCell ref="D42:G42"/>
    <mergeCell ref="H42:J42"/>
    <mergeCell ref="H43:J43"/>
    <mergeCell ref="H44:J44"/>
    <mergeCell ref="K31:M31"/>
    <mergeCell ref="K32:M32"/>
    <mergeCell ref="K18:M18"/>
    <mergeCell ref="K19:M19"/>
    <mergeCell ref="K20:M20"/>
    <mergeCell ref="K21:M21"/>
    <mergeCell ref="K22:M22"/>
    <mergeCell ref="K23:M23"/>
    <mergeCell ref="K25:M25"/>
    <mergeCell ref="K26:M26"/>
    <mergeCell ref="K27:M27"/>
    <mergeCell ref="K28:M28"/>
    <mergeCell ref="K29:M29"/>
    <mergeCell ref="K30:M30"/>
    <mergeCell ref="L42:M42"/>
    <mergeCell ref="H46:J46"/>
    <mergeCell ref="H49:J49"/>
    <mergeCell ref="H50:J50"/>
    <mergeCell ref="L43:M43"/>
    <mergeCell ref="L44:M44"/>
    <mergeCell ref="K33:M33"/>
    <mergeCell ref="K34:M34"/>
    <mergeCell ref="K35:M35"/>
    <mergeCell ref="K36:M36"/>
    <mergeCell ref="K37:M37"/>
    <mergeCell ref="K38:M38"/>
    <mergeCell ref="D84:H84"/>
    <mergeCell ref="D85:H85"/>
    <mergeCell ref="D86:H86"/>
    <mergeCell ref="D102:G102"/>
    <mergeCell ref="H102:J102"/>
    <mergeCell ref="L102:M102"/>
    <mergeCell ref="D90:H90"/>
    <mergeCell ref="D98:H98"/>
    <mergeCell ref="A120:M120"/>
    <mergeCell ref="D101:G101"/>
    <mergeCell ref="H101:J101"/>
    <mergeCell ref="H114:I114"/>
    <mergeCell ref="J114:K114"/>
    <mergeCell ref="H108:J108"/>
    <mergeCell ref="D109:G109"/>
    <mergeCell ref="D107:G107"/>
    <mergeCell ref="D104:G104"/>
    <mergeCell ref="H104:J104"/>
    <mergeCell ref="D105:G105"/>
    <mergeCell ref="A5:M5"/>
    <mergeCell ref="A6:M6"/>
    <mergeCell ref="A7:M7"/>
    <mergeCell ref="A8:M8"/>
    <mergeCell ref="A9:M9"/>
    <mergeCell ref="A118:M118"/>
    <mergeCell ref="L101:M101"/>
    <mergeCell ref="D96:H96"/>
    <mergeCell ref="D97:H97"/>
    <mergeCell ref="A68:B69"/>
    <mergeCell ref="C68:M69"/>
    <mergeCell ref="D80:H80"/>
    <mergeCell ref="D49:G49"/>
    <mergeCell ref="H48:J48"/>
    <mergeCell ref="A74:M74"/>
    <mergeCell ref="D50:G50"/>
    <mergeCell ref="D53:G53"/>
    <mergeCell ref="H53:J53"/>
    <mergeCell ref="C58:M58"/>
    <mergeCell ref="A58:B58"/>
    <mergeCell ref="A61:B62"/>
    <mergeCell ref="K39:M39"/>
    <mergeCell ref="K40:M40"/>
    <mergeCell ref="K56:M56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46" fitToHeight="0" orientation="portrait" r:id="rId1"/>
  <rowBreaks count="1" manualBreakCount="1">
    <brk id="113" max="12" man="1"/>
  </rowBreaks>
  <ignoredErrors>
    <ignoredError sqref="A52:K52 U126" evalError="1"/>
    <ignoredError sqref="M10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D100-90B8-43D1-879B-2C192D85B6C8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130</v>
      </c>
      <c r="B2" s="3" t="s">
        <v>131</v>
      </c>
      <c r="C2" s="3" t="s">
        <v>132</v>
      </c>
      <c r="D2" s="3" t="s">
        <v>133</v>
      </c>
      <c r="E2" s="4" t="s">
        <v>134</v>
      </c>
      <c r="F2" s="4" t="s">
        <v>135</v>
      </c>
    </row>
    <row r="3" spans="1:6">
      <c r="A3" s="3" t="s">
        <v>136</v>
      </c>
      <c r="B3" s="3" t="s">
        <v>137</v>
      </c>
      <c r="C3" s="3" t="s">
        <v>136</v>
      </c>
      <c r="D3" s="3" t="s">
        <v>138</v>
      </c>
      <c r="E3" s="5">
        <v>9500625048</v>
      </c>
      <c r="F3" s="5">
        <v>0</v>
      </c>
    </row>
    <row r="4" spans="1:6">
      <c r="A4" s="3" t="s">
        <v>136</v>
      </c>
      <c r="B4" s="3" t="s">
        <v>137</v>
      </c>
      <c r="C4" s="3" t="s">
        <v>139</v>
      </c>
      <c r="D4" s="3" t="s">
        <v>140</v>
      </c>
      <c r="E4" s="5">
        <v>0</v>
      </c>
      <c r="F4" s="5">
        <v>39042173.439999998</v>
      </c>
    </row>
    <row r="5" spans="1:6">
      <c r="A5" s="3" t="s">
        <v>136</v>
      </c>
      <c r="B5" s="3" t="s">
        <v>137</v>
      </c>
      <c r="C5" s="3" t="s">
        <v>141</v>
      </c>
      <c r="D5" s="3" t="s">
        <v>142</v>
      </c>
      <c r="E5" s="5">
        <v>0</v>
      </c>
      <c r="F5" s="5">
        <v>3253514.45</v>
      </c>
    </row>
    <row r="6" spans="1:6">
      <c r="A6" s="3" t="s">
        <v>136</v>
      </c>
      <c r="B6" s="3" t="s">
        <v>137</v>
      </c>
      <c r="C6" s="3" t="s">
        <v>139</v>
      </c>
      <c r="D6" s="3" t="s">
        <v>140</v>
      </c>
      <c r="E6" s="5">
        <v>0</v>
      </c>
      <c r="F6" s="5">
        <v>46498885.939999998</v>
      </c>
    </row>
    <row r="7" spans="1:6">
      <c r="A7" s="3" t="s">
        <v>136</v>
      </c>
      <c r="B7" s="3" t="s">
        <v>137</v>
      </c>
      <c r="C7" s="3" t="s">
        <v>141</v>
      </c>
      <c r="D7" s="3" t="s">
        <v>142</v>
      </c>
      <c r="E7" s="5">
        <v>0</v>
      </c>
      <c r="F7" s="5">
        <v>3874902.13</v>
      </c>
    </row>
    <row r="8" spans="1:6">
      <c r="A8" s="3" t="s">
        <v>136</v>
      </c>
      <c r="B8" s="3" t="s">
        <v>137</v>
      </c>
      <c r="C8" s="3" t="s">
        <v>139</v>
      </c>
      <c r="D8" s="3" t="s">
        <v>140</v>
      </c>
      <c r="E8" s="5">
        <v>0</v>
      </c>
      <c r="F8" s="5">
        <v>193092994.06</v>
      </c>
    </row>
    <row r="9" spans="1:6">
      <c r="A9" s="3" t="s">
        <v>136</v>
      </c>
      <c r="B9" s="3" t="s">
        <v>137</v>
      </c>
      <c r="C9" s="3" t="s">
        <v>141</v>
      </c>
      <c r="D9" s="3" t="s">
        <v>142</v>
      </c>
      <c r="E9" s="5">
        <v>0</v>
      </c>
      <c r="F9" s="5">
        <v>16091082.84</v>
      </c>
    </row>
    <row r="10" spans="1:6">
      <c r="A10" s="3" t="s">
        <v>136</v>
      </c>
      <c r="B10" s="3" t="s">
        <v>137</v>
      </c>
      <c r="C10" s="3" t="s">
        <v>139</v>
      </c>
      <c r="D10" s="3" t="s">
        <v>140</v>
      </c>
      <c r="E10" s="5">
        <v>0</v>
      </c>
      <c r="F10" s="5">
        <v>759794916.26999998</v>
      </c>
    </row>
    <row r="11" spans="1:6">
      <c r="A11" s="3" t="s">
        <v>136</v>
      </c>
      <c r="B11" s="3" t="s">
        <v>137</v>
      </c>
      <c r="C11" s="3" t="s">
        <v>141</v>
      </c>
      <c r="D11" s="3" t="s">
        <v>142</v>
      </c>
      <c r="E11" s="5">
        <v>0</v>
      </c>
      <c r="F11" s="5">
        <v>63315599.520000003</v>
      </c>
    </row>
    <row r="12" spans="1:6">
      <c r="A12" s="3" t="s">
        <v>136</v>
      </c>
      <c r="B12" s="3" t="s">
        <v>137</v>
      </c>
      <c r="C12" s="3" t="s">
        <v>139</v>
      </c>
      <c r="D12" s="3" t="s">
        <v>140</v>
      </c>
      <c r="E12" s="5">
        <v>0</v>
      </c>
      <c r="F12" s="5">
        <v>46279776.210000001</v>
      </c>
    </row>
    <row r="13" spans="1:6">
      <c r="A13" s="3" t="s">
        <v>136</v>
      </c>
      <c r="B13" s="3" t="s">
        <v>137</v>
      </c>
      <c r="C13" s="3" t="s">
        <v>141</v>
      </c>
      <c r="D13" s="3" t="s">
        <v>142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143</v>
      </c>
      <c r="B15" s="3" t="s">
        <v>144</v>
      </c>
      <c r="C15" s="3" t="s">
        <v>145</v>
      </c>
      <c r="D15" s="3" t="s">
        <v>146</v>
      </c>
      <c r="E15" s="5">
        <v>0</v>
      </c>
      <c r="F15" s="5">
        <v>372209104.38</v>
      </c>
    </row>
    <row r="16" spans="1:6">
      <c r="A16" s="3" t="s">
        <v>143</v>
      </c>
      <c r="B16" s="3" t="s">
        <v>144</v>
      </c>
      <c r="C16" s="3" t="s">
        <v>147</v>
      </c>
      <c r="D16" s="3" t="s">
        <v>148</v>
      </c>
      <c r="E16" s="5">
        <v>0</v>
      </c>
      <c r="F16" s="5">
        <v>31096474.670000002</v>
      </c>
    </row>
    <row r="20" spans="1:7">
      <c r="A20" s="3" t="s">
        <v>143</v>
      </c>
      <c r="B20" s="3" t="s">
        <v>144</v>
      </c>
      <c r="C20" s="3" t="s">
        <v>143</v>
      </c>
      <c r="D20" s="3" t="s">
        <v>138</v>
      </c>
      <c r="E20" s="5">
        <v>2501428954</v>
      </c>
      <c r="F20" s="5">
        <v>0</v>
      </c>
    </row>
    <row r="21" spans="1:7">
      <c r="A21" s="3" t="s">
        <v>136</v>
      </c>
      <c r="B21" s="3" t="s">
        <v>137</v>
      </c>
      <c r="C21" s="3" t="s">
        <v>149</v>
      </c>
      <c r="D21" s="3" t="s">
        <v>150</v>
      </c>
      <c r="E21" s="5">
        <v>0</v>
      </c>
      <c r="F21" s="5">
        <v>399391087.05000001</v>
      </c>
      <c r="G21" s="348" t="s">
        <v>151</v>
      </c>
    </row>
    <row r="22" spans="1:7">
      <c r="A22" s="3" t="s">
        <v>136</v>
      </c>
      <c r="B22" s="3" t="s">
        <v>137</v>
      </c>
      <c r="C22" s="3" t="s">
        <v>152</v>
      </c>
      <c r="D22" s="3" t="s">
        <v>153</v>
      </c>
      <c r="E22" s="5">
        <v>0</v>
      </c>
      <c r="F22" s="5">
        <v>33280438.890000001</v>
      </c>
      <c r="G22" s="349"/>
    </row>
    <row r="23" spans="1:7">
      <c r="A23" s="3"/>
      <c r="B23" s="3"/>
      <c r="C23" s="3"/>
      <c r="D23" s="3"/>
      <c r="E23" s="5"/>
      <c r="F23" s="5"/>
    </row>
    <row r="24" spans="1:7">
      <c r="A24" s="3" t="s">
        <v>143</v>
      </c>
      <c r="B24" s="3" t="s">
        <v>144</v>
      </c>
      <c r="C24" s="3" t="s">
        <v>154</v>
      </c>
      <c r="D24" s="3" t="s">
        <v>155</v>
      </c>
      <c r="E24" s="5">
        <v>0</v>
      </c>
      <c r="F24" s="5">
        <v>6323248.6600000001</v>
      </c>
      <c r="G24" s="348" t="s">
        <v>101</v>
      </c>
    </row>
    <row r="25" spans="1:7">
      <c r="A25" s="3" t="s">
        <v>143</v>
      </c>
      <c r="B25" s="3" t="s">
        <v>144</v>
      </c>
      <c r="C25" s="3" t="s">
        <v>156</v>
      </c>
      <c r="D25" s="3" t="s">
        <v>157</v>
      </c>
      <c r="E25" s="5">
        <v>0</v>
      </c>
      <c r="F25" s="5">
        <v>75878983.980000004</v>
      </c>
      <c r="G25" s="349"/>
    </row>
    <row r="27" spans="1:7">
      <c r="D27" s="3" t="s">
        <v>158</v>
      </c>
      <c r="E27" s="7">
        <f>SUM(E20,E3)-SUM(F21:F25)</f>
        <v>11487180243.42</v>
      </c>
    </row>
    <row r="28" spans="1:7">
      <c r="D28" s="3" t="s">
        <v>159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12E7E5-7176-4BEA-ADF1-182C28352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A26533-C99A-4A28-B3B0-A2DC7E1C4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458FA-A014-47D1-9AD4-54E86FA89AD1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ebfcc7d6-e1dc-4701-b230-8bbb8f498e60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dcterms:created xsi:type="dcterms:W3CDTF">2011-09-16T14:41:22Z</dcterms:created>
  <dcterms:modified xsi:type="dcterms:W3CDTF">2026-02-03T16:48:39Z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