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110C4042-C56C-40CB-B447-220D5B6ADC13}" xr6:coauthVersionLast="47" xr6:coauthVersionMax="47" xr10:uidLastSave="{00000000-0000-0000-0000-000000000000}"/>
  <bookViews>
    <workbookView xWindow="-120" yWindow="-120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9" i="7" l="1"/>
  <c r="K215" i="7"/>
  <c r="K214" i="7"/>
  <c r="H215" i="7"/>
  <c r="H214" i="7"/>
  <c r="G215" i="7"/>
  <c r="G214" i="7"/>
  <c r="E215" i="7"/>
  <c r="E214" i="7"/>
  <c r="D215" i="7"/>
  <c r="D214" i="7"/>
  <c r="C215" i="7"/>
  <c r="C214" i="7"/>
  <c r="B215" i="7"/>
  <c r="B214" i="7"/>
  <c r="J215" i="7"/>
  <c r="J216" i="7"/>
  <c r="F69" i="7"/>
  <c r="G222" i="7"/>
  <c r="G220" i="7"/>
  <c r="G218" i="7"/>
  <c r="G216" i="7"/>
  <c r="D222" i="7"/>
  <c r="D218" i="7"/>
  <c r="D216" i="7"/>
  <c r="E193" i="7"/>
  <c r="E184" i="7"/>
  <c r="E181" i="7"/>
  <c r="E170" i="7"/>
  <c r="E168" i="7"/>
  <c r="E166" i="7"/>
  <c r="E156" i="7"/>
  <c r="E151" i="7"/>
  <c r="G120" i="7"/>
  <c r="G113" i="7"/>
  <c r="G112" i="7"/>
  <c r="G111" i="7"/>
  <c r="G109" i="7"/>
  <c r="G106" i="7"/>
  <c r="G105" i="7"/>
  <c r="D120" i="7"/>
  <c r="D113" i="7"/>
  <c r="D112" i="7"/>
  <c r="D111" i="7"/>
  <c r="D109" i="7"/>
  <c r="D106" i="7"/>
  <c r="D105" i="7"/>
  <c r="E82" i="7"/>
  <c r="E68" i="7"/>
  <c r="E66" i="7"/>
  <c r="E63" i="7"/>
  <c r="E57" i="7"/>
  <c r="E55" i="7"/>
  <c r="E54" i="7"/>
  <c r="E53" i="7"/>
  <c r="E51" i="7"/>
  <c r="E50" i="7"/>
  <c r="E49" i="7"/>
  <c r="E48" i="7"/>
  <c r="E47" i="7"/>
  <c r="E46" i="7"/>
  <c r="E45" i="7"/>
  <c r="E43" i="7"/>
  <c r="E42" i="7"/>
  <c r="E41" i="7"/>
  <c r="E40" i="7"/>
  <c r="E39" i="7"/>
  <c r="E37" i="7"/>
  <c r="E35" i="7"/>
  <c r="E34" i="7"/>
  <c r="E32" i="7"/>
  <c r="E31" i="7"/>
  <c r="E30" i="7"/>
  <c r="E29" i="7"/>
  <c r="E24" i="7"/>
  <c r="E21" i="7"/>
  <c r="E20" i="7"/>
  <c r="F216" i="7"/>
  <c r="F217" i="7"/>
  <c r="F218" i="7"/>
  <c r="F220" i="7"/>
  <c r="F221" i="7"/>
  <c r="F222" i="7"/>
  <c r="J222" i="7"/>
  <c r="J223" i="7"/>
  <c r="F127" i="7" l="1"/>
  <c r="J127" i="7"/>
  <c r="E64" i="7" l="1"/>
  <c r="D220" i="7" l="1"/>
  <c r="L139" i="7"/>
  <c r="F181" i="7" l="1"/>
  <c r="F166" i="7"/>
  <c r="E159" i="7"/>
  <c r="F151" i="7"/>
  <c r="J208" i="7"/>
  <c r="J207" i="7"/>
  <c r="J206" i="7"/>
  <c r="J205" i="7"/>
  <c r="J203" i="7"/>
  <c r="J202" i="7"/>
  <c r="J201" i="7"/>
  <c r="J200" i="7"/>
  <c r="J199" i="7"/>
  <c r="J198" i="7"/>
  <c r="J197" i="7"/>
  <c r="J196" i="7"/>
  <c r="J195" i="7"/>
  <c r="J193" i="7"/>
  <c r="J192" i="7"/>
  <c r="J191" i="7"/>
  <c r="J190" i="7"/>
  <c r="J188" i="7"/>
  <c r="J187" i="7"/>
  <c r="J184" i="7"/>
  <c r="J183" i="7"/>
  <c r="J182" i="7"/>
  <c r="J181" i="7"/>
  <c r="J180" i="7"/>
  <c r="J178" i="7"/>
  <c r="J177" i="7"/>
  <c r="J176" i="7"/>
  <c r="J175" i="7"/>
  <c r="J174" i="7"/>
  <c r="J173" i="7"/>
  <c r="J172" i="7"/>
  <c r="J170" i="7"/>
  <c r="J169" i="7"/>
  <c r="J168" i="7"/>
  <c r="J167" i="7"/>
  <c r="J166" i="7"/>
  <c r="J164" i="7"/>
  <c r="J163" i="7"/>
  <c r="J162" i="7"/>
  <c r="J161" i="7"/>
  <c r="J160" i="7"/>
  <c r="J159" i="7"/>
  <c r="J158" i="7"/>
  <c r="J157" i="7"/>
  <c r="J156" i="7"/>
  <c r="J154" i="7"/>
  <c r="J153" i="7"/>
  <c r="J152" i="7"/>
  <c r="J151" i="7"/>
  <c r="J149" i="7"/>
  <c r="J148" i="7"/>
  <c r="J147" i="7"/>
  <c r="I203" i="7"/>
  <c r="I202" i="7"/>
  <c r="I193" i="7"/>
  <c r="I184" i="7"/>
  <c r="I181" i="7"/>
  <c r="I170" i="7"/>
  <c r="I168" i="7"/>
  <c r="I166" i="7"/>
  <c r="I156" i="7"/>
  <c r="I151" i="7"/>
  <c r="F193" i="7"/>
  <c r="F184" i="7"/>
  <c r="F170" i="7"/>
  <c r="F168" i="7"/>
  <c r="F156" i="7"/>
  <c r="J91" i="7" l="1"/>
  <c r="J90" i="7"/>
  <c r="J89" i="7"/>
  <c r="J88" i="7"/>
  <c r="J87" i="7"/>
  <c r="J86" i="7"/>
  <c r="J85" i="7"/>
  <c r="J82" i="7"/>
  <c r="J81" i="7"/>
  <c r="J80" i="7"/>
  <c r="J79" i="7"/>
  <c r="J77" i="7"/>
  <c r="J76" i="7"/>
  <c r="J75" i="7"/>
  <c r="J74" i="7"/>
  <c r="J73" i="7"/>
  <c r="J72" i="7"/>
  <c r="J71" i="7"/>
  <c r="J70" i="7"/>
  <c r="J69" i="7"/>
  <c r="J68" i="7"/>
  <c r="J66" i="7"/>
  <c r="J65" i="7"/>
  <c r="J64" i="7"/>
  <c r="J63" i="7"/>
  <c r="J61" i="7"/>
  <c r="J60" i="7"/>
  <c r="J57" i="7"/>
  <c r="J56" i="7"/>
  <c r="J55" i="7"/>
  <c r="J54" i="7"/>
  <c r="J53" i="7"/>
  <c r="J51" i="7"/>
  <c r="J50" i="7"/>
  <c r="J49" i="7"/>
  <c r="J48" i="7"/>
  <c r="J47" i="7"/>
  <c r="J46" i="7"/>
  <c r="J45" i="7"/>
  <c r="J43" i="7"/>
  <c r="J42" i="7"/>
  <c r="J41" i="7"/>
  <c r="J40" i="7"/>
  <c r="J39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2" i="7"/>
  <c r="J21" i="7"/>
  <c r="J20" i="7"/>
  <c r="F68" i="7"/>
  <c r="F66" i="7"/>
  <c r="F63" i="7"/>
  <c r="F57" i="7"/>
  <c r="F55" i="7"/>
  <c r="F54" i="7"/>
  <c r="F53" i="7"/>
  <c r="F51" i="7"/>
  <c r="F49" i="7"/>
  <c r="F48" i="7"/>
  <c r="F47" i="7"/>
  <c r="F46" i="7"/>
  <c r="F45" i="7"/>
  <c r="F43" i="7"/>
  <c r="F42" i="7"/>
  <c r="F41" i="7"/>
  <c r="F40" i="7"/>
  <c r="F39" i="7"/>
  <c r="F37" i="7"/>
  <c r="F35" i="7"/>
  <c r="F34" i="7"/>
  <c r="F32" i="7"/>
  <c r="F31" i="7"/>
  <c r="F30" i="7"/>
  <c r="F29" i="7"/>
  <c r="F24" i="7"/>
  <c r="F21" i="7"/>
  <c r="F20" i="7"/>
  <c r="I77" i="7"/>
  <c r="I76" i="7"/>
  <c r="I75" i="7"/>
  <c r="I74" i="7"/>
  <c r="I70" i="7"/>
  <c r="I68" i="7"/>
  <c r="I66" i="7"/>
  <c r="I63" i="7"/>
  <c r="I60" i="7"/>
  <c r="I57" i="7"/>
  <c r="I55" i="7"/>
  <c r="I54" i="7"/>
  <c r="I53" i="7"/>
  <c r="I51" i="7"/>
  <c r="I50" i="7"/>
  <c r="I49" i="7"/>
  <c r="I48" i="7"/>
  <c r="I47" i="7"/>
  <c r="I46" i="7"/>
  <c r="I45" i="7"/>
  <c r="I43" i="7"/>
  <c r="I42" i="7"/>
  <c r="I41" i="7"/>
  <c r="I40" i="7"/>
  <c r="I39" i="7"/>
  <c r="I37" i="7"/>
  <c r="I36" i="7"/>
  <c r="I35" i="7"/>
  <c r="I34" i="7"/>
  <c r="I32" i="7"/>
  <c r="I31" i="7"/>
  <c r="I30" i="7"/>
  <c r="I29" i="7"/>
  <c r="I24" i="7"/>
  <c r="I21" i="7"/>
  <c r="I20" i="7"/>
  <c r="B107" i="7" l="1"/>
  <c r="C74" i="7"/>
  <c r="E70" i="7"/>
  <c r="E69" i="7"/>
  <c r="F50" i="7"/>
  <c r="E74" i="7"/>
  <c r="E180" i="7" l="1"/>
  <c r="E75" i="7"/>
  <c r="F75" i="7" s="1"/>
  <c r="E76" i="7"/>
  <c r="F76" i="7" s="1"/>
  <c r="E77" i="7"/>
  <c r="F77" i="7" s="1"/>
  <c r="D97" i="7"/>
  <c r="K107" i="7"/>
  <c r="K104" i="7" s="1"/>
  <c r="C107" i="7"/>
  <c r="H219" i="7"/>
  <c r="B118" i="7"/>
  <c r="G38" i="7"/>
  <c r="E107" i="7"/>
  <c r="E104" i="7" s="1"/>
  <c r="D38" i="7"/>
  <c r="G67" i="7"/>
  <c r="H67" i="7"/>
  <c r="J221" i="7"/>
  <c r="D171" i="7"/>
  <c r="H107" i="7"/>
  <c r="E22" i="7"/>
  <c r="G223" i="7"/>
  <c r="F114" i="7"/>
  <c r="E201" i="7"/>
  <c r="G179" i="7"/>
  <c r="H179" i="7"/>
  <c r="D165" i="7"/>
  <c r="E71" i="7"/>
  <c r="G52" i="7"/>
  <c r="H52" i="7"/>
  <c r="G44" i="7"/>
  <c r="H44" i="7"/>
  <c r="E36" i="7"/>
  <c r="F36" i="7" s="1"/>
  <c r="J120" i="7"/>
  <c r="F113" i="7"/>
  <c r="G95" i="7"/>
  <c r="D67" i="7"/>
  <c r="C67" i="7"/>
  <c r="C219" i="7"/>
  <c r="E219" i="7"/>
  <c r="B219" i="7"/>
  <c r="E162" i="7"/>
  <c r="D62" i="7"/>
  <c r="E56" i="7"/>
  <c r="E183" i="7"/>
  <c r="D223" i="7"/>
  <c r="E173" i="7"/>
  <c r="B104" i="7"/>
  <c r="D221" i="7"/>
  <c r="D219" i="7" s="1"/>
  <c r="G221" i="7"/>
  <c r="G217" i="7"/>
  <c r="D217" i="7"/>
  <c r="E208" i="7"/>
  <c r="E207" i="7"/>
  <c r="E206" i="7"/>
  <c r="E205" i="7"/>
  <c r="E203" i="7"/>
  <c r="F203" i="7" s="1"/>
  <c r="E202" i="7"/>
  <c r="F202" i="7" s="1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F60" i="7" s="1"/>
  <c r="E33" i="7"/>
  <c r="E27" i="7"/>
  <c r="E26" i="7"/>
  <c r="E25" i="7"/>
  <c r="G28" i="7"/>
  <c r="D59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J194" i="7" s="1"/>
  <c r="C194" i="7"/>
  <c r="G189" i="7"/>
  <c r="D189" i="7"/>
  <c r="C189" i="7"/>
  <c r="G186" i="7"/>
  <c r="D186" i="7"/>
  <c r="J186" i="7" s="1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J217" i="7"/>
  <c r="A140" i="7"/>
  <c r="A137" i="7"/>
  <c r="A136" i="7"/>
  <c r="A135" i="7"/>
  <c r="A134" i="7"/>
  <c r="A133" i="7"/>
  <c r="F223" i="7"/>
  <c r="J220" i="7"/>
  <c r="I215" i="7"/>
  <c r="B115" i="7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52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J218" i="7"/>
  <c r="G165" i="7"/>
  <c r="K110" i="7"/>
  <c r="J105" i="7"/>
  <c r="G78" i="7"/>
  <c r="F215" i="7" l="1"/>
  <c r="F219" i="7"/>
  <c r="J204" i="7"/>
  <c r="J171" i="7"/>
  <c r="J189" i="7"/>
  <c r="J146" i="7"/>
  <c r="G185" i="7"/>
  <c r="J78" i="7"/>
  <c r="J179" i="7"/>
  <c r="I179" i="7"/>
  <c r="J165" i="7"/>
  <c r="I165" i="7"/>
  <c r="J155" i="7"/>
  <c r="I155" i="7"/>
  <c r="J150" i="7"/>
  <c r="I150" i="7"/>
  <c r="J67" i="7"/>
  <c r="I67" i="7"/>
  <c r="I62" i="7"/>
  <c r="J62" i="7"/>
  <c r="J59" i="7"/>
  <c r="I59" i="7"/>
  <c r="J52" i="7"/>
  <c r="I52" i="7"/>
  <c r="I44" i="7"/>
  <c r="J44" i="7"/>
  <c r="J38" i="7"/>
  <c r="I38" i="7"/>
  <c r="I28" i="7"/>
  <c r="J28" i="7"/>
  <c r="I23" i="7"/>
  <c r="J23" i="7"/>
  <c r="J19" i="7"/>
  <c r="I19" i="7"/>
  <c r="E115" i="7"/>
  <c r="J219" i="7"/>
  <c r="B103" i="7"/>
  <c r="E23" i="7"/>
  <c r="F23" i="7" s="1"/>
  <c r="D118" i="7"/>
  <c r="D107" i="7"/>
  <c r="D104" i="7" s="1"/>
  <c r="K117" i="7"/>
  <c r="E155" i="7"/>
  <c r="F155" i="7" s="1"/>
  <c r="E171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F59" i="7" s="1"/>
  <c r="E194" i="7"/>
  <c r="E165" i="7"/>
  <c r="F165" i="7" s="1"/>
  <c r="C185" i="7"/>
  <c r="G58" i="7"/>
  <c r="G110" i="7"/>
  <c r="E67" i="7"/>
  <c r="F67" i="7" s="1"/>
  <c r="K115" i="7"/>
  <c r="D115" i="7"/>
  <c r="G118" i="7"/>
  <c r="G117" i="7" s="1"/>
  <c r="J118" i="7"/>
  <c r="J110" i="7"/>
  <c r="E103" i="7"/>
  <c r="K103" i="7"/>
  <c r="H104" i="7"/>
  <c r="H103" i="7" s="1"/>
  <c r="F107" i="7"/>
  <c r="C104" i="7"/>
  <c r="F104" i="7" s="1"/>
  <c r="C58" i="7"/>
  <c r="D95" i="7"/>
  <c r="D185" i="7"/>
  <c r="B117" i="7"/>
  <c r="E38" i="7"/>
  <c r="F38" i="7" s="1"/>
  <c r="G104" i="7"/>
  <c r="E150" i="7"/>
  <c r="F150" i="7" s="1"/>
  <c r="G145" i="7"/>
  <c r="E179" i="7"/>
  <c r="F179" i="7" s="1"/>
  <c r="D145" i="7"/>
  <c r="E19" i="7"/>
  <c r="F19" i="7" s="1"/>
  <c r="E62" i="7"/>
  <c r="F62" i="7" s="1"/>
  <c r="D58" i="7"/>
  <c r="E52" i="7"/>
  <c r="F52" i="7" s="1"/>
  <c r="E44" i="7"/>
  <c r="F44" i="7" s="1"/>
  <c r="D18" i="7"/>
  <c r="E28" i="7"/>
  <c r="F28" i="7" s="1"/>
  <c r="G18" i="7"/>
  <c r="H115" i="7" l="1"/>
  <c r="J214" i="7"/>
  <c r="H116" i="7"/>
  <c r="H124" i="7" s="1"/>
  <c r="I185" i="7"/>
  <c r="J185" i="7"/>
  <c r="J145" i="7"/>
  <c r="I145" i="7"/>
  <c r="J58" i="7"/>
  <c r="I58" i="7"/>
  <c r="I18" i="7"/>
  <c r="J18" i="7"/>
  <c r="E116" i="7"/>
  <c r="E124" i="7" s="1"/>
  <c r="C144" i="7"/>
  <c r="C83" i="7" s="1"/>
  <c r="J117" i="7"/>
  <c r="D117" i="7"/>
  <c r="B116" i="7"/>
  <c r="B124" i="7" s="1"/>
  <c r="B126" i="7" s="1"/>
  <c r="C17" i="7"/>
  <c r="G115" i="7"/>
  <c r="F214" i="7"/>
  <c r="C115" i="7"/>
  <c r="F115" i="7" s="1"/>
  <c r="F117" i="7"/>
  <c r="G17" i="7"/>
  <c r="E185" i="7"/>
  <c r="F185" i="7" s="1"/>
  <c r="D103" i="7"/>
  <c r="D116" i="7" s="1"/>
  <c r="G103" i="7"/>
  <c r="E58" i="7"/>
  <c r="F58" i="7" s="1"/>
  <c r="K116" i="7"/>
  <c r="K124" i="7" s="1"/>
  <c r="J104" i="7"/>
  <c r="C103" i="7"/>
  <c r="E145" i="7"/>
  <c r="F145" i="7" s="1"/>
  <c r="D144" i="7"/>
  <c r="G144" i="7"/>
  <c r="D17" i="7"/>
  <c r="E18" i="7"/>
  <c r="F18" i="7" s="1"/>
  <c r="D124" i="7" l="1"/>
  <c r="D126" i="7" s="1"/>
  <c r="I17" i="7"/>
  <c r="G116" i="7"/>
  <c r="G124" i="7" s="1"/>
  <c r="G126" i="7" s="1"/>
  <c r="C84" i="7"/>
  <c r="C92" i="7" s="1"/>
  <c r="C94" i="7" s="1"/>
  <c r="J115" i="7"/>
  <c r="F103" i="7"/>
  <c r="J103" i="7"/>
  <c r="C116" i="7"/>
  <c r="J144" i="7"/>
  <c r="D83" i="7"/>
  <c r="G83" i="7"/>
  <c r="I144" i="7"/>
  <c r="E144" i="7"/>
  <c r="J17" i="7"/>
  <c r="E17" i="7"/>
  <c r="J83" i="7" l="1"/>
  <c r="I83" i="7"/>
  <c r="C124" i="7"/>
  <c r="C126" i="7" s="1"/>
  <c r="J116" i="7"/>
  <c r="J124" i="7" s="1"/>
  <c r="F116" i="7"/>
  <c r="F124" i="7" s="1"/>
  <c r="G84" i="7"/>
  <c r="G92" i="7" s="1"/>
  <c r="E83" i="7"/>
  <c r="F83" i="7" s="1"/>
  <c r="F144" i="7"/>
  <c r="D84" i="7"/>
  <c r="F17" i="7"/>
  <c r="G93" i="7" l="1"/>
  <c r="K125" i="7"/>
  <c r="K126" i="7" s="1"/>
  <c r="H125" i="7"/>
  <c r="H126" i="7" s="1"/>
  <c r="E125" i="7"/>
  <c r="E126" i="7" s="1"/>
  <c r="J84" i="7"/>
  <c r="I84" i="7"/>
  <c r="D92" i="7"/>
  <c r="E84" i="7"/>
  <c r="F84" i="7" s="1"/>
  <c r="J92" i="7" l="1"/>
  <c r="I92" i="7"/>
  <c r="E92" i="7"/>
  <c r="E94" i="7" s="1"/>
  <c r="G94" i="7"/>
  <c r="D94" i="7"/>
  <c r="F92" i="7" l="1"/>
  <c r="F94" i="7"/>
  <c r="I94" i="7"/>
</calcChain>
</file>

<file path=xl/sharedStrings.xml><?xml version="1.0" encoding="utf-8"?>
<sst xmlns="http://schemas.openxmlformats.org/spreadsheetml/2006/main" count="289" uniqueCount="159">
  <si>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</si>
  <si>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</si>
  <si>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</si>
  <si>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</si>
  <si>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</si>
  <si>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</si>
  <si>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</si>
  <si>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</si>
  <si>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</si>
  <si>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</si>
  <si>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</si>
  <si>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</si>
  <si>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</si>
  <si>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</si>
  <si>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</si>
  <si>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</si>
  <si>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</si>
  <si>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</si>
  <si>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</si>
  <si>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</si>
  <si>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</si>
  <si>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</si>
  <si>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</si>
  <si>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</si>
  <si>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</si>
  <si>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</si>
  <si>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</si>
  <si>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</si>
  <si>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</si>
  <si>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</si>
  <si>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</si>
  <si>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</si>
  <si>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</si>
  <si>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</si>
  <si>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</si>
  <si>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</si>
  <si>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</si>
  <si>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</si>
  <si>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</si>
  <si>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</si>
  <si>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</si>
  <si>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</si>
  <si>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</si>
  <si>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</si>
  <si>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</si>
  <si>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</si>
  <si>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</si>
  <si>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</si>
  <si>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</si>
  <si>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</si>
  <si>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</si>
  <si>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</si>
  <si>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</si>
  <si>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</si>
  <si>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</si>
  <si>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</si>
  <si>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</si>
  <si>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</si>
  <si>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</si>
  <si>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</si>
  <si>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</si>
  <si>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</si>
  <si>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</si>
  <si>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</si>
  <si>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</si>
  <si>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</si>
  <si>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</si>
  <si>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</si>
  <si>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</si>
  <si>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</si>
  <si>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</si>
  <si>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</si>
  <si>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 xml:space="preserve">            Transferências de Pessoas Físicas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</si>
  <si>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</si>
  <si>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</si>
  <si>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</si>
  <si>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</si>
  <si>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</si>
  <si>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</si>
  <si>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</si>
  <si>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</si>
  <si>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</si>
  <si>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</si>
  <si>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</si>
  <si>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</si>
  <si>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</si>
  <si>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</si>
  <si>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</si>
  <si>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</si>
  <si>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</si>
  <si>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</si>
  <si>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</si>
  <si>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</si>
  <si>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</si>
  <si>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</si>
  <si>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</si>
  <si>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</si>
  <si>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</si>
  <si>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</si>
  <si>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</si>
  <si>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</si>
  <si>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</si>
  <si>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</si>
  <si>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</si>
  <si>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</si>
  <si>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</si>
  <si>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</si>
  <si>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</si>
  <si>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</si>
  <si>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</si>
  <si>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</si>
  <si>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</si>
  <si>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</si>
  <si>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</si>
  <si>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</si>
  <si>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</si>
  <si>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</si>
  <si>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</si>
  <si>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</si>
  <si>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</si>
  <si>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</si>
  <si>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</si>
  <si>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</si>
  <si>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</si>
  <si>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</si>
  <si>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</si>
  <si>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</si>
  <si>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</si>
  <si>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</si>
  <si>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</si>
  <si>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</si>
  <si>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</si>
  <si>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</si>
  <si>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</si>
  <si>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</si>
  <si>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</si>
  <si>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</si>
  <si>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</si>
  <si>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</si>
  <si>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t>Obs.:  1 - Excluídas a Imprensa Oficial, a CEDAE e a AGERIO por não se enquadrarem no conceito de Empresa Dependente.</t>
  </si>
  <si>
    <t xml:space="preserve">          4 -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</si>
  <si>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</si>
  <si>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</si>
  <si>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</si>
  <si>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</si>
  <si>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</si>
  <si>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</si>
  <si>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</si>
  <si>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</si>
  <si>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</si>
  <si>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</si>
  <si>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    3 - A diferença de R$ 14.666.138.152,00 (Quatorze bilhões, seiscentos e sessenta e seis milhões, cento e trinta e oito mil e cento e cinquenta e dois reais) entre a Previsão Inicial da Receita e a Dotação Inicial da Despesa é referente ao "Déficit do Orçamento" considerado na Lei Orçamentária Anual de 2025.</t>
  </si>
  <si>
    <r>
      <t>DÉFICIT (VI)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</si>
  <si>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           Transferências a Municípios</t>
    </r>
    <r>
      <rPr>
        <vertAlign val="superscript"/>
        <sz val="12"/>
        <color theme="1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</si>
  <si>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</si>
  <si>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</si>
  <si>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Essa linha será apresentada somente no Demonstrativo aplicado aos Estados.</t>
    </r>
  </si>
  <si>
    <t>JANEIRO A OUTUBRO 2025/BIMESTRE SETEMBRO - OUTUBRO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</si>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</sst>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7">
    <xf numFmtId="0" fontId="0" fillId="0" borderId="0" xfId="0"/>
    <xf numFmtId="0" fontId="5" fillId="0" borderId="0" xfId="1" applyFont="1"/>
    <xf numFmtId="0" fontId="6" fillId="0" borderId="0" xfId="1" applyFont="1"/>
    <xf numFmtId="0" fontId="3" fillId="0" borderId="0" xfId="1" applyFont="1"/>
    <xf numFmtId="0" fontId="7" fillId="0" borderId="0" xfId="1" applyFont="1"/>
    <xf numFmtId="49" fontId="7" fillId="0" borderId="0" xfId="1" applyNumberFormat="1" applyFont="1" applyAlignment="1">
      <alignment horizontal="center"/>
    </xf>
    <xf numFmtId="49" fontId="7" fillId="4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right"/>
    </xf>
    <xf numFmtId="49" fontId="3" fillId="0" borderId="0" xfId="1" applyNumberFormat="1" applyFont="1"/>
    <xf numFmtId="167" fontId="3" fillId="0" borderId="0" xfId="1" applyNumberFormat="1" applyFont="1"/>
    <xf numFmtId="0" fontId="3" fillId="0" borderId="0" xfId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5" fillId="5" borderId="11" xfId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 vertical="center"/>
    </xf>
    <xf numFmtId="49" fontId="5" fillId="5" borderId="7" xfId="1" applyNumberFormat="1" applyFont="1" applyFill="1" applyBorder="1" applyAlignment="1">
      <alignment horizontal="center"/>
    </xf>
    <xf numFmtId="170" fontId="5" fillId="4" borderId="11" xfId="5" applyNumberFormat="1" applyFont="1" applyFill="1" applyBorder="1" applyAlignment="1">
      <alignment horizontal="right"/>
    </xf>
    <xf numFmtId="170" fontId="5" fillId="4" borderId="1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5" fillId="4" borderId="1" xfId="4" applyNumberFormat="1" applyFont="1" applyFill="1" applyBorder="1" applyAlignment="1">
      <alignment horizontal="right"/>
    </xf>
    <xf numFmtId="170" fontId="5" fillId="4" borderId="10" xfId="5" applyNumberFormat="1" applyFont="1" applyFill="1" applyBorder="1" applyAlignment="1">
      <alignment horizontal="right"/>
    </xf>
    <xf numFmtId="3" fontId="3" fillId="0" borderId="0" xfId="1" applyNumberFormat="1" applyFont="1"/>
    <xf numFmtId="170" fontId="5" fillId="4" borderId="3" xfId="5" applyNumberFormat="1" applyFont="1" applyFill="1" applyBorder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68" fontId="3" fillId="0" borderId="0" xfId="1" applyNumberFormat="1" applyFont="1"/>
    <xf numFmtId="170" fontId="3" fillId="4" borderId="3" xfId="5" applyNumberFormat="1" applyFont="1" applyFill="1" applyBorder="1" applyAlignment="1">
      <alignment horizontal="right"/>
    </xf>
    <xf numFmtId="170" fontId="3" fillId="4" borderId="2" xfId="5" applyNumberFormat="1" applyFont="1" applyFill="1" applyBorder="1" applyAlignment="1">
      <alignment horizontal="right"/>
    </xf>
    <xf numFmtId="170" fontId="3" fillId="4" borderId="0" xfId="5" applyNumberFormat="1" applyFont="1" applyFill="1" applyAlignment="1">
      <alignment horizontal="right"/>
    </xf>
    <xf numFmtId="170" fontId="3" fillId="4" borderId="2" xfId="4" applyNumberFormat="1" applyFont="1" applyFill="1" applyBorder="1" applyAlignment="1">
      <alignment horizontal="right"/>
    </xf>
    <xf numFmtId="170" fontId="3" fillId="4" borderId="8" xfId="5" applyNumberFormat="1" applyFont="1" applyFill="1" applyBorder="1" applyAlignment="1">
      <alignment horizontal="right"/>
    </xf>
    <xf numFmtId="164" fontId="3" fillId="4" borderId="3" xfId="5" applyNumberFormat="1" applyFont="1" applyFill="1" applyBorder="1" applyAlignment="1">
      <alignment horizontal="right"/>
    </xf>
    <xf numFmtId="170" fontId="3" fillId="0" borderId="3" xfId="5" applyNumberFormat="1" applyFont="1" applyFill="1" applyBorder="1" applyAlignment="1">
      <alignment horizontal="right"/>
    </xf>
    <xf numFmtId="170" fontId="3" fillId="0" borderId="2" xfId="5" applyNumberFormat="1" applyFont="1" applyFill="1" applyBorder="1" applyAlignment="1">
      <alignment horizontal="right"/>
    </xf>
    <xf numFmtId="170" fontId="3" fillId="0" borderId="0" xfId="5" applyNumberFormat="1" applyFont="1" applyFill="1" applyAlignment="1">
      <alignment horizontal="right"/>
    </xf>
    <xf numFmtId="170" fontId="3" fillId="0" borderId="2" xfId="4" applyNumberFormat="1" applyFont="1" applyFill="1" applyBorder="1" applyAlignment="1">
      <alignment horizontal="right"/>
    </xf>
    <xf numFmtId="164" fontId="3" fillId="0" borderId="0" xfId="1" applyNumberFormat="1" applyFont="1"/>
    <xf numFmtId="170" fontId="3" fillId="0" borderId="3" xfId="4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170" fontId="3" fillId="6" borderId="3" xfId="5" applyNumberFormat="1" applyFont="1" applyFill="1" applyBorder="1" applyAlignment="1">
      <alignment horizontal="right"/>
    </xf>
    <xf numFmtId="170" fontId="3" fillId="6" borderId="2" xfId="5" applyNumberFormat="1" applyFont="1" applyFill="1" applyBorder="1" applyAlignment="1">
      <alignment horizontal="right"/>
    </xf>
    <xf numFmtId="170" fontId="3" fillId="6" borderId="0" xfId="5" applyNumberFormat="1" applyFont="1" applyFill="1" applyAlignment="1">
      <alignment horizontal="right"/>
    </xf>
    <xf numFmtId="170" fontId="3" fillId="6" borderId="2" xfId="4" applyNumberFormat="1" applyFont="1" applyFill="1" applyBorder="1" applyAlignment="1">
      <alignment horizontal="right"/>
    </xf>
    <xf numFmtId="170" fontId="5" fillId="4" borderId="13" xfId="5" applyNumberFormat="1" applyFont="1" applyFill="1" applyBorder="1" applyAlignment="1">
      <alignment horizontal="right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>
      <alignment horizontal="right"/>
    </xf>
    <xf numFmtId="170" fontId="5" fillId="4" borderId="14" xfId="5" applyNumberFormat="1" applyFont="1" applyFill="1" applyBorder="1" applyAlignment="1">
      <alignment horizontal="right"/>
    </xf>
    <xf numFmtId="164" fontId="5" fillId="4" borderId="5" xfId="5" applyNumberFormat="1" applyFont="1" applyFill="1" applyBorder="1" applyAlignment="1">
      <alignment horizontal="right"/>
    </xf>
    <xf numFmtId="164" fontId="5" fillId="4" borderId="1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64" fontId="3" fillId="4" borderId="0" xfId="5" applyNumberFormat="1" applyFont="1" applyFill="1" applyBorder="1" applyAlignment="1">
      <alignment horizontal="right"/>
    </xf>
    <xf numFmtId="164" fontId="3" fillId="4" borderId="2" xfId="5" applyNumberFormat="1" applyFont="1" applyFill="1" applyBorder="1" applyAlignment="1">
      <alignment horizontal="right"/>
    </xf>
    <xf numFmtId="164" fontId="3" fillId="4" borderId="0" xfId="5" applyNumberFormat="1" applyFont="1" applyFill="1" applyAlignment="1">
      <alignment horizontal="right"/>
    </xf>
    <xf numFmtId="164" fontId="3" fillId="4" borderId="8" xfId="5" applyNumberFormat="1" applyFont="1" applyFill="1" applyBorder="1" applyAlignment="1">
      <alignment horizontal="right"/>
    </xf>
    <xf numFmtId="43" fontId="3" fillId="0" borderId="0" xfId="1" applyNumberFormat="1" applyFont="1"/>
    <xf numFmtId="164" fontId="3" fillId="4" borderId="6" xfId="5" applyNumberFormat="1" applyFont="1" applyFill="1" applyBorder="1" applyAlignment="1">
      <alignment horizontal="right"/>
    </xf>
    <xf numFmtId="164" fontId="3" fillId="4" borderId="7" xfId="5" applyNumberFormat="1" applyFont="1" applyFill="1" applyBorder="1" applyAlignment="1">
      <alignment horizontal="right"/>
    </xf>
    <xf numFmtId="170" fontId="3" fillId="4" borderId="7" xfId="4" applyNumberFormat="1" applyFont="1" applyFill="1" applyBorder="1" applyAlignment="1">
      <alignment horizontal="right"/>
    </xf>
    <xf numFmtId="170" fontId="5" fillId="0" borderId="4" xfId="5" applyNumberFormat="1" applyFont="1" applyFill="1" applyBorder="1" applyAlignment="1">
      <alignment horizontal="right"/>
    </xf>
    <xf numFmtId="170" fontId="5" fillId="0" borderId="14" xfId="5" applyNumberFormat="1" applyFont="1" applyFill="1" applyBorder="1" applyAlignment="1">
      <alignment horizontal="right"/>
    </xf>
    <xf numFmtId="165" fontId="6" fillId="3" borderId="4" xfId="4" applyFont="1" applyFill="1" applyBorder="1" applyAlignment="1"/>
    <xf numFmtId="165" fontId="6" fillId="3" borderId="14" xfId="4" applyFont="1" applyFill="1" applyBorder="1" applyAlignment="1"/>
    <xf numFmtId="170" fontId="5" fillId="4" borderId="7" xfId="4" applyNumberFormat="1" applyFont="1" applyFill="1" applyBorder="1" applyAlignment="1">
      <alignment horizontal="right"/>
    </xf>
    <xf numFmtId="170" fontId="3" fillId="4" borderId="4" xfId="5" applyNumberFormat="1" applyFont="1" applyFill="1" applyBorder="1" applyAlignment="1">
      <alignment horizontal="right"/>
    </xf>
    <xf numFmtId="170" fontId="3" fillId="4" borderId="4" xfId="4" applyNumberFormat="1" applyFont="1" applyFill="1" applyBorder="1" applyAlignment="1"/>
    <xf numFmtId="0" fontId="6" fillId="4" borderId="0" xfId="1" applyFont="1" applyFill="1"/>
    <xf numFmtId="37" fontId="6" fillId="4" borderId="0" xfId="1" applyNumberFormat="1" applyFont="1" applyFill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 wrapText="1"/>
    </xf>
    <xf numFmtId="0" fontId="5" fillId="5" borderId="8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/>
    </xf>
    <xf numFmtId="0" fontId="5" fillId="5" borderId="9" xfId="1" applyFont="1" applyFill="1" applyBorder="1" applyAlignment="1">
      <alignment horizontal="center"/>
    </xf>
    <xf numFmtId="0" fontId="5" fillId="0" borderId="0" xfId="1" applyFont="1" applyAlignment="1">
      <alignment wrapText="1"/>
    </xf>
    <xf numFmtId="165" fontId="5" fillId="4" borderId="10" xfId="4" applyFont="1" applyFill="1" applyBorder="1" applyAlignment="1">
      <alignment horizontal="right"/>
    </xf>
    <xf numFmtId="4" fontId="5" fillId="0" borderId="0" xfId="1" applyNumberFormat="1" applyFont="1"/>
    <xf numFmtId="4" fontId="3" fillId="0" borderId="0" xfId="1" applyNumberFormat="1" applyFont="1"/>
    <xf numFmtId="49" fontId="3" fillId="0" borderId="3" xfId="1" applyNumberFormat="1" applyFont="1" applyBorder="1"/>
    <xf numFmtId="165" fontId="6" fillId="3" borderId="2" xfId="4" applyFont="1" applyFill="1" applyBorder="1" applyAlignment="1"/>
    <xf numFmtId="0" fontId="5" fillId="0" borderId="17" xfId="1" applyFont="1" applyBorder="1"/>
    <xf numFmtId="165" fontId="5" fillId="4" borderId="14" xfId="4" applyFont="1" applyFill="1" applyBorder="1" applyAlignment="1">
      <alignment horizontal="right"/>
    </xf>
    <xf numFmtId="0" fontId="6" fillId="0" borderId="0" xfId="0" applyFont="1"/>
    <xf numFmtId="0" fontId="5" fillId="0" borderId="11" xfId="1" applyFont="1" applyBorder="1" applyAlignment="1">
      <alignment horizontal="left" wrapText="1"/>
    </xf>
    <xf numFmtId="165" fontId="3" fillId="4" borderId="2" xfId="4" applyFont="1" applyFill="1" applyBorder="1" applyAlignment="1">
      <alignment horizontal="right"/>
    </xf>
    <xf numFmtId="170" fontId="3" fillId="4" borderId="0" xfId="1" applyNumberFormat="1" applyFont="1" applyFill="1"/>
    <xf numFmtId="170" fontId="3" fillId="4" borderId="7" xfId="5" applyNumberFormat="1" applyFont="1" applyFill="1" applyBorder="1" applyAlignment="1">
      <alignment horizontal="right"/>
    </xf>
    <xf numFmtId="170" fontId="5" fillId="4" borderId="9" xfId="5" applyNumberFormat="1" applyFont="1" applyFill="1" applyBorder="1" applyAlignment="1">
      <alignment horizontal="right"/>
    </xf>
    <xf numFmtId="165" fontId="3" fillId="0" borderId="0" xfId="4" applyFont="1" applyFill="1" applyAlignment="1"/>
    <xf numFmtId="0" fontId="5" fillId="0" borderId="6" xfId="1" applyFont="1" applyBorder="1"/>
    <xf numFmtId="170" fontId="5" fillId="4" borderId="7" xfId="5" applyNumberFormat="1" applyFont="1" applyFill="1" applyBorder="1" applyAlignment="1">
      <alignment horizontal="right"/>
    </xf>
    <xf numFmtId="165" fontId="5" fillId="4" borderId="7" xfId="4" applyFont="1" applyFill="1" applyBorder="1" applyAlignment="1">
      <alignment horizontal="right"/>
    </xf>
    <xf numFmtId="165" fontId="5" fillId="4" borderId="13" xfId="4" applyFont="1" applyFill="1" applyBorder="1" applyAlignment="1">
      <alignment horizontal="right"/>
    </xf>
    <xf numFmtId="0" fontId="12" fillId="4" borderId="0" xfId="1" applyFont="1" applyFill="1"/>
    <xf numFmtId="37" fontId="12" fillId="4" borderId="0" xfId="1" applyNumberFormat="1" applyFont="1" applyFill="1" applyAlignment="1">
      <alignment horizontal="center"/>
    </xf>
    <xf numFmtId="164" fontId="12" fillId="4" borderId="0" xfId="1" applyNumberFormat="1" applyFont="1" applyFill="1" applyAlignment="1">
      <alignment horizontal="center"/>
    </xf>
    <xf numFmtId="37" fontId="12" fillId="4" borderId="0" xfId="1" applyNumberFormat="1" applyFont="1" applyFill="1" applyAlignment="1">
      <alignment horizontal="center" vertical="center"/>
    </xf>
    <xf numFmtId="37" fontId="3" fillId="4" borderId="0" xfId="1" applyNumberFormat="1" applyFont="1" applyFill="1" applyAlignment="1">
      <alignment horizontal="right" vertical="center"/>
    </xf>
    <xf numFmtId="43" fontId="6" fillId="0" borderId="0" xfId="1" applyNumberFormat="1" applyFont="1"/>
    <xf numFmtId="165" fontId="12" fillId="4" borderId="0" xfId="4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37" fontId="6" fillId="4" borderId="0" xfId="1" applyNumberFormat="1" applyFont="1" applyFill="1" applyAlignment="1">
      <alignment horizontal="center" vertical="center"/>
    </xf>
    <xf numFmtId="37" fontId="3" fillId="4" borderId="0" xfId="1" applyNumberFormat="1" applyFont="1" applyFill="1" applyAlignment="1">
      <alignment horizontal="center" vertical="center"/>
    </xf>
    <xf numFmtId="43" fontId="7" fillId="4" borderId="0" xfId="1" applyNumberFormat="1" applyFont="1" applyFill="1" applyAlignment="1">
      <alignment horizontal="center"/>
    </xf>
    <xf numFmtId="49" fontId="3" fillId="4" borderId="0" xfId="1" applyNumberFormat="1" applyFont="1" applyFill="1" applyAlignment="1">
      <alignment horizontal="center"/>
    </xf>
    <xf numFmtId="165" fontId="3" fillId="4" borderId="0" xfId="4" applyFont="1" applyFill="1" applyAlignment="1">
      <alignment horizontal="center"/>
    </xf>
    <xf numFmtId="0" fontId="3" fillId="4" borderId="0" xfId="1" applyFont="1" applyFill="1" applyAlignment="1">
      <alignment horizontal="center"/>
    </xf>
    <xf numFmtId="49" fontId="3" fillId="4" borderId="0" xfId="1" applyNumberFormat="1" applyFont="1" applyFill="1"/>
    <xf numFmtId="0" fontId="3" fillId="4" borderId="0" xfId="1" applyFont="1" applyFill="1"/>
    <xf numFmtId="164" fontId="6" fillId="0" borderId="0" xfId="1" applyNumberFormat="1" applyFont="1"/>
    <xf numFmtId="166" fontId="3" fillId="4" borderId="0" xfId="1" applyNumberFormat="1" applyFont="1" applyFill="1" applyAlignment="1">
      <alignment horizontal="right"/>
    </xf>
    <xf numFmtId="0" fontId="4" fillId="0" borderId="0" xfId="0" applyFont="1"/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top" wrapText="1"/>
    </xf>
    <xf numFmtId="170" fontId="3" fillId="4" borderId="12" xfId="5" applyNumberFormat="1" applyFont="1" applyFill="1" applyBorder="1" applyAlignment="1">
      <alignment horizontal="right"/>
    </xf>
    <xf numFmtId="170" fontId="3" fillId="4" borderId="6" xfId="5" applyNumberFormat="1" applyFont="1" applyFill="1" applyBorder="1" applyAlignment="1">
      <alignment horizontal="right"/>
    </xf>
    <xf numFmtId="0" fontId="3" fillId="0" borderId="0" xfId="1" applyFont="1" applyAlignment="1">
      <alignment horizontal="left" indent="2"/>
    </xf>
    <xf numFmtId="0" fontId="5" fillId="0" borderId="12" xfId="1" applyFont="1" applyBorder="1"/>
    <xf numFmtId="0" fontId="12" fillId="0" borderId="0" xfId="1" applyFont="1"/>
    <xf numFmtId="164" fontId="5" fillId="0" borderId="0" xfId="5" applyNumberFormat="1" applyFont="1" applyFill="1" applyBorder="1" applyAlignment="1">
      <alignment horizontal="right"/>
    </xf>
    <xf numFmtId="49" fontId="3" fillId="0" borderId="0" xfId="5" applyNumberFormat="1" applyFont="1" applyFill="1" applyBorder="1" applyAlignment="1">
      <alignment horizontal="right"/>
    </xf>
    <xf numFmtId="0" fontId="12" fillId="0" borderId="0" xfId="1" applyFont="1" applyAlignment="1">
      <alignment horizontal="left" vertical="center"/>
    </xf>
    <xf numFmtId="164" fontId="12" fillId="0" borderId="0" xfId="1" applyNumberFormat="1" applyFont="1"/>
    <xf numFmtId="0" fontId="12" fillId="0" borderId="0" xfId="1" applyFont="1" applyAlignment="1">
      <alignment horizontal="left" vertical="center" wrapText="1"/>
    </xf>
    <xf numFmtId="43" fontId="12" fillId="0" borderId="0" xfId="1" applyNumberFormat="1" applyFont="1" applyAlignment="1">
      <alignment horizontal="left" vertical="center"/>
    </xf>
    <xf numFmtId="169" fontId="12" fillId="0" borderId="0" xfId="1" applyNumberFormat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43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165" fontId="3" fillId="0" borderId="0" xfId="4" applyFont="1" applyFill="1" applyBorder="1" applyAlignment="1">
      <alignment horizontal="right" vertical="center"/>
    </xf>
    <xf numFmtId="165" fontId="3" fillId="0" borderId="0" xfId="4" applyFont="1" applyFill="1" applyBorder="1" applyAlignment="1">
      <alignment horizontal="left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165" fontId="12" fillId="0" borderId="0" xfId="4" applyFont="1" applyAlignment="1">
      <alignment horizontal="left" vertical="center"/>
    </xf>
    <xf numFmtId="170" fontId="3" fillId="0" borderId="9" xfId="5" applyNumberFormat="1" applyFont="1" applyFill="1" applyBorder="1" applyAlignment="1">
      <alignment horizontal="right"/>
    </xf>
    <xf numFmtId="164" fontId="3" fillId="0" borderId="9" xfId="5" applyNumberFormat="1" applyFont="1" applyFill="1" applyBorder="1" applyAlignment="1">
      <alignment horizontal="right"/>
    </xf>
    <xf numFmtId="164" fontId="3" fillId="0" borderId="7" xfId="5" applyNumberFormat="1" applyFont="1" applyFill="1" applyBorder="1" applyAlignment="1">
      <alignment horizontal="right"/>
    </xf>
    <xf numFmtId="170" fontId="3" fillId="0" borderId="7" xfId="5" applyNumberFormat="1" applyFont="1" applyFill="1" applyBorder="1" applyAlignment="1">
      <alignment horizontal="right"/>
    </xf>
    <xf numFmtId="170" fontId="5" fillId="0" borderId="9" xfId="5" applyNumberFormat="1" applyFont="1" applyFill="1" applyBorder="1" applyAlignment="1">
      <alignment horizontal="right"/>
    </xf>
    <xf numFmtId="170" fontId="5" fillId="0" borderId="12" xfId="5" applyNumberFormat="1" applyFont="1" applyFill="1" applyBorder="1" applyAlignment="1">
      <alignment horizontal="right"/>
    </xf>
    <xf numFmtId="165" fontId="5" fillId="4" borderId="9" xfId="4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170" fontId="5" fillId="0" borderId="13" xfId="5" applyNumberFormat="1" applyFont="1" applyFill="1" applyBorder="1" applyAlignment="1">
      <alignment horizontal="right"/>
    </xf>
    <xf numFmtId="170" fontId="3" fillId="0" borderId="7" xfId="1" applyNumberFormat="1" applyFont="1" applyBorder="1"/>
    <xf numFmtId="170" fontId="5" fillId="0" borderId="7" xfId="4" applyNumberFormat="1" applyFont="1" applyFill="1" applyBorder="1" applyAlignment="1">
      <alignment horizontal="right"/>
    </xf>
    <xf numFmtId="170" fontId="3" fillId="0" borderId="8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49" fontId="3" fillId="0" borderId="3" xfId="1" applyNumberFormat="1" applyFont="1" applyBorder="1" applyAlignment="1">
      <alignment horizontal="left"/>
    </xf>
    <xf numFmtId="165" fontId="3" fillId="4" borderId="8" xfId="4" applyFont="1" applyFill="1" applyBorder="1" applyAlignment="1">
      <alignment horizontal="center"/>
    </xf>
    <xf numFmtId="165" fontId="3" fillId="4" borderId="3" xfId="4" applyFont="1" applyFill="1" applyBorder="1" applyAlignment="1">
      <alignment horizontal="center"/>
    </xf>
    <xf numFmtId="170" fontId="3" fillId="4" borderId="8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49" fontId="3" fillId="0" borderId="0" xfId="1" applyNumberFormat="1" applyFont="1" applyAlignment="1">
      <alignment horizontal="left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165" fontId="3" fillId="0" borderId="8" xfId="4" applyFont="1" applyFill="1" applyBorder="1" applyAlignment="1">
      <alignment horizontal="center"/>
    </xf>
    <xf numFmtId="165" fontId="3" fillId="0" borderId="3" xfId="4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/>
    </xf>
    <xf numFmtId="170" fontId="3" fillId="4" borderId="8" xfId="5" applyNumberFormat="1" applyFont="1" applyFill="1" applyBorder="1" applyAlignment="1">
      <alignment horizontal="center"/>
    </xf>
    <xf numFmtId="170" fontId="3" fillId="4" borderId="0" xfId="5" applyNumberFormat="1" applyFont="1" applyFill="1" applyBorder="1" applyAlignment="1">
      <alignment horizontal="center"/>
    </xf>
    <xf numFmtId="170" fontId="3" fillId="4" borderId="3" xfId="5" applyNumberFormat="1" applyFont="1" applyFill="1" applyBorder="1" applyAlignment="1">
      <alignment horizontal="center"/>
    </xf>
    <xf numFmtId="170" fontId="5" fillId="4" borderId="8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170" fontId="5" fillId="4" borderId="0" xfId="5" applyNumberFormat="1" applyFont="1" applyFill="1" applyBorder="1" applyAlignment="1">
      <alignment horizontal="center"/>
    </xf>
    <xf numFmtId="170" fontId="5" fillId="4" borderId="9" xfId="5" applyNumberFormat="1" applyFont="1" applyFill="1" applyBorder="1" applyAlignment="1">
      <alignment horizontal="center"/>
    </xf>
    <xf numFmtId="170" fontId="5" fillId="4" borderId="12" xfId="5" applyNumberFormat="1" applyFont="1" applyFill="1" applyBorder="1" applyAlignment="1">
      <alignment horizontal="center"/>
    </xf>
    <xf numFmtId="170" fontId="5" fillId="4" borderId="6" xfId="5" applyNumberFormat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165" fontId="3" fillId="0" borderId="8" xfId="5" applyNumberFormat="1" applyFont="1" applyFill="1" applyBorder="1" applyAlignment="1">
      <alignment horizontal="center"/>
    </xf>
    <xf numFmtId="165" fontId="3" fillId="0" borderId="3" xfId="5" applyNumberFormat="1" applyFont="1" applyFill="1" applyBorder="1" applyAlignment="1">
      <alignment horizontal="center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0" fontId="5" fillId="5" borderId="14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165" fontId="3" fillId="4" borderId="9" xfId="4" applyFont="1" applyFill="1" applyBorder="1" applyAlignment="1">
      <alignment horizontal="center"/>
    </xf>
    <xf numFmtId="165" fontId="3" fillId="4" borderId="12" xfId="4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49" fontId="3" fillId="0" borderId="12" xfId="1" applyNumberFormat="1" applyFont="1" applyBorder="1" applyAlignment="1">
      <alignment horizontal="left"/>
    </xf>
    <xf numFmtId="37" fontId="12" fillId="4" borderId="17" xfId="1" applyNumberFormat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170" fontId="3" fillId="4" borderId="9" xfId="5" applyNumberFormat="1" applyFont="1" applyFill="1" applyBorder="1" applyAlignment="1">
      <alignment horizontal="right"/>
    </xf>
    <xf numFmtId="170" fontId="3" fillId="4" borderId="6" xfId="5" applyNumberFormat="1" applyFont="1" applyFill="1" applyBorder="1" applyAlignment="1">
      <alignment horizontal="right"/>
    </xf>
    <xf numFmtId="0" fontId="7" fillId="4" borderId="0" xfId="1" applyFont="1" applyFill="1" applyAlignment="1">
      <alignment horizontal="center"/>
    </xf>
    <xf numFmtId="49" fontId="7" fillId="4" borderId="0" xfId="1" applyNumberFormat="1" applyFont="1" applyFill="1" applyAlignment="1">
      <alignment horizontal="center"/>
    </xf>
    <xf numFmtId="170" fontId="3" fillId="0" borderId="8" xfId="4" applyNumberFormat="1" applyFont="1" applyFill="1" applyBorder="1" applyAlignment="1">
      <alignment horizontal="center"/>
    </xf>
    <xf numFmtId="170" fontId="3" fillId="0" borderId="3" xfId="4" applyNumberFormat="1" applyFont="1" applyFill="1" applyBorder="1" applyAlignment="1">
      <alignment horizontal="center"/>
    </xf>
    <xf numFmtId="49" fontId="5" fillId="5" borderId="9" xfId="1" applyNumberFormat="1" applyFont="1" applyFill="1" applyBorder="1" applyAlignment="1">
      <alignment horizontal="center"/>
    </xf>
    <xf numFmtId="49" fontId="5" fillId="5" borderId="12" xfId="1" applyNumberFormat="1" applyFont="1" applyFill="1" applyBorder="1" applyAlignment="1">
      <alignment horizontal="center"/>
    </xf>
    <xf numFmtId="165" fontId="3" fillId="0" borderId="6" xfId="4" applyFont="1" applyFill="1" applyBorder="1" applyAlignment="1">
      <alignment horizontal="right"/>
    </xf>
    <xf numFmtId="170" fontId="5" fillId="0" borderId="14" xfId="5" applyNumberFormat="1" applyFont="1" applyFill="1" applyBorder="1" applyAlignment="1">
      <alignment horizontal="right"/>
    </xf>
    <xf numFmtId="170" fontId="5" fillId="0" borderId="13" xfId="5" applyNumberFormat="1" applyFont="1" applyFill="1" applyBorder="1" applyAlignment="1">
      <alignment horizontal="right"/>
    </xf>
    <xf numFmtId="165" fontId="3" fillId="4" borderId="0" xfId="4" applyFont="1" applyFill="1" applyBorder="1" applyAlignment="1">
      <alignment horizontal="right"/>
    </xf>
    <xf numFmtId="165" fontId="5" fillId="0" borderId="14" xfId="4" applyFont="1" applyFill="1" applyBorder="1" applyAlignment="1">
      <alignment horizontal="right"/>
    </xf>
    <xf numFmtId="165" fontId="5" fillId="0" borderId="17" xfId="4" applyFont="1" applyFill="1" applyBorder="1" applyAlignment="1">
      <alignment horizontal="right"/>
    </xf>
    <xf numFmtId="164" fontId="3" fillId="4" borderId="8" xfId="5" applyNumberFormat="1" applyFont="1" applyFill="1" applyBorder="1" applyAlignment="1">
      <alignment horizontal="right"/>
    </xf>
    <xf numFmtId="164" fontId="3" fillId="4" borderId="0" xfId="5" applyNumberFormat="1" applyFont="1" applyFill="1" applyBorder="1" applyAlignment="1">
      <alignment horizontal="right"/>
    </xf>
    <xf numFmtId="165" fontId="5" fillId="4" borderId="8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165" fontId="6" fillId="3" borderId="14" xfId="4" applyFont="1" applyFill="1" applyBorder="1" applyAlignment="1">
      <alignment horizontal="center"/>
    </xf>
    <xf numFmtId="165" fontId="6" fillId="3" borderId="17" xfId="4" applyFont="1" applyFill="1" applyBorder="1" applyAlignment="1">
      <alignment horizontal="center"/>
    </xf>
    <xf numFmtId="165" fontId="6" fillId="3" borderId="4" xfId="4" applyFont="1" applyFill="1" applyBorder="1" applyAlignment="1">
      <alignment horizontal="center"/>
    </xf>
    <xf numFmtId="165" fontId="5" fillId="4" borderId="8" xfId="4" applyFont="1" applyFill="1" applyBorder="1" applyAlignment="1">
      <alignment horizontal="right"/>
    </xf>
    <xf numFmtId="165" fontId="5" fillId="4" borderId="3" xfId="4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165" fontId="3" fillId="4" borderId="8" xfId="4" applyFont="1" applyFill="1" applyBorder="1" applyAlignment="1">
      <alignment horizontal="right"/>
    </xf>
    <xf numFmtId="165" fontId="3" fillId="4" borderId="3" xfId="4" applyFont="1" applyFill="1" applyBorder="1" applyAlignment="1">
      <alignment horizontal="right"/>
    </xf>
    <xf numFmtId="170" fontId="3" fillId="0" borderId="8" xfId="5" applyNumberFormat="1" applyFont="1" applyFill="1" applyBorder="1" applyAlignment="1">
      <alignment horizontal="center"/>
    </xf>
    <xf numFmtId="170" fontId="3" fillId="0" borderId="0" xfId="5" applyNumberFormat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left" indent="4"/>
    </xf>
    <xf numFmtId="170" fontId="3" fillId="6" borderId="8" xfId="5" applyNumberFormat="1" applyFont="1" applyFill="1" applyBorder="1" applyAlignment="1">
      <alignment horizontal="center"/>
    </xf>
    <xf numFmtId="170" fontId="3" fillId="6" borderId="0" xfId="5" applyNumberFormat="1" applyFont="1" applyFill="1" applyBorder="1" applyAlignment="1">
      <alignment horizontal="center"/>
    </xf>
    <xf numFmtId="0" fontId="5" fillId="0" borderId="0" xfId="1" applyFont="1" applyAlignment="1">
      <alignment horizontal="left" wrapText="1"/>
    </xf>
    <xf numFmtId="0" fontId="5" fillId="0" borderId="3" xfId="1" applyFont="1" applyBorder="1" applyAlignment="1">
      <alignment horizontal="left" wrapText="1"/>
    </xf>
    <xf numFmtId="165" fontId="5" fillId="4" borderId="10" xfId="4" applyFont="1" applyFill="1" applyBorder="1" applyAlignment="1">
      <alignment horizontal="right"/>
    </xf>
    <xf numFmtId="165" fontId="5" fillId="4" borderId="11" xfId="4" applyFont="1" applyFill="1" applyBorder="1" applyAlignment="1">
      <alignment horizontal="right"/>
    </xf>
    <xf numFmtId="170" fontId="5" fillId="4" borderId="10" xfId="5" applyNumberFormat="1" applyFont="1" applyFill="1" applyBorder="1" applyAlignment="1">
      <alignment horizontal="right"/>
    </xf>
    <xf numFmtId="170" fontId="5" fillId="4" borderId="5" xfId="5" applyNumberFormat="1" applyFont="1" applyFill="1" applyBorder="1" applyAlignment="1">
      <alignment horizontal="right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5" fillId="5" borderId="7" xfId="1" applyNumberFormat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49" fontId="5" fillId="5" borderId="10" xfId="1" applyNumberFormat="1" applyFont="1" applyFill="1" applyBorder="1" applyAlignment="1">
      <alignment horizontal="center"/>
    </xf>
    <xf numFmtId="49" fontId="5" fillId="5" borderId="11" xfId="1" applyNumberFormat="1" applyFont="1" applyFill="1" applyBorder="1" applyAlignment="1">
      <alignment horizontal="center"/>
    </xf>
    <xf numFmtId="49" fontId="5" fillId="5" borderId="8" xfId="1" applyNumberFormat="1" applyFont="1" applyFill="1" applyBorder="1" applyAlignment="1">
      <alignment horizontal="center"/>
    </xf>
    <xf numFmtId="49" fontId="5" fillId="5" borderId="0" xfId="1" applyNumberFormat="1" applyFont="1" applyFill="1" applyAlignment="1">
      <alignment horizontal="center"/>
    </xf>
    <xf numFmtId="0" fontId="5" fillId="5" borderId="5" xfId="1" applyFont="1" applyFill="1" applyBorder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49" fontId="5" fillId="5" borderId="5" xfId="1" applyNumberFormat="1" applyFont="1" applyFill="1" applyBorder="1" applyAlignment="1">
      <alignment horizontal="center"/>
    </xf>
    <xf numFmtId="0" fontId="8" fillId="4" borderId="0" xfId="1" applyFont="1" applyFill="1" applyAlignment="1">
      <alignment horizontal="center"/>
    </xf>
    <xf numFmtId="170" fontId="5" fillId="4" borderId="14" xfId="5" applyNumberFormat="1" applyFont="1" applyFill="1" applyBorder="1" applyAlignment="1">
      <alignment horizontal="right"/>
    </xf>
    <xf numFmtId="170" fontId="5" fillId="4" borderId="13" xfId="5" applyNumberFormat="1" applyFont="1" applyFill="1" applyBorder="1" applyAlignment="1">
      <alignment horizontal="right"/>
    </xf>
    <xf numFmtId="165" fontId="5" fillId="4" borderId="14" xfId="4" applyFont="1" applyFill="1" applyBorder="1" applyAlignment="1">
      <alignment horizontal="right"/>
    </xf>
    <xf numFmtId="165" fontId="5" fillId="4" borderId="17" xfId="4" applyFont="1" applyFill="1" applyBorder="1" applyAlignment="1">
      <alignment horizontal="right"/>
    </xf>
    <xf numFmtId="164" fontId="3" fillId="0" borderId="9" xfId="5" applyNumberFormat="1" applyFont="1" applyFill="1" applyBorder="1" applyAlignment="1">
      <alignment horizontal="center"/>
    </xf>
    <xf numFmtId="164" fontId="3" fillId="0" borderId="6" xfId="5" applyNumberFormat="1" applyFont="1" applyFill="1" applyBorder="1" applyAlignment="1">
      <alignment horizontal="center"/>
    </xf>
    <xf numFmtId="165" fontId="6" fillId="3" borderId="8" xfId="4" applyFont="1" applyFill="1" applyBorder="1" applyAlignment="1">
      <alignment horizontal="center"/>
    </xf>
    <xf numFmtId="165" fontId="6" fillId="3" borderId="3" xfId="4" applyFont="1" applyFill="1" applyBorder="1" applyAlignment="1">
      <alignment horizontal="center"/>
    </xf>
    <xf numFmtId="165" fontId="6" fillId="3" borderId="0" xfId="4" applyFont="1" applyFill="1" applyBorder="1" applyAlignment="1">
      <alignment horizontal="center"/>
    </xf>
    <xf numFmtId="165" fontId="3" fillId="4" borderId="0" xfId="4" applyFont="1" applyFill="1" applyBorder="1" applyAlignment="1">
      <alignment horizontal="center"/>
    </xf>
    <xf numFmtId="165" fontId="5" fillId="4" borderId="5" xfId="4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170" fontId="5" fillId="4" borderId="14" xfId="4" applyNumberFormat="1" applyFont="1" applyFill="1" applyBorder="1" applyAlignment="1">
      <alignment horizontal="center"/>
    </xf>
    <xf numFmtId="170" fontId="5" fillId="4" borderId="13" xfId="4" applyNumberFormat="1" applyFont="1" applyFill="1" applyBorder="1" applyAlignment="1">
      <alignment horizontal="center"/>
    </xf>
    <xf numFmtId="49" fontId="5" fillId="0" borderId="5" xfId="1" applyNumberFormat="1" applyFont="1" applyBorder="1" applyAlignment="1">
      <alignment horizontal="left"/>
    </xf>
    <xf numFmtId="49" fontId="5" fillId="0" borderId="11" xfId="1" applyNumberFormat="1" applyFont="1" applyBorder="1" applyAlignment="1">
      <alignment horizontal="left"/>
    </xf>
    <xf numFmtId="165" fontId="6" fillId="3" borderId="13" xfId="4" applyFont="1" applyFill="1" applyBorder="1" applyAlignment="1">
      <alignment horizontal="center"/>
    </xf>
    <xf numFmtId="170" fontId="3" fillId="0" borderId="14" xfId="4" applyNumberFormat="1" applyFont="1" applyFill="1" applyBorder="1" applyAlignment="1">
      <alignment horizontal="center" wrapText="1"/>
    </xf>
    <xf numFmtId="170" fontId="3" fillId="0" borderId="13" xfId="4" applyNumberFormat="1" applyFont="1" applyFill="1" applyBorder="1" applyAlignment="1">
      <alignment horizontal="center" wrapText="1"/>
    </xf>
    <xf numFmtId="49" fontId="5" fillId="0" borderId="17" xfId="1" applyNumberFormat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/>
    </xf>
    <xf numFmtId="170" fontId="5" fillId="4" borderId="10" xfId="5" applyNumberFormat="1" applyFont="1" applyFill="1" applyBorder="1" applyAlignment="1">
      <alignment horizontal="center"/>
    </xf>
    <xf numFmtId="170" fontId="5" fillId="4" borderId="11" xfId="5" applyNumberFormat="1" applyFont="1" applyFill="1" applyBorder="1" applyAlignment="1">
      <alignment horizontal="center"/>
    </xf>
    <xf numFmtId="49" fontId="5" fillId="0" borderId="17" xfId="1" applyNumberFormat="1" applyFont="1" applyBorder="1" applyAlignment="1">
      <alignment horizontal="left"/>
    </xf>
    <xf numFmtId="49" fontId="5" fillId="0" borderId="13" xfId="1" applyNumberFormat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170" fontId="5" fillId="4" borderId="17" xfId="5" applyNumberFormat="1" applyFont="1" applyFill="1" applyBorder="1" applyAlignment="1">
      <alignment horizontal="right"/>
    </xf>
    <xf numFmtId="0" fontId="3" fillId="0" borderId="3" xfId="1" applyFont="1" applyBorder="1" applyAlignment="1">
      <alignment horizontal="left"/>
    </xf>
    <xf numFmtId="164" fontId="3" fillId="4" borderId="3" xfId="5" applyNumberFormat="1" applyFont="1" applyFill="1" applyBorder="1" applyAlignment="1">
      <alignment horizontal="right"/>
    </xf>
    <xf numFmtId="0" fontId="3" fillId="0" borderId="6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164" fontId="3" fillId="4" borderId="9" xfId="5" applyNumberFormat="1" applyFont="1" applyFill="1" applyBorder="1" applyAlignment="1">
      <alignment horizontal="right"/>
    </xf>
    <xf numFmtId="164" fontId="3" fillId="4" borderId="12" xfId="5" applyNumberFormat="1" applyFont="1" applyFill="1" applyBorder="1" applyAlignment="1">
      <alignment horizontal="right"/>
    </xf>
    <xf numFmtId="0" fontId="3" fillId="0" borderId="0" xfId="1" applyFont="1" applyAlignment="1">
      <alignment horizontal="left"/>
    </xf>
    <xf numFmtId="164" fontId="5" fillId="4" borderId="10" xfId="5" applyNumberFormat="1" applyFont="1" applyFill="1" applyBorder="1" applyAlignment="1">
      <alignment horizontal="right"/>
    </xf>
    <xf numFmtId="164" fontId="5" fillId="4" borderId="5" xfId="5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164" fontId="5" fillId="4" borderId="11" xfId="5" applyNumberFormat="1" applyFont="1" applyFill="1" applyBorder="1" applyAlignment="1">
      <alignment horizontal="right"/>
    </xf>
    <xf numFmtId="170" fontId="3" fillId="0" borderId="3" xfId="5" applyNumberFormat="1" applyFont="1" applyFill="1" applyBorder="1" applyAlignment="1">
      <alignment horizontal="center"/>
    </xf>
    <xf numFmtId="170" fontId="5" fillId="4" borderId="14" xfId="5" applyNumberFormat="1" applyFont="1" applyFill="1" applyBorder="1" applyAlignment="1">
      <alignment horizontal="center"/>
    </xf>
    <xf numFmtId="170" fontId="5" fillId="4" borderId="13" xfId="5" applyNumberFormat="1" applyFont="1" applyFill="1" applyBorder="1" applyAlignment="1">
      <alignment horizontal="center"/>
    </xf>
    <xf numFmtId="170" fontId="3" fillId="6" borderId="3" xfId="5" applyNumberFormat="1" applyFont="1" applyFill="1" applyBorder="1" applyAlignment="1">
      <alignment horizontal="center"/>
    </xf>
    <xf numFmtId="170" fontId="3" fillId="6" borderId="8" xfId="5" applyNumberFormat="1" applyFont="1" applyFill="1" applyBorder="1" applyAlignment="1">
      <alignment horizontal="right"/>
    </xf>
    <xf numFmtId="170" fontId="3" fillId="6" borderId="0" xfId="5" applyNumberFormat="1" applyFont="1" applyFill="1" applyBorder="1" applyAlignment="1">
      <alignment horizontal="right"/>
    </xf>
    <xf numFmtId="49" fontId="3" fillId="0" borderId="0" xfId="1" applyNumberFormat="1" applyFont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  <xf numFmtId="0" fontId="5" fillId="0" borderId="5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170" fontId="3" fillId="4" borderId="8" xfId="4" applyNumberFormat="1" applyFont="1" applyFill="1" applyBorder="1" applyAlignment="1">
      <alignment horizontal="center"/>
    </xf>
    <xf numFmtId="170" fontId="3" fillId="4" borderId="3" xfId="4" applyNumberFormat="1" applyFont="1" applyFill="1" applyBorder="1" applyAlignment="1">
      <alignment horizontal="center"/>
    </xf>
    <xf numFmtId="170" fontId="3" fillId="4" borderId="8" xfId="4" applyNumberFormat="1" applyFont="1" applyFill="1" applyBorder="1" applyAlignment="1">
      <alignment horizontal="right"/>
    </xf>
    <xf numFmtId="170" fontId="3" fillId="4" borderId="3" xfId="4" applyNumberFormat="1" applyFont="1" applyFill="1" applyBorder="1" applyAlignment="1">
      <alignment horizontal="right"/>
    </xf>
    <xf numFmtId="170" fontId="5" fillId="4" borderId="10" xfId="4" applyNumberFormat="1" applyFont="1" applyFill="1" applyBorder="1" applyAlignment="1">
      <alignment horizontal="right"/>
    </xf>
    <xf numFmtId="170" fontId="5" fillId="4" borderId="11" xfId="4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5" fillId="5" borderId="6" xfId="1" applyNumberFormat="1" applyFont="1" applyFill="1" applyBorder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43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>
      <alignment horizontal="center" vertical="center" wrapText="1"/>
    </xf>
    <xf numFmtId="43" fontId="3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wrapText="1"/>
    </xf>
    <xf numFmtId="37" fontId="6" fillId="0" borderId="0" xfId="1" applyNumberFormat="1" applyFont="1" applyFill="1" applyAlignment="1">
      <alignment horizontal="center"/>
    </xf>
    <xf numFmtId="3" fontId="3" fillId="0" borderId="0" xfId="1" applyNumberFormat="1" applyFont="1" applyFill="1"/>
    <xf numFmtId="0" fontId="6" fillId="0" borderId="0" xfId="1" applyFont="1" applyFill="1"/>
    <xf numFmtId="0" fontId="13" fillId="0" borderId="0" xfId="1" applyFont="1" applyFill="1" applyAlignment="1">
      <alignment horizontal="center"/>
    </xf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1004360</xdr:colOff>
      <xdr:row>0</xdr:row>
      <xdr:rowOff>61384</xdr:rowOff>
    </xdr:from>
    <xdr:to>
      <xdr:col>4</xdr:col>
      <xdr:colOff>153461</xdr:colOff>
      <xdr:row>4</xdr:row>
      <xdr:rowOff>80434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6443" y="61384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topLeftCell="A210" zoomScale="90" zoomScaleNormal="90" zoomScaleSheetLayoutView="70" workbookViewId="0">
      <selection activeCell="A134" sqref="A134:L134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2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309" t="s">
        <v>0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</row>
    <row r="7" spans="1:12" s="4" customFormat="1" ht="15.75" customHeight="1" x14ac:dyDescent="0.25">
      <c r="A7" s="310" t="s">
        <v>1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</row>
    <row r="8" spans="1:12" s="4" customFormat="1" ht="15.75" customHeight="1" x14ac:dyDescent="0.25">
      <c r="A8" s="311" t="s">
        <v>2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</row>
    <row r="9" spans="1:12" s="4" customFormat="1" ht="15.75" customHeight="1" x14ac:dyDescent="0.25">
      <c r="A9" s="309" t="s">
        <v>3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</row>
    <row r="10" spans="1:12" s="4" customFormat="1" ht="16.5" x14ac:dyDescent="0.25">
      <c r="A10" s="205" t="s">
        <v>157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9" t="s">
        <v>158</v>
      </c>
    </row>
    <row r="13" spans="1:12" s="3" customFormat="1" ht="15.75" x14ac:dyDescent="0.25">
      <c r="A13" s="10" t="s">
        <v>4</v>
      </c>
      <c r="E13" s="11"/>
      <c r="H13" s="12"/>
      <c r="I13" s="8"/>
      <c r="J13" s="13"/>
      <c r="L13" s="13">
        <v>1</v>
      </c>
    </row>
    <row r="14" spans="1:12" s="3" customFormat="1" ht="20.25" customHeight="1" x14ac:dyDescent="0.25">
      <c r="A14" s="250" t="s">
        <v>5</v>
      </c>
      <c r="B14" s="190"/>
      <c r="C14" s="240" t="s">
        <v>6</v>
      </c>
      <c r="D14" s="15" t="s">
        <v>7</v>
      </c>
      <c r="E14" s="243" t="s">
        <v>8</v>
      </c>
      <c r="F14" s="244"/>
      <c r="G14" s="244"/>
      <c r="H14" s="244"/>
      <c r="I14" s="245"/>
      <c r="J14" s="246" t="s">
        <v>9</v>
      </c>
      <c r="K14" s="253"/>
      <c r="L14" s="253"/>
    </row>
    <row r="15" spans="1:12" s="3" customFormat="1" ht="15.75" customHeight="1" x14ac:dyDescent="0.25">
      <c r="A15" s="251"/>
      <c r="B15" s="191"/>
      <c r="C15" s="241"/>
      <c r="D15" s="16" t="s">
        <v>10</v>
      </c>
      <c r="E15" s="15" t="s">
        <v>11</v>
      </c>
      <c r="F15" s="17" t="s">
        <v>12</v>
      </c>
      <c r="G15" s="246" t="s">
        <v>13</v>
      </c>
      <c r="H15" s="247"/>
      <c r="I15" s="17" t="s">
        <v>12</v>
      </c>
      <c r="J15" s="248"/>
      <c r="K15" s="249"/>
      <c r="L15" s="249"/>
    </row>
    <row r="16" spans="1:12" s="3" customFormat="1" ht="16.5" customHeight="1" x14ac:dyDescent="0.25">
      <c r="A16" s="252"/>
      <c r="B16" s="192"/>
      <c r="C16" s="242"/>
      <c r="D16" s="19" t="s">
        <v>14</v>
      </c>
      <c r="E16" s="19" t="s">
        <v>15</v>
      </c>
      <c r="F16" s="19" t="s">
        <v>16</v>
      </c>
      <c r="G16" s="208" t="s">
        <v>17</v>
      </c>
      <c r="H16" s="209"/>
      <c r="I16" s="19" t="s">
        <v>18</v>
      </c>
      <c r="J16" s="208" t="s">
        <v>19</v>
      </c>
      <c r="K16" s="312"/>
      <c r="L16" s="312"/>
    </row>
    <row r="17" spans="1:13" s="3" customFormat="1" ht="15.95" customHeight="1" x14ac:dyDescent="0.25">
      <c r="A17" s="234" t="s">
        <v>20</v>
      </c>
      <c r="B17" s="235"/>
      <c r="C17" s="20">
        <f>C18+C58</f>
        <v>99566847052</v>
      </c>
      <c r="D17" s="21">
        <f>D18+D58</f>
        <v>105954506658.22</v>
      </c>
      <c r="E17" s="22">
        <f>E18+E58</f>
        <v>15329109126.989998</v>
      </c>
      <c r="F17" s="23">
        <f>(E17/D17)*100</f>
        <v>14.467632959150547</v>
      </c>
      <c r="G17" s="307">
        <f>G18+G58</f>
        <v>88790243890.899994</v>
      </c>
      <c r="H17" s="308"/>
      <c r="I17" s="23">
        <f>(G17/D17)*100</f>
        <v>83.800346668889532</v>
      </c>
      <c r="J17" s="238">
        <f>D17-G17</f>
        <v>17164262767.320007</v>
      </c>
      <c r="K17" s="239"/>
      <c r="L17" s="239"/>
      <c r="M17" s="25"/>
    </row>
    <row r="18" spans="1:13" s="3" customFormat="1" ht="15.95" customHeight="1" x14ac:dyDescent="0.25">
      <c r="A18" s="167" t="s">
        <v>21</v>
      </c>
      <c r="B18" s="167"/>
      <c r="C18" s="26">
        <f>C19+C23+C28+C36+C37+C38+C44+C52</f>
        <v>98900913618</v>
      </c>
      <c r="D18" s="27">
        <f>D19+D23+D28+D36+D37+D38+D44+D52</f>
        <v>103504933692.52</v>
      </c>
      <c r="E18" s="22">
        <f>E19+E23+E28+E36+E37+E38+E44+E52</f>
        <v>14816263274.289999</v>
      </c>
      <c r="F18" s="28">
        <f t="shared" ref="F18:F77" si="0">(E18/D18)*100</f>
        <v>14.314547863297387</v>
      </c>
      <c r="G18" s="313">
        <f>G19+G23+G28+G36+G37+G38+G44+G52</f>
        <v>86232252983.860001</v>
      </c>
      <c r="H18" s="314"/>
      <c r="I18" s="28">
        <f t="shared" ref="I18:I77" si="1">(G18/D18)*100</f>
        <v>83.312215087281146</v>
      </c>
      <c r="J18" s="225">
        <f t="shared" ref="J18:J81" si="2">D18-G18</f>
        <v>17272680708.660004</v>
      </c>
      <c r="K18" s="226"/>
      <c r="L18" s="226"/>
      <c r="M18" s="30"/>
    </row>
    <row r="19" spans="1:13" s="3" customFormat="1" ht="15.95" customHeight="1" x14ac:dyDescent="0.25">
      <c r="A19" s="157" t="s">
        <v>22</v>
      </c>
      <c r="B19" s="157"/>
      <c r="C19" s="31">
        <f>C20+C21+C22</f>
        <v>51303421483</v>
      </c>
      <c r="D19" s="32">
        <f>D20+D21+D22</f>
        <v>54473203122.099998</v>
      </c>
      <c r="E19" s="33">
        <f>E20+E21+E22</f>
        <v>8949672774.9599972</v>
      </c>
      <c r="F19" s="34">
        <f t="shared" si="0"/>
        <v>16.429496086175771</v>
      </c>
      <c r="G19" s="305">
        <f>G20+G21+H22</f>
        <v>45581834154.599998</v>
      </c>
      <c r="H19" s="306" t="e">
        <f>G20+G21+#REF!</f>
        <v>#REF!</v>
      </c>
      <c r="I19" s="34">
        <f t="shared" si="1"/>
        <v>83.677536003215607</v>
      </c>
      <c r="J19" s="160">
        <f t="shared" si="2"/>
        <v>8891368967.5</v>
      </c>
      <c r="K19" s="161"/>
      <c r="L19" s="161"/>
      <c r="M19" s="30"/>
    </row>
    <row r="20" spans="1:13" s="3" customFormat="1" ht="15.95" customHeight="1" x14ac:dyDescent="0.25">
      <c r="A20" s="157" t="s">
        <v>23</v>
      </c>
      <c r="B20" s="157"/>
      <c r="C20" s="31">
        <v>46449631008</v>
      </c>
      <c r="D20" s="32">
        <v>49824024271.25</v>
      </c>
      <c r="E20" s="33">
        <f>G20-33256134412.38</f>
        <v>8288757671.1099968</v>
      </c>
      <c r="F20" s="34">
        <f t="shared" si="0"/>
        <v>16.636066219751072</v>
      </c>
      <c r="G20" s="303">
        <v>41544892083.489998</v>
      </c>
      <c r="H20" s="304"/>
      <c r="I20" s="34">
        <f t="shared" si="1"/>
        <v>83.383252740310425</v>
      </c>
      <c r="J20" s="160">
        <f t="shared" si="2"/>
        <v>8279132187.7600021</v>
      </c>
      <c r="K20" s="161"/>
      <c r="L20" s="161"/>
    </row>
    <row r="21" spans="1:13" s="3" customFormat="1" ht="15.95" customHeight="1" x14ac:dyDescent="0.25">
      <c r="A21" s="157" t="s">
        <v>24</v>
      </c>
      <c r="B21" s="157"/>
      <c r="C21" s="31">
        <v>4853790475</v>
      </c>
      <c r="D21" s="32">
        <v>4649178850.8500004</v>
      </c>
      <c r="E21" s="33">
        <f>G21-3376026967.26</f>
        <v>660915103.8499999</v>
      </c>
      <c r="F21" s="34">
        <f t="shared" si="0"/>
        <v>14.215738414304409</v>
      </c>
      <c r="G21" s="303">
        <v>4036942071.1100001</v>
      </c>
      <c r="H21" s="304"/>
      <c r="I21" s="34">
        <f t="shared" si="1"/>
        <v>86.831292161882175</v>
      </c>
      <c r="J21" s="160">
        <f t="shared" si="2"/>
        <v>612236779.74000025</v>
      </c>
      <c r="K21" s="161"/>
      <c r="L21" s="161"/>
    </row>
    <row r="22" spans="1:13" s="3" customFormat="1" ht="15.95" customHeight="1" x14ac:dyDescent="0.25">
      <c r="A22" s="231" t="s">
        <v>25</v>
      </c>
      <c r="B22" s="231"/>
      <c r="C22" s="31">
        <v>0</v>
      </c>
      <c r="D22" s="32">
        <v>0</v>
      </c>
      <c r="E22" s="33">
        <f>G22-0</f>
        <v>0</v>
      </c>
      <c r="F22" s="34">
        <v>0</v>
      </c>
      <c r="G22" s="305">
        <v>0</v>
      </c>
      <c r="H22" s="306"/>
      <c r="I22" s="34">
        <v>0</v>
      </c>
      <c r="J22" s="160">
        <f t="shared" si="2"/>
        <v>0</v>
      </c>
      <c r="K22" s="161"/>
      <c r="L22" s="161"/>
    </row>
    <row r="23" spans="1:13" s="3" customFormat="1" ht="17.25" customHeight="1" x14ac:dyDescent="0.25">
      <c r="A23" s="157" t="s">
        <v>26</v>
      </c>
      <c r="B23" s="157"/>
      <c r="C23" s="31">
        <f>C25+C24+C26+C27</f>
        <v>4185040647</v>
      </c>
      <c r="D23" s="32">
        <f>D25+D24+D26+D27</f>
        <v>4545274214.46</v>
      </c>
      <c r="E23" s="33">
        <f>E25+E24+E26+E27</f>
        <v>656894871.19000006</v>
      </c>
      <c r="F23" s="34">
        <f t="shared" si="0"/>
        <v>14.452260528093182</v>
      </c>
      <c r="G23" s="305">
        <f>SUM(G24:H27)</f>
        <v>3488863941.3000002</v>
      </c>
      <c r="H23" s="306"/>
      <c r="I23" s="34">
        <f t="shared" si="1"/>
        <v>76.758051916885137</v>
      </c>
      <c r="J23" s="160">
        <f t="shared" si="2"/>
        <v>1056410273.1599998</v>
      </c>
      <c r="K23" s="161"/>
      <c r="L23" s="161"/>
      <c r="M23" s="30"/>
    </row>
    <row r="24" spans="1:13" s="3" customFormat="1" ht="15.95" customHeight="1" x14ac:dyDescent="0.25">
      <c r="A24" s="157" t="s">
        <v>27</v>
      </c>
      <c r="B24" s="157"/>
      <c r="C24" s="31">
        <v>4185040647</v>
      </c>
      <c r="D24" s="32">
        <v>4545274214.46</v>
      </c>
      <c r="E24" s="33">
        <f>G24-2831969070.11</f>
        <v>656894871.19000006</v>
      </c>
      <c r="F24" s="34">
        <f t="shared" si="0"/>
        <v>14.452260528093182</v>
      </c>
      <c r="G24" s="303">
        <v>3488863941.3000002</v>
      </c>
      <c r="H24" s="304"/>
      <c r="I24" s="34">
        <f t="shared" si="1"/>
        <v>76.758051916885137</v>
      </c>
      <c r="J24" s="160">
        <f t="shared" si="2"/>
        <v>1056410273.1599998</v>
      </c>
      <c r="K24" s="161"/>
      <c r="L24" s="161"/>
    </row>
    <row r="25" spans="1:13" s="3" customFormat="1" ht="15.95" customHeight="1" x14ac:dyDescent="0.25">
      <c r="A25" s="157" t="s">
        <v>28</v>
      </c>
      <c r="B25" s="157"/>
      <c r="C25" s="31">
        <v>0</v>
      </c>
      <c r="D25" s="32">
        <v>0</v>
      </c>
      <c r="E25" s="33">
        <f>G25</f>
        <v>0</v>
      </c>
      <c r="F25" s="34">
        <v>0</v>
      </c>
      <c r="G25" s="305">
        <v>0</v>
      </c>
      <c r="H25" s="306"/>
      <c r="I25" s="34">
        <v>0</v>
      </c>
      <c r="J25" s="160">
        <f t="shared" si="2"/>
        <v>0</v>
      </c>
      <c r="K25" s="161"/>
      <c r="L25" s="161"/>
    </row>
    <row r="26" spans="1:13" s="3" customFormat="1" ht="15.95" customHeight="1" x14ac:dyDescent="0.25">
      <c r="A26" s="157" t="s">
        <v>29</v>
      </c>
      <c r="B26" s="157"/>
      <c r="C26" s="31">
        <v>0</v>
      </c>
      <c r="D26" s="32">
        <v>0</v>
      </c>
      <c r="E26" s="33">
        <f>G26</f>
        <v>0</v>
      </c>
      <c r="F26" s="34">
        <v>0</v>
      </c>
      <c r="G26" s="305">
        <v>0</v>
      </c>
      <c r="H26" s="306"/>
      <c r="I26" s="34">
        <v>0</v>
      </c>
      <c r="J26" s="168">
        <f t="shared" si="2"/>
        <v>0</v>
      </c>
      <c r="K26" s="169"/>
      <c r="L26" s="169"/>
    </row>
    <row r="27" spans="1:13" s="3" customFormat="1" ht="15.95" customHeight="1" x14ac:dyDescent="0.25">
      <c r="A27" s="157" t="s">
        <v>30</v>
      </c>
      <c r="B27" s="157"/>
      <c r="C27" s="31">
        <v>0</v>
      </c>
      <c r="D27" s="32">
        <v>0</v>
      </c>
      <c r="E27" s="33">
        <f>G27</f>
        <v>0</v>
      </c>
      <c r="F27" s="34">
        <v>0</v>
      </c>
      <c r="G27" s="305">
        <v>0</v>
      </c>
      <c r="H27" s="306"/>
      <c r="I27" s="34">
        <v>0</v>
      </c>
      <c r="J27" s="168">
        <f t="shared" si="2"/>
        <v>0</v>
      </c>
      <c r="K27" s="169"/>
      <c r="L27" s="169"/>
    </row>
    <row r="28" spans="1:13" s="3" customFormat="1" ht="15.95" customHeight="1" x14ac:dyDescent="0.25">
      <c r="A28" s="157" t="s">
        <v>31</v>
      </c>
      <c r="B28" s="157"/>
      <c r="C28" s="31">
        <f>SUM(C29:C35)</f>
        <v>30065343435</v>
      </c>
      <c r="D28" s="32">
        <f>SUM(D29:D35)</f>
        <v>30819973548.149998</v>
      </c>
      <c r="E28" s="33">
        <f>SUM(E29:E35)</f>
        <v>3177944809.1100006</v>
      </c>
      <c r="F28" s="34">
        <f t="shared" si="0"/>
        <v>10.311315822984412</v>
      </c>
      <c r="G28" s="305">
        <f>SUM(G29:H35)</f>
        <v>25688587951.230003</v>
      </c>
      <c r="H28" s="306">
        <f>SUM(H29:H35)</f>
        <v>0</v>
      </c>
      <c r="I28" s="34">
        <f t="shared" si="1"/>
        <v>83.350454247135417</v>
      </c>
      <c r="J28" s="160">
        <f t="shared" si="2"/>
        <v>5131385596.9199944</v>
      </c>
      <c r="K28" s="161"/>
      <c r="L28" s="161"/>
      <c r="M28" s="30"/>
    </row>
    <row r="29" spans="1:13" s="3" customFormat="1" ht="15.95" customHeight="1" x14ac:dyDescent="0.25">
      <c r="A29" s="157" t="s">
        <v>32</v>
      </c>
      <c r="B29" s="157"/>
      <c r="C29" s="31">
        <v>97944740</v>
      </c>
      <c r="D29" s="32">
        <v>94718629.349999994</v>
      </c>
      <c r="E29" s="33">
        <f>G29-61764555.5</f>
        <v>14763488.790000007</v>
      </c>
      <c r="F29" s="34">
        <f t="shared" si="0"/>
        <v>15.586679084477279</v>
      </c>
      <c r="G29" s="303">
        <v>76528044.290000007</v>
      </c>
      <c r="H29" s="304"/>
      <c r="I29" s="34">
        <f t="shared" si="1"/>
        <v>80.795134827402364</v>
      </c>
      <c r="J29" s="160">
        <f t="shared" si="2"/>
        <v>18190585.059999987</v>
      </c>
      <c r="K29" s="161"/>
      <c r="L29" s="161"/>
    </row>
    <row r="30" spans="1:13" s="3" customFormat="1" ht="15.95" customHeight="1" x14ac:dyDescent="0.25">
      <c r="A30" s="157" t="s">
        <v>33</v>
      </c>
      <c r="B30" s="157"/>
      <c r="C30" s="31">
        <v>2596918987</v>
      </c>
      <c r="D30" s="32">
        <v>4542479691.9499998</v>
      </c>
      <c r="E30" s="33">
        <f>G30-3209247445.67</f>
        <v>955646729.56999969</v>
      </c>
      <c r="F30" s="34">
        <f t="shared" si="0"/>
        <v>21.037996741373625</v>
      </c>
      <c r="G30" s="303">
        <v>4164894175.2399998</v>
      </c>
      <c r="H30" s="304"/>
      <c r="I30" s="34">
        <f t="shared" si="1"/>
        <v>91.687678485846789</v>
      </c>
      <c r="J30" s="160">
        <f t="shared" si="2"/>
        <v>377585516.71000004</v>
      </c>
      <c r="K30" s="161"/>
      <c r="L30" s="161"/>
    </row>
    <row r="31" spans="1:13" s="3" customFormat="1" ht="15.95" customHeight="1" x14ac:dyDescent="0.25">
      <c r="A31" s="157" t="s">
        <v>34</v>
      </c>
      <c r="B31" s="157"/>
      <c r="C31" s="31">
        <v>42308345</v>
      </c>
      <c r="D31" s="32">
        <v>43519199.82</v>
      </c>
      <c r="E31" s="33">
        <f>G31-30956302.56</f>
        <v>9013618.2300000004</v>
      </c>
      <c r="F31" s="34">
        <f t="shared" si="0"/>
        <v>20.711819765255971</v>
      </c>
      <c r="G31" s="303">
        <v>39969920.789999999</v>
      </c>
      <c r="H31" s="304"/>
      <c r="I31" s="34">
        <f t="shared" si="1"/>
        <v>91.844337568980606</v>
      </c>
      <c r="J31" s="160">
        <f t="shared" si="2"/>
        <v>3549279.0300000012</v>
      </c>
      <c r="K31" s="161"/>
      <c r="L31" s="161"/>
    </row>
    <row r="32" spans="1:13" s="3" customFormat="1" ht="15.95" customHeight="1" x14ac:dyDescent="0.25">
      <c r="A32" s="157" t="s">
        <v>35</v>
      </c>
      <c r="B32" s="157"/>
      <c r="C32" s="31">
        <v>1368413236</v>
      </c>
      <c r="D32" s="32">
        <v>1490055527.6700001</v>
      </c>
      <c r="E32" s="33">
        <f>G32-1151888543.68</f>
        <v>24640829.299999952</v>
      </c>
      <c r="F32" s="34">
        <f t="shared" si="0"/>
        <v>1.6536853051732119</v>
      </c>
      <c r="G32" s="303">
        <v>1176529372.98</v>
      </c>
      <c r="H32" s="304"/>
      <c r="I32" s="34">
        <f t="shared" si="1"/>
        <v>78.958760336921074</v>
      </c>
      <c r="J32" s="160">
        <f t="shared" si="2"/>
        <v>313526154.69000006</v>
      </c>
      <c r="K32" s="161"/>
      <c r="L32" s="161"/>
    </row>
    <row r="33" spans="1:13" s="3" customFormat="1" ht="15.95" customHeight="1" x14ac:dyDescent="0.25">
      <c r="A33" s="157" t="s">
        <v>36</v>
      </c>
      <c r="B33" s="157"/>
      <c r="C33" s="31">
        <v>0</v>
      </c>
      <c r="D33" s="32">
        <v>0</v>
      </c>
      <c r="E33" s="33">
        <f>G33</f>
        <v>0</v>
      </c>
      <c r="F33" s="34">
        <v>0</v>
      </c>
      <c r="G33" s="303">
        <v>0</v>
      </c>
      <c r="H33" s="304"/>
      <c r="I33" s="34">
        <v>0</v>
      </c>
      <c r="J33" s="160">
        <f t="shared" si="2"/>
        <v>0</v>
      </c>
      <c r="K33" s="161"/>
      <c r="L33" s="161"/>
    </row>
    <row r="34" spans="1:13" s="3" customFormat="1" ht="15.95" customHeight="1" x14ac:dyDescent="0.25">
      <c r="A34" s="157" t="s">
        <v>37</v>
      </c>
      <c r="B34" s="157"/>
      <c r="C34" s="31">
        <v>578096596</v>
      </c>
      <c r="D34" s="32">
        <v>611637422.35000002</v>
      </c>
      <c r="E34" s="33">
        <f>G34-302721672.35</f>
        <v>0</v>
      </c>
      <c r="F34" s="34">
        <f t="shared" si="0"/>
        <v>0</v>
      </c>
      <c r="G34" s="303">
        <v>302721672.35000002</v>
      </c>
      <c r="H34" s="304"/>
      <c r="I34" s="34">
        <f t="shared" si="1"/>
        <v>49.493647917568431</v>
      </c>
      <c r="J34" s="160">
        <f t="shared" si="2"/>
        <v>308915750</v>
      </c>
      <c r="K34" s="161"/>
      <c r="L34" s="161"/>
    </row>
    <row r="35" spans="1:13" s="3" customFormat="1" ht="15.95" customHeight="1" x14ac:dyDescent="0.25">
      <c r="A35" s="157" t="s">
        <v>38</v>
      </c>
      <c r="B35" s="157"/>
      <c r="C35" s="31">
        <v>25381661531</v>
      </c>
      <c r="D35" s="32">
        <v>24037563077.009998</v>
      </c>
      <c r="E35" s="33">
        <f>G35-17754064622.36</f>
        <v>2173880143.2200012</v>
      </c>
      <c r="F35" s="34">
        <f t="shared" si="0"/>
        <v>9.0436794123242183</v>
      </c>
      <c r="G35" s="303">
        <v>19927944765.580002</v>
      </c>
      <c r="H35" s="304"/>
      <c r="I35" s="34">
        <f t="shared" si="1"/>
        <v>82.903348820078534</v>
      </c>
      <c r="J35" s="160">
        <f t="shared" si="2"/>
        <v>4109618311.4299965</v>
      </c>
      <c r="K35" s="161"/>
      <c r="L35" s="161"/>
    </row>
    <row r="36" spans="1:13" s="3" customFormat="1" ht="15.95" customHeight="1" x14ac:dyDescent="0.25">
      <c r="A36" s="157" t="s">
        <v>39</v>
      </c>
      <c r="B36" s="157"/>
      <c r="C36" s="31">
        <v>129500</v>
      </c>
      <c r="D36" s="32">
        <v>129500</v>
      </c>
      <c r="E36" s="33">
        <f>G36-0</f>
        <v>0</v>
      </c>
      <c r="F36" s="34">
        <f t="shared" si="0"/>
        <v>0</v>
      </c>
      <c r="G36" s="303">
        <v>0</v>
      </c>
      <c r="H36" s="304"/>
      <c r="I36" s="34">
        <f t="shared" si="1"/>
        <v>0</v>
      </c>
      <c r="J36" s="160">
        <f t="shared" si="2"/>
        <v>129500</v>
      </c>
      <c r="K36" s="161"/>
      <c r="L36" s="161"/>
      <c r="M36" s="30"/>
    </row>
    <row r="37" spans="1:13" s="3" customFormat="1" ht="15.95" customHeight="1" x14ac:dyDescent="0.25">
      <c r="A37" s="157" t="s">
        <v>40</v>
      </c>
      <c r="B37" s="157"/>
      <c r="C37" s="31">
        <v>35083783</v>
      </c>
      <c r="D37" s="32">
        <v>250789.67</v>
      </c>
      <c r="E37" s="33">
        <f>G37-148480.7</f>
        <v>17523.989999999991</v>
      </c>
      <c r="F37" s="34">
        <f t="shared" si="0"/>
        <v>6.9875246456522673</v>
      </c>
      <c r="G37" s="303">
        <v>166004.69</v>
      </c>
      <c r="H37" s="304"/>
      <c r="I37" s="34">
        <f t="shared" si="1"/>
        <v>66.192794144990103</v>
      </c>
      <c r="J37" s="160">
        <f t="shared" si="2"/>
        <v>84784.98000000001</v>
      </c>
      <c r="K37" s="161"/>
      <c r="L37" s="161"/>
      <c r="M37" s="30"/>
    </row>
    <row r="38" spans="1:13" s="3" customFormat="1" ht="15.95" customHeight="1" x14ac:dyDescent="0.25">
      <c r="A38" s="157" t="s">
        <v>41</v>
      </c>
      <c r="B38" s="157"/>
      <c r="C38" s="31">
        <f>SUM(C39:C43)</f>
        <v>530269406</v>
      </c>
      <c r="D38" s="32">
        <f>SUM(D39:D43)</f>
        <v>461427423.44</v>
      </c>
      <c r="E38" s="33">
        <f>SUM(E39:E43)</f>
        <v>89662426.490000024</v>
      </c>
      <c r="F38" s="34">
        <f t="shared" si="0"/>
        <v>19.431533960759261</v>
      </c>
      <c r="G38" s="305">
        <f>SUM(G39:H43)</f>
        <v>404874864.73000002</v>
      </c>
      <c r="H38" s="306"/>
      <c r="I38" s="34">
        <f t="shared" si="1"/>
        <v>87.743997032427444</v>
      </c>
      <c r="J38" s="160">
        <f t="shared" si="2"/>
        <v>56552558.709999979</v>
      </c>
      <c r="K38" s="161"/>
      <c r="L38" s="161"/>
      <c r="M38" s="30"/>
    </row>
    <row r="39" spans="1:13" s="3" customFormat="1" ht="15.95" customHeight="1" x14ac:dyDescent="0.25">
      <c r="A39" s="157" t="s">
        <v>42</v>
      </c>
      <c r="B39" s="157"/>
      <c r="C39" s="31">
        <v>312532652</v>
      </c>
      <c r="D39" s="32">
        <v>351060916.63</v>
      </c>
      <c r="E39" s="33">
        <f>G39-228398766.35</f>
        <v>66965474.520000011</v>
      </c>
      <c r="F39" s="34">
        <f t="shared" si="0"/>
        <v>19.075172241568019</v>
      </c>
      <c r="G39" s="303">
        <v>295364240.87</v>
      </c>
      <c r="H39" s="304"/>
      <c r="I39" s="34">
        <f t="shared" si="1"/>
        <v>84.134754647524218</v>
      </c>
      <c r="J39" s="160">
        <f t="shared" si="2"/>
        <v>55696675.75999999</v>
      </c>
      <c r="K39" s="161"/>
      <c r="L39" s="161"/>
    </row>
    <row r="40" spans="1:13" s="3" customFormat="1" ht="15.95" customHeight="1" x14ac:dyDescent="0.25">
      <c r="A40" s="157" t="s">
        <v>43</v>
      </c>
      <c r="B40" s="157"/>
      <c r="C40" s="31">
        <v>25598407</v>
      </c>
      <c r="D40" s="32">
        <v>15399242.77</v>
      </c>
      <c r="E40" s="33">
        <f>G40-10807160.39</f>
        <v>5662873.2299999986</v>
      </c>
      <c r="F40" s="34">
        <f t="shared" si="0"/>
        <v>36.773712282996875</v>
      </c>
      <c r="G40" s="303">
        <v>16470033.619999999</v>
      </c>
      <c r="H40" s="304"/>
      <c r="I40" s="34">
        <f t="shared" si="1"/>
        <v>106.95352924811381</v>
      </c>
      <c r="J40" s="168">
        <f t="shared" si="2"/>
        <v>-1070790.8499999996</v>
      </c>
      <c r="K40" s="169"/>
      <c r="L40" s="169"/>
    </row>
    <row r="41" spans="1:13" s="3" customFormat="1" ht="15.95" customHeight="1" x14ac:dyDescent="0.25">
      <c r="A41" s="157" t="s">
        <v>44</v>
      </c>
      <c r="B41" s="157"/>
      <c r="C41" s="31">
        <v>133348092</v>
      </c>
      <c r="D41" s="32">
        <v>1493605.93</v>
      </c>
      <c r="E41" s="33">
        <f>G41-1061397.4</f>
        <v>281469.05000000005</v>
      </c>
      <c r="F41" s="34">
        <f t="shared" si="0"/>
        <v>18.84493388426759</v>
      </c>
      <c r="G41" s="303">
        <v>1342866.45</v>
      </c>
      <c r="H41" s="304"/>
      <c r="I41" s="34">
        <f t="shared" si="1"/>
        <v>89.9076806691575</v>
      </c>
      <c r="J41" s="168">
        <f t="shared" si="2"/>
        <v>150739.47999999998</v>
      </c>
      <c r="K41" s="169"/>
      <c r="L41" s="169"/>
    </row>
    <row r="42" spans="1:13" s="3" customFormat="1" ht="15.95" customHeight="1" x14ac:dyDescent="0.25">
      <c r="A42" s="157" t="s">
        <v>45</v>
      </c>
      <c r="B42" s="157"/>
      <c r="C42" s="31">
        <v>6637471</v>
      </c>
      <c r="D42" s="32">
        <v>38784380.259999998</v>
      </c>
      <c r="E42" s="33">
        <f>G42-36509434.48</f>
        <v>6956893.0200000033</v>
      </c>
      <c r="F42" s="34">
        <f t="shared" si="0"/>
        <v>17.93735770267018</v>
      </c>
      <c r="G42" s="303">
        <v>43466327.5</v>
      </c>
      <c r="H42" s="304"/>
      <c r="I42" s="34">
        <f t="shared" si="1"/>
        <v>112.07173405534263</v>
      </c>
      <c r="J42" s="168">
        <f t="shared" si="2"/>
        <v>-4681947.2400000021</v>
      </c>
      <c r="K42" s="169"/>
      <c r="L42" s="169"/>
    </row>
    <row r="43" spans="1:13" s="3" customFormat="1" ht="15.95" customHeight="1" x14ac:dyDescent="0.25">
      <c r="A43" s="157" t="s">
        <v>46</v>
      </c>
      <c r="B43" s="157"/>
      <c r="C43" s="31">
        <v>52152784</v>
      </c>
      <c r="D43" s="32">
        <v>54689277.850000001</v>
      </c>
      <c r="E43" s="33">
        <f>G43-38435679.62</f>
        <v>9795716.6700000018</v>
      </c>
      <c r="F43" s="34">
        <f t="shared" si="0"/>
        <v>17.911585332809441</v>
      </c>
      <c r="G43" s="303">
        <v>48231396.289999999</v>
      </c>
      <c r="H43" s="304"/>
      <c r="I43" s="34">
        <f t="shared" si="1"/>
        <v>88.191686169796441</v>
      </c>
      <c r="J43" s="168">
        <f t="shared" si="2"/>
        <v>6457881.5600000024</v>
      </c>
      <c r="K43" s="169"/>
      <c r="L43" s="169"/>
    </row>
    <row r="44" spans="1:13" s="3" customFormat="1" ht="15.95" customHeight="1" x14ac:dyDescent="0.25">
      <c r="A44" s="157" t="s">
        <v>47</v>
      </c>
      <c r="B44" s="157"/>
      <c r="C44" s="31">
        <f>SUM(C45:C51)</f>
        <v>10400923398</v>
      </c>
      <c r="D44" s="32">
        <f>SUM(D45:D51)</f>
        <v>10641317077.49</v>
      </c>
      <c r="E44" s="33">
        <f>SUM(E45:E51)</f>
        <v>1510608442.79</v>
      </c>
      <c r="F44" s="34">
        <f t="shared" si="0"/>
        <v>14.195690550236961</v>
      </c>
      <c r="G44" s="305">
        <f>SUM(G45:H51)</f>
        <v>8747130040.7900009</v>
      </c>
      <c r="H44" s="306">
        <f>SUM(H45:H49)</f>
        <v>0</v>
      </c>
      <c r="I44" s="34">
        <f t="shared" si="1"/>
        <v>82.199693676012643</v>
      </c>
      <c r="J44" s="160">
        <f t="shared" si="2"/>
        <v>1894187036.6999989</v>
      </c>
      <c r="K44" s="161"/>
      <c r="L44" s="161"/>
      <c r="M44" s="30"/>
    </row>
    <row r="45" spans="1:13" s="3" customFormat="1" ht="15.95" customHeight="1" x14ac:dyDescent="0.25">
      <c r="A45" s="157" t="s">
        <v>48</v>
      </c>
      <c r="B45" s="157"/>
      <c r="C45" s="31">
        <v>5966729517</v>
      </c>
      <c r="D45" s="32">
        <v>6289594922.0799999</v>
      </c>
      <c r="E45" s="33">
        <f>G45-4264120564.94</f>
        <v>810005348.58999968</v>
      </c>
      <c r="F45" s="34">
        <f t="shared" si="0"/>
        <v>12.878497878240575</v>
      </c>
      <c r="G45" s="303">
        <v>5074125913.5299997</v>
      </c>
      <c r="H45" s="304"/>
      <c r="I45" s="34">
        <f t="shared" si="1"/>
        <v>80.674923844729278</v>
      </c>
      <c r="J45" s="160">
        <f t="shared" si="2"/>
        <v>1215469008.5500002</v>
      </c>
      <c r="K45" s="161"/>
      <c r="L45" s="161"/>
    </row>
    <row r="46" spans="1:13" s="3" customFormat="1" ht="15.95" customHeight="1" x14ac:dyDescent="0.25">
      <c r="A46" s="157" t="s">
        <v>49</v>
      </c>
      <c r="B46" s="157"/>
      <c r="C46" s="31">
        <v>4991258</v>
      </c>
      <c r="D46" s="32">
        <v>1874796.62</v>
      </c>
      <c r="E46" s="33">
        <f>G46-1263410.96</f>
        <v>295609.17999999993</v>
      </c>
      <c r="F46" s="34">
        <f t="shared" si="0"/>
        <v>15.767533227150791</v>
      </c>
      <c r="G46" s="303">
        <v>1559020.14</v>
      </c>
      <c r="H46" s="304"/>
      <c r="I46" s="34">
        <f t="shared" si="1"/>
        <v>83.156760758401617</v>
      </c>
      <c r="J46" s="160">
        <f t="shared" si="2"/>
        <v>315776.48000000021</v>
      </c>
      <c r="K46" s="161"/>
      <c r="L46" s="161"/>
    </row>
    <row r="47" spans="1:13" s="3" customFormat="1" ht="15.95" customHeight="1" x14ac:dyDescent="0.25">
      <c r="A47" s="157" t="s">
        <v>50</v>
      </c>
      <c r="B47" s="157"/>
      <c r="C47" s="31">
        <v>134032966</v>
      </c>
      <c r="D47" s="32">
        <v>113158298.09999999</v>
      </c>
      <c r="E47" s="33">
        <f>G47-77923502.9</f>
        <v>19638263.019999996</v>
      </c>
      <c r="F47" s="34">
        <f t="shared" si="0"/>
        <v>17.354682201605147</v>
      </c>
      <c r="G47" s="303">
        <v>97561765.920000002</v>
      </c>
      <c r="H47" s="304"/>
      <c r="I47" s="34">
        <f t="shared" si="1"/>
        <v>86.217067204194734</v>
      </c>
      <c r="J47" s="160">
        <f t="shared" si="2"/>
        <v>15596532.179999992</v>
      </c>
      <c r="K47" s="161"/>
      <c r="L47" s="161"/>
    </row>
    <row r="48" spans="1:13" s="3" customFormat="1" ht="15.95" customHeight="1" x14ac:dyDescent="0.25">
      <c r="A48" s="157" t="s">
        <v>51</v>
      </c>
      <c r="B48" s="157"/>
      <c r="C48" s="31">
        <v>54542661</v>
      </c>
      <c r="D48" s="32">
        <v>49240816.689999998</v>
      </c>
      <c r="E48" s="33">
        <f>G48-43668668</f>
        <v>6430557.5600000024</v>
      </c>
      <c r="F48" s="34">
        <f t="shared" si="0"/>
        <v>13.05940476268734</v>
      </c>
      <c r="G48" s="303">
        <v>50099225.560000002</v>
      </c>
      <c r="H48" s="304"/>
      <c r="I48" s="34">
        <f t="shared" si="1"/>
        <v>101.74328723141251</v>
      </c>
      <c r="J48" s="160">
        <f t="shared" si="2"/>
        <v>-858408.87000000477</v>
      </c>
      <c r="K48" s="161"/>
      <c r="L48" s="161"/>
    </row>
    <row r="49" spans="1:20" s="3" customFormat="1" ht="15.95" customHeight="1" x14ac:dyDescent="0.25">
      <c r="A49" s="157" t="s">
        <v>52</v>
      </c>
      <c r="B49" s="157"/>
      <c r="C49" s="31">
        <v>4228752036</v>
      </c>
      <c r="D49" s="32">
        <v>4163729462.4899998</v>
      </c>
      <c r="E49" s="33">
        <f>G49-2832383121.14</f>
        <v>662762567.05000019</v>
      </c>
      <c r="F49" s="34">
        <f t="shared" si="0"/>
        <v>15.917522332338422</v>
      </c>
      <c r="G49" s="303">
        <v>3495145688.1900001</v>
      </c>
      <c r="H49" s="304"/>
      <c r="I49" s="34">
        <f t="shared" si="1"/>
        <v>83.942670139280082</v>
      </c>
      <c r="J49" s="160">
        <f t="shared" si="2"/>
        <v>668583774.29999971</v>
      </c>
      <c r="K49" s="161"/>
      <c r="L49" s="161"/>
    </row>
    <row r="50" spans="1:20" s="3" customFormat="1" ht="15.95" customHeight="1" x14ac:dyDescent="0.25">
      <c r="A50" s="157" t="s">
        <v>53</v>
      </c>
      <c r="B50" s="157"/>
      <c r="C50" s="36">
        <v>46400</v>
      </c>
      <c r="D50" s="32">
        <v>5344</v>
      </c>
      <c r="E50" s="33">
        <f>G50-5344</f>
        <v>0</v>
      </c>
      <c r="F50" s="34">
        <f t="shared" si="0"/>
        <v>0</v>
      </c>
      <c r="G50" s="168">
        <v>5344</v>
      </c>
      <c r="H50" s="170"/>
      <c r="I50" s="34">
        <f t="shared" si="1"/>
        <v>100</v>
      </c>
      <c r="J50" s="168">
        <f t="shared" si="2"/>
        <v>0</v>
      </c>
      <c r="K50" s="169"/>
      <c r="L50" s="169"/>
    </row>
    <row r="51" spans="1:20" s="3" customFormat="1" ht="15.95" customHeight="1" x14ac:dyDescent="0.25">
      <c r="A51" s="157" t="s">
        <v>54</v>
      </c>
      <c r="B51" s="157"/>
      <c r="C51" s="37">
        <v>11828560</v>
      </c>
      <c r="D51" s="38">
        <v>23713437.510000002</v>
      </c>
      <c r="E51" s="39">
        <f>G51-17156986.06</f>
        <v>11476097.390000001</v>
      </c>
      <c r="F51" s="40">
        <f t="shared" si="0"/>
        <v>48.394912737389966</v>
      </c>
      <c r="G51" s="206">
        <v>28633083.449999999</v>
      </c>
      <c r="H51" s="207"/>
      <c r="I51" s="40">
        <f t="shared" si="1"/>
        <v>120.74623697186615</v>
      </c>
      <c r="J51" s="229">
        <f t="shared" si="2"/>
        <v>-4919645.9399999976</v>
      </c>
      <c r="K51" s="230"/>
      <c r="L51" s="230"/>
      <c r="M51" s="320"/>
      <c r="N51" s="320"/>
    </row>
    <row r="52" spans="1:20" s="3" customFormat="1" ht="15.95" customHeight="1" x14ac:dyDescent="0.25">
      <c r="A52" s="157" t="s">
        <v>55</v>
      </c>
      <c r="B52" s="157"/>
      <c r="C52" s="37">
        <f>SUM(C53:C57)</f>
        <v>2380701966</v>
      </c>
      <c r="D52" s="38">
        <f>SUM(D53:D57)</f>
        <v>2563358017.21</v>
      </c>
      <c r="E52" s="39">
        <f>SUM(E53:E57)</f>
        <v>431462425.75999999</v>
      </c>
      <c r="F52" s="40">
        <f t="shared" si="0"/>
        <v>16.83192214521835</v>
      </c>
      <c r="G52" s="229">
        <f>SUM(G53:H57)</f>
        <v>2320796026.52</v>
      </c>
      <c r="H52" s="293">
        <f>SUM(H53:H57)</f>
        <v>0</v>
      </c>
      <c r="I52" s="40">
        <f t="shared" si="1"/>
        <v>90.537334657840404</v>
      </c>
      <c r="J52" s="155">
        <f t="shared" si="2"/>
        <v>242561990.69000006</v>
      </c>
      <c r="K52" s="156"/>
      <c r="L52" s="156"/>
      <c r="M52" s="41"/>
    </row>
    <row r="53" spans="1:20" s="3" customFormat="1" ht="15.95" customHeight="1" x14ac:dyDescent="0.25">
      <c r="A53" s="157" t="s">
        <v>56</v>
      </c>
      <c r="B53" s="157"/>
      <c r="C53" s="37">
        <v>456481833</v>
      </c>
      <c r="D53" s="38">
        <v>525659453.50999999</v>
      </c>
      <c r="E53" s="39">
        <f>G53-358385471.51</f>
        <v>90446274.620000005</v>
      </c>
      <c r="F53" s="40">
        <f t="shared" si="0"/>
        <v>17.206249029872982</v>
      </c>
      <c r="G53" s="229">
        <v>448831746.13</v>
      </c>
      <c r="H53" s="293"/>
      <c r="I53" s="40">
        <f t="shared" si="1"/>
        <v>85.384509520946253</v>
      </c>
      <c r="J53" s="155">
        <f t="shared" si="2"/>
        <v>76827707.379999995</v>
      </c>
      <c r="K53" s="156"/>
      <c r="L53" s="156"/>
    </row>
    <row r="54" spans="1:20" s="3" customFormat="1" ht="15.95" customHeight="1" x14ac:dyDescent="0.25">
      <c r="A54" s="157" t="s">
        <v>57</v>
      </c>
      <c r="B54" s="157"/>
      <c r="C54" s="37">
        <v>374302859</v>
      </c>
      <c r="D54" s="38">
        <v>336708752.13999999</v>
      </c>
      <c r="E54" s="39">
        <f>G54-258109440.07</f>
        <v>40970430.470000029</v>
      </c>
      <c r="F54" s="40">
        <f t="shared" si="0"/>
        <v>12.167913726508942</v>
      </c>
      <c r="G54" s="229">
        <v>299079870.54000002</v>
      </c>
      <c r="H54" s="293"/>
      <c r="I54" s="40">
        <f t="shared" si="1"/>
        <v>88.824501483598411</v>
      </c>
      <c r="J54" s="155">
        <f t="shared" si="2"/>
        <v>37628881.599999964</v>
      </c>
      <c r="K54" s="156"/>
      <c r="L54" s="156"/>
    </row>
    <row r="55" spans="1:20" s="3" customFormat="1" ht="15.95" customHeight="1" x14ac:dyDescent="0.25">
      <c r="A55" s="157" t="s">
        <v>58</v>
      </c>
      <c r="B55" s="157"/>
      <c r="C55" s="37">
        <v>263807</v>
      </c>
      <c r="D55" s="40">
        <v>198506.7</v>
      </c>
      <c r="E55" s="39">
        <f>G55-134904.5</f>
        <v>45754.350000000006</v>
      </c>
      <c r="F55" s="40">
        <f t="shared" si="0"/>
        <v>23.049272392317238</v>
      </c>
      <c r="G55" s="229">
        <v>180658.85</v>
      </c>
      <c r="H55" s="293"/>
      <c r="I55" s="40">
        <f t="shared" si="1"/>
        <v>91.008943274962505</v>
      </c>
      <c r="J55" s="155">
        <f t="shared" si="2"/>
        <v>17847.850000000006</v>
      </c>
      <c r="K55" s="156"/>
      <c r="L55" s="156"/>
    </row>
    <row r="56" spans="1:20" s="3" customFormat="1" ht="15.95" customHeight="1" x14ac:dyDescent="0.25">
      <c r="A56" s="157" t="s">
        <v>59</v>
      </c>
      <c r="B56" s="157"/>
      <c r="C56" s="37">
        <v>0</v>
      </c>
      <c r="D56" s="42">
        <v>0</v>
      </c>
      <c r="E56" s="39">
        <f>G56-0</f>
        <v>0</v>
      </c>
      <c r="F56" s="40">
        <v>0</v>
      </c>
      <c r="G56" s="206">
        <v>0</v>
      </c>
      <c r="H56" s="207"/>
      <c r="I56" s="40">
        <v>0</v>
      </c>
      <c r="J56" s="229">
        <f t="shared" si="2"/>
        <v>0</v>
      </c>
      <c r="K56" s="230"/>
      <c r="L56" s="230"/>
      <c r="M56" s="320"/>
      <c r="N56" s="320"/>
    </row>
    <row r="57" spans="1:20" s="3" customFormat="1" ht="15.95" customHeight="1" x14ac:dyDescent="0.25">
      <c r="A57" s="157" t="s">
        <v>60</v>
      </c>
      <c r="B57" s="157"/>
      <c r="C57" s="31">
        <v>1549653467</v>
      </c>
      <c r="D57" s="31">
        <v>1700791304.8599999</v>
      </c>
      <c r="E57" s="33">
        <f>G57-1272703784.68</f>
        <v>299999966.31999993</v>
      </c>
      <c r="F57" s="34">
        <f t="shared" si="0"/>
        <v>17.638846427704095</v>
      </c>
      <c r="G57" s="168">
        <v>1572703751</v>
      </c>
      <c r="H57" s="170"/>
      <c r="I57" s="34">
        <f t="shared" si="1"/>
        <v>92.468943515057347</v>
      </c>
      <c r="J57" s="160">
        <f t="shared" si="2"/>
        <v>128087553.8599999</v>
      </c>
      <c r="K57" s="161"/>
      <c r="L57" s="161"/>
      <c r="M57" s="319"/>
      <c r="N57" s="319"/>
      <c r="O57" s="319"/>
      <c r="P57" s="319"/>
      <c r="Q57" s="319"/>
      <c r="R57" s="319"/>
      <c r="S57" s="319"/>
      <c r="T57" s="319"/>
    </row>
    <row r="58" spans="1:20" s="3" customFormat="1" ht="15.95" customHeight="1" x14ac:dyDescent="0.25">
      <c r="A58" s="167" t="s">
        <v>61</v>
      </c>
      <c r="B58" s="167"/>
      <c r="C58" s="26">
        <f>C59+C62+C66+C67+C78</f>
        <v>665933434</v>
      </c>
      <c r="D58" s="27">
        <f>D59+D62+D66+D67+D78</f>
        <v>2449572965.6999998</v>
      </c>
      <c r="E58" s="22">
        <f>E59+E62+E66+E67+E78</f>
        <v>512845852.69999975</v>
      </c>
      <c r="F58" s="28">
        <f t="shared" si="0"/>
        <v>20.936132945664138</v>
      </c>
      <c r="G58" s="171">
        <f>G59+G62+G66+G67+G78</f>
        <v>2557990907.04</v>
      </c>
      <c r="H58" s="172"/>
      <c r="I58" s="28">
        <f t="shared" si="1"/>
        <v>104.42599354492053</v>
      </c>
      <c r="J58" s="225">
        <f t="shared" si="2"/>
        <v>-108417941.34000015</v>
      </c>
      <c r="K58" s="226"/>
      <c r="L58" s="226"/>
      <c r="M58" s="321"/>
      <c r="N58" s="321"/>
      <c r="O58" s="322"/>
      <c r="P58" s="315"/>
      <c r="Q58" s="1"/>
      <c r="R58" s="1"/>
      <c r="S58" s="1"/>
      <c r="T58" s="1"/>
    </row>
    <row r="59" spans="1:20" s="3" customFormat="1" ht="15.95" customHeight="1" x14ac:dyDescent="0.25">
      <c r="A59" s="157" t="s">
        <v>62</v>
      </c>
      <c r="B59" s="157"/>
      <c r="C59" s="31">
        <f>C60+C61</f>
        <v>51541821</v>
      </c>
      <c r="D59" s="32">
        <f>D60+D61</f>
        <v>18400216</v>
      </c>
      <c r="E59" s="33">
        <f>E60+E61</f>
        <v>0</v>
      </c>
      <c r="F59" s="34">
        <f t="shared" si="0"/>
        <v>0</v>
      </c>
      <c r="G59" s="168">
        <f>G60+G61</f>
        <v>0</v>
      </c>
      <c r="H59" s="170"/>
      <c r="I59" s="34">
        <f t="shared" si="1"/>
        <v>0</v>
      </c>
      <c r="J59" s="160">
        <f t="shared" si="2"/>
        <v>18400216</v>
      </c>
      <c r="K59" s="161"/>
      <c r="L59" s="161"/>
      <c r="M59" s="41"/>
    </row>
    <row r="60" spans="1:20" s="3" customFormat="1" ht="15.95" customHeight="1" x14ac:dyDescent="0.25">
      <c r="A60" s="157" t="s">
        <v>63</v>
      </c>
      <c r="B60" s="157"/>
      <c r="C60" s="31">
        <v>51541821</v>
      </c>
      <c r="D60" s="32">
        <v>18400216</v>
      </c>
      <c r="E60" s="33">
        <f>G60</f>
        <v>0</v>
      </c>
      <c r="F60" s="34">
        <f t="shared" si="0"/>
        <v>0</v>
      </c>
      <c r="G60" s="168">
        <v>0</v>
      </c>
      <c r="H60" s="170"/>
      <c r="I60" s="34">
        <f t="shared" si="1"/>
        <v>0</v>
      </c>
      <c r="J60" s="160">
        <f t="shared" si="2"/>
        <v>18400216</v>
      </c>
      <c r="K60" s="161"/>
      <c r="L60" s="161"/>
    </row>
    <row r="61" spans="1:20" s="3" customFormat="1" ht="15.95" customHeight="1" x14ac:dyDescent="0.25">
      <c r="A61" s="157" t="s">
        <v>64</v>
      </c>
      <c r="B61" s="157"/>
      <c r="C61" s="31">
        <v>0</v>
      </c>
      <c r="D61" s="32">
        <v>0</v>
      </c>
      <c r="E61" s="33">
        <f>G61</f>
        <v>0</v>
      </c>
      <c r="F61" s="34">
        <v>0</v>
      </c>
      <c r="G61" s="168">
        <v>0</v>
      </c>
      <c r="H61" s="170"/>
      <c r="I61" s="34">
        <v>0</v>
      </c>
      <c r="J61" s="160">
        <f t="shared" si="2"/>
        <v>0</v>
      </c>
      <c r="K61" s="161"/>
      <c r="L61" s="161"/>
    </row>
    <row r="62" spans="1:20" s="3" customFormat="1" ht="15.95" customHeight="1" x14ac:dyDescent="0.25">
      <c r="A62" s="157" t="s">
        <v>65</v>
      </c>
      <c r="B62" s="157"/>
      <c r="C62" s="31">
        <f>C63+C64+C65</f>
        <v>167991</v>
      </c>
      <c r="D62" s="32">
        <f>D63+D64+D65</f>
        <v>6131857.0999999996</v>
      </c>
      <c r="E62" s="33">
        <f>E63+E64+E65</f>
        <v>969503.79</v>
      </c>
      <c r="F62" s="34">
        <f t="shared" si="0"/>
        <v>15.810932547661622</v>
      </c>
      <c r="G62" s="168">
        <f>SUM(G63:H65)</f>
        <v>6575503.79</v>
      </c>
      <c r="H62" s="170"/>
      <c r="I62" s="34">
        <f t="shared" si="1"/>
        <v>107.23511136617975</v>
      </c>
      <c r="J62" s="160">
        <f t="shared" si="2"/>
        <v>-443646.69000000041</v>
      </c>
      <c r="K62" s="161"/>
      <c r="L62" s="161"/>
    </row>
    <row r="63" spans="1:20" s="3" customFormat="1" ht="15.95" customHeight="1" x14ac:dyDescent="0.25">
      <c r="A63" s="157" t="s">
        <v>66</v>
      </c>
      <c r="B63" s="157"/>
      <c r="C63" s="31">
        <v>167991</v>
      </c>
      <c r="D63" s="32">
        <v>2749901</v>
      </c>
      <c r="E63" s="33">
        <f>G63-2632000</f>
        <v>969503.79</v>
      </c>
      <c r="F63" s="34">
        <f t="shared" si="0"/>
        <v>35.255952487016806</v>
      </c>
      <c r="G63" s="168">
        <v>3601503.79</v>
      </c>
      <c r="H63" s="170"/>
      <c r="I63" s="34">
        <f t="shared" si="1"/>
        <v>130.96848904742387</v>
      </c>
      <c r="J63" s="160">
        <f t="shared" si="2"/>
        <v>-851602.79</v>
      </c>
      <c r="K63" s="161"/>
      <c r="L63" s="161"/>
    </row>
    <row r="64" spans="1:20" s="3" customFormat="1" ht="15.95" customHeight="1" x14ac:dyDescent="0.25">
      <c r="A64" s="157" t="s">
        <v>67</v>
      </c>
      <c r="B64" s="157"/>
      <c r="C64" s="31">
        <v>0</v>
      </c>
      <c r="D64" s="32">
        <v>3381956.1</v>
      </c>
      <c r="E64" s="33">
        <f>G64-2974000</f>
        <v>0</v>
      </c>
      <c r="F64" s="34">
        <v>0</v>
      </c>
      <c r="G64" s="168">
        <v>2974000</v>
      </c>
      <c r="H64" s="170"/>
      <c r="I64" s="34">
        <v>0</v>
      </c>
      <c r="J64" s="160">
        <f t="shared" si="2"/>
        <v>407956.10000000009</v>
      </c>
      <c r="K64" s="161"/>
      <c r="L64" s="161"/>
    </row>
    <row r="65" spans="1:17" s="3" customFormat="1" ht="15.95" customHeight="1" x14ac:dyDescent="0.25">
      <c r="A65" s="157" t="s">
        <v>68</v>
      </c>
      <c r="B65" s="157"/>
      <c r="C65" s="31">
        <v>0</v>
      </c>
      <c r="D65" s="32">
        <v>0</v>
      </c>
      <c r="E65" s="33">
        <f>G65</f>
        <v>0</v>
      </c>
      <c r="F65" s="34">
        <v>0</v>
      </c>
      <c r="G65" s="168">
        <v>0</v>
      </c>
      <c r="H65" s="170"/>
      <c r="I65" s="34">
        <v>0</v>
      </c>
      <c r="J65" s="168">
        <f t="shared" si="2"/>
        <v>0</v>
      </c>
      <c r="K65" s="169"/>
      <c r="L65" s="169"/>
    </row>
    <row r="66" spans="1:17" s="3" customFormat="1" ht="15.95" customHeight="1" x14ac:dyDescent="0.25">
      <c r="A66" s="157" t="s">
        <v>69</v>
      </c>
      <c r="B66" s="157"/>
      <c r="C66" s="43">
        <v>207292407</v>
      </c>
      <c r="D66" s="44">
        <v>169110026.22</v>
      </c>
      <c r="E66" s="33">
        <f>G66-119969839.6</f>
        <v>28991070.51000002</v>
      </c>
      <c r="F66" s="34">
        <f t="shared" si="0"/>
        <v>17.14331855893909</v>
      </c>
      <c r="G66" s="168">
        <v>148960910.11000001</v>
      </c>
      <c r="H66" s="170"/>
      <c r="I66" s="34">
        <f t="shared" si="1"/>
        <v>88.085203130542098</v>
      </c>
      <c r="J66" s="160">
        <f t="shared" si="2"/>
        <v>20149116.109999985</v>
      </c>
      <c r="K66" s="161"/>
      <c r="L66" s="161"/>
    </row>
    <row r="67" spans="1:17" s="3" customFormat="1" ht="15.95" customHeight="1" x14ac:dyDescent="0.25">
      <c r="A67" s="157" t="s">
        <v>70</v>
      </c>
      <c r="B67" s="157"/>
      <c r="C67" s="31">
        <f>SUM(C68:C77)</f>
        <v>406931215</v>
      </c>
      <c r="D67" s="31">
        <f>SUM(D68:D77)</f>
        <v>123396539.31</v>
      </c>
      <c r="E67" s="33">
        <f>SUM(E68:E77)</f>
        <v>13413394.359999999</v>
      </c>
      <c r="F67" s="34">
        <f>(E67/D67)*100</f>
        <v>10.870154410329548</v>
      </c>
      <c r="G67" s="168">
        <f>SUM(G68:H77)</f>
        <v>52276561.420000002</v>
      </c>
      <c r="H67" s="170">
        <f>SUM(H68:H76)</f>
        <v>0</v>
      </c>
      <c r="I67" s="34">
        <f t="shared" si="1"/>
        <v>42.364690057206111</v>
      </c>
      <c r="J67" s="160">
        <f t="shared" si="2"/>
        <v>71119977.890000001</v>
      </c>
      <c r="K67" s="161"/>
      <c r="L67" s="161"/>
    </row>
    <row r="68" spans="1:17" s="3" customFormat="1" ht="15.95" customHeight="1" x14ac:dyDescent="0.25">
      <c r="A68" s="157" t="s">
        <v>48</v>
      </c>
      <c r="B68" s="157"/>
      <c r="C68" s="31">
        <v>380340945</v>
      </c>
      <c r="D68" s="32">
        <v>123395999.06</v>
      </c>
      <c r="E68" s="33">
        <f>G68-38863167.06</f>
        <v>13412854.109999999</v>
      </c>
      <c r="F68" s="34">
        <f t="shared" si="0"/>
        <v>10.869764183746462</v>
      </c>
      <c r="G68" s="168">
        <v>52276021.170000002</v>
      </c>
      <c r="H68" s="170"/>
      <c r="I68" s="34">
        <f t="shared" si="1"/>
        <v>42.364437719395859</v>
      </c>
      <c r="J68" s="160">
        <f t="shared" si="2"/>
        <v>71119977.890000001</v>
      </c>
      <c r="K68" s="161"/>
      <c r="L68" s="161"/>
      <c r="M68" s="324"/>
      <c r="N68" s="324"/>
      <c r="O68" s="324"/>
      <c r="P68" s="324"/>
      <c r="Q68" s="324"/>
    </row>
    <row r="69" spans="1:17" s="3" customFormat="1" ht="15.95" customHeight="1" x14ac:dyDescent="0.25">
      <c r="A69" s="157" t="s">
        <v>49</v>
      </c>
      <c r="B69" s="157"/>
      <c r="C69" s="31">
        <v>0</v>
      </c>
      <c r="D69" s="32">
        <v>540.25</v>
      </c>
      <c r="E69" s="33">
        <f>G69-0</f>
        <v>540.25</v>
      </c>
      <c r="F69" s="34">
        <f t="shared" si="0"/>
        <v>100</v>
      </c>
      <c r="G69" s="168">
        <v>540.25</v>
      </c>
      <c r="H69" s="170"/>
      <c r="I69" s="34">
        <v>0</v>
      </c>
      <c r="J69" s="160">
        <f t="shared" si="2"/>
        <v>0</v>
      </c>
      <c r="K69" s="161"/>
      <c r="L69" s="161"/>
      <c r="M69" s="324"/>
      <c r="N69" s="324"/>
      <c r="O69" s="324"/>
      <c r="P69" s="324"/>
      <c r="Q69" s="324"/>
    </row>
    <row r="70" spans="1:17" s="3" customFormat="1" ht="15.95" customHeight="1" x14ac:dyDescent="0.25">
      <c r="A70" s="157" t="s">
        <v>50</v>
      </c>
      <c r="B70" s="157"/>
      <c r="C70" s="31">
        <v>12000</v>
      </c>
      <c r="D70" s="32">
        <v>0</v>
      </c>
      <c r="E70" s="33">
        <f>G70-0</f>
        <v>0</v>
      </c>
      <c r="F70" s="34">
        <v>0</v>
      </c>
      <c r="G70" s="168">
        <v>0</v>
      </c>
      <c r="H70" s="170"/>
      <c r="I70" s="34" t="e">
        <f t="shared" si="1"/>
        <v>#DIV/0!</v>
      </c>
      <c r="J70" s="160">
        <f t="shared" si="2"/>
        <v>0</v>
      </c>
      <c r="K70" s="161"/>
      <c r="L70" s="161"/>
      <c r="M70" s="324"/>
      <c r="N70" s="324"/>
      <c r="O70" s="324"/>
      <c r="P70" s="324"/>
      <c r="Q70" s="324"/>
    </row>
    <row r="71" spans="1:17" s="3" customFormat="1" ht="15.95" customHeight="1" x14ac:dyDescent="0.25">
      <c r="A71" s="157" t="s">
        <v>51</v>
      </c>
      <c r="B71" s="157"/>
      <c r="C71" s="31">
        <v>0</v>
      </c>
      <c r="D71" s="32">
        <v>0</v>
      </c>
      <c r="E71" s="39">
        <f>G71-0</f>
        <v>0</v>
      </c>
      <c r="F71" s="34">
        <v>0</v>
      </c>
      <c r="G71" s="168">
        <v>0</v>
      </c>
      <c r="H71" s="170"/>
      <c r="I71" s="34">
        <v>0</v>
      </c>
      <c r="J71" s="160">
        <f t="shared" si="2"/>
        <v>0</v>
      </c>
      <c r="K71" s="161"/>
      <c r="L71" s="161"/>
      <c r="M71" s="324"/>
      <c r="N71" s="324"/>
      <c r="O71" s="324"/>
      <c r="P71" s="324"/>
      <c r="Q71" s="324"/>
    </row>
    <row r="72" spans="1:17" s="3" customFormat="1" ht="15.95" customHeight="1" x14ac:dyDescent="0.25">
      <c r="A72" s="157" t="s">
        <v>52</v>
      </c>
      <c r="B72" s="157"/>
      <c r="C72" s="31">
        <v>0</v>
      </c>
      <c r="D72" s="32">
        <v>0</v>
      </c>
      <c r="E72" s="33">
        <f>G72</f>
        <v>0</v>
      </c>
      <c r="F72" s="34">
        <v>0</v>
      </c>
      <c r="G72" s="168">
        <v>0</v>
      </c>
      <c r="H72" s="170"/>
      <c r="I72" s="34">
        <v>0</v>
      </c>
      <c r="J72" s="160">
        <f t="shared" si="2"/>
        <v>0</v>
      </c>
      <c r="K72" s="161"/>
      <c r="L72" s="161"/>
      <c r="M72" s="324"/>
      <c r="N72" s="324"/>
      <c r="O72" s="324"/>
      <c r="P72" s="324"/>
      <c r="Q72" s="324"/>
    </row>
    <row r="73" spans="1:17" s="3" customFormat="1" ht="15.95" customHeight="1" x14ac:dyDescent="0.25">
      <c r="A73" s="157" t="s">
        <v>53</v>
      </c>
      <c r="B73" s="157"/>
      <c r="C73" s="31">
        <v>0</v>
      </c>
      <c r="D73" s="32">
        <v>0</v>
      </c>
      <c r="E73" s="33">
        <f>G73</f>
        <v>0</v>
      </c>
      <c r="F73" s="34">
        <v>0</v>
      </c>
      <c r="G73" s="168">
        <v>0</v>
      </c>
      <c r="H73" s="170"/>
      <c r="I73" s="34">
        <v>0</v>
      </c>
      <c r="J73" s="160">
        <f t="shared" si="2"/>
        <v>0</v>
      </c>
      <c r="K73" s="161"/>
      <c r="L73" s="161"/>
      <c r="M73" s="324"/>
      <c r="N73" s="324"/>
      <c r="O73" s="324"/>
      <c r="P73" s="324"/>
      <c r="Q73" s="324"/>
    </row>
    <row r="74" spans="1:17" s="3" customFormat="1" ht="15.95" customHeight="1" x14ac:dyDescent="0.25">
      <c r="A74" s="299" t="s">
        <v>71</v>
      </c>
      <c r="B74" s="300"/>
      <c r="C74" s="31">
        <f>25677829+900441</f>
        <v>26578270</v>
      </c>
      <c r="D74" s="37">
        <v>0</v>
      </c>
      <c r="E74" s="33">
        <f>G74-0</f>
        <v>0</v>
      </c>
      <c r="F74" s="34">
        <v>0</v>
      </c>
      <c r="G74" s="168">
        <v>0</v>
      </c>
      <c r="H74" s="170"/>
      <c r="I74" s="34" t="e">
        <f t="shared" si="1"/>
        <v>#DIV/0!</v>
      </c>
      <c r="J74" s="168">
        <f t="shared" si="2"/>
        <v>0</v>
      </c>
      <c r="K74" s="169"/>
      <c r="L74" s="169"/>
      <c r="M74" s="325"/>
      <c r="N74" s="325"/>
      <c r="O74" s="325"/>
      <c r="P74" s="325"/>
      <c r="Q74" s="324"/>
    </row>
    <row r="75" spans="1:17" s="3" customFormat="1" ht="15.95" hidden="1" customHeight="1" x14ac:dyDescent="0.25">
      <c r="A75" s="162" t="s">
        <v>72</v>
      </c>
      <c r="B75" s="157"/>
      <c r="C75" s="45"/>
      <c r="D75" s="46"/>
      <c r="E75" s="47">
        <f>G75-0</f>
        <v>0</v>
      </c>
      <c r="F75" s="48" t="e">
        <f t="shared" si="0"/>
        <v>#DIV/0!</v>
      </c>
      <c r="G75" s="232"/>
      <c r="H75" s="296"/>
      <c r="I75" s="48" t="e">
        <f t="shared" si="1"/>
        <v>#DIV/0!</v>
      </c>
      <c r="J75" s="232">
        <f t="shared" si="2"/>
        <v>0</v>
      </c>
      <c r="K75" s="233"/>
      <c r="L75" s="233"/>
      <c r="M75" s="326"/>
      <c r="N75" s="326"/>
      <c r="O75" s="326"/>
      <c r="P75" s="326"/>
      <c r="Q75" s="324"/>
    </row>
    <row r="76" spans="1:17" s="3" customFormat="1" ht="15.95" hidden="1" customHeight="1" x14ac:dyDescent="0.25">
      <c r="A76" s="162" t="s">
        <v>73</v>
      </c>
      <c r="B76" s="157"/>
      <c r="C76" s="45">
        <v>0</v>
      </c>
      <c r="D76" s="46">
        <v>0</v>
      </c>
      <c r="E76" s="47">
        <f>G76-0</f>
        <v>0</v>
      </c>
      <c r="F76" s="48" t="e">
        <f t="shared" si="0"/>
        <v>#DIV/0!</v>
      </c>
      <c r="G76" s="232">
        <v>0</v>
      </c>
      <c r="H76" s="296"/>
      <c r="I76" s="48" t="e">
        <f t="shared" si="1"/>
        <v>#DIV/0!</v>
      </c>
      <c r="J76" s="232">
        <f t="shared" si="2"/>
        <v>0</v>
      </c>
      <c r="K76" s="233"/>
      <c r="L76" s="233"/>
      <c r="M76" s="326"/>
      <c r="N76" s="326"/>
      <c r="O76" s="326"/>
      <c r="P76" s="326"/>
      <c r="Q76" s="327"/>
    </row>
    <row r="77" spans="1:17" s="3" customFormat="1" ht="15.95" hidden="1" customHeight="1" x14ac:dyDescent="0.25">
      <c r="A77" s="162" t="s">
        <v>74</v>
      </c>
      <c r="B77" s="157"/>
      <c r="C77" s="45">
        <v>0</v>
      </c>
      <c r="D77" s="46">
        <v>0</v>
      </c>
      <c r="E77" s="47">
        <f>G77-0</f>
        <v>0</v>
      </c>
      <c r="F77" s="48" t="e">
        <f t="shared" si="0"/>
        <v>#DIV/0!</v>
      </c>
      <c r="G77" s="232"/>
      <c r="H77" s="296"/>
      <c r="I77" s="48" t="e">
        <f t="shared" si="1"/>
        <v>#DIV/0!</v>
      </c>
      <c r="J77" s="297">
        <f t="shared" si="2"/>
        <v>0</v>
      </c>
      <c r="K77" s="298"/>
      <c r="L77" s="298"/>
      <c r="M77" s="326"/>
      <c r="N77" s="326"/>
      <c r="O77" s="326"/>
      <c r="P77" s="326"/>
      <c r="Q77" s="327"/>
    </row>
    <row r="78" spans="1:17" s="3" customFormat="1" ht="15.95" customHeight="1" x14ac:dyDescent="0.25">
      <c r="A78" s="162" t="s">
        <v>75</v>
      </c>
      <c r="B78" s="157"/>
      <c r="C78" s="31">
        <f>SUM(C79:C82)</f>
        <v>0</v>
      </c>
      <c r="D78" s="32">
        <f>SUM(D79:D82)</f>
        <v>2132534327.0699999</v>
      </c>
      <c r="E78" s="33">
        <f>SUM(E79:E82)</f>
        <v>469471884.03999972</v>
      </c>
      <c r="F78" s="34">
        <v>0</v>
      </c>
      <c r="G78" s="168">
        <f>SUM(G79:H82)</f>
        <v>2350177931.7199998</v>
      </c>
      <c r="H78" s="170">
        <f>SUM(H80:H82)</f>
        <v>0</v>
      </c>
      <c r="I78" s="34">
        <v>0</v>
      </c>
      <c r="J78" s="160">
        <f t="shared" si="2"/>
        <v>-217643604.64999986</v>
      </c>
      <c r="K78" s="161"/>
      <c r="L78" s="161"/>
      <c r="M78" s="324"/>
      <c r="N78" s="327"/>
      <c r="O78" s="327"/>
      <c r="P78" s="327"/>
      <c r="Q78" s="327"/>
    </row>
    <row r="79" spans="1:17" s="3" customFormat="1" ht="15.95" customHeight="1" x14ac:dyDescent="0.25">
      <c r="A79" s="157" t="s">
        <v>76</v>
      </c>
      <c r="B79" s="157"/>
      <c r="C79" s="31">
        <v>0</v>
      </c>
      <c r="D79" s="32">
        <v>0</v>
      </c>
      <c r="E79" s="33">
        <f>G79</f>
        <v>0</v>
      </c>
      <c r="F79" s="34">
        <v>0</v>
      </c>
      <c r="G79" s="168">
        <v>0</v>
      </c>
      <c r="H79" s="170"/>
      <c r="I79" s="34">
        <v>0</v>
      </c>
      <c r="J79" s="160">
        <f t="shared" si="2"/>
        <v>0</v>
      </c>
      <c r="K79" s="161"/>
      <c r="L79" s="161"/>
      <c r="M79" s="324"/>
      <c r="N79" s="327"/>
      <c r="O79" s="327"/>
      <c r="P79" s="327"/>
      <c r="Q79" s="327"/>
    </row>
    <row r="80" spans="1:17" s="3" customFormat="1" ht="15.95" customHeight="1" x14ac:dyDescent="0.25">
      <c r="A80" s="157" t="s">
        <v>77</v>
      </c>
      <c r="B80" s="157"/>
      <c r="C80" s="31">
        <v>0</v>
      </c>
      <c r="D80" s="32">
        <v>0</v>
      </c>
      <c r="E80" s="33">
        <f>G80</f>
        <v>0</v>
      </c>
      <c r="F80" s="34">
        <v>0</v>
      </c>
      <c r="G80" s="168">
        <v>0</v>
      </c>
      <c r="H80" s="170"/>
      <c r="I80" s="34">
        <v>0</v>
      </c>
      <c r="J80" s="160">
        <f t="shared" si="2"/>
        <v>0</v>
      </c>
      <c r="K80" s="161"/>
      <c r="L80" s="161"/>
      <c r="M80" s="324"/>
      <c r="N80" s="324"/>
      <c r="O80" s="324"/>
      <c r="P80" s="324"/>
      <c r="Q80" s="324"/>
    </row>
    <row r="81" spans="1:17" s="3" customFormat="1" ht="15.95" customHeight="1" x14ac:dyDescent="0.25">
      <c r="A81" s="157" t="s">
        <v>78</v>
      </c>
      <c r="B81" s="157"/>
      <c r="C81" s="31">
        <v>0</v>
      </c>
      <c r="D81" s="32">
        <v>0</v>
      </c>
      <c r="E81" s="33">
        <f>G81</f>
        <v>0</v>
      </c>
      <c r="F81" s="34">
        <v>0</v>
      </c>
      <c r="G81" s="168">
        <v>0</v>
      </c>
      <c r="H81" s="170"/>
      <c r="I81" s="34">
        <v>0</v>
      </c>
      <c r="J81" s="160">
        <f t="shared" si="2"/>
        <v>0</v>
      </c>
      <c r="K81" s="161"/>
      <c r="L81" s="161"/>
      <c r="M81" s="324"/>
      <c r="N81" s="324"/>
      <c r="O81" s="324"/>
      <c r="P81" s="324"/>
      <c r="Q81" s="324"/>
    </row>
    <row r="82" spans="1:17" s="3" customFormat="1" ht="15.95" customHeight="1" x14ac:dyDescent="0.25">
      <c r="A82" s="157" t="s">
        <v>79</v>
      </c>
      <c r="B82" s="157"/>
      <c r="C82" s="37">
        <v>0</v>
      </c>
      <c r="D82" s="38">
        <v>2132534327.0699999</v>
      </c>
      <c r="E82" s="39">
        <f>G82-1880706047.68</f>
        <v>469471884.03999972</v>
      </c>
      <c r="F82" s="40">
        <v>0</v>
      </c>
      <c r="G82" s="229">
        <v>2350177931.7199998</v>
      </c>
      <c r="H82" s="293"/>
      <c r="I82" s="40">
        <v>0</v>
      </c>
      <c r="J82" s="155">
        <f t="shared" ref="J82:J92" si="3">D82-G82</f>
        <v>-217643604.64999986</v>
      </c>
      <c r="K82" s="156"/>
      <c r="L82" s="156"/>
      <c r="M82" s="324"/>
      <c r="N82" s="328"/>
      <c r="O82" s="328"/>
      <c r="P82" s="328"/>
      <c r="Q82" s="328"/>
    </row>
    <row r="83" spans="1:17" s="3" customFormat="1" ht="15.95" customHeight="1" x14ac:dyDescent="0.25">
      <c r="A83" s="291" t="s">
        <v>80</v>
      </c>
      <c r="B83" s="282"/>
      <c r="C83" s="26">
        <f>C144</f>
        <v>7951876408</v>
      </c>
      <c r="D83" s="27">
        <f>D144</f>
        <v>8448944132.4300013</v>
      </c>
      <c r="E83" s="22">
        <f>E144</f>
        <v>1471898812.9699993</v>
      </c>
      <c r="F83" s="28">
        <f t="shared" ref="F83:F94" si="4">(E83/D83)*100</f>
        <v>17.421097712320492</v>
      </c>
      <c r="G83" s="174">
        <f>G144</f>
        <v>7070904764.9599991</v>
      </c>
      <c r="H83" s="175"/>
      <c r="I83" s="28">
        <f t="shared" ref="I83:I94" si="5">(G83/D83)*100</f>
        <v>83.689803768726492</v>
      </c>
      <c r="J83" s="225">
        <f t="shared" si="3"/>
        <v>1378039367.4700022</v>
      </c>
      <c r="K83" s="226"/>
      <c r="L83" s="226"/>
      <c r="M83" s="324"/>
      <c r="N83" s="328"/>
      <c r="O83" s="328"/>
      <c r="P83" s="328"/>
      <c r="Q83" s="328"/>
    </row>
    <row r="84" spans="1:17" s="3" customFormat="1" ht="15.95" customHeight="1" x14ac:dyDescent="0.25">
      <c r="A84" s="278" t="s">
        <v>81</v>
      </c>
      <c r="B84" s="280"/>
      <c r="C84" s="49">
        <f>C17+C83</f>
        <v>107518723460</v>
      </c>
      <c r="D84" s="50">
        <f>D17+D83</f>
        <v>114403450790.65001</v>
      </c>
      <c r="E84" s="49">
        <f>E17+E83</f>
        <v>16801007939.959997</v>
      </c>
      <c r="F84" s="51">
        <f t="shared" si="4"/>
        <v>14.685752766937615</v>
      </c>
      <c r="G84" s="294">
        <f>G17+G83</f>
        <v>95861148655.859985</v>
      </c>
      <c r="H84" s="295"/>
      <c r="I84" s="51">
        <f t="shared" si="5"/>
        <v>83.792182834833284</v>
      </c>
      <c r="J84" s="255">
        <f t="shared" si="3"/>
        <v>18542302134.790024</v>
      </c>
      <c r="K84" s="281"/>
      <c r="L84" s="281"/>
      <c r="M84" s="324"/>
      <c r="N84" s="328"/>
      <c r="O84" s="328"/>
      <c r="P84" s="328"/>
      <c r="Q84" s="328"/>
    </row>
    <row r="85" spans="1:17" s="3" customFormat="1" ht="15.95" customHeight="1" x14ac:dyDescent="0.25">
      <c r="A85" s="301" t="s">
        <v>82</v>
      </c>
      <c r="B85" s="302"/>
      <c r="C85" s="53">
        <v>0</v>
      </c>
      <c r="D85" s="54">
        <v>0</v>
      </c>
      <c r="E85" s="55">
        <v>0</v>
      </c>
      <c r="F85" s="23">
        <v>0</v>
      </c>
      <c r="G85" s="289">
        <v>0</v>
      </c>
      <c r="H85" s="292"/>
      <c r="I85" s="23">
        <v>0</v>
      </c>
      <c r="J85" s="289">
        <f t="shared" si="3"/>
        <v>0</v>
      </c>
      <c r="K85" s="290"/>
      <c r="L85" s="290"/>
      <c r="M85" s="324"/>
      <c r="N85" s="324"/>
      <c r="O85" s="324"/>
      <c r="P85" s="324"/>
      <c r="Q85" s="324"/>
    </row>
    <row r="86" spans="1:17" s="3" customFormat="1" ht="15.95" customHeight="1" x14ac:dyDescent="0.25">
      <c r="A86" s="157" t="s">
        <v>83</v>
      </c>
      <c r="B86" s="282"/>
      <c r="C86" s="56">
        <v>0</v>
      </c>
      <c r="D86" s="57">
        <v>0</v>
      </c>
      <c r="E86" s="58">
        <v>0</v>
      </c>
      <c r="F86" s="34">
        <v>0</v>
      </c>
      <c r="G86" s="216">
        <v>0</v>
      </c>
      <c r="H86" s="283"/>
      <c r="I86" s="34">
        <v>0</v>
      </c>
      <c r="J86" s="216">
        <f t="shared" si="3"/>
        <v>0</v>
      </c>
      <c r="K86" s="217"/>
      <c r="L86" s="217"/>
      <c r="M86" s="324"/>
      <c r="N86" s="324"/>
      <c r="O86" s="324"/>
      <c r="P86" s="324"/>
      <c r="Q86" s="324"/>
    </row>
    <row r="87" spans="1:17" s="3" customFormat="1" ht="15.95" customHeight="1" x14ac:dyDescent="0.25">
      <c r="A87" s="157" t="s">
        <v>84</v>
      </c>
      <c r="B87" s="282"/>
      <c r="C87" s="56">
        <v>0</v>
      </c>
      <c r="D87" s="57">
        <v>0</v>
      </c>
      <c r="E87" s="58">
        <v>0</v>
      </c>
      <c r="F87" s="34">
        <v>0</v>
      </c>
      <c r="G87" s="216">
        <v>0</v>
      </c>
      <c r="H87" s="283"/>
      <c r="I87" s="34">
        <v>0</v>
      </c>
      <c r="J87" s="216">
        <f t="shared" si="3"/>
        <v>0</v>
      </c>
      <c r="K87" s="217"/>
      <c r="L87" s="217"/>
      <c r="M87" s="324"/>
      <c r="N87" s="329"/>
      <c r="O87" s="324"/>
      <c r="P87" s="324"/>
      <c r="Q87" s="324"/>
    </row>
    <row r="88" spans="1:17" s="3" customFormat="1" ht="15.95" customHeight="1" x14ac:dyDescent="0.25">
      <c r="A88" s="288" t="s">
        <v>85</v>
      </c>
      <c r="B88" s="282"/>
      <c r="C88" s="56">
        <v>0</v>
      </c>
      <c r="D88" s="57">
        <v>0</v>
      </c>
      <c r="E88" s="58">
        <v>0</v>
      </c>
      <c r="F88" s="34">
        <v>0</v>
      </c>
      <c r="G88" s="216">
        <v>0</v>
      </c>
      <c r="H88" s="283"/>
      <c r="I88" s="34">
        <v>0</v>
      </c>
      <c r="J88" s="216">
        <f t="shared" si="3"/>
        <v>0</v>
      </c>
      <c r="K88" s="217"/>
      <c r="L88" s="217"/>
      <c r="M88" s="324"/>
      <c r="N88" s="324"/>
      <c r="O88" s="324"/>
      <c r="P88" s="324"/>
      <c r="Q88" s="324"/>
    </row>
    <row r="89" spans="1:17" s="3" customFormat="1" ht="15.95" customHeight="1" x14ac:dyDescent="0.25">
      <c r="A89" s="157" t="s">
        <v>86</v>
      </c>
      <c r="B89" s="282"/>
      <c r="C89" s="56">
        <v>0</v>
      </c>
      <c r="D89" s="57">
        <v>0</v>
      </c>
      <c r="E89" s="58">
        <v>0</v>
      </c>
      <c r="F89" s="34">
        <v>0</v>
      </c>
      <c r="G89" s="216">
        <v>0</v>
      </c>
      <c r="H89" s="283"/>
      <c r="I89" s="34">
        <v>0</v>
      </c>
      <c r="J89" s="216">
        <f t="shared" si="3"/>
        <v>0</v>
      </c>
      <c r="K89" s="217"/>
      <c r="L89" s="217"/>
      <c r="M89" s="324"/>
      <c r="N89" s="324"/>
      <c r="O89" s="324"/>
      <c r="P89" s="324"/>
      <c r="Q89" s="324"/>
    </row>
    <row r="90" spans="1:17" s="3" customFormat="1" ht="15.95" customHeight="1" x14ac:dyDescent="0.25">
      <c r="A90" s="157" t="s">
        <v>84</v>
      </c>
      <c r="B90" s="282"/>
      <c r="C90" s="56">
        <v>0</v>
      </c>
      <c r="D90" s="57">
        <v>0</v>
      </c>
      <c r="E90" s="58">
        <v>0</v>
      </c>
      <c r="F90" s="34">
        <v>0</v>
      </c>
      <c r="G90" s="216">
        <v>0</v>
      </c>
      <c r="H90" s="283"/>
      <c r="I90" s="34">
        <v>0</v>
      </c>
      <c r="J90" s="216">
        <f t="shared" si="3"/>
        <v>0</v>
      </c>
      <c r="K90" s="217"/>
      <c r="L90" s="217"/>
      <c r="M90" s="324"/>
      <c r="N90" s="324"/>
      <c r="O90" s="324"/>
      <c r="P90" s="324"/>
      <c r="Q90" s="324"/>
    </row>
    <row r="91" spans="1:17" s="3" customFormat="1" ht="15.95" customHeight="1" x14ac:dyDescent="0.25">
      <c r="A91" s="284" t="s">
        <v>85</v>
      </c>
      <c r="B91" s="285"/>
      <c r="C91" s="61">
        <v>0</v>
      </c>
      <c r="D91" s="62">
        <v>0</v>
      </c>
      <c r="E91" s="58">
        <v>0</v>
      </c>
      <c r="F91" s="63">
        <v>0</v>
      </c>
      <c r="G91" s="286">
        <v>0</v>
      </c>
      <c r="H91" s="287"/>
      <c r="I91" s="63">
        <v>0</v>
      </c>
      <c r="J91" s="216">
        <f t="shared" si="3"/>
        <v>0</v>
      </c>
      <c r="K91" s="217"/>
      <c r="L91" s="217"/>
      <c r="M91" s="324"/>
      <c r="N91" s="329"/>
      <c r="O91" s="324"/>
      <c r="P91" s="324"/>
      <c r="Q91" s="324"/>
    </row>
    <row r="92" spans="1:17" s="3" customFormat="1" ht="15.95" customHeight="1" x14ac:dyDescent="0.25">
      <c r="A92" s="278" t="s">
        <v>87</v>
      </c>
      <c r="B92" s="280"/>
      <c r="C92" s="151">
        <f>C84+C85</f>
        <v>107518723460</v>
      </c>
      <c r="D92" s="64">
        <f>D84+D85</f>
        <v>114403450790.65001</v>
      </c>
      <c r="E92" s="152">
        <f>E84+E85</f>
        <v>16801007939.959997</v>
      </c>
      <c r="F92" s="154">
        <f t="shared" si="4"/>
        <v>14.685752766937615</v>
      </c>
      <c r="G92" s="211">
        <f>G84+G85</f>
        <v>95861148655.859985</v>
      </c>
      <c r="H92" s="212">
        <f>H84+H85</f>
        <v>0</v>
      </c>
      <c r="I92" s="28">
        <f t="shared" si="5"/>
        <v>83.792182834833284</v>
      </c>
      <c r="J92" s="255">
        <f t="shared" si="3"/>
        <v>18542302134.790024</v>
      </c>
      <c r="K92" s="281"/>
      <c r="L92" s="281"/>
      <c r="M92" s="330"/>
      <c r="N92" s="324"/>
      <c r="O92" s="324"/>
      <c r="P92" s="324"/>
      <c r="Q92" s="324"/>
    </row>
    <row r="93" spans="1:17" s="3" customFormat="1" ht="15.95" customHeight="1" x14ac:dyDescent="0.25">
      <c r="A93" s="278" t="s">
        <v>152</v>
      </c>
      <c r="B93" s="279"/>
      <c r="C93" s="66"/>
      <c r="D93" s="66"/>
      <c r="E93" s="66"/>
      <c r="F93" s="66"/>
      <c r="G93" s="211">
        <f>IF((H124&gt;G92),(H124-G92),0)</f>
        <v>0</v>
      </c>
      <c r="H93" s="212"/>
      <c r="I93" s="67"/>
      <c r="J93" s="220"/>
      <c r="K93" s="221"/>
      <c r="L93" s="221"/>
      <c r="M93" s="330"/>
      <c r="N93" s="324"/>
      <c r="O93" s="324"/>
      <c r="P93" s="324"/>
      <c r="Q93" s="324"/>
    </row>
    <row r="94" spans="1:17" s="3" customFormat="1" ht="15.95" customHeight="1" x14ac:dyDescent="0.25">
      <c r="A94" s="269" t="s">
        <v>88</v>
      </c>
      <c r="B94" s="270"/>
      <c r="C94" s="49">
        <f>C92+C93</f>
        <v>107518723460</v>
      </c>
      <c r="D94" s="50">
        <f>D92+D93</f>
        <v>114403450790.65001</v>
      </c>
      <c r="E94" s="49">
        <f>E92+E93</f>
        <v>16801007939.959997</v>
      </c>
      <c r="F94" s="68">
        <f t="shared" si="4"/>
        <v>14.685752766937615</v>
      </c>
      <c r="G94" s="255">
        <f>G92+G93</f>
        <v>95861148655.859985</v>
      </c>
      <c r="H94" s="256"/>
      <c r="I94" s="51">
        <f t="shared" si="5"/>
        <v>83.792182834833284</v>
      </c>
      <c r="J94" s="220"/>
      <c r="K94" s="221"/>
      <c r="L94" s="221"/>
      <c r="M94" s="324"/>
      <c r="N94" s="331"/>
      <c r="O94" s="331"/>
      <c r="P94" s="331"/>
      <c r="Q94" s="331"/>
    </row>
    <row r="95" spans="1:17" s="3" customFormat="1" ht="15.75" customHeight="1" x14ac:dyDescent="0.25">
      <c r="A95" s="274" t="s">
        <v>89</v>
      </c>
      <c r="B95" s="274"/>
      <c r="C95" s="51">
        <f>SUM(C96:C97)</f>
        <v>0</v>
      </c>
      <c r="D95" s="51">
        <f>SUM(D96:D97)</f>
        <v>8727971339.1599998</v>
      </c>
      <c r="E95" s="66"/>
      <c r="F95" s="66"/>
      <c r="G95" s="267">
        <f>SUM(G96:H97)</f>
        <v>8727971339.1599998</v>
      </c>
      <c r="H95" s="268">
        <f>SUM(H96:H97)</f>
        <v>0</v>
      </c>
      <c r="I95" s="67"/>
      <c r="J95" s="220"/>
      <c r="K95" s="221"/>
      <c r="L95" s="221"/>
      <c r="M95" s="332"/>
      <c r="N95" s="331"/>
      <c r="O95" s="331"/>
      <c r="P95" s="331"/>
      <c r="Q95" s="331"/>
    </row>
    <row r="96" spans="1:17" s="3" customFormat="1" ht="15.95" customHeight="1" x14ac:dyDescent="0.25">
      <c r="A96" s="275" t="s">
        <v>90</v>
      </c>
      <c r="B96" s="275"/>
      <c r="C96" s="69">
        <v>0</v>
      </c>
      <c r="D96" s="70">
        <f>G96</f>
        <v>0</v>
      </c>
      <c r="E96" s="66"/>
      <c r="F96" s="66"/>
      <c r="G96" s="220"/>
      <c r="H96" s="271"/>
      <c r="I96" s="67"/>
      <c r="J96" s="220"/>
      <c r="K96" s="221"/>
      <c r="L96" s="221"/>
      <c r="M96" s="332"/>
      <c r="N96" s="331"/>
      <c r="O96" s="331"/>
      <c r="P96" s="331"/>
      <c r="Q96" s="331"/>
    </row>
    <row r="97" spans="1:17" s="3" customFormat="1" ht="15.95" customHeight="1" x14ac:dyDescent="0.25">
      <c r="A97" s="275" t="s">
        <v>91</v>
      </c>
      <c r="B97" s="275"/>
      <c r="C97" s="66"/>
      <c r="D97" s="70">
        <f>G97</f>
        <v>8727971339.1599998</v>
      </c>
      <c r="E97" s="66"/>
      <c r="F97" s="66"/>
      <c r="G97" s="272">
        <v>8727971339.1599998</v>
      </c>
      <c r="H97" s="273"/>
      <c r="I97" s="67"/>
      <c r="J97" s="220"/>
      <c r="K97" s="221"/>
      <c r="L97" s="221"/>
      <c r="M97" s="332"/>
      <c r="N97" s="331"/>
      <c r="O97" s="331"/>
      <c r="P97" s="331"/>
      <c r="Q97" s="331"/>
    </row>
    <row r="98" spans="1:17" ht="12.75" x14ac:dyDescent="0.2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333"/>
      <c r="N98" s="331"/>
      <c r="O98" s="331"/>
      <c r="P98" s="331"/>
      <c r="Q98" s="331"/>
    </row>
    <row r="99" spans="1:17" s="3" customFormat="1" ht="17.25" customHeight="1" x14ac:dyDescent="0.25">
      <c r="A99" s="190" t="s">
        <v>92</v>
      </c>
      <c r="B99" s="73" t="s">
        <v>93</v>
      </c>
      <c r="C99" s="73" t="s">
        <v>93</v>
      </c>
      <c r="D99" s="185" t="s">
        <v>94</v>
      </c>
      <c r="E99" s="186"/>
      <c r="F99" s="74" t="s">
        <v>9</v>
      </c>
      <c r="G99" s="185" t="s">
        <v>95</v>
      </c>
      <c r="H99" s="186"/>
      <c r="I99" s="187"/>
      <c r="J99" s="14" t="s">
        <v>9</v>
      </c>
      <c r="K99" s="198" t="s">
        <v>96</v>
      </c>
      <c r="L99" s="199"/>
      <c r="M99" s="324"/>
      <c r="N99" s="324"/>
      <c r="O99" s="324"/>
      <c r="P99" s="324"/>
      <c r="Q99" s="324"/>
    </row>
    <row r="100" spans="1:17" s="3" customFormat="1" ht="14.25" customHeight="1" x14ac:dyDescent="0.25">
      <c r="A100" s="191"/>
      <c r="B100" s="75" t="s">
        <v>97</v>
      </c>
      <c r="C100" s="75" t="s">
        <v>10</v>
      </c>
      <c r="D100" s="76" t="s">
        <v>98</v>
      </c>
      <c r="E100" s="76" t="s">
        <v>99</v>
      </c>
      <c r="F100" s="77"/>
      <c r="G100" s="76" t="s">
        <v>98</v>
      </c>
      <c r="H100" s="177" t="s">
        <v>99</v>
      </c>
      <c r="I100" s="178"/>
      <c r="J100" s="78"/>
      <c r="K100" s="200"/>
      <c r="L100" s="201"/>
      <c r="M100" s="324"/>
      <c r="N100" s="324"/>
      <c r="O100" s="324"/>
      <c r="P100" s="324"/>
      <c r="Q100" s="324"/>
    </row>
    <row r="101" spans="1:17" s="3" customFormat="1" ht="14.25" customHeight="1" x14ac:dyDescent="0.25">
      <c r="A101" s="191"/>
      <c r="B101" s="75"/>
      <c r="C101" s="75"/>
      <c r="D101" s="77" t="s">
        <v>100</v>
      </c>
      <c r="E101" s="77" t="s">
        <v>100</v>
      </c>
      <c r="F101" s="77"/>
      <c r="G101" s="77" t="s">
        <v>100</v>
      </c>
      <c r="H101" s="179" t="s">
        <v>100</v>
      </c>
      <c r="I101" s="180"/>
      <c r="J101" s="78"/>
      <c r="K101" s="200"/>
      <c r="L101" s="201"/>
      <c r="M101" s="324"/>
      <c r="N101" s="324"/>
      <c r="O101" s="324"/>
      <c r="P101" s="324"/>
      <c r="Q101" s="324"/>
    </row>
    <row r="102" spans="1:17" s="3" customFormat="1" ht="16.5" customHeight="1" x14ac:dyDescent="0.25">
      <c r="A102" s="192"/>
      <c r="B102" s="79" t="s">
        <v>101</v>
      </c>
      <c r="C102" s="79" t="s">
        <v>102</v>
      </c>
      <c r="D102" s="79"/>
      <c r="E102" s="79" t="s">
        <v>103</v>
      </c>
      <c r="F102" s="80" t="s">
        <v>104</v>
      </c>
      <c r="G102" s="79"/>
      <c r="H102" s="195" t="s">
        <v>105</v>
      </c>
      <c r="I102" s="196"/>
      <c r="J102" s="18" t="s">
        <v>106</v>
      </c>
      <c r="K102" s="195" t="s">
        <v>107</v>
      </c>
      <c r="L102" s="197"/>
      <c r="M102" s="324"/>
      <c r="N102" s="324"/>
      <c r="O102" s="324"/>
      <c r="P102" s="324"/>
      <c r="Q102" s="324"/>
    </row>
    <row r="103" spans="1:17" s="3" customFormat="1" ht="15.95" customHeight="1" x14ac:dyDescent="0.25">
      <c r="A103" s="81" t="s">
        <v>108</v>
      </c>
      <c r="B103" s="27">
        <f>B104+B110+B114</f>
        <v>114232985204</v>
      </c>
      <c r="C103" s="27">
        <f>C104+C110+C114</f>
        <v>125270515490.35001</v>
      </c>
      <c r="D103" s="27">
        <f>D104+D110+D114</f>
        <v>17086044897.500004</v>
      </c>
      <c r="E103" s="27">
        <f>E104+E110+E114</f>
        <v>86112686717.860001</v>
      </c>
      <c r="F103" s="27">
        <f>C103-E103</f>
        <v>39157828772.490005</v>
      </c>
      <c r="G103" s="29">
        <f>G104+G110+G114</f>
        <v>17935869081.119995</v>
      </c>
      <c r="H103" s="276">
        <f>H104+H110+H114</f>
        <v>80928026194.209991</v>
      </c>
      <c r="I103" s="277"/>
      <c r="J103" s="21">
        <f t="shared" ref="J103:J108" si="6">C103-H103</f>
        <v>44342489296.140015</v>
      </c>
      <c r="K103" s="236">
        <f>K104+K110+K114</f>
        <v>77839018216.160004</v>
      </c>
      <c r="L103" s="265" t="e">
        <f>L104+L110+L114+#REF!</f>
        <v>#REF!</v>
      </c>
      <c r="M103" s="334"/>
      <c r="N103" s="324"/>
      <c r="O103" s="324"/>
      <c r="P103" s="324"/>
      <c r="Q103" s="324"/>
    </row>
    <row r="104" spans="1:17" s="3" customFormat="1" ht="15.95" customHeight="1" x14ac:dyDescent="0.25">
      <c r="A104" s="1" t="s">
        <v>109</v>
      </c>
      <c r="B104" s="27">
        <f>SUM(B105:B107)</f>
        <v>105920181068</v>
      </c>
      <c r="C104" s="27">
        <f>SUM(C105:C107)</f>
        <v>114244613231.52</v>
      </c>
      <c r="D104" s="27">
        <f>SUM(D105:D107)</f>
        <v>15928387218.390003</v>
      </c>
      <c r="E104" s="27">
        <f>SUM(E105:E107)</f>
        <v>81315567575.860001</v>
      </c>
      <c r="F104" s="27">
        <f>C104-E104</f>
        <v>32929045655.660004</v>
      </c>
      <c r="G104" s="29">
        <f>SUM(G105:G107)</f>
        <v>16966178214.139996</v>
      </c>
      <c r="H104" s="171">
        <f>SUM(H105:H107)</f>
        <v>77366096347.829987</v>
      </c>
      <c r="I104" s="172"/>
      <c r="J104" s="27">
        <f t="shared" si="6"/>
        <v>36878516883.690018</v>
      </c>
      <c r="K104" s="223">
        <f>SUM(K105:K107)</f>
        <v>74343570098.190002</v>
      </c>
      <c r="L104" s="266">
        <f>SUM(L105:L107)</f>
        <v>0</v>
      </c>
      <c r="M104" s="330"/>
      <c r="N104" s="324"/>
      <c r="O104" s="324"/>
      <c r="P104" s="324"/>
      <c r="Q104" s="324"/>
    </row>
    <row r="105" spans="1:17" s="1" customFormat="1" ht="15.95" customHeight="1" x14ac:dyDescent="0.25">
      <c r="A105" s="3" t="s">
        <v>110</v>
      </c>
      <c r="B105" s="32">
        <v>67017657432</v>
      </c>
      <c r="C105" s="32">
        <v>74730562097.460007</v>
      </c>
      <c r="D105" s="32">
        <f>E105-40709429863.85</f>
        <v>11353346690.520004</v>
      </c>
      <c r="E105" s="32">
        <v>52062776554.370003</v>
      </c>
      <c r="F105" s="32">
        <f>C105-E105</f>
        <v>22667785543.090004</v>
      </c>
      <c r="G105" s="35">
        <f>H105-39680194750.91</f>
        <v>11691265568.509995</v>
      </c>
      <c r="H105" s="168">
        <v>51371460319.419998</v>
      </c>
      <c r="I105" s="170"/>
      <c r="J105" s="32">
        <f>C105-H105</f>
        <v>23359101778.040009</v>
      </c>
      <c r="K105" s="158">
        <v>48785212816.879997</v>
      </c>
      <c r="L105" s="264"/>
      <c r="M105" s="83"/>
    </row>
    <row r="106" spans="1:17" s="3" customFormat="1" ht="15.95" customHeight="1" x14ac:dyDescent="0.25">
      <c r="A106" s="3" t="s">
        <v>111</v>
      </c>
      <c r="B106" s="32">
        <v>7849688386</v>
      </c>
      <c r="C106" s="32">
        <v>4124881504.1999998</v>
      </c>
      <c r="D106" s="32">
        <f>E106-1892854916.21</f>
        <v>-5480367.6800000668</v>
      </c>
      <c r="E106" s="32">
        <v>1887374548.53</v>
      </c>
      <c r="F106" s="32">
        <f t="shared" ref="F106:F114" si="7">C106-E106</f>
        <v>2237506955.6700001</v>
      </c>
      <c r="G106" s="35">
        <f>H106-1892845750.75</f>
        <v>-5477397.1199998856</v>
      </c>
      <c r="H106" s="168">
        <v>1887368353.6300001</v>
      </c>
      <c r="I106" s="170"/>
      <c r="J106" s="32">
        <f>C106-H106</f>
        <v>2237513150.5699997</v>
      </c>
      <c r="K106" s="158">
        <v>1887295566.05</v>
      </c>
      <c r="L106" s="264"/>
      <c r="M106" s="84"/>
    </row>
    <row r="107" spans="1:17" s="3" customFormat="1" ht="15.95" customHeight="1" x14ac:dyDescent="0.25">
      <c r="A107" s="3" t="s">
        <v>112</v>
      </c>
      <c r="B107" s="32">
        <f>B108+B109</f>
        <v>31052835250</v>
      </c>
      <c r="C107" s="32">
        <f>C108+C109</f>
        <v>35389169629.860001</v>
      </c>
      <c r="D107" s="32">
        <f>D108+D109</f>
        <v>4580520895.5499992</v>
      </c>
      <c r="E107" s="32">
        <f>E108+E109</f>
        <v>27365416472.959999</v>
      </c>
      <c r="F107" s="32">
        <f t="shared" si="7"/>
        <v>8023753156.9000015</v>
      </c>
      <c r="G107" s="35">
        <f>G108+G109</f>
        <v>5280390042.75</v>
      </c>
      <c r="H107" s="168">
        <f>H108+H109</f>
        <v>24107267674.779999</v>
      </c>
      <c r="I107" s="170"/>
      <c r="J107" s="32">
        <f>C107-H107</f>
        <v>11281901955.080002</v>
      </c>
      <c r="K107" s="158">
        <f>K108+K109</f>
        <v>23671061715.259998</v>
      </c>
      <c r="L107" s="264"/>
      <c r="M107" s="60"/>
    </row>
    <row r="108" spans="1:17" s="3" customFormat="1" ht="15.95" customHeight="1" x14ac:dyDescent="0.25">
      <c r="A108" s="85" t="s">
        <v>153</v>
      </c>
      <c r="B108" s="32">
        <v>0</v>
      </c>
      <c r="C108" s="32">
        <v>0</v>
      </c>
      <c r="D108" s="32">
        <f>E108</f>
        <v>0</v>
      </c>
      <c r="E108" s="32">
        <v>0</v>
      </c>
      <c r="F108" s="32">
        <f t="shared" si="7"/>
        <v>0</v>
      </c>
      <c r="G108" s="35">
        <f>H108</f>
        <v>0</v>
      </c>
      <c r="H108" s="168">
        <v>0</v>
      </c>
      <c r="I108" s="170"/>
      <c r="J108" s="32">
        <f t="shared" si="6"/>
        <v>0</v>
      </c>
      <c r="K108" s="158">
        <v>0</v>
      </c>
      <c r="L108" s="264"/>
    </row>
    <row r="109" spans="1:17" s="3" customFormat="1" ht="15.95" customHeight="1" x14ac:dyDescent="0.25">
      <c r="A109" s="85" t="s">
        <v>154</v>
      </c>
      <c r="B109" s="32">
        <v>31052835250</v>
      </c>
      <c r="C109" s="32">
        <v>35389169629.860001</v>
      </c>
      <c r="D109" s="32">
        <f>E109-22784895577.41</f>
        <v>4580520895.5499992</v>
      </c>
      <c r="E109" s="32">
        <v>27365416472.959999</v>
      </c>
      <c r="F109" s="32">
        <f t="shared" si="7"/>
        <v>8023753156.9000015</v>
      </c>
      <c r="G109" s="35">
        <f>H109-18826877632.03</f>
        <v>5280390042.75</v>
      </c>
      <c r="H109" s="168">
        <v>24107267674.779999</v>
      </c>
      <c r="I109" s="170"/>
      <c r="J109" s="32">
        <f t="shared" ref="J109:J117" si="8">C109-H109</f>
        <v>11281901955.080002</v>
      </c>
      <c r="K109" s="158">
        <v>23671061715.259998</v>
      </c>
      <c r="L109" s="264"/>
    </row>
    <row r="110" spans="1:17" s="1" customFormat="1" ht="15.75" x14ac:dyDescent="0.25">
      <c r="A110" s="1" t="s">
        <v>113</v>
      </c>
      <c r="B110" s="27">
        <f>SUM(B111:B113)</f>
        <v>7532797980</v>
      </c>
      <c r="C110" s="27">
        <f>SUM(C111:C113)</f>
        <v>10245896102.83</v>
      </c>
      <c r="D110" s="27">
        <f>SUM(D111:D113)</f>
        <v>1157657679.1100001</v>
      </c>
      <c r="E110" s="27">
        <f>SUM(E111:E113)</f>
        <v>4797119141.999999</v>
      </c>
      <c r="F110" s="27">
        <f t="shared" si="7"/>
        <v>5448776960.8300009</v>
      </c>
      <c r="G110" s="29">
        <f>SUM(G111:G113)</f>
        <v>969690866.97999978</v>
      </c>
      <c r="H110" s="171">
        <f>SUM(H111:I113)</f>
        <v>3561929846.3799996</v>
      </c>
      <c r="I110" s="172"/>
      <c r="J110" s="27">
        <f t="shared" si="8"/>
        <v>6683966256.4500008</v>
      </c>
      <c r="K110" s="218">
        <f>SUM(K111:K113)</f>
        <v>3495448117.9699998</v>
      </c>
      <c r="L110" s="219"/>
      <c r="N110" s="83"/>
    </row>
    <row r="111" spans="1:17" s="3" customFormat="1" ht="15.95" customHeight="1" x14ac:dyDescent="0.25">
      <c r="A111" s="3" t="s">
        <v>114</v>
      </c>
      <c r="B111" s="32">
        <v>6033503322</v>
      </c>
      <c r="C111" s="32">
        <v>7248855613.3800001</v>
      </c>
      <c r="D111" s="32">
        <f>E111-3477731918.24</f>
        <v>1032020710.54</v>
      </c>
      <c r="E111" s="32">
        <v>4509752628.7799997</v>
      </c>
      <c r="F111" s="32">
        <f t="shared" si="7"/>
        <v>2739102984.6000004</v>
      </c>
      <c r="G111" s="35">
        <f>H111-2434259462.94</f>
        <v>882668050.96999979</v>
      </c>
      <c r="H111" s="168">
        <v>3316927513.9099998</v>
      </c>
      <c r="I111" s="170"/>
      <c r="J111" s="32">
        <f t="shared" si="8"/>
        <v>3931928099.4700003</v>
      </c>
      <c r="K111" s="158">
        <v>3250583509.0100002</v>
      </c>
      <c r="L111" s="264"/>
      <c r="N111" s="84"/>
    </row>
    <row r="112" spans="1:17" s="3" customFormat="1" ht="15.95" customHeight="1" x14ac:dyDescent="0.25">
      <c r="A112" s="3" t="s">
        <v>115</v>
      </c>
      <c r="B112" s="32">
        <v>198941047</v>
      </c>
      <c r="C112" s="32">
        <v>249124509.66</v>
      </c>
      <c r="D112" s="32">
        <f>E112-8889095.09</f>
        <v>87200810.939999998</v>
      </c>
      <c r="E112" s="32">
        <v>96089906.030000001</v>
      </c>
      <c r="F112" s="32">
        <f t="shared" si="7"/>
        <v>153034603.63</v>
      </c>
      <c r="G112" s="35">
        <f>H112-5141842.68</f>
        <v>48584044.060000002</v>
      </c>
      <c r="H112" s="168">
        <v>53725886.740000002</v>
      </c>
      <c r="I112" s="170"/>
      <c r="J112" s="32">
        <f t="shared" si="8"/>
        <v>195398622.91999999</v>
      </c>
      <c r="K112" s="158">
        <v>53725885.740000002</v>
      </c>
      <c r="L112" s="264"/>
    </row>
    <row r="113" spans="1:17" s="3" customFormat="1" ht="15.95" customHeight="1" x14ac:dyDescent="0.25">
      <c r="A113" s="3" t="s">
        <v>116</v>
      </c>
      <c r="B113" s="32">
        <v>1300353611</v>
      </c>
      <c r="C113" s="32">
        <v>2747915979.79</v>
      </c>
      <c r="D113" s="32">
        <f>E113-152840449.56</f>
        <v>38436157.629999995</v>
      </c>
      <c r="E113" s="32">
        <v>191276607.19</v>
      </c>
      <c r="F113" s="32">
        <f>C113-E113</f>
        <v>2556639372.5999999</v>
      </c>
      <c r="G113" s="35">
        <f>H113-152837673.78</f>
        <v>38438771.949999988</v>
      </c>
      <c r="H113" s="168">
        <v>191276445.72999999</v>
      </c>
      <c r="I113" s="170"/>
      <c r="J113" s="32">
        <f t="shared" si="8"/>
        <v>2556639534.0599999</v>
      </c>
      <c r="K113" s="158">
        <v>191138723.22</v>
      </c>
      <c r="L113" s="264"/>
      <c r="N113" s="84"/>
    </row>
    <row r="114" spans="1:17" s="3" customFormat="1" ht="15.95" customHeight="1" x14ac:dyDescent="0.25">
      <c r="A114" s="1" t="s">
        <v>117</v>
      </c>
      <c r="B114" s="29">
        <v>780006156</v>
      </c>
      <c r="C114" s="29">
        <v>780006156</v>
      </c>
      <c r="D114" s="86"/>
      <c r="E114" s="86"/>
      <c r="F114" s="29">
        <f t="shared" si="7"/>
        <v>780006156</v>
      </c>
      <c r="G114" s="86"/>
      <c r="H114" s="261"/>
      <c r="I114" s="262"/>
      <c r="J114" s="29">
        <f t="shared" si="8"/>
        <v>780006156</v>
      </c>
      <c r="K114" s="261"/>
      <c r="L114" s="263"/>
    </row>
    <row r="115" spans="1:17" s="3" customFormat="1" ht="15.95" customHeight="1" x14ac:dyDescent="0.25">
      <c r="A115" s="1" t="s">
        <v>118</v>
      </c>
      <c r="B115" s="29">
        <f>B214</f>
        <v>7951876408</v>
      </c>
      <c r="C115" s="29">
        <f>C214</f>
        <v>8445907006.0699997</v>
      </c>
      <c r="D115" s="29">
        <f>D214</f>
        <v>768236210.54000008</v>
      </c>
      <c r="E115" s="29">
        <f>E214</f>
        <v>7382895152.8000002</v>
      </c>
      <c r="F115" s="29">
        <f>C115-E115</f>
        <v>1063011853.2699995</v>
      </c>
      <c r="G115" s="29">
        <f>G214</f>
        <v>860499886.96999979</v>
      </c>
      <c r="H115" s="171">
        <f>H214</f>
        <v>7143060927.2299995</v>
      </c>
      <c r="I115" s="172"/>
      <c r="J115" s="27">
        <f>C115-H115</f>
        <v>1302846078.8400002</v>
      </c>
      <c r="K115" s="218">
        <f>K214</f>
        <v>6685928514.54</v>
      </c>
      <c r="L115" s="219"/>
    </row>
    <row r="116" spans="1:17" s="3" customFormat="1" ht="15.95" customHeight="1" x14ac:dyDescent="0.25">
      <c r="A116" s="87" t="s">
        <v>119</v>
      </c>
      <c r="B116" s="52">
        <f>B103+B115</f>
        <v>122184861612</v>
      </c>
      <c r="C116" s="52">
        <f>C103+C115</f>
        <v>133716422496.42001</v>
      </c>
      <c r="D116" s="65">
        <f>D103+D115</f>
        <v>17854281108.040005</v>
      </c>
      <c r="E116" s="65">
        <f>E103+E115</f>
        <v>93495581870.660004</v>
      </c>
      <c r="F116" s="52">
        <f>C116-E116</f>
        <v>40220840625.76001</v>
      </c>
      <c r="G116" s="52">
        <f>G103+G115</f>
        <v>18796368968.089996</v>
      </c>
      <c r="H116" s="255">
        <f>H103+H115</f>
        <v>88071087121.439987</v>
      </c>
      <c r="I116" s="256" t="e">
        <f>I103+#REF!</f>
        <v>#REF!</v>
      </c>
      <c r="J116" s="21">
        <f t="shared" si="8"/>
        <v>45645335374.980026</v>
      </c>
      <c r="K116" s="257">
        <f>K103+K115</f>
        <v>84524946730.699997</v>
      </c>
      <c r="L116" s="258" t="e">
        <f>L103+#REF!</f>
        <v>#REF!</v>
      </c>
      <c r="M116" s="89"/>
      <c r="N116" s="89"/>
      <c r="O116" s="89"/>
      <c r="P116" s="89"/>
      <c r="Q116" s="89"/>
    </row>
    <row r="117" spans="1:17" s="3" customFormat="1" ht="18.75" customHeight="1" x14ac:dyDescent="0.25">
      <c r="A117" s="90" t="s">
        <v>120</v>
      </c>
      <c r="B117" s="24">
        <f>B118+B121</f>
        <v>0</v>
      </c>
      <c r="C117" s="24">
        <f>C118+C121</f>
        <v>963532561.71000004</v>
      </c>
      <c r="D117" s="82">
        <f>D118+D121</f>
        <v>-3942510.5999999046</v>
      </c>
      <c r="E117" s="24">
        <f>E118+E121</f>
        <v>963532561.71000004</v>
      </c>
      <c r="F117" s="24">
        <f t="shared" ref="F117:F122" si="9">C117-E117</f>
        <v>0</v>
      </c>
      <c r="G117" s="24">
        <f>G118+G121</f>
        <v>-3942510.5999999046</v>
      </c>
      <c r="H117" s="238">
        <f>H118+H121</f>
        <v>963532561.71000004</v>
      </c>
      <c r="I117" s="239">
        <f>I118+I121</f>
        <v>0</v>
      </c>
      <c r="J117" s="21">
        <f t="shared" si="8"/>
        <v>0</v>
      </c>
      <c r="K117" s="265">
        <f>K118+K121</f>
        <v>963532561.71000004</v>
      </c>
      <c r="L117" s="265"/>
      <c r="M117" s="89"/>
      <c r="N117" s="89"/>
      <c r="O117" s="89"/>
      <c r="P117" s="89"/>
      <c r="Q117" s="89"/>
    </row>
    <row r="118" spans="1:17" s="3" customFormat="1" ht="15.95" customHeight="1" x14ac:dyDescent="0.25">
      <c r="A118" s="85" t="s">
        <v>121</v>
      </c>
      <c r="B118" s="35">
        <f>B119+B120</f>
        <v>0</v>
      </c>
      <c r="C118" s="35">
        <f>C119+C120</f>
        <v>963532561.71000004</v>
      </c>
      <c r="D118" s="91">
        <f>D119+D120</f>
        <v>-3942510.5999999046</v>
      </c>
      <c r="E118" s="32">
        <f>E119+E120</f>
        <v>963532561.71000004</v>
      </c>
      <c r="F118" s="32">
        <f t="shared" si="9"/>
        <v>0</v>
      </c>
      <c r="G118" s="35">
        <f>G119+G120</f>
        <v>-3942510.5999999046</v>
      </c>
      <c r="H118" s="160">
        <f>H119+H120</f>
        <v>963532561.71000004</v>
      </c>
      <c r="I118" s="161">
        <f>I119+I120</f>
        <v>0</v>
      </c>
      <c r="J118" s="32">
        <f t="shared" ref="J118:J123" si="10">C118-H118</f>
        <v>0</v>
      </c>
      <c r="K118" s="213">
        <f>K119+K120</f>
        <v>963532561.71000004</v>
      </c>
      <c r="L118" s="213"/>
      <c r="M118" s="89"/>
      <c r="N118" s="89"/>
      <c r="O118" s="89"/>
      <c r="P118" s="89"/>
      <c r="Q118" s="89"/>
    </row>
    <row r="119" spans="1:17" s="3" customFormat="1" ht="15.95" customHeight="1" x14ac:dyDescent="0.25">
      <c r="A119" s="85" t="s">
        <v>122</v>
      </c>
      <c r="B119" s="35">
        <v>0</v>
      </c>
      <c r="C119" s="59">
        <v>0</v>
      </c>
      <c r="D119" s="91">
        <f>E119</f>
        <v>0</v>
      </c>
      <c r="E119" s="35">
        <v>0</v>
      </c>
      <c r="F119" s="32">
        <f t="shared" si="9"/>
        <v>0</v>
      </c>
      <c r="G119" s="35">
        <f>H119</f>
        <v>0</v>
      </c>
      <c r="H119" s="216">
        <v>0</v>
      </c>
      <c r="I119" s="217"/>
      <c r="J119" s="32">
        <f t="shared" si="10"/>
        <v>0</v>
      </c>
      <c r="K119" s="213">
        <v>0</v>
      </c>
      <c r="L119" s="213"/>
    </row>
    <row r="120" spans="1:17" s="3" customFormat="1" ht="15.95" customHeight="1" x14ac:dyDescent="0.25">
      <c r="A120" s="85" t="s">
        <v>123</v>
      </c>
      <c r="B120" s="35">
        <v>0</v>
      </c>
      <c r="C120" s="35">
        <v>963532561.71000004</v>
      </c>
      <c r="D120" s="91">
        <f>E120-967475072.31</f>
        <v>-3942510.5999999046</v>
      </c>
      <c r="E120" s="32">
        <v>963532561.71000004</v>
      </c>
      <c r="F120" s="32">
        <f t="shared" si="9"/>
        <v>0</v>
      </c>
      <c r="G120" s="92">
        <f>H120-967475072.31</f>
        <v>-3942510.5999999046</v>
      </c>
      <c r="H120" s="168">
        <v>963532561.71000004</v>
      </c>
      <c r="I120" s="169"/>
      <c r="J120" s="32">
        <f>C120-H120</f>
        <v>0</v>
      </c>
      <c r="K120" s="213">
        <v>963532561.71000004</v>
      </c>
      <c r="L120" s="213"/>
    </row>
    <row r="121" spans="1:17" s="3" customFormat="1" ht="15.95" customHeight="1" x14ac:dyDescent="0.25">
      <c r="A121" s="85" t="s">
        <v>124</v>
      </c>
      <c r="B121" s="35">
        <f>B122+B123</f>
        <v>0</v>
      </c>
      <c r="C121" s="59">
        <f>C122+C123</f>
        <v>0</v>
      </c>
      <c r="D121" s="57">
        <f>D122+D123</f>
        <v>0</v>
      </c>
      <c r="E121" s="35">
        <f>E122+E123</f>
        <v>0</v>
      </c>
      <c r="F121" s="32">
        <f t="shared" si="9"/>
        <v>0</v>
      </c>
      <c r="G121" s="35">
        <f>G122+G123</f>
        <v>0</v>
      </c>
      <c r="H121" s="216">
        <f>H122+H123</f>
        <v>0</v>
      </c>
      <c r="I121" s="217">
        <f>I122+I123</f>
        <v>0</v>
      </c>
      <c r="J121" s="32">
        <f t="shared" si="10"/>
        <v>0</v>
      </c>
      <c r="K121" s="213">
        <f>K122+K123</f>
        <v>0</v>
      </c>
      <c r="L121" s="213"/>
    </row>
    <row r="122" spans="1:17" s="3" customFormat="1" ht="15.95" customHeight="1" x14ac:dyDescent="0.25">
      <c r="A122" s="85" t="s">
        <v>122</v>
      </c>
      <c r="B122" s="35">
        <v>0</v>
      </c>
      <c r="C122" s="59">
        <v>0</v>
      </c>
      <c r="D122" s="57">
        <f>E122-0</f>
        <v>0</v>
      </c>
      <c r="E122" s="35">
        <v>0</v>
      </c>
      <c r="F122" s="32">
        <f t="shared" si="9"/>
        <v>0</v>
      </c>
      <c r="G122" s="35">
        <f>H122-0</f>
        <v>0</v>
      </c>
      <c r="H122" s="216">
        <v>0</v>
      </c>
      <c r="I122" s="217"/>
      <c r="J122" s="32">
        <f t="shared" si="10"/>
        <v>0</v>
      </c>
      <c r="K122" s="213">
        <v>0</v>
      </c>
      <c r="L122" s="213"/>
    </row>
    <row r="123" spans="1:17" s="3" customFormat="1" ht="15.95" customHeight="1" x14ac:dyDescent="0.25">
      <c r="A123" s="85" t="s">
        <v>123</v>
      </c>
      <c r="B123" s="144">
        <v>0</v>
      </c>
      <c r="C123" s="145">
        <v>0</v>
      </c>
      <c r="D123" s="146">
        <f>E123-0</f>
        <v>0</v>
      </c>
      <c r="E123" s="147">
        <v>0</v>
      </c>
      <c r="F123" s="147">
        <v>0</v>
      </c>
      <c r="G123" s="153">
        <f>H123-0</f>
        <v>0</v>
      </c>
      <c r="H123" s="259">
        <v>0</v>
      </c>
      <c r="I123" s="260"/>
      <c r="J123" s="147">
        <f t="shared" si="10"/>
        <v>0</v>
      </c>
      <c r="K123" s="210">
        <v>0</v>
      </c>
      <c r="L123" s="210"/>
    </row>
    <row r="124" spans="1:17" s="3" customFormat="1" ht="15.95" customHeight="1" x14ac:dyDescent="0.25">
      <c r="A124" s="87" t="s">
        <v>125</v>
      </c>
      <c r="B124" s="64">
        <f t="shared" ref="B124:L124" si="11">B116+B117</f>
        <v>122184861612</v>
      </c>
      <c r="C124" s="148">
        <f>C116+C117</f>
        <v>134679955058.13002</v>
      </c>
      <c r="D124" s="148">
        <f t="shared" si="11"/>
        <v>17850338597.440006</v>
      </c>
      <c r="E124" s="148">
        <f t="shared" si="11"/>
        <v>94459114432.37001</v>
      </c>
      <c r="F124" s="148">
        <f>F116+F117</f>
        <v>40220840625.76001</v>
      </c>
      <c r="G124" s="148">
        <f t="shared" si="11"/>
        <v>18792426457.489998</v>
      </c>
      <c r="H124" s="211">
        <f t="shared" si="11"/>
        <v>89034619683.149994</v>
      </c>
      <c r="I124" s="212" t="e">
        <f t="shared" si="11"/>
        <v>#REF!</v>
      </c>
      <c r="J124" s="149">
        <f t="shared" si="11"/>
        <v>45645335374.980026</v>
      </c>
      <c r="K124" s="214">
        <f t="shared" si="11"/>
        <v>85488479292.410004</v>
      </c>
      <c r="L124" s="215" t="e">
        <f t="shared" si="11"/>
        <v>#REF!</v>
      </c>
      <c r="M124" s="95"/>
      <c r="N124" s="60"/>
    </row>
    <row r="125" spans="1:17" s="3" customFormat="1" ht="15.95" customHeight="1" x14ac:dyDescent="0.25">
      <c r="A125" s="87" t="s">
        <v>126</v>
      </c>
      <c r="B125" s="66"/>
      <c r="C125" s="66"/>
      <c r="D125" s="66"/>
      <c r="E125" s="65">
        <f>IF((E124&lt;G92),(G92-E124),0)</f>
        <v>1402034223.489975</v>
      </c>
      <c r="F125" s="66"/>
      <c r="G125" s="66"/>
      <c r="H125" s="211">
        <f>IF((H124&lt;G92),(G92-H124),0)</f>
        <v>6826528972.7099915</v>
      </c>
      <c r="I125" s="212"/>
      <c r="J125" s="66"/>
      <c r="K125" s="257">
        <f>IF((K124&lt;G92),(G92-K124),0)</f>
        <v>10372669363.449982</v>
      </c>
      <c r="L125" s="258"/>
      <c r="M125" s="41"/>
    </row>
    <row r="126" spans="1:17" s="3" customFormat="1" ht="15.95" customHeight="1" x14ac:dyDescent="0.25">
      <c r="A126" s="96" t="s">
        <v>127</v>
      </c>
      <c r="B126" s="97">
        <f>B124+B125</f>
        <v>122184861612</v>
      </c>
      <c r="C126" s="94">
        <f>C124+C125</f>
        <v>134679955058.13002</v>
      </c>
      <c r="D126" s="94">
        <f>D124+D125</f>
        <v>17850338597.440006</v>
      </c>
      <c r="E126" s="94">
        <f>E124+E125</f>
        <v>95861148655.859985</v>
      </c>
      <c r="F126" s="66"/>
      <c r="G126" s="52">
        <f>G124+G125</f>
        <v>18792426457.489998</v>
      </c>
      <c r="H126" s="255">
        <f>H124+H125</f>
        <v>95861148655.859985</v>
      </c>
      <c r="I126" s="256"/>
      <c r="J126" s="66"/>
      <c r="K126" s="257">
        <f>K124+K125</f>
        <v>95861148655.859985</v>
      </c>
      <c r="L126" s="258"/>
    </row>
    <row r="127" spans="1:17" s="3" customFormat="1" ht="15.95" customHeight="1" x14ac:dyDescent="0.25">
      <c r="A127" s="96" t="s">
        <v>128</v>
      </c>
      <c r="B127" s="98">
        <v>777506156</v>
      </c>
      <c r="C127" s="150">
        <v>777506156</v>
      </c>
      <c r="D127" s="66"/>
      <c r="E127" s="66"/>
      <c r="F127" s="88">
        <f>C127-E127</f>
        <v>777506156</v>
      </c>
      <c r="G127" s="66"/>
      <c r="H127" s="222"/>
      <c r="I127" s="222"/>
      <c r="J127" s="99">
        <f>C127-H127</f>
        <v>777506156</v>
      </c>
      <c r="K127" s="220"/>
      <c r="L127" s="221"/>
    </row>
    <row r="128" spans="1:17" ht="15.75" x14ac:dyDescent="0.25">
      <c r="A128" s="100"/>
      <c r="B128" s="101"/>
      <c r="C128" s="101"/>
      <c r="D128" s="102"/>
      <c r="E128" s="102"/>
      <c r="F128" s="101"/>
      <c r="G128" s="102"/>
      <c r="H128" s="103"/>
      <c r="I128" s="102"/>
      <c r="J128" s="103"/>
      <c r="K128" s="103"/>
      <c r="L128" s="104" t="s">
        <v>129</v>
      </c>
      <c r="M128" s="105"/>
    </row>
    <row r="129" spans="1:13" ht="15" x14ac:dyDescent="0.25">
      <c r="A129" s="100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</row>
    <row r="130" spans="1:13" ht="12.75" x14ac:dyDescent="0.2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1:13" ht="15.75" x14ac:dyDescent="0.2">
      <c r="A131" s="71"/>
      <c r="B131" s="72"/>
      <c r="C131" s="72"/>
      <c r="D131" s="107"/>
      <c r="E131" s="107"/>
      <c r="F131" s="72"/>
      <c r="G131" s="107"/>
      <c r="H131" s="108"/>
      <c r="I131" s="108"/>
      <c r="J131" s="108"/>
      <c r="K131" s="108"/>
      <c r="L131" s="109"/>
    </row>
    <row r="132" spans="1:13" ht="15.75" x14ac:dyDescent="0.2">
      <c r="A132" s="71"/>
      <c r="B132" s="72"/>
      <c r="C132" s="72"/>
      <c r="D132" s="107"/>
      <c r="E132" s="107"/>
      <c r="F132" s="72"/>
      <c r="G132" s="107"/>
      <c r="H132" s="108"/>
      <c r="I132" s="108"/>
      <c r="J132" s="108"/>
      <c r="K132" s="108"/>
      <c r="L132" s="104" t="s">
        <v>130</v>
      </c>
    </row>
    <row r="133" spans="1:13" ht="16.5" x14ac:dyDescent="0.25">
      <c r="A133" s="204" t="str">
        <f>A6</f>
        <v>GOVERNO DO ESTADO DO RIO DE JANEIRO</v>
      </c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</row>
    <row r="134" spans="1:13" ht="16.5" x14ac:dyDescent="0.25">
      <c r="A134" s="205" t="str">
        <f>A7</f>
        <v>RELATÓRIO RESUMIDO DA EXECUÇÃO ORÇAMENTÁRIA</v>
      </c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</row>
    <row r="135" spans="1:13" ht="16.5" x14ac:dyDescent="0.25">
      <c r="A135" s="254" t="str">
        <f>A8</f>
        <v>BALANÇO ORÇAMENTÁRIO</v>
      </c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</row>
    <row r="136" spans="1:13" ht="16.5" x14ac:dyDescent="0.25">
      <c r="A136" s="204" t="str">
        <f>A9</f>
        <v>ORÇAMENTOS FISCAL E DA SEGURIDADE SOCIAL</v>
      </c>
      <c r="B136" s="204"/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</row>
    <row r="137" spans="1:13" ht="16.5" x14ac:dyDescent="0.25">
      <c r="A137" s="205" t="str">
        <f>A10</f>
        <v>JANEIRO A OUTUBRO 2025/BIMESTRE SETEMBRO - OUTUBRO</v>
      </c>
      <c r="B137" s="204"/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</row>
    <row r="138" spans="1:13" ht="16.5" x14ac:dyDescent="0.25">
      <c r="A138" s="6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</row>
    <row r="139" spans="1:13" ht="15.75" x14ac:dyDescent="0.25">
      <c r="A139" s="111"/>
      <c r="B139" s="111"/>
      <c r="C139" s="112"/>
      <c r="D139" s="112"/>
      <c r="E139" s="112"/>
      <c r="F139" s="112"/>
      <c r="G139" s="112"/>
      <c r="H139" s="112"/>
      <c r="I139" s="112"/>
      <c r="J139" s="113"/>
      <c r="K139" s="113"/>
      <c r="L139" s="9" t="str">
        <f>L12</f>
        <v>Emissão: 19/11/2025</v>
      </c>
    </row>
    <row r="140" spans="1:13" ht="15.75" x14ac:dyDescent="0.25">
      <c r="A140" s="114" t="str">
        <f>A13</f>
        <v>RREO - Anexo 1 (LRF, Art. 52, inciso I, alíneas "a" e "b" do inciso II e §1º)</v>
      </c>
      <c r="B140" s="115"/>
      <c r="C140" s="116"/>
      <c r="D140" s="116"/>
      <c r="E140" s="116"/>
      <c r="F140" s="116"/>
      <c r="G140" s="116"/>
      <c r="H140" s="116"/>
      <c r="I140" s="113"/>
      <c r="J140" s="117"/>
      <c r="K140" s="115"/>
      <c r="L140" s="117">
        <v>1</v>
      </c>
    </row>
    <row r="141" spans="1:13" ht="15.75" x14ac:dyDescent="0.25">
      <c r="A141" s="250" t="s">
        <v>131</v>
      </c>
      <c r="B141" s="190"/>
      <c r="C141" s="240" t="s">
        <v>6</v>
      </c>
      <c r="D141" s="15" t="s">
        <v>7</v>
      </c>
      <c r="E141" s="243" t="s">
        <v>8</v>
      </c>
      <c r="F141" s="244"/>
      <c r="G141" s="244"/>
      <c r="H141" s="244"/>
      <c r="I141" s="245"/>
      <c r="J141" s="246" t="s">
        <v>9</v>
      </c>
      <c r="K141" s="253"/>
      <c r="L141" s="253"/>
    </row>
    <row r="142" spans="1:13" ht="15.75" x14ac:dyDescent="0.25">
      <c r="A142" s="251"/>
      <c r="B142" s="191"/>
      <c r="C142" s="241"/>
      <c r="D142" s="16" t="s">
        <v>10</v>
      </c>
      <c r="E142" s="15" t="s">
        <v>11</v>
      </c>
      <c r="F142" s="17" t="s">
        <v>12</v>
      </c>
      <c r="G142" s="246" t="s">
        <v>13</v>
      </c>
      <c r="H142" s="247"/>
      <c r="I142" s="17" t="s">
        <v>12</v>
      </c>
      <c r="J142" s="248"/>
      <c r="K142" s="249"/>
      <c r="L142" s="249"/>
    </row>
    <row r="143" spans="1:13" ht="15.75" x14ac:dyDescent="0.25">
      <c r="A143" s="252"/>
      <c r="B143" s="192"/>
      <c r="C143" s="242"/>
      <c r="D143" s="19" t="s">
        <v>14</v>
      </c>
      <c r="E143" s="19" t="s">
        <v>15</v>
      </c>
      <c r="F143" s="19" t="s">
        <v>16</v>
      </c>
      <c r="G143" s="208" t="s">
        <v>17</v>
      </c>
      <c r="H143" s="209"/>
      <c r="I143" s="19" t="s">
        <v>18</v>
      </c>
      <c r="J143" s="208" t="s">
        <v>19</v>
      </c>
      <c r="K143" s="312"/>
      <c r="L143" s="312"/>
    </row>
    <row r="144" spans="1:13" ht="15.75" x14ac:dyDescent="0.25">
      <c r="A144" s="234" t="s">
        <v>80</v>
      </c>
      <c r="B144" s="235"/>
      <c r="C144" s="20">
        <f>C145+C185</f>
        <v>7951876408</v>
      </c>
      <c r="D144" s="21">
        <f>D145+D185</f>
        <v>8448944132.4300013</v>
      </c>
      <c r="E144" s="22">
        <f>E145+E185</f>
        <v>1471898812.9699993</v>
      </c>
      <c r="F144" s="23">
        <f t="shared" ref="F144:F203" si="12">(E144/D144)*100</f>
        <v>17.421097712320492</v>
      </c>
      <c r="G144" s="236">
        <f>G145+G185</f>
        <v>7070904764.9599991</v>
      </c>
      <c r="H144" s="237"/>
      <c r="I144" s="23">
        <f>(G144/D144)*100</f>
        <v>83.689803768726492</v>
      </c>
      <c r="J144" s="238">
        <f t="shared" ref="J144" si="13">D144-G144</f>
        <v>1378039367.4700022</v>
      </c>
      <c r="K144" s="239"/>
      <c r="L144" s="239"/>
    </row>
    <row r="145" spans="1:12" ht="15.75" x14ac:dyDescent="0.25">
      <c r="A145" s="167" t="s">
        <v>21</v>
      </c>
      <c r="B145" s="167"/>
      <c r="C145" s="26">
        <f>C146+C150+C155+C163+C164+C165+C171+C179</f>
        <v>7951876408</v>
      </c>
      <c r="D145" s="27">
        <f>D146+D150+D155+D163+D164+D165+D171+D179</f>
        <v>8448800868.5900011</v>
      </c>
      <c r="E145" s="22">
        <f>E146+E150+E155+E163+E164+E165+E171+E179</f>
        <v>1471870998.8799994</v>
      </c>
      <c r="F145" s="28">
        <f t="shared" si="12"/>
        <v>17.421063909222379</v>
      </c>
      <c r="G145" s="223">
        <f>G146+G150+G155+G163+G164+G165+G171+G179</f>
        <v>7070750772.9899988</v>
      </c>
      <c r="H145" s="224"/>
      <c r="I145" s="28">
        <f t="shared" ref="I145:I203" si="14">(G145/D145)*100</f>
        <v>83.689400223371806</v>
      </c>
      <c r="J145" s="225">
        <f t="shared" ref="J145:J208" si="15">D145-G145</f>
        <v>1378050095.6000023</v>
      </c>
      <c r="K145" s="226"/>
      <c r="L145" s="226"/>
    </row>
    <row r="146" spans="1:12" ht="15.75" x14ac:dyDescent="0.25">
      <c r="A146" s="157" t="s">
        <v>22</v>
      </c>
      <c r="B146" s="157"/>
      <c r="C146" s="31">
        <f>C147+C148+C149</f>
        <v>0</v>
      </c>
      <c r="D146" s="32">
        <f>D147+D148+D149</f>
        <v>0</v>
      </c>
      <c r="E146" s="33">
        <f>E147+E148+E149</f>
        <v>0</v>
      </c>
      <c r="F146" s="34">
        <v>0</v>
      </c>
      <c r="G146" s="227">
        <f>G147+G148+G149</f>
        <v>0</v>
      </c>
      <c r="H146" s="228" t="e">
        <f>H147+H148+#REF!</f>
        <v>#REF!</v>
      </c>
      <c r="I146" s="34">
        <v>0</v>
      </c>
      <c r="J146" s="160">
        <f t="shared" si="15"/>
        <v>0</v>
      </c>
      <c r="K146" s="161"/>
      <c r="L146" s="161"/>
    </row>
    <row r="147" spans="1:12" ht="15.75" x14ac:dyDescent="0.25">
      <c r="A147" s="157" t="s">
        <v>132</v>
      </c>
      <c r="B147" s="157"/>
      <c r="C147" s="31">
        <v>0</v>
      </c>
      <c r="D147" s="32">
        <v>0</v>
      </c>
      <c r="E147" s="33">
        <f>G147</f>
        <v>0</v>
      </c>
      <c r="F147" s="34">
        <v>0</v>
      </c>
      <c r="G147" s="158">
        <v>0</v>
      </c>
      <c r="H147" s="159"/>
      <c r="I147" s="34">
        <v>0</v>
      </c>
      <c r="J147" s="160">
        <f t="shared" si="15"/>
        <v>0</v>
      </c>
      <c r="K147" s="161"/>
      <c r="L147" s="161"/>
    </row>
    <row r="148" spans="1:12" ht="15.75" x14ac:dyDescent="0.25">
      <c r="A148" s="157" t="s">
        <v>133</v>
      </c>
      <c r="B148" s="157"/>
      <c r="C148" s="31">
        <v>0</v>
      </c>
      <c r="D148" s="32">
        <v>0</v>
      </c>
      <c r="E148" s="33">
        <f>G148</f>
        <v>0</v>
      </c>
      <c r="F148" s="34">
        <v>0</v>
      </c>
      <c r="G148" s="158">
        <v>0</v>
      </c>
      <c r="H148" s="159"/>
      <c r="I148" s="34">
        <v>0</v>
      </c>
      <c r="J148" s="160">
        <f t="shared" si="15"/>
        <v>0</v>
      </c>
      <c r="K148" s="161"/>
      <c r="L148" s="161"/>
    </row>
    <row r="149" spans="1:12" ht="15.75" x14ac:dyDescent="0.25">
      <c r="A149" s="231" t="s">
        <v>25</v>
      </c>
      <c r="B149" s="231"/>
      <c r="C149" s="31">
        <v>0</v>
      </c>
      <c r="D149" s="32">
        <v>0</v>
      </c>
      <c r="E149" s="33">
        <f>G149</f>
        <v>0</v>
      </c>
      <c r="F149" s="34">
        <v>0</v>
      </c>
      <c r="G149" s="158">
        <v>0</v>
      </c>
      <c r="H149" s="159"/>
      <c r="I149" s="34">
        <v>0</v>
      </c>
      <c r="J149" s="160">
        <f t="shared" si="15"/>
        <v>0</v>
      </c>
      <c r="K149" s="161"/>
      <c r="L149" s="161"/>
    </row>
    <row r="150" spans="1:12" ht="15.75" x14ac:dyDescent="0.25">
      <c r="A150" s="157" t="s">
        <v>26</v>
      </c>
      <c r="B150" s="157"/>
      <c r="C150" s="31">
        <f>C152+C151+C153+C154</f>
        <v>3921995344</v>
      </c>
      <c r="D150" s="32">
        <f>D152+D151+D153+D154</f>
        <v>4032197790.23</v>
      </c>
      <c r="E150" s="33">
        <f>E152+E151+E153+E154</f>
        <v>545145885.79999971</v>
      </c>
      <c r="F150" s="34">
        <f t="shared" si="12"/>
        <v>13.519820062420701</v>
      </c>
      <c r="G150" s="227">
        <f>G151+G152+G153+G154</f>
        <v>3209964881.5999999</v>
      </c>
      <c r="H150" s="228"/>
      <c r="I150" s="34">
        <f t="shared" si="14"/>
        <v>79.608319050660967</v>
      </c>
      <c r="J150" s="160">
        <f t="shared" si="15"/>
        <v>822232908.63000011</v>
      </c>
      <c r="K150" s="161"/>
      <c r="L150" s="161"/>
    </row>
    <row r="151" spans="1:12" ht="15.75" x14ac:dyDescent="0.25">
      <c r="A151" s="157" t="s">
        <v>27</v>
      </c>
      <c r="B151" s="157"/>
      <c r="C151" s="43">
        <v>3921995344</v>
      </c>
      <c r="D151" s="44">
        <v>4032197790.23</v>
      </c>
      <c r="E151" s="33">
        <f>G151-2664818995.8</f>
        <v>545145885.79999971</v>
      </c>
      <c r="F151" s="34">
        <f t="shared" si="12"/>
        <v>13.519820062420701</v>
      </c>
      <c r="G151" s="158">
        <v>3209964881.5999999</v>
      </c>
      <c r="H151" s="159"/>
      <c r="I151" s="34">
        <f t="shared" si="14"/>
        <v>79.608319050660967</v>
      </c>
      <c r="J151" s="160">
        <f t="shared" si="15"/>
        <v>822232908.63000011</v>
      </c>
      <c r="K151" s="161"/>
      <c r="L151" s="161"/>
    </row>
    <row r="152" spans="1:12" ht="15.75" x14ac:dyDescent="0.25">
      <c r="A152" s="157" t="s">
        <v>28</v>
      </c>
      <c r="B152" s="157"/>
      <c r="C152" s="31">
        <v>0</v>
      </c>
      <c r="D152" s="32">
        <v>0</v>
      </c>
      <c r="E152" s="33">
        <f>G152</f>
        <v>0</v>
      </c>
      <c r="F152" s="34">
        <v>0</v>
      </c>
      <c r="G152" s="158">
        <v>0</v>
      </c>
      <c r="H152" s="159"/>
      <c r="I152" s="34">
        <v>0</v>
      </c>
      <c r="J152" s="160">
        <f t="shared" si="15"/>
        <v>0</v>
      </c>
      <c r="K152" s="161"/>
      <c r="L152" s="161"/>
    </row>
    <row r="153" spans="1:12" ht="15.75" x14ac:dyDescent="0.25">
      <c r="A153" s="157" t="s">
        <v>29</v>
      </c>
      <c r="B153" s="157"/>
      <c r="C153" s="31">
        <v>0</v>
      </c>
      <c r="D153" s="32">
        <v>0</v>
      </c>
      <c r="E153" s="33">
        <f>G153</f>
        <v>0</v>
      </c>
      <c r="F153" s="34">
        <v>0</v>
      </c>
      <c r="G153" s="158">
        <v>0</v>
      </c>
      <c r="H153" s="159"/>
      <c r="I153" s="34">
        <v>0</v>
      </c>
      <c r="J153" s="168">
        <f t="shared" si="15"/>
        <v>0</v>
      </c>
      <c r="K153" s="169"/>
      <c r="L153" s="169"/>
    </row>
    <row r="154" spans="1:12" ht="15.75" x14ac:dyDescent="0.25">
      <c r="A154" s="157" t="s">
        <v>30</v>
      </c>
      <c r="B154" s="157"/>
      <c r="C154" s="31">
        <v>0</v>
      </c>
      <c r="D154" s="32">
        <v>0</v>
      </c>
      <c r="E154" s="33">
        <f>G154</f>
        <v>0</v>
      </c>
      <c r="F154" s="34">
        <v>0</v>
      </c>
      <c r="G154" s="158">
        <v>0</v>
      </c>
      <c r="H154" s="159"/>
      <c r="I154" s="34">
        <v>0</v>
      </c>
      <c r="J154" s="168">
        <f t="shared" si="15"/>
        <v>0</v>
      </c>
      <c r="K154" s="169"/>
      <c r="L154" s="169"/>
    </row>
    <row r="155" spans="1:12" ht="15.75" x14ac:dyDescent="0.25">
      <c r="A155" s="157" t="s">
        <v>31</v>
      </c>
      <c r="B155" s="157"/>
      <c r="C155" s="31">
        <f>SUM(C156:C162)</f>
        <v>16416581</v>
      </c>
      <c r="D155" s="32">
        <f>SUM(D156:D162)</f>
        <v>9903973.3399999999</v>
      </c>
      <c r="E155" s="33">
        <f>SUM(E156:E162)</f>
        <v>2610797.8099999987</v>
      </c>
      <c r="F155" s="34">
        <f t="shared" si="12"/>
        <v>26.361115083534731</v>
      </c>
      <c r="G155" s="227">
        <f>SUM(G156:H162)</f>
        <v>8622393.1399999987</v>
      </c>
      <c r="H155" s="228">
        <f>SUM(H156:H162)</f>
        <v>0</v>
      </c>
      <c r="I155" s="34">
        <f t="shared" si="14"/>
        <v>87.059938915384834</v>
      </c>
      <c r="J155" s="160">
        <f t="shared" si="15"/>
        <v>1281580.2000000011</v>
      </c>
      <c r="K155" s="161"/>
      <c r="L155" s="161"/>
    </row>
    <row r="156" spans="1:12" ht="15.75" x14ac:dyDescent="0.25">
      <c r="A156" s="157" t="s">
        <v>32</v>
      </c>
      <c r="B156" s="157"/>
      <c r="C156" s="43">
        <v>16416581</v>
      </c>
      <c r="D156" s="44">
        <v>9903973.3399999999</v>
      </c>
      <c r="E156" s="33">
        <f>G156-6011468.73</f>
        <v>2610797.8099999987</v>
      </c>
      <c r="F156" s="34">
        <f t="shared" si="12"/>
        <v>26.361115083534731</v>
      </c>
      <c r="G156" s="158">
        <v>8622266.5399999991</v>
      </c>
      <c r="H156" s="159"/>
      <c r="I156" s="34">
        <f t="shared" si="14"/>
        <v>87.058660640538434</v>
      </c>
      <c r="J156" s="160">
        <f t="shared" si="15"/>
        <v>1281706.8000000007</v>
      </c>
      <c r="K156" s="161"/>
      <c r="L156" s="161"/>
    </row>
    <row r="157" spans="1:12" ht="15.75" x14ac:dyDescent="0.25">
      <c r="A157" s="157" t="s">
        <v>33</v>
      </c>
      <c r="B157" s="157"/>
      <c r="C157" s="31">
        <v>0</v>
      </c>
      <c r="D157" s="32">
        <v>0</v>
      </c>
      <c r="E157" s="33">
        <f t="shared" ref="E157:E164" si="16">G157</f>
        <v>0</v>
      </c>
      <c r="F157" s="34">
        <v>0</v>
      </c>
      <c r="G157" s="158">
        <v>0</v>
      </c>
      <c r="H157" s="159"/>
      <c r="I157" s="34">
        <v>0</v>
      </c>
      <c r="J157" s="160">
        <f t="shared" si="15"/>
        <v>0</v>
      </c>
      <c r="K157" s="161"/>
      <c r="L157" s="161"/>
    </row>
    <row r="158" spans="1:12" ht="15.75" x14ac:dyDescent="0.25">
      <c r="A158" s="157" t="s">
        <v>34</v>
      </c>
      <c r="B158" s="157"/>
      <c r="C158" s="31">
        <v>0</v>
      </c>
      <c r="D158" s="32">
        <v>0</v>
      </c>
      <c r="E158" s="33">
        <f t="shared" si="16"/>
        <v>0</v>
      </c>
      <c r="F158" s="34">
        <v>0</v>
      </c>
      <c r="G158" s="158">
        <v>0</v>
      </c>
      <c r="H158" s="159"/>
      <c r="I158" s="34">
        <v>0</v>
      </c>
      <c r="J158" s="160">
        <f t="shared" si="15"/>
        <v>0</v>
      </c>
      <c r="K158" s="161"/>
      <c r="L158" s="161"/>
    </row>
    <row r="159" spans="1:12" ht="15.75" x14ac:dyDescent="0.25">
      <c r="A159" s="157" t="s">
        <v>35</v>
      </c>
      <c r="B159" s="157"/>
      <c r="C159" s="31">
        <v>0</v>
      </c>
      <c r="D159" s="32">
        <v>0</v>
      </c>
      <c r="E159" s="33">
        <f>G159-126.6</f>
        <v>0</v>
      </c>
      <c r="F159" s="34">
        <v>0</v>
      </c>
      <c r="G159" s="158">
        <v>126.6</v>
      </c>
      <c r="H159" s="159"/>
      <c r="I159" s="34">
        <v>0</v>
      </c>
      <c r="J159" s="160">
        <f t="shared" si="15"/>
        <v>-126.6</v>
      </c>
      <c r="K159" s="161"/>
      <c r="L159" s="161"/>
    </row>
    <row r="160" spans="1:12" ht="15" customHeight="1" x14ac:dyDescent="0.25">
      <c r="A160" s="157" t="s">
        <v>36</v>
      </c>
      <c r="B160" s="157"/>
      <c r="C160" s="31">
        <v>0</v>
      </c>
      <c r="D160" s="32">
        <v>0</v>
      </c>
      <c r="E160" s="33">
        <f t="shared" si="16"/>
        <v>0</v>
      </c>
      <c r="F160" s="34">
        <v>0</v>
      </c>
      <c r="G160" s="158">
        <v>0</v>
      </c>
      <c r="H160" s="159"/>
      <c r="I160" s="34">
        <v>0</v>
      </c>
      <c r="J160" s="160">
        <f t="shared" si="15"/>
        <v>0</v>
      </c>
      <c r="K160" s="161"/>
      <c r="L160" s="161"/>
    </row>
    <row r="161" spans="1:18" ht="15.75" x14ac:dyDescent="0.25">
      <c r="A161" s="157" t="s">
        <v>37</v>
      </c>
      <c r="B161" s="157"/>
      <c r="C161" s="31">
        <v>0</v>
      </c>
      <c r="D161" s="32">
        <v>0</v>
      </c>
      <c r="E161" s="33">
        <f t="shared" si="16"/>
        <v>0</v>
      </c>
      <c r="F161" s="34">
        <v>0</v>
      </c>
      <c r="G161" s="158">
        <v>0</v>
      </c>
      <c r="H161" s="159"/>
      <c r="I161" s="34">
        <v>0</v>
      </c>
      <c r="J161" s="160">
        <f t="shared" si="15"/>
        <v>0</v>
      </c>
      <c r="K161" s="161"/>
      <c r="L161" s="161"/>
      <c r="N161" s="118"/>
      <c r="O161" s="118"/>
      <c r="P161" s="118"/>
      <c r="Q161" s="118"/>
      <c r="R161" s="118"/>
    </row>
    <row r="162" spans="1:18" ht="15.75" customHeight="1" x14ac:dyDescent="0.25">
      <c r="A162" s="157" t="s">
        <v>38</v>
      </c>
      <c r="B162" s="157"/>
      <c r="C162" s="31">
        <v>0</v>
      </c>
      <c r="D162" s="32">
        <v>0</v>
      </c>
      <c r="E162" s="33">
        <f>G162-0</f>
        <v>0</v>
      </c>
      <c r="F162" s="34">
        <v>0</v>
      </c>
      <c r="G162" s="158">
        <v>0</v>
      </c>
      <c r="H162" s="159"/>
      <c r="I162" s="34">
        <v>0</v>
      </c>
      <c r="J162" s="160">
        <f t="shared" si="15"/>
        <v>0</v>
      </c>
      <c r="K162" s="161"/>
      <c r="L162" s="161"/>
      <c r="N162" s="118"/>
      <c r="O162" s="118"/>
      <c r="P162" s="118"/>
      <c r="Q162" s="118"/>
      <c r="R162" s="118"/>
    </row>
    <row r="163" spans="1:18" ht="15.75" x14ac:dyDescent="0.25">
      <c r="A163" s="157" t="s">
        <v>39</v>
      </c>
      <c r="B163" s="157"/>
      <c r="C163" s="31">
        <v>0</v>
      </c>
      <c r="D163" s="32">
        <v>0</v>
      </c>
      <c r="E163" s="33">
        <f t="shared" si="16"/>
        <v>0</v>
      </c>
      <c r="F163" s="34">
        <v>0</v>
      </c>
      <c r="G163" s="227">
        <v>0</v>
      </c>
      <c r="H163" s="228"/>
      <c r="I163" s="34">
        <v>0</v>
      </c>
      <c r="J163" s="160">
        <f t="shared" si="15"/>
        <v>0</v>
      </c>
      <c r="K163" s="161"/>
      <c r="L163" s="161"/>
      <c r="N163" s="118"/>
      <c r="O163" s="118"/>
      <c r="P163" s="118"/>
      <c r="Q163" s="118"/>
      <c r="R163" s="118"/>
    </row>
    <row r="164" spans="1:18" ht="15.75" x14ac:dyDescent="0.25">
      <c r="A164" s="157" t="s">
        <v>40</v>
      </c>
      <c r="B164" s="157"/>
      <c r="C164" s="31">
        <v>0</v>
      </c>
      <c r="D164" s="32">
        <v>0</v>
      </c>
      <c r="E164" s="33">
        <f t="shared" si="16"/>
        <v>0</v>
      </c>
      <c r="F164" s="34">
        <v>0</v>
      </c>
      <c r="G164" s="227">
        <v>0</v>
      </c>
      <c r="H164" s="228"/>
      <c r="I164" s="34">
        <v>0</v>
      </c>
      <c r="J164" s="160">
        <f t="shared" si="15"/>
        <v>0</v>
      </c>
      <c r="K164" s="161"/>
      <c r="L164" s="161"/>
    </row>
    <row r="165" spans="1:18" ht="15.75" x14ac:dyDescent="0.25">
      <c r="A165" s="157" t="s">
        <v>41</v>
      </c>
      <c r="B165" s="157"/>
      <c r="C165" s="31">
        <f>SUM(C166:C170)</f>
        <v>3427735451</v>
      </c>
      <c r="D165" s="32">
        <f>SUM(D166:D170)</f>
        <v>3510544302.3800001</v>
      </c>
      <c r="E165" s="33">
        <f>SUM(E166:E170)</f>
        <v>758115283.88999987</v>
      </c>
      <c r="F165" s="34">
        <f t="shared" si="12"/>
        <v>21.595377200510754</v>
      </c>
      <c r="G165" s="227">
        <f>SUM(G166:H170)</f>
        <v>3090073934.4599996</v>
      </c>
      <c r="H165" s="228"/>
      <c r="I165" s="34">
        <f t="shared" si="14"/>
        <v>88.022644590044351</v>
      </c>
      <c r="J165" s="160">
        <f t="shared" si="15"/>
        <v>420470367.92000055</v>
      </c>
      <c r="K165" s="161"/>
      <c r="L165" s="161"/>
    </row>
    <row r="166" spans="1:18" ht="15.75" x14ac:dyDescent="0.25">
      <c r="A166" s="157" t="s">
        <v>42</v>
      </c>
      <c r="B166" s="157"/>
      <c r="C166" s="43">
        <v>330629582</v>
      </c>
      <c r="D166" s="44">
        <v>392980290.44</v>
      </c>
      <c r="E166" s="33">
        <f>G166-261870066.89</f>
        <v>67969753.520000041</v>
      </c>
      <c r="F166" s="34">
        <f t="shared" si="12"/>
        <v>17.295970096591301</v>
      </c>
      <c r="G166" s="158">
        <v>329839820.41000003</v>
      </c>
      <c r="H166" s="159"/>
      <c r="I166" s="34">
        <f t="shared" si="14"/>
        <v>83.932916849518122</v>
      </c>
      <c r="J166" s="160">
        <f t="shared" si="15"/>
        <v>63140470.029999971</v>
      </c>
      <c r="K166" s="161"/>
      <c r="L166" s="161"/>
    </row>
    <row r="167" spans="1:18" ht="15.75" x14ac:dyDescent="0.25">
      <c r="A167" s="157" t="s">
        <v>43</v>
      </c>
      <c r="B167" s="157"/>
      <c r="C167" s="31">
        <v>0</v>
      </c>
      <c r="D167" s="32">
        <v>0</v>
      </c>
      <c r="E167" s="33">
        <f>G167</f>
        <v>0</v>
      </c>
      <c r="F167" s="34">
        <v>0</v>
      </c>
      <c r="G167" s="158">
        <v>0</v>
      </c>
      <c r="H167" s="159"/>
      <c r="I167" s="34">
        <v>0</v>
      </c>
      <c r="J167" s="168">
        <f t="shared" si="15"/>
        <v>0</v>
      </c>
      <c r="K167" s="169"/>
      <c r="L167" s="169"/>
    </row>
    <row r="168" spans="1:18" ht="15.75" x14ac:dyDescent="0.25">
      <c r="A168" s="157" t="s">
        <v>44</v>
      </c>
      <c r="B168" s="157"/>
      <c r="C168" s="43">
        <v>3000000000</v>
      </c>
      <c r="D168" s="44">
        <v>3029404277.4200001</v>
      </c>
      <c r="E168" s="33">
        <f>G168-2017522059.29</f>
        <v>662094221.67999983</v>
      </c>
      <c r="F168" s="34">
        <f t="shared" si="12"/>
        <v>21.855591431457082</v>
      </c>
      <c r="G168" s="158">
        <v>2679616280.9699998</v>
      </c>
      <c r="H168" s="159"/>
      <c r="I168" s="34">
        <f t="shared" si="14"/>
        <v>88.453571579825649</v>
      </c>
      <c r="J168" s="168">
        <f t="shared" si="15"/>
        <v>349787996.45000029</v>
      </c>
      <c r="K168" s="169"/>
      <c r="L168" s="169"/>
    </row>
    <row r="169" spans="1:18" ht="15.75" x14ac:dyDescent="0.25">
      <c r="A169" s="157" t="s">
        <v>45</v>
      </c>
      <c r="B169" s="157"/>
      <c r="C169" s="31">
        <v>0</v>
      </c>
      <c r="D169" s="32">
        <v>0</v>
      </c>
      <c r="E169" s="33">
        <f>G169</f>
        <v>0</v>
      </c>
      <c r="F169" s="34">
        <v>0</v>
      </c>
      <c r="G169" s="158">
        <v>0</v>
      </c>
      <c r="H169" s="159"/>
      <c r="I169" s="34">
        <v>0</v>
      </c>
      <c r="J169" s="168">
        <f t="shared" si="15"/>
        <v>0</v>
      </c>
      <c r="K169" s="169"/>
      <c r="L169" s="169"/>
    </row>
    <row r="170" spans="1:18" ht="15.75" x14ac:dyDescent="0.25">
      <c r="A170" s="157" t="s">
        <v>46</v>
      </c>
      <c r="B170" s="157"/>
      <c r="C170" s="31">
        <v>97105869</v>
      </c>
      <c r="D170" s="32">
        <v>88159734.519999996</v>
      </c>
      <c r="E170" s="33">
        <f>G170-52566524.39</f>
        <v>28051308.689999998</v>
      </c>
      <c r="F170" s="34">
        <f t="shared" si="12"/>
        <v>31.818730901051268</v>
      </c>
      <c r="G170" s="158">
        <v>80617833.079999998</v>
      </c>
      <c r="H170" s="159"/>
      <c r="I170" s="34">
        <f t="shared" si="14"/>
        <v>91.44518585376521</v>
      </c>
      <c r="J170" s="168">
        <f t="shared" si="15"/>
        <v>7541901.4399999976</v>
      </c>
      <c r="K170" s="169"/>
      <c r="L170" s="169"/>
    </row>
    <row r="171" spans="1:18" ht="15.75" x14ac:dyDescent="0.25">
      <c r="A171" s="157" t="s">
        <v>47</v>
      </c>
      <c r="B171" s="157"/>
      <c r="C171" s="31">
        <f>SUM(C172:C178)</f>
        <v>0</v>
      </c>
      <c r="D171" s="32">
        <f>SUM(D172:D178)</f>
        <v>0</v>
      </c>
      <c r="E171" s="33">
        <f>SUM(E172:E178)</f>
        <v>0</v>
      </c>
      <c r="F171" s="34">
        <v>0</v>
      </c>
      <c r="G171" s="227">
        <f>SUM(G172:H178)</f>
        <v>0</v>
      </c>
      <c r="H171" s="228">
        <f>SUM(H172:H176)</f>
        <v>0</v>
      </c>
      <c r="I171" s="34">
        <v>0</v>
      </c>
      <c r="J171" s="160">
        <f t="shared" si="15"/>
        <v>0</v>
      </c>
      <c r="K171" s="161"/>
      <c r="L171" s="161"/>
    </row>
    <row r="172" spans="1:18" ht="15.75" x14ac:dyDescent="0.25">
      <c r="A172" s="157" t="s">
        <v>48</v>
      </c>
      <c r="B172" s="157"/>
      <c r="C172" s="31">
        <v>0</v>
      </c>
      <c r="D172" s="32">
        <v>0</v>
      </c>
      <c r="E172" s="33">
        <f t="shared" ref="E172:E178" si="17">G172</f>
        <v>0</v>
      </c>
      <c r="F172" s="34">
        <v>0</v>
      </c>
      <c r="G172" s="158">
        <v>0</v>
      </c>
      <c r="H172" s="159"/>
      <c r="I172" s="34">
        <v>0</v>
      </c>
      <c r="J172" s="160">
        <f t="shared" si="15"/>
        <v>0</v>
      </c>
      <c r="K172" s="161"/>
      <c r="L172" s="161"/>
    </row>
    <row r="173" spans="1:18" ht="15.75" x14ac:dyDescent="0.25">
      <c r="A173" s="157" t="s">
        <v>49</v>
      </c>
      <c r="B173" s="157"/>
      <c r="C173" s="37">
        <v>0</v>
      </c>
      <c r="D173" s="38">
        <v>0</v>
      </c>
      <c r="E173" s="33">
        <f>G173-0</f>
        <v>0</v>
      </c>
      <c r="F173" s="34">
        <v>0</v>
      </c>
      <c r="G173" s="158">
        <v>0</v>
      </c>
      <c r="H173" s="159"/>
      <c r="I173" s="34">
        <v>0</v>
      </c>
      <c r="J173" s="160">
        <f t="shared" si="15"/>
        <v>0</v>
      </c>
      <c r="K173" s="161"/>
      <c r="L173" s="161"/>
    </row>
    <row r="174" spans="1:18" ht="15.75" x14ac:dyDescent="0.25">
      <c r="A174" s="157" t="s">
        <v>50</v>
      </c>
      <c r="B174" s="157"/>
      <c r="C174" s="37">
        <v>0</v>
      </c>
      <c r="D174" s="38">
        <v>0</v>
      </c>
      <c r="E174" s="33">
        <f t="shared" si="17"/>
        <v>0</v>
      </c>
      <c r="F174" s="34">
        <v>0</v>
      </c>
      <c r="G174" s="158">
        <v>0</v>
      </c>
      <c r="H174" s="159"/>
      <c r="I174" s="34">
        <v>0</v>
      </c>
      <c r="J174" s="160">
        <f t="shared" si="15"/>
        <v>0</v>
      </c>
      <c r="K174" s="161"/>
      <c r="L174" s="161"/>
    </row>
    <row r="175" spans="1:18" ht="15.75" x14ac:dyDescent="0.25">
      <c r="A175" s="157" t="s">
        <v>51</v>
      </c>
      <c r="B175" s="157"/>
      <c r="C175" s="37">
        <v>0</v>
      </c>
      <c r="D175" s="38">
        <v>0</v>
      </c>
      <c r="E175" s="39">
        <f t="shared" si="17"/>
        <v>0</v>
      </c>
      <c r="F175" s="40">
        <v>0</v>
      </c>
      <c r="G175" s="165">
        <v>0</v>
      </c>
      <c r="H175" s="166"/>
      <c r="I175" s="40">
        <v>0</v>
      </c>
      <c r="J175" s="155">
        <f t="shared" si="15"/>
        <v>0</v>
      </c>
      <c r="K175" s="156"/>
      <c r="L175" s="156"/>
    </row>
    <row r="176" spans="1:18" ht="15.75" x14ac:dyDescent="0.25">
      <c r="A176" s="157" t="s">
        <v>52</v>
      </c>
      <c r="B176" s="157"/>
      <c r="C176" s="37">
        <v>0</v>
      </c>
      <c r="D176" s="38">
        <v>0</v>
      </c>
      <c r="E176" s="39">
        <f t="shared" si="17"/>
        <v>0</v>
      </c>
      <c r="F176" s="40">
        <v>0</v>
      </c>
      <c r="G176" s="165">
        <v>0</v>
      </c>
      <c r="H176" s="166"/>
      <c r="I176" s="40">
        <v>0</v>
      </c>
      <c r="J176" s="155">
        <f t="shared" si="15"/>
        <v>0</v>
      </c>
      <c r="K176" s="156"/>
      <c r="L176" s="156"/>
    </row>
    <row r="177" spans="1:14" ht="15.75" x14ac:dyDescent="0.25">
      <c r="A177" s="157" t="s">
        <v>53</v>
      </c>
      <c r="B177" s="157"/>
      <c r="C177" s="37">
        <v>0</v>
      </c>
      <c r="D177" s="38">
        <v>0</v>
      </c>
      <c r="E177" s="39">
        <f t="shared" si="17"/>
        <v>0</v>
      </c>
      <c r="F177" s="40">
        <v>0</v>
      </c>
      <c r="G177" s="165">
        <v>0</v>
      </c>
      <c r="H177" s="166"/>
      <c r="I177" s="40">
        <v>0</v>
      </c>
      <c r="J177" s="229">
        <f t="shared" si="15"/>
        <v>0</v>
      </c>
      <c r="K177" s="230"/>
      <c r="L177" s="230"/>
    </row>
    <row r="178" spans="1:14" ht="15.75" x14ac:dyDescent="0.25">
      <c r="A178" s="157" t="s">
        <v>54</v>
      </c>
      <c r="B178" s="157"/>
      <c r="C178" s="37">
        <v>0</v>
      </c>
      <c r="D178" s="38">
        <v>0</v>
      </c>
      <c r="E178" s="39">
        <f t="shared" si="17"/>
        <v>0</v>
      </c>
      <c r="F178" s="40">
        <v>0</v>
      </c>
      <c r="G178" s="165">
        <v>0</v>
      </c>
      <c r="H178" s="166"/>
      <c r="I178" s="40">
        <v>0</v>
      </c>
      <c r="J178" s="229">
        <f t="shared" si="15"/>
        <v>0</v>
      </c>
      <c r="K178" s="230"/>
      <c r="L178" s="230"/>
      <c r="M178" s="323"/>
      <c r="N178" s="323"/>
    </row>
    <row r="179" spans="1:14" ht="15.75" x14ac:dyDescent="0.25">
      <c r="A179" s="157" t="s">
        <v>55</v>
      </c>
      <c r="B179" s="157"/>
      <c r="C179" s="37">
        <f>SUM(C180:C184)</f>
        <v>585729032</v>
      </c>
      <c r="D179" s="38">
        <f>SUM(D180:D184)</f>
        <v>896154802.63999999</v>
      </c>
      <c r="E179" s="39">
        <f>SUM(E180:E184)</f>
        <v>165999031.37999994</v>
      </c>
      <c r="F179" s="40">
        <f t="shared" si="12"/>
        <v>18.523477293318088</v>
      </c>
      <c r="G179" s="181">
        <f>SUM(G180:H184)</f>
        <v>762089563.78999996</v>
      </c>
      <c r="H179" s="182">
        <f>SUM(H180:H184)</f>
        <v>0</v>
      </c>
      <c r="I179" s="40">
        <f t="shared" si="14"/>
        <v>85.039946395973715</v>
      </c>
      <c r="J179" s="155">
        <f t="shared" si="15"/>
        <v>134065238.85000002</v>
      </c>
      <c r="K179" s="156"/>
      <c r="L179" s="156"/>
    </row>
    <row r="180" spans="1:14" ht="15.75" x14ac:dyDescent="0.25">
      <c r="A180" s="157" t="s">
        <v>56</v>
      </c>
      <c r="B180" s="157"/>
      <c r="C180" s="37">
        <v>0</v>
      </c>
      <c r="D180" s="38">
        <v>0</v>
      </c>
      <c r="E180" s="39">
        <f>G180-0</f>
        <v>0</v>
      </c>
      <c r="F180" s="40">
        <v>0</v>
      </c>
      <c r="G180" s="165">
        <v>0</v>
      </c>
      <c r="H180" s="166"/>
      <c r="I180" s="40">
        <v>0</v>
      </c>
      <c r="J180" s="155">
        <f t="shared" si="15"/>
        <v>0</v>
      </c>
      <c r="K180" s="156"/>
      <c r="L180" s="156"/>
    </row>
    <row r="181" spans="1:14" ht="15.75" x14ac:dyDescent="0.25">
      <c r="A181" s="157" t="s">
        <v>57</v>
      </c>
      <c r="B181" s="157"/>
      <c r="C181" s="37">
        <v>399346076</v>
      </c>
      <c r="D181" s="38">
        <v>617520106.25</v>
      </c>
      <c r="E181" s="39">
        <f>G181-422044127.41</f>
        <v>135667475.37999994</v>
      </c>
      <c r="F181" s="40">
        <f t="shared" si="12"/>
        <v>21.969726006795902</v>
      </c>
      <c r="G181" s="181">
        <v>557711602.78999996</v>
      </c>
      <c r="H181" s="182"/>
      <c r="I181" s="40">
        <f t="shared" si="14"/>
        <v>90.314727754664091</v>
      </c>
      <c r="J181" s="155">
        <f t="shared" si="15"/>
        <v>59808503.460000038</v>
      </c>
      <c r="K181" s="156"/>
      <c r="L181" s="156"/>
    </row>
    <row r="182" spans="1:14" ht="15.75" x14ac:dyDescent="0.25">
      <c r="A182" s="157" t="s">
        <v>58</v>
      </c>
      <c r="B182" s="157"/>
      <c r="C182" s="37">
        <v>0</v>
      </c>
      <c r="D182" s="40">
        <v>0</v>
      </c>
      <c r="E182" s="39">
        <f>G182</f>
        <v>0</v>
      </c>
      <c r="F182" s="40">
        <v>0</v>
      </c>
      <c r="G182" s="165">
        <v>0</v>
      </c>
      <c r="H182" s="166"/>
      <c r="I182" s="40">
        <v>0</v>
      </c>
      <c r="J182" s="155">
        <f t="shared" si="15"/>
        <v>0</v>
      </c>
      <c r="K182" s="156"/>
      <c r="L182" s="156"/>
    </row>
    <row r="183" spans="1:14" ht="15.75" x14ac:dyDescent="0.25">
      <c r="A183" s="157" t="s">
        <v>59</v>
      </c>
      <c r="B183" s="157"/>
      <c r="C183" s="37">
        <v>0</v>
      </c>
      <c r="D183" s="40">
        <v>0</v>
      </c>
      <c r="E183" s="39">
        <f>G183</f>
        <v>0</v>
      </c>
      <c r="F183" s="40">
        <v>0</v>
      </c>
      <c r="G183" s="165">
        <v>0</v>
      </c>
      <c r="H183" s="166"/>
      <c r="I183" s="40">
        <v>0</v>
      </c>
      <c r="J183" s="155">
        <f t="shared" si="15"/>
        <v>0</v>
      </c>
      <c r="K183" s="156"/>
      <c r="L183" s="156"/>
      <c r="M183" s="323"/>
      <c r="N183" s="323"/>
    </row>
    <row r="184" spans="1:14" ht="15" customHeight="1" x14ac:dyDescent="0.25">
      <c r="A184" s="157" t="s">
        <v>60</v>
      </c>
      <c r="B184" s="157"/>
      <c r="C184" s="37">
        <v>186382956</v>
      </c>
      <c r="D184" s="37">
        <v>278634696.38999999</v>
      </c>
      <c r="E184" s="39">
        <f>G184-174046405</f>
        <v>30331556</v>
      </c>
      <c r="F184" s="40">
        <f t="shared" si="12"/>
        <v>10.88577854552093</v>
      </c>
      <c r="G184" s="165">
        <v>204377961</v>
      </c>
      <c r="H184" s="166"/>
      <c r="I184" s="40">
        <f t="shared" si="14"/>
        <v>73.349788683149441</v>
      </c>
      <c r="J184" s="155">
        <f t="shared" si="15"/>
        <v>74256735.389999986</v>
      </c>
      <c r="K184" s="156"/>
      <c r="L184" s="156"/>
    </row>
    <row r="185" spans="1:14" ht="15.75" x14ac:dyDescent="0.25">
      <c r="A185" s="167" t="s">
        <v>61</v>
      </c>
      <c r="B185" s="167"/>
      <c r="C185" s="119">
        <f>C186+C189+C193+C194+C204</f>
        <v>0</v>
      </c>
      <c r="D185" s="120">
        <f>D186+D189+D193+D194+D204</f>
        <v>143263.84</v>
      </c>
      <c r="E185" s="121">
        <f>E186+E189+E193+E194+E204</f>
        <v>27814.089999999997</v>
      </c>
      <c r="F185" s="122">
        <f t="shared" si="12"/>
        <v>19.414591986365853</v>
      </c>
      <c r="G185" s="163">
        <f>G186+G189+G193+G194+G204</f>
        <v>153991.97</v>
      </c>
      <c r="H185" s="164"/>
      <c r="I185" s="122">
        <f t="shared" si="14"/>
        <v>107.48837250209124</v>
      </c>
      <c r="J185" s="183">
        <f t="shared" si="15"/>
        <v>-10728.130000000005</v>
      </c>
      <c r="K185" s="184"/>
      <c r="L185" s="184"/>
    </row>
    <row r="186" spans="1:14" ht="15.75" x14ac:dyDescent="0.25">
      <c r="A186" s="157" t="s">
        <v>62</v>
      </c>
      <c r="B186" s="157"/>
      <c r="C186" s="31">
        <f>C187+C188</f>
        <v>0</v>
      </c>
      <c r="D186" s="32">
        <f>D187+D188</f>
        <v>0</v>
      </c>
      <c r="E186" s="33">
        <f>E187+E188</f>
        <v>0</v>
      </c>
      <c r="F186" s="34">
        <v>0</v>
      </c>
      <c r="G186" s="158">
        <f>G187+G188</f>
        <v>0</v>
      </c>
      <c r="H186" s="159"/>
      <c r="I186" s="34">
        <v>0</v>
      </c>
      <c r="J186" s="160">
        <f t="shared" si="15"/>
        <v>0</v>
      </c>
      <c r="K186" s="161"/>
      <c r="L186" s="161"/>
    </row>
    <row r="187" spans="1:14" ht="15.75" x14ac:dyDescent="0.25">
      <c r="A187" s="157" t="s">
        <v>63</v>
      </c>
      <c r="B187" s="157"/>
      <c r="C187" s="31">
        <v>0</v>
      </c>
      <c r="D187" s="32">
        <v>0</v>
      </c>
      <c r="E187" s="33">
        <f>G187</f>
        <v>0</v>
      </c>
      <c r="F187" s="34">
        <v>0</v>
      </c>
      <c r="G187" s="158">
        <v>0</v>
      </c>
      <c r="H187" s="159"/>
      <c r="I187" s="34">
        <v>0</v>
      </c>
      <c r="J187" s="160">
        <f t="shared" si="15"/>
        <v>0</v>
      </c>
      <c r="K187" s="161"/>
      <c r="L187" s="161"/>
    </row>
    <row r="188" spans="1:14" ht="15.75" x14ac:dyDescent="0.25">
      <c r="A188" s="157" t="s">
        <v>64</v>
      </c>
      <c r="B188" s="157"/>
      <c r="C188" s="31">
        <v>0</v>
      </c>
      <c r="D188" s="32">
        <v>0</v>
      </c>
      <c r="E188" s="33">
        <f>G188</f>
        <v>0</v>
      </c>
      <c r="F188" s="34">
        <v>0</v>
      </c>
      <c r="G188" s="158">
        <v>0</v>
      </c>
      <c r="H188" s="159"/>
      <c r="I188" s="34">
        <v>0</v>
      </c>
      <c r="J188" s="160">
        <f t="shared" si="15"/>
        <v>0</v>
      </c>
      <c r="K188" s="161"/>
      <c r="L188" s="161"/>
    </row>
    <row r="189" spans="1:14" ht="15.75" x14ac:dyDescent="0.25">
      <c r="A189" s="157" t="s">
        <v>65</v>
      </c>
      <c r="B189" s="157"/>
      <c r="C189" s="31">
        <f>C190+C191+C192</f>
        <v>0</v>
      </c>
      <c r="D189" s="32">
        <f>D190+D191+D192</f>
        <v>0</v>
      </c>
      <c r="E189" s="33">
        <f>E190+E191+E192</f>
        <v>0</v>
      </c>
      <c r="F189" s="34">
        <v>0</v>
      </c>
      <c r="G189" s="158">
        <f>SUM(G190:H192)</f>
        <v>0</v>
      </c>
      <c r="H189" s="159"/>
      <c r="I189" s="34">
        <v>0</v>
      </c>
      <c r="J189" s="160">
        <f t="shared" si="15"/>
        <v>0</v>
      </c>
      <c r="K189" s="161"/>
      <c r="L189" s="161"/>
    </row>
    <row r="190" spans="1:14" ht="15.75" x14ac:dyDescent="0.25">
      <c r="A190" s="157" t="s">
        <v>66</v>
      </c>
      <c r="B190" s="157"/>
      <c r="C190" s="31">
        <v>0</v>
      </c>
      <c r="D190" s="32">
        <v>0</v>
      </c>
      <c r="E190" s="33">
        <f>G190</f>
        <v>0</v>
      </c>
      <c r="F190" s="34">
        <v>0</v>
      </c>
      <c r="G190" s="158">
        <v>0</v>
      </c>
      <c r="H190" s="159"/>
      <c r="I190" s="34">
        <v>0</v>
      </c>
      <c r="J190" s="160">
        <f t="shared" si="15"/>
        <v>0</v>
      </c>
      <c r="K190" s="161"/>
      <c r="L190" s="161"/>
    </row>
    <row r="191" spans="1:14" ht="15.75" x14ac:dyDescent="0.25">
      <c r="A191" s="157" t="s">
        <v>67</v>
      </c>
      <c r="B191" s="157"/>
      <c r="C191" s="31">
        <v>0</v>
      </c>
      <c r="D191" s="32">
        <v>0</v>
      </c>
      <c r="E191" s="33">
        <f>G191</f>
        <v>0</v>
      </c>
      <c r="F191" s="34">
        <v>0</v>
      </c>
      <c r="G191" s="158">
        <v>0</v>
      </c>
      <c r="H191" s="159"/>
      <c r="I191" s="34">
        <v>0</v>
      </c>
      <c r="J191" s="160">
        <f t="shared" si="15"/>
        <v>0</v>
      </c>
      <c r="K191" s="161"/>
      <c r="L191" s="161"/>
    </row>
    <row r="192" spans="1:14" ht="15.75" x14ac:dyDescent="0.25">
      <c r="A192" s="157" t="s">
        <v>68</v>
      </c>
      <c r="B192" s="157"/>
      <c r="C192" s="31">
        <v>0</v>
      </c>
      <c r="D192" s="32">
        <v>0</v>
      </c>
      <c r="E192" s="33">
        <f>G192</f>
        <v>0</v>
      </c>
      <c r="F192" s="34">
        <v>0</v>
      </c>
      <c r="G192" s="158">
        <v>0</v>
      </c>
      <c r="H192" s="159"/>
      <c r="I192" s="34">
        <v>0</v>
      </c>
      <c r="J192" s="168">
        <f t="shared" si="15"/>
        <v>0</v>
      </c>
      <c r="K192" s="169"/>
      <c r="L192" s="169"/>
    </row>
    <row r="193" spans="1:16" ht="15.75" x14ac:dyDescent="0.25">
      <c r="A193" s="157" t="s">
        <v>69</v>
      </c>
      <c r="B193" s="157"/>
      <c r="C193" s="31">
        <v>0</v>
      </c>
      <c r="D193" s="123">
        <v>143263.84</v>
      </c>
      <c r="E193" s="33">
        <f>G193-126177.88</f>
        <v>27814.089999999997</v>
      </c>
      <c r="F193" s="34">
        <f t="shared" si="12"/>
        <v>19.414591986365853</v>
      </c>
      <c r="G193" s="158">
        <v>153991.97</v>
      </c>
      <c r="H193" s="159"/>
      <c r="I193" s="34">
        <f t="shared" si="14"/>
        <v>107.48837250209124</v>
      </c>
      <c r="J193" s="160">
        <f t="shared" si="15"/>
        <v>-10728.130000000005</v>
      </c>
      <c r="K193" s="161"/>
      <c r="L193" s="161"/>
    </row>
    <row r="194" spans="1:16" ht="15.75" x14ac:dyDescent="0.25">
      <c r="A194" s="157" t="s">
        <v>70</v>
      </c>
      <c r="B194" s="157"/>
      <c r="C194" s="31">
        <f>SUM(C195:C203)</f>
        <v>0</v>
      </c>
      <c r="D194" s="31">
        <f>SUM(D195:D203)</f>
        <v>0</v>
      </c>
      <c r="E194" s="33">
        <f>SUM(E195:E203)</f>
        <v>0</v>
      </c>
      <c r="F194" s="34">
        <v>0</v>
      </c>
      <c r="G194" s="158">
        <f>SUM(G195:H203)</f>
        <v>0</v>
      </c>
      <c r="H194" s="159">
        <f>SUM(H195:H203)</f>
        <v>0</v>
      </c>
      <c r="I194" s="34">
        <v>0</v>
      </c>
      <c r="J194" s="160">
        <f t="shared" si="15"/>
        <v>0</v>
      </c>
      <c r="K194" s="161"/>
      <c r="L194" s="161"/>
    </row>
    <row r="195" spans="1:16" ht="15.75" x14ac:dyDescent="0.25">
      <c r="A195" s="157" t="s">
        <v>48</v>
      </c>
      <c r="B195" s="157"/>
      <c r="C195" s="31">
        <v>0</v>
      </c>
      <c r="D195" s="32">
        <v>0</v>
      </c>
      <c r="E195" s="33">
        <f t="shared" ref="E195:E203" si="18">G195</f>
        <v>0</v>
      </c>
      <c r="F195" s="34">
        <v>0</v>
      </c>
      <c r="G195" s="158">
        <v>0</v>
      </c>
      <c r="H195" s="159"/>
      <c r="I195" s="34">
        <v>0</v>
      </c>
      <c r="J195" s="160">
        <f t="shared" si="15"/>
        <v>0</v>
      </c>
      <c r="K195" s="161"/>
      <c r="L195" s="161"/>
    </row>
    <row r="196" spans="1:16" ht="15.75" x14ac:dyDescent="0.25">
      <c r="A196" s="157" t="s">
        <v>49</v>
      </c>
      <c r="B196" s="157"/>
      <c r="C196" s="31">
        <v>0</v>
      </c>
      <c r="D196" s="32">
        <v>0</v>
      </c>
      <c r="E196" s="33">
        <f t="shared" si="18"/>
        <v>0</v>
      </c>
      <c r="F196" s="34">
        <v>0</v>
      </c>
      <c r="G196" s="158">
        <v>0</v>
      </c>
      <c r="H196" s="159"/>
      <c r="I196" s="34">
        <v>0</v>
      </c>
      <c r="J196" s="160">
        <f t="shared" si="15"/>
        <v>0</v>
      </c>
      <c r="K196" s="161"/>
      <c r="L196" s="161"/>
      <c r="M196" s="335"/>
      <c r="N196" s="335"/>
      <c r="O196" s="335"/>
      <c r="P196" s="335"/>
    </row>
    <row r="197" spans="1:16" ht="15.75" x14ac:dyDescent="0.25">
      <c r="A197" s="157" t="s">
        <v>50</v>
      </c>
      <c r="B197" s="157"/>
      <c r="C197" s="31">
        <v>0</v>
      </c>
      <c r="D197" s="32">
        <v>0</v>
      </c>
      <c r="E197" s="33">
        <f t="shared" si="18"/>
        <v>0</v>
      </c>
      <c r="F197" s="34">
        <v>0</v>
      </c>
      <c r="G197" s="158">
        <v>0</v>
      </c>
      <c r="H197" s="159"/>
      <c r="I197" s="34">
        <v>0</v>
      </c>
      <c r="J197" s="160">
        <f t="shared" si="15"/>
        <v>0</v>
      </c>
      <c r="K197" s="161"/>
      <c r="L197" s="161"/>
      <c r="M197" s="335"/>
      <c r="N197" s="335"/>
      <c r="O197" s="335"/>
      <c r="P197" s="335"/>
    </row>
    <row r="198" spans="1:16" ht="15.75" x14ac:dyDescent="0.25">
      <c r="A198" s="157" t="s">
        <v>51</v>
      </c>
      <c r="B198" s="157"/>
      <c r="C198" s="31">
        <v>0</v>
      </c>
      <c r="D198" s="32">
        <v>0</v>
      </c>
      <c r="E198" s="33">
        <f t="shared" si="18"/>
        <v>0</v>
      </c>
      <c r="F198" s="34">
        <v>0</v>
      </c>
      <c r="G198" s="158">
        <v>0</v>
      </c>
      <c r="H198" s="159"/>
      <c r="I198" s="34">
        <v>0</v>
      </c>
      <c r="J198" s="160">
        <f t="shared" si="15"/>
        <v>0</v>
      </c>
      <c r="K198" s="161"/>
      <c r="L198" s="161"/>
      <c r="M198" s="335"/>
      <c r="N198" s="335"/>
      <c r="O198" s="335"/>
      <c r="P198" s="335"/>
    </row>
    <row r="199" spans="1:16" ht="15.75" x14ac:dyDescent="0.25">
      <c r="A199" s="157" t="s">
        <v>52</v>
      </c>
      <c r="B199" s="157"/>
      <c r="C199" s="31">
        <v>0</v>
      </c>
      <c r="D199" s="32">
        <v>0</v>
      </c>
      <c r="E199" s="33">
        <f t="shared" si="18"/>
        <v>0</v>
      </c>
      <c r="F199" s="34">
        <v>0</v>
      </c>
      <c r="G199" s="158">
        <v>0</v>
      </c>
      <c r="H199" s="159"/>
      <c r="I199" s="34">
        <v>0</v>
      </c>
      <c r="J199" s="160">
        <f t="shared" si="15"/>
        <v>0</v>
      </c>
      <c r="K199" s="161"/>
      <c r="L199" s="161"/>
      <c r="M199" s="335"/>
      <c r="N199" s="335"/>
      <c r="O199" s="335"/>
      <c r="P199" s="335"/>
    </row>
    <row r="200" spans="1:16" ht="15.75" x14ac:dyDescent="0.25">
      <c r="A200" s="157" t="s">
        <v>53</v>
      </c>
      <c r="B200" s="157"/>
      <c r="C200" s="31">
        <v>0</v>
      </c>
      <c r="D200" s="32">
        <v>0</v>
      </c>
      <c r="E200" s="33">
        <f t="shared" si="18"/>
        <v>0</v>
      </c>
      <c r="F200" s="34">
        <v>0</v>
      </c>
      <c r="G200" s="158">
        <v>0</v>
      </c>
      <c r="H200" s="159"/>
      <c r="I200" s="34">
        <v>0</v>
      </c>
      <c r="J200" s="160">
        <f t="shared" si="15"/>
        <v>0</v>
      </c>
      <c r="K200" s="161"/>
      <c r="L200" s="161"/>
      <c r="M200" s="335"/>
      <c r="N200" s="335"/>
      <c r="O200" s="335"/>
      <c r="P200" s="335"/>
    </row>
    <row r="201" spans="1:16" ht="15.75" x14ac:dyDescent="0.25">
      <c r="A201" s="162" t="s">
        <v>71</v>
      </c>
      <c r="B201" s="157"/>
      <c r="C201" s="31">
        <v>0</v>
      </c>
      <c r="D201" s="32">
        <v>0</v>
      </c>
      <c r="E201" s="33">
        <f>G201-0</f>
        <v>0</v>
      </c>
      <c r="F201" s="34">
        <v>0</v>
      </c>
      <c r="G201" s="158">
        <v>0</v>
      </c>
      <c r="H201" s="159"/>
      <c r="I201" s="34">
        <v>0</v>
      </c>
      <c r="J201" s="160">
        <f t="shared" si="15"/>
        <v>0</v>
      </c>
      <c r="K201" s="161"/>
      <c r="L201" s="161"/>
      <c r="M201" s="325"/>
      <c r="N201" s="325"/>
      <c r="O201" s="325"/>
      <c r="P201" s="325"/>
    </row>
    <row r="202" spans="1:16" ht="15.75" hidden="1" x14ac:dyDescent="0.25">
      <c r="A202" s="157" t="s">
        <v>72</v>
      </c>
      <c r="B202" s="157"/>
      <c r="C202" s="31">
        <v>0</v>
      </c>
      <c r="D202" s="32">
        <v>0</v>
      </c>
      <c r="E202" s="33">
        <f t="shared" si="18"/>
        <v>0</v>
      </c>
      <c r="F202" s="34" t="e">
        <f t="shared" si="12"/>
        <v>#DIV/0!</v>
      </c>
      <c r="G202" s="158">
        <v>0</v>
      </c>
      <c r="H202" s="159"/>
      <c r="I202" s="34" t="e">
        <f t="shared" si="14"/>
        <v>#DIV/0!</v>
      </c>
      <c r="J202" s="168">
        <f t="shared" si="15"/>
        <v>0</v>
      </c>
      <c r="K202" s="169"/>
      <c r="L202" s="169"/>
      <c r="M202" s="335"/>
      <c r="N202" s="336"/>
      <c r="O202" s="335"/>
      <c r="P202" s="335"/>
    </row>
    <row r="203" spans="1:16" ht="15.75" hidden="1" x14ac:dyDescent="0.25">
      <c r="A203" s="157" t="s">
        <v>73</v>
      </c>
      <c r="B203" s="157"/>
      <c r="C203" s="31">
        <v>0</v>
      </c>
      <c r="D203" s="32">
        <v>0</v>
      </c>
      <c r="E203" s="33">
        <f t="shared" si="18"/>
        <v>0</v>
      </c>
      <c r="F203" s="34" t="e">
        <f t="shared" si="12"/>
        <v>#DIV/0!</v>
      </c>
      <c r="G203" s="158">
        <v>0</v>
      </c>
      <c r="H203" s="159"/>
      <c r="I203" s="34" t="e">
        <f t="shared" si="14"/>
        <v>#DIV/0!</v>
      </c>
      <c r="J203" s="168">
        <f t="shared" si="15"/>
        <v>0</v>
      </c>
      <c r="K203" s="169"/>
      <c r="L203" s="169"/>
      <c r="M203" s="335"/>
      <c r="N203" s="336"/>
      <c r="O203" s="335"/>
      <c r="P203" s="335"/>
    </row>
    <row r="204" spans="1:16" ht="15.75" x14ac:dyDescent="0.25">
      <c r="A204" s="162" t="s">
        <v>75</v>
      </c>
      <c r="B204" s="157"/>
      <c r="C204" s="31">
        <f>SUM(C205:C208)</f>
        <v>0</v>
      </c>
      <c r="D204" s="32">
        <f>SUM(D205:D208)</f>
        <v>0</v>
      </c>
      <c r="E204" s="33">
        <f>SUM(E205:E208)</f>
        <v>0</v>
      </c>
      <c r="F204" s="34">
        <v>0</v>
      </c>
      <c r="G204" s="158">
        <f>SUM(G205:H208)</f>
        <v>0</v>
      </c>
      <c r="H204" s="159">
        <f>SUM(H206:H208)</f>
        <v>0</v>
      </c>
      <c r="I204" s="34">
        <v>0</v>
      </c>
      <c r="J204" s="160">
        <f t="shared" si="15"/>
        <v>0</v>
      </c>
      <c r="K204" s="161"/>
      <c r="L204" s="161"/>
      <c r="M204" s="335"/>
      <c r="N204" s="335"/>
      <c r="O204" s="335"/>
      <c r="P204" s="335"/>
    </row>
    <row r="205" spans="1:16" ht="15.75" x14ac:dyDescent="0.25">
      <c r="A205" s="157" t="s">
        <v>76</v>
      </c>
      <c r="B205" s="157"/>
      <c r="C205" s="31">
        <v>0</v>
      </c>
      <c r="D205" s="32">
        <v>0</v>
      </c>
      <c r="E205" s="33">
        <f>G205</f>
        <v>0</v>
      </c>
      <c r="F205" s="34">
        <v>0</v>
      </c>
      <c r="G205" s="158">
        <v>0</v>
      </c>
      <c r="H205" s="159"/>
      <c r="I205" s="34">
        <v>0</v>
      </c>
      <c r="J205" s="160">
        <f t="shared" si="15"/>
        <v>0</v>
      </c>
      <c r="K205" s="161"/>
      <c r="L205" s="161"/>
      <c r="M205" s="335"/>
      <c r="N205" s="335"/>
      <c r="O205" s="335"/>
      <c r="P205" s="335"/>
    </row>
    <row r="206" spans="1:16" ht="15.75" x14ac:dyDescent="0.25">
      <c r="A206" s="157" t="s">
        <v>77</v>
      </c>
      <c r="B206" s="157"/>
      <c r="C206" s="31">
        <v>0</v>
      </c>
      <c r="D206" s="32">
        <v>0</v>
      </c>
      <c r="E206" s="33">
        <f>G206</f>
        <v>0</v>
      </c>
      <c r="F206" s="34">
        <v>0</v>
      </c>
      <c r="G206" s="158">
        <v>0</v>
      </c>
      <c r="H206" s="159"/>
      <c r="I206" s="34">
        <v>0</v>
      </c>
      <c r="J206" s="160">
        <f t="shared" si="15"/>
        <v>0</v>
      </c>
      <c r="K206" s="161"/>
      <c r="L206" s="161"/>
      <c r="M206" s="335"/>
      <c r="N206" s="335"/>
      <c r="O206" s="335"/>
      <c r="P206" s="335"/>
    </row>
    <row r="207" spans="1:16" ht="15.75" x14ac:dyDescent="0.25">
      <c r="A207" s="157" t="s">
        <v>78</v>
      </c>
      <c r="B207" s="157"/>
      <c r="C207" s="31">
        <v>0</v>
      </c>
      <c r="D207" s="32">
        <v>0</v>
      </c>
      <c r="E207" s="33">
        <f>G207</f>
        <v>0</v>
      </c>
      <c r="F207" s="34">
        <v>0</v>
      </c>
      <c r="G207" s="158">
        <v>0</v>
      </c>
      <c r="H207" s="159"/>
      <c r="I207" s="34">
        <v>0</v>
      </c>
      <c r="J207" s="160">
        <f t="shared" si="15"/>
        <v>0</v>
      </c>
      <c r="K207" s="161"/>
      <c r="L207" s="161"/>
      <c r="M207" s="335"/>
      <c r="N207" s="335"/>
      <c r="O207" s="335"/>
      <c r="P207" s="335"/>
    </row>
    <row r="208" spans="1:16" ht="15.75" x14ac:dyDescent="0.25">
      <c r="A208" s="193" t="s">
        <v>79</v>
      </c>
      <c r="B208" s="193"/>
      <c r="C208" s="124">
        <v>0</v>
      </c>
      <c r="D208" s="93">
        <v>0</v>
      </c>
      <c r="E208" s="125">
        <f>G208</f>
        <v>0</v>
      </c>
      <c r="F208" s="63">
        <v>0</v>
      </c>
      <c r="G208" s="188">
        <v>0</v>
      </c>
      <c r="H208" s="189"/>
      <c r="I208" s="63">
        <v>0</v>
      </c>
      <c r="J208" s="202">
        <f t="shared" si="15"/>
        <v>0</v>
      </c>
      <c r="K208" s="203"/>
      <c r="L208" s="203"/>
      <c r="M208" s="335"/>
      <c r="N208" s="335"/>
      <c r="O208" s="335"/>
      <c r="P208" s="335"/>
    </row>
    <row r="209" spans="1:12" ht="15.75" customHeight="1" x14ac:dyDescent="0.25">
      <c r="A209" s="100"/>
      <c r="B209" s="101"/>
      <c r="C209" s="101"/>
      <c r="D209" s="102"/>
      <c r="E209" s="106"/>
      <c r="F209" s="101"/>
      <c r="G209" s="106"/>
      <c r="H209" s="194"/>
      <c r="I209" s="194"/>
      <c r="J209" s="103"/>
      <c r="K209" s="194"/>
      <c r="L209" s="194"/>
    </row>
    <row r="210" spans="1:12" ht="15.75" x14ac:dyDescent="0.25">
      <c r="A210" s="190" t="s">
        <v>134</v>
      </c>
      <c r="B210" s="73" t="s">
        <v>93</v>
      </c>
      <c r="C210" s="73" t="s">
        <v>93</v>
      </c>
      <c r="D210" s="185" t="s">
        <v>94</v>
      </c>
      <c r="E210" s="186"/>
      <c r="F210" s="74" t="s">
        <v>9</v>
      </c>
      <c r="G210" s="185" t="s">
        <v>95</v>
      </c>
      <c r="H210" s="186"/>
      <c r="I210" s="187"/>
      <c r="J210" s="14" t="s">
        <v>9</v>
      </c>
      <c r="K210" s="198" t="s">
        <v>96</v>
      </c>
      <c r="L210" s="199"/>
    </row>
    <row r="211" spans="1:12" ht="15.75" x14ac:dyDescent="0.25">
      <c r="A211" s="191"/>
      <c r="B211" s="75" t="s">
        <v>97</v>
      </c>
      <c r="C211" s="75" t="s">
        <v>10</v>
      </c>
      <c r="D211" s="76" t="s">
        <v>98</v>
      </c>
      <c r="E211" s="76" t="s">
        <v>99</v>
      </c>
      <c r="F211" s="77"/>
      <c r="G211" s="76" t="s">
        <v>98</v>
      </c>
      <c r="H211" s="177" t="s">
        <v>99</v>
      </c>
      <c r="I211" s="178"/>
      <c r="J211" s="78"/>
      <c r="K211" s="200"/>
      <c r="L211" s="201"/>
    </row>
    <row r="212" spans="1:12" ht="15.75" x14ac:dyDescent="0.25">
      <c r="A212" s="191"/>
      <c r="B212" s="75"/>
      <c r="C212" s="75"/>
      <c r="D212" s="77" t="s">
        <v>100</v>
      </c>
      <c r="E212" s="77" t="s">
        <v>100</v>
      </c>
      <c r="F212" s="77"/>
      <c r="G212" s="77" t="s">
        <v>100</v>
      </c>
      <c r="H212" s="179" t="s">
        <v>100</v>
      </c>
      <c r="I212" s="180"/>
      <c r="J212" s="78"/>
      <c r="K212" s="200"/>
      <c r="L212" s="201"/>
    </row>
    <row r="213" spans="1:12" ht="15.75" x14ac:dyDescent="0.25">
      <c r="A213" s="192"/>
      <c r="B213" s="79" t="s">
        <v>101</v>
      </c>
      <c r="C213" s="79" t="s">
        <v>102</v>
      </c>
      <c r="D213" s="79"/>
      <c r="E213" s="79" t="s">
        <v>103</v>
      </c>
      <c r="F213" s="80" t="s">
        <v>104</v>
      </c>
      <c r="G213" s="79"/>
      <c r="H213" s="195" t="s">
        <v>105</v>
      </c>
      <c r="I213" s="196"/>
      <c r="J213" s="18" t="s">
        <v>106</v>
      </c>
      <c r="K213" s="195" t="s">
        <v>107</v>
      </c>
      <c r="L213" s="197"/>
    </row>
    <row r="214" spans="1:12" s="3" customFormat="1" ht="15.75" x14ac:dyDescent="0.25">
      <c r="A214" s="1" t="s">
        <v>118</v>
      </c>
      <c r="B214" s="29">
        <f>B215+B219</f>
        <v>7951876408</v>
      </c>
      <c r="C214" s="29">
        <f>C215+C219</f>
        <v>8445907006.0699997</v>
      </c>
      <c r="D214" s="29">
        <f>D215+D219</f>
        <v>768236210.54000008</v>
      </c>
      <c r="E214" s="29">
        <f>E215+E219</f>
        <v>7382895152.8000002</v>
      </c>
      <c r="F214" s="29">
        <f t="shared" ref="F214:F222" si="19">C214-E214</f>
        <v>1063011853.2699995</v>
      </c>
      <c r="G214" s="29">
        <f>G215+G219</f>
        <v>860499886.96999979</v>
      </c>
      <c r="H214" s="171">
        <f>H215+H219</f>
        <v>7143060927.2299995</v>
      </c>
      <c r="I214" s="172"/>
      <c r="J214" s="27">
        <f>C214-H214</f>
        <v>1302846078.8400002</v>
      </c>
      <c r="K214" s="171">
        <f>K215+K219</f>
        <v>6685928514.54</v>
      </c>
      <c r="L214" s="173"/>
    </row>
    <row r="215" spans="1:12" s="3" customFormat="1" ht="15.75" x14ac:dyDescent="0.25">
      <c r="A215" s="1" t="s">
        <v>109</v>
      </c>
      <c r="B215" s="29">
        <f>B216+B217+B218</f>
        <v>7951415679</v>
      </c>
      <c r="C215" s="29">
        <f>C216+C217+C218</f>
        <v>8405551140.3899994</v>
      </c>
      <c r="D215" s="29">
        <f>D216+D217+D218</f>
        <v>768210847.1500001</v>
      </c>
      <c r="E215" s="29">
        <f>E216+E217+E218</f>
        <v>7382685289.8000002</v>
      </c>
      <c r="F215" s="29">
        <f t="shared" si="19"/>
        <v>1022865850.5899992</v>
      </c>
      <c r="G215" s="29">
        <f>G216+G217+G218</f>
        <v>860463423.71999979</v>
      </c>
      <c r="H215" s="171">
        <f>H216+H217+H218</f>
        <v>7142896388.6599998</v>
      </c>
      <c r="I215" s="172">
        <f>SUM(I216:I218)</f>
        <v>0</v>
      </c>
      <c r="J215" s="27">
        <f>C215-H215</f>
        <v>1262654751.7299995</v>
      </c>
      <c r="K215" s="171">
        <f>K216+K217+K218</f>
        <v>6685781061.9300003</v>
      </c>
      <c r="L215" s="173"/>
    </row>
    <row r="216" spans="1:12" s="3" customFormat="1" ht="15.95" customHeight="1" x14ac:dyDescent="0.25">
      <c r="A216" s="3" t="s">
        <v>110</v>
      </c>
      <c r="B216" s="35">
        <v>3924184249</v>
      </c>
      <c r="C216" s="35">
        <v>4143578715.6900001</v>
      </c>
      <c r="D216" s="35">
        <f>E216-2842154892.89</f>
        <v>495440066.32000017</v>
      </c>
      <c r="E216" s="43">
        <v>3337594959.21</v>
      </c>
      <c r="F216" s="35">
        <f t="shared" si="19"/>
        <v>805983756.48000002</v>
      </c>
      <c r="G216" s="35">
        <f>H216-2640853310.5</f>
        <v>549229379.92999983</v>
      </c>
      <c r="H216" s="168">
        <v>3190082690.4299998</v>
      </c>
      <c r="I216" s="170"/>
      <c r="J216" s="32">
        <f>C216-H216</f>
        <v>953496025.26000023</v>
      </c>
      <c r="K216" s="168">
        <v>3002748123.71</v>
      </c>
      <c r="L216" s="169"/>
    </row>
    <row r="217" spans="1:12" s="3" customFormat="1" ht="15.95" customHeight="1" x14ac:dyDescent="0.25">
      <c r="A217" s="126" t="s">
        <v>135</v>
      </c>
      <c r="B217" s="35">
        <v>0</v>
      </c>
      <c r="C217" s="35">
        <v>0</v>
      </c>
      <c r="D217" s="35">
        <f>E217</f>
        <v>0</v>
      </c>
      <c r="E217" s="35">
        <v>0</v>
      </c>
      <c r="F217" s="35">
        <f t="shared" si="19"/>
        <v>0</v>
      </c>
      <c r="G217" s="35">
        <f>H217</f>
        <v>0</v>
      </c>
      <c r="H217" s="168">
        <v>0</v>
      </c>
      <c r="I217" s="170"/>
      <c r="J217" s="32">
        <f t="shared" ref="J217:J221" si="20">C217-H217</f>
        <v>0</v>
      </c>
      <c r="K217" s="168">
        <v>0</v>
      </c>
      <c r="L217" s="169"/>
    </row>
    <row r="218" spans="1:12" s="3" customFormat="1" ht="15.95" customHeight="1" x14ac:dyDescent="0.25">
      <c r="A218" s="3" t="s">
        <v>112</v>
      </c>
      <c r="B218" s="43">
        <v>4027231430</v>
      </c>
      <c r="C218" s="43">
        <v>4261972424.6999998</v>
      </c>
      <c r="D218" s="35">
        <f>E218-3772319549.76</f>
        <v>272770780.82999992</v>
      </c>
      <c r="E218" s="43">
        <v>4045090330.5900002</v>
      </c>
      <c r="F218" s="35">
        <f t="shared" si="19"/>
        <v>216882094.10999966</v>
      </c>
      <c r="G218" s="35">
        <f>H218-3641579654.44</f>
        <v>311234043.78999996</v>
      </c>
      <c r="H218" s="168">
        <v>3952813698.23</v>
      </c>
      <c r="I218" s="170"/>
      <c r="J218" s="32">
        <f t="shared" si="20"/>
        <v>309158726.46999979</v>
      </c>
      <c r="K218" s="168">
        <v>3683032938.2199998</v>
      </c>
      <c r="L218" s="169"/>
    </row>
    <row r="219" spans="1:12" s="3" customFormat="1" ht="15.95" customHeight="1" x14ac:dyDescent="0.25">
      <c r="A219" s="1" t="s">
        <v>113</v>
      </c>
      <c r="B219" s="29">
        <f>B220+B221+B222</f>
        <v>460729</v>
      </c>
      <c r="C219" s="29">
        <f>C220+C221+C222</f>
        <v>40355865.68</v>
      </c>
      <c r="D219" s="29">
        <f>D220+D221+D222</f>
        <v>25363.39</v>
      </c>
      <c r="E219" s="29">
        <f>E220+E221+E222</f>
        <v>209863</v>
      </c>
      <c r="F219" s="29">
        <f t="shared" si="19"/>
        <v>40146002.68</v>
      </c>
      <c r="G219" s="29">
        <f>G220+G221+G222</f>
        <v>36463.25</v>
      </c>
      <c r="H219" s="171">
        <f>H220+H221+H222</f>
        <v>164538.57</v>
      </c>
      <c r="I219" s="172"/>
      <c r="J219" s="27">
        <f t="shared" si="20"/>
        <v>40191327.109999999</v>
      </c>
      <c r="K219" s="171">
        <f>K220+K221+K222</f>
        <v>147452.61000000002</v>
      </c>
      <c r="L219" s="173"/>
    </row>
    <row r="220" spans="1:12" s="3" customFormat="1" ht="15.95" customHeight="1" x14ac:dyDescent="0.25">
      <c r="A220" s="3" t="s">
        <v>114</v>
      </c>
      <c r="B220" s="35">
        <v>202007</v>
      </c>
      <c r="C220" s="35">
        <v>40097143.68</v>
      </c>
      <c r="D220" s="35">
        <f>E220-66599.16</f>
        <v>0</v>
      </c>
      <c r="E220" s="35">
        <v>66599.16</v>
      </c>
      <c r="F220" s="35">
        <f t="shared" si="19"/>
        <v>40030544.520000003</v>
      </c>
      <c r="G220" s="32">
        <f>H220-10174.87</f>
        <v>11099.859999999999</v>
      </c>
      <c r="H220" s="169">
        <v>21274.73</v>
      </c>
      <c r="I220" s="170"/>
      <c r="J220" s="32">
        <f t="shared" si="20"/>
        <v>40075868.950000003</v>
      </c>
      <c r="K220" s="169">
        <v>21274.73</v>
      </c>
      <c r="L220" s="169"/>
    </row>
    <row r="221" spans="1:12" s="3" customFormat="1" ht="15.95" customHeight="1" x14ac:dyDescent="0.25">
      <c r="A221" s="3" t="s">
        <v>115</v>
      </c>
      <c r="B221" s="35">
        <v>0</v>
      </c>
      <c r="C221" s="35">
        <v>0</v>
      </c>
      <c r="D221" s="35">
        <f>E221</f>
        <v>0</v>
      </c>
      <c r="E221" s="35">
        <v>0</v>
      </c>
      <c r="F221" s="35">
        <f t="shared" si="19"/>
        <v>0</v>
      </c>
      <c r="G221" s="32">
        <f>H221</f>
        <v>0</v>
      </c>
      <c r="H221" s="168">
        <v>0</v>
      </c>
      <c r="I221" s="170"/>
      <c r="J221" s="32">
        <f t="shared" si="20"/>
        <v>0</v>
      </c>
      <c r="K221" s="168">
        <v>0</v>
      </c>
      <c r="L221" s="169"/>
    </row>
    <row r="222" spans="1:12" s="3" customFormat="1" ht="15.95" customHeight="1" x14ac:dyDescent="0.25">
      <c r="A222" s="3" t="s">
        <v>116</v>
      </c>
      <c r="B222" s="35">
        <v>258722</v>
      </c>
      <c r="C222" s="35">
        <v>258722</v>
      </c>
      <c r="D222" s="35">
        <f>E222-117900.45</f>
        <v>25363.39</v>
      </c>
      <c r="E222" s="43">
        <v>143263.84</v>
      </c>
      <c r="F222" s="35">
        <f t="shared" si="19"/>
        <v>115458.16</v>
      </c>
      <c r="G222" s="35">
        <f>H222-117900.45</f>
        <v>25363.39</v>
      </c>
      <c r="H222" s="168">
        <v>143263.84</v>
      </c>
      <c r="I222" s="170"/>
      <c r="J222" s="32">
        <f>C222-H222</f>
        <v>115458.16</v>
      </c>
      <c r="K222" s="168">
        <v>126177.88</v>
      </c>
      <c r="L222" s="169"/>
    </row>
    <row r="223" spans="1:12" s="3" customFormat="1" ht="15.95" customHeight="1" x14ac:dyDescent="0.25">
      <c r="A223" s="127" t="s">
        <v>136</v>
      </c>
      <c r="B223" s="94">
        <v>0</v>
      </c>
      <c r="C223" s="94">
        <v>0</v>
      </c>
      <c r="D223" s="94">
        <f>E223-0</f>
        <v>0</v>
      </c>
      <c r="E223" s="94">
        <v>0</v>
      </c>
      <c r="F223" s="94">
        <f t="shared" ref="F223" si="21">C223-E223</f>
        <v>0</v>
      </c>
      <c r="G223" s="94">
        <f>H223-0</f>
        <v>0</v>
      </c>
      <c r="H223" s="174">
        <v>0</v>
      </c>
      <c r="I223" s="175"/>
      <c r="J223" s="93">
        <f>C223-H223</f>
        <v>0</v>
      </c>
      <c r="K223" s="174">
        <v>0</v>
      </c>
      <c r="L223" s="176"/>
    </row>
    <row r="224" spans="1:12" s="3" customFormat="1" ht="15.75" x14ac:dyDescent="0.25">
      <c r="A224" s="128" t="s">
        <v>137</v>
      </c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30" t="s">
        <v>138</v>
      </c>
    </row>
    <row r="225" spans="1:13" s="3" customFormat="1" ht="18" x14ac:dyDescent="0.25">
      <c r="A225" s="128" t="s">
        <v>155</v>
      </c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30"/>
    </row>
    <row r="226" spans="1:13" s="3" customFormat="1" ht="18" x14ac:dyDescent="0.25">
      <c r="A226" s="128" t="s">
        <v>156</v>
      </c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30"/>
    </row>
    <row r="227" spans="1:13" s="3" customFormat="1" ht="15.95" customHeight="1" x14ac:dyDescent="0.25">
      <c r="A227" s="131" t="s">
        <v>139</v>
      </c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2"/>
    </row>
    <row r="228" spans="1:13" s="3" customFormat="1" ht="15.95" customHeight="1" x14ac:dyDescent="0.25">
      <c r="A228" s="131" t="s">
        <v>150</v>
      </c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28"/>
    </row>
    <row r="229" spans="1:13" s="3" customFormat="1" ht="15.95" customHeight="1" x14ac:dyDescent="0.25">
      <c r="A229" s="318" t="s">
        <v>151</v>
      </c>
      <c r="B229" s="318"/>
      <c r="C229" s="318"/>
      <c r="D229" s="318"/>
      <c r="E229" s="318"/>
      <c r="F229" s="318"/>
      <c r="G229" s="318"/>
      <c r="H229" s="318"/>
      <c r="I229" s="318"/>
      <c r="J229" s="318"/>
      <c r="K229" s="318"/>
      <c r="L229" s="318"/>
    </row>
    <row r="230" spans="1:13" s="3" customFormat="1" ht="15.75" x14ac:dyDescent="0.25">
      <c r="A230" s="316" t="s">
        <v>140</v>
      </c>
      <c r="B230" s="316"/>
      <c r="C230" s="316"/>
      <c r="D230" s="316"/>
      <c r="E230" s="316"/>
      <c r="F230" s="316"/>
      <c r="G230" s="316"/>
      <c r="H230" s="316"/>
      <c r="I230" s="316"/>
      <c r="J230" s="316"/>
      <c r="K230" s="316"/>
      <c r="L230" s="316"/>
    </row>
    <row r="231" spans="1:13" s="3" customFormat="1" ht="15.95" customHeight="1" x14ac:dyDescent="0.25">
      <c r="A231" s="134"/>
      <c r="B231" s="131"/>
      <c r="C231" s="135"/>
      <c r="D231" s="131"/>
      <c r="E231" s="136"/>
      <c r="F231" s="131"/>
      <c r="G231" s="136"/>
      <c r="H231" s="131"/>
      <c r="I231" s="131"/>
      <c r="J231" s="131"/>
      <c r="K231" s="131"/>
      <c r="L231" s="131"/>
    </row>
    <row r="232" spans="1:13" s="3" customFormat="1" ht="15.95" customHeight="1" x14ac:dyDescent="0.25">
      <c r="A232" s="137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</row>
    <row r="233" spans="1:13" s="3" customFormat="1" ht="15.95" customHeight="1" x14ac:dyDescent="0.25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1"/>
    </row>
    <row r="234" spans="1:13" s="3" customFormat="1" ht="15.95" customHeight="1" x14ac:dyDescent="0.25">
      <c r="A234" s="140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</row>
    <row r="235" spans="1:13" s="3" customFormat="1" ht="15.95" customHeight="1" x14ac:dyDescent="0.25">
      <c r="A235" s="140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</row>
    <row r="236" spans="1:13" s="3" customFormat="1" ht="15.95" customHeight="1" x14ac:dyDescent="0.25">
      <c r="A236" s="142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</row>
    <row r="237" spans="1:13" s="3" customFormat="1" ht="15.95" customHeight="1" x14ac:dyDescent="0.25">
      <c r="A237" s="142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</row>
    <row r="238" spans="1:13" s="3" customFormat="1" ht="15.95" customHeight="1" x14ac:dyDescent="0.25">
      <c r="A238" s="315" t="s">
        <v>141</v>
      </c>
      <c r="B238" s="315"/>
      <c r="C238" s="315" t="s">
        <v>142</v>
      </c>
      <c r="D238" s="315"/>
      <c r="E238" s="315"/>
      <c r="F238" s="315"/>
      <c r="G238" s="317" t="s">
        <v>143</v>
      </c>
      <c r="H238" s="317"/>
      <c r="I238" s="317"/>
      <c r="J238" s="317"/>
      <c r="K238" s="317"/>
      <c r="L238" s="317"/>
    </row>
    <row r="239" spans="1:13" s="3" customFormat="1" ht="15.95" customHeight="1" x14ac:dyDescent="0.25">
      <c r="A239" s="315" t="s">
        <v>144</v>
      </c>
      <c r="B239" s="315"/>
      <c r="C239" s="315" t="s">
        <v>145</v>
      </c>
      <c r="D239" s="315"/>
      <c r="E239" s="315"/>
      <c r="F239" s="315"/>
      <c r="G239" s="317" t="s">
        <v>146</v>
      </c>
      <c r="H239" s="317"/>
      <c r="I239" s="317"/>
      <c r="J239" s="317"/>
      <c r="K239" s="317"/>
      <c r="L239" s="317"/>
    </row>
    <row r="240" spans="1:13" s="3" customFormat="1" ht="15.95" customHeight="1" x14ac:dyDescent="0.25">
      <c r="A240" s="315" t="s">
        <v>147</v>
      </c>
      <c r="B240" s="315"/>
      <c r="C240" s="315" t="s">
        <v>148</v>
      </c>
      <c r="D240" s="315"/>
      <c r="E240" s="315"/>
      <c r="F240" s="315"/>
      <c r="G240" s="317" t="s">
        <v>149</v>
      </c>
      <c r="H240" s="317"/>
      <c r="I240" s="317"/>
      <c r="J240" s="317"/>
      <c r="K240" s="317"/>
      <c r="L240" s="317"/>
    </row>
    <row r="241" spans="1:12" ht="15.95" customHeight="1" x14ac:dyDescent="0.2">
      <c r="A241" s="131"/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</row>
    <row r="242" spans="1:12" ht="11.25" customHeight="1" x14ac:dyDescent="0.2">
      <c r="A242" s="131"/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</row>
    <row r="243" spans="1:12" ht="11.25" customHeight="1" x14ac:dyDescent="0.2">
      <c r="A243" s="131"/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</row>
    <row r="244" spans="1:12" ht="11.25" customHeight="1" x14ac:dyDescent="0.2">
      <c r="A244" s="131"/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</row>
    <row r="245" spans="1:12" ht="11.25" customHeight="1" x14ac:dyDescent="0.2">
      <c r="A245" s="131"/>
      <c r="B245" s="131"/>
      <c r="C245" s="131"/>
      <c r="D245" s="143"/>
      <c r="E245" s="131"/>
      <c r="F245" s="131"/>
      <c r="G245" s="131"/>
      <c r="H245" s="131"/>
      <c r="I245" s="131"/>
      <c r="J245" s="131"/>
      <c r="K245" s="131"/>
      <c r="L245" s="131"/>
    </row>
    <row r="246" spans="1:12" ht="11.25" customHeight="1" x14ac:dyDescent="0.2">
      <c r="A246" s="131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</row>
    <row r="247" spans="1:12" ht="11.25" customHeight="1" x14ac:dyDescent="0.2">
      <c r="A247" s="131"/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</row>
    <row r="248" spans="1:12" ht="11.25" customHeight="1" x14ac:dyDescent="0.2">
      <c r="A248" s="131"/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</row>
    <row r="249" spans="1:12" ht="11.25" customHeight="1" x14ac:dyDescent="0.25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</row>
    <row r="250" spans="1:12" ht="11.25" customHeight="1" x14ac:dyDescent="0.25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</row>
    <row r="251" spans="1:12" ht="11.25" customHeight="1" x14ac:dyDescent="0.25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</row>
    <row r="252" spans="1:12" ht="11.25" customHeight="1" x14ac:dyDescent="0.25">
      <c r="A252" s="128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</row>
  </sheetData>
  <dataConsolidate/>
  <mergeCells count="578"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Q57:T57"/>
    <mergeCell ref="N82:Q84"/>
    <mergeCell ref="M74:P74"/>
    <mergeCell ref="M75:P77"/>
    <mergeCell ref="N94:Q98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4 E28 E23 E194 E189 E179 E155 E150 E38 D121 E44 E58 H92 H94 H93 E62 D107:D108 E204 G217 D217 E52 E171 E172:E173 E169 E65 E163:E164 E159:E161 E165 E167:E168 E162 E201 E33 E67 E71 F18 F94 F92 F84 F145:F164 F171:F178 F186:F208 F215:F219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 F60:F66 I165:I195 F68 F44:F57 I44:I60 F71:F73" evalError="1"/>
    <ignoredError sqref="F144 F17 E84 F58:F59 F83 F165:F170 F179:F185" evalError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9815D2-08FD-4220-B25A-6ADC5106B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A27B0-2487-4C29-87DA-3DF4E02FDDCD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bfcc7d6-e1dc-4701-b230-8bbb8f498e60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2025-11-18T19:56:51Z</cp:lastPrinted>
  <dcterms:created xsi:type="dcterms:W3CDTF">2005-03-07T15:54:32Z</dcterms:created>
  <dcterms:modified xsi:type="dcterms:W3CDTF">2025-11-28T14:48:24Z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