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Análise RREO 5\SITE\"/>
    </mc:Choice>
  </mc:AlternateContent>
  <xr:revisionPtr revIDLastSave="0" documentId="13_ncr:1_{834FD6CD-06BF-4EBF-9902-7E5CE30E1D2C}" xr6:coauthVersionLast="47" xr6:coauthVersionMax="47" xr10:uidLastSave="{00000000-0000-0000-0000-000000000000}"/>
  <bookViews>
    <workbookView xWindow="28680" yWindow="-120" windowWidth="29040" windowHeight="15720" tabRatio="714" firstSheet="1" activeTab="1" xr2:uid="{7A2FAA42-8A87-4E58-8620-09DA24D7603B}"/>
  </bookViews>
  <sheets>
    <sheet name="Anexo 1 - BO resumo" sheetId="189" state="hidden" r:id="rId1"/>
    <sheet name="Anexo 12 - Saúde (Estados)" sheetId="183" r:id="rId2"/>
  </sheets>
  <definedNames>
    <definedName name="Ações" localSheetId="0">#REF!</definedName>
    <definedName name="Ações" localSheetId="1">#REF!</definedName>
    <definedName name="Ações">#REF!</definedName>
    <definedName name="_xlnm.Print_Area" localSheetId="0">'Anexo 1 - BO resumo'!$A$1:$K$38</definedName>
    <definedName name="_xlnm.Print_Area" localSheetId="1">'Anexo 12 - Saúde (Estados)'!$A$1:$O$215</definedName>
    <definedName name="Cancela" localSheetId="0">#REF!,#REF!</definedName>
    <definedName name="Cancela" localSheetId="1">#REF!,#REF!</definedName>
    <definedName name="Cancela">#REF!,#REF!</definedName>
    <definedName name="ClassPrevAtu" localSheetId="0">#REF!</definedName>
    <definedName name="ClassPrevAtu" localSheetId="1">#REF!</definedName>
    <definedName name="ClassPrevAtu">#REF!</definedName>
    <definedName name="ClassPrevInicial" localSheetId="0">#REF!</definedName>
    <definedName name="ClassPrevInicial" localSheetId="1">#REF!</definedName>
    <definedName name="ClassPrevInicial">#REF!</definedName>
    <definedName name="ClassRecAnt" localSheetId="0">#REF!</definedName>
    <definedName name="ClassRecAnt" localSheetId="1">#REF!</definedName>
    <definedName name="ClassRecAnt">#REF!</definedName>
    <definedName name="ClassRecBim" localSheetId="0">#REF!</definedName>
    <definedName name="ClassRecBim" localSheetId="1">#REF!</definedName>
    <definedName name="ClassRecBim">#REF!</definedName>
    <definedName name="ClassRecNoBim" localSheetId="0">#REF!</definedName>
    <definedName name="ClassRecNoBim" localSheetId="1">#REF!</definedName>
    <definedName name="ClassRecNoBim">#REF!</definedName>
    <definedName name="CritEx" localSheetId="0">#REF!</definedName>
    <definedName name="CritEx" localSheetId="1">#REF!</definedName>
    <definedName name="CritEx">#REF!</definedName>
    <definedName name="DespAcao" localSheetId="0">#REF!</definedName>
    <definedName name="DespAcao" localSheetId="1">#REF!</definedName>
    <definedName name="DespAcao">#REF!</definedName>
    <definedName name="DespElem" localSheetId="0">#REF!</definedName>
    <definedName name="DespElem" localSheetId="1">#REF!</definedName>
    <definedName name="DespElem">#REF!</definedName>
    <definedName name="doExeAnt" localSheetId="0">#REF!</definedName>
    <definedName name="doExeAnt" localSheetId="1">#REF!</definedName>
    <definedName name="doExeAnt">#REF!</definedName>
    <definedName name="doExercicio" localSheetId="0">#REF!</definedName>
    <definedName name="doExercicio" localSheetId="1">#REF!</definedName>
    <definedName name="doExercicio">#REF!</definedName>
    <definedName name="DotacaoAtualizada" localSheetId="0">#REF!</definedName>
    <definedName name="DotacaoAtualizada" localSheetId="1">#REF!</definedName>
    <definedName name="DotacaoAtualizada">#REF!</definedName>
    <definedName name="DotacaoInicial" localSheetId="0">#REF!</definedName>
    <definedName name="DotacaoInicial" localSheetId="1">#REF!</definedName>
    <definedName name="DotacaoInicial">#REF!</definedName>
    <definedName name="dsfrw" localSheetId="0">#REF!,#REF!</definedName>
    <definedName name="dsfrw" localSheetId="1">#REF!,#REF!</definedName>
    <definedName name="dsfrw">#REF!,#REF!</definedName>
    <definedName name="Elementos" localSheetId="0">#REF!</definedName>
    <definedName name="Elementos" localSheetId="1">#REF!</definedName>
    <definedName name="Elementos">#REF!</definedName>
    <definedName name="fdsafs" localSheetId="0">#REF!,#REF!</definedName>
    <definedName name="fdsafs" localSheetId="1">#REF!,#REF!</definedName>
    <definedName name="fdsafs">#REF!,#REF!</definedName>
    <definedName name="fdsf" localSheetId="0">#REF!</definedName>
    <definedName name="fdsf" localSheetId="1">#REF!</definedName>
    <definedName name="fdsf">#REF!</definedName>
    <definedName name="fhksjd" localSheetId="0">#REF!,#REF!</definedName>
    <definedName name="fhksjd" localSheetId="1">#REF!,#REF!</definedName>
    <definedName name="fhksjd">#REF!,#REF!</definedName>
    <definedName name="fsdfs" localSheetId="0">#REF!</definedName>
    <definedName name="fsdfs" localSheetId="1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0">#REF!</definedName>
    <definedName name="LiqAteBimAnt" localSheetId="1">#REF!</definedName>
    <definedName name="LiqAteBimAnt">#REF!</definedName>
    <definedName name="LiqAteBimestre" localSheetId="0">#REF!</definedName>
    <definedName name="LiqAteBimestre" localSheetId="1">#REF!</definedName>
    <definedName name="LiqAteBimestre">#REF!</definedName>
    <definedName name="LiqNoBim" localSheetId="0">#REF!</definedName>
    <definedName name="LiqNoBim" localSheetId="1">#REF!</definedName>
    <definedName name="LiqNoBim">#REF!</definedName>
    <definedName name="Naturezas" localSheetId="0">#REF!</definedName>
    <definedName name="Naturezas" localSheetId="1">#REF!</definedName>
    <definedName name="Naturezas">#REF!</definedName>
    <definedName name="nobo1" localSheetId="0">#REF!</definedName>
    <definedName name="nobo1" localSheetId="1">#REF!</definedName>
    <definedName name="nobo1">#REF!</definedName>
    <definedName name="Novo" localSheetId="0">#REF!</definedName>
    <definedName name="Novo" localSheetId="1">#REF!</definedName>
    <definedName name="Novo">#REF!</definedName>
    <definedName name="Plan" localSheetId="0">#REF!</definedName>
    <definedName name="Plan" localSheetId="1">#REF!</definedName>
    <definedName name="Plan">#REF!</definedName>
    <definedName name="Planilha" localSheetId="0">#REF!</definedName>
    <definedName name="Planilha" localSheetId="1">#REF!</definedName>
    <definedName name="Planilha">#REF!</definedName>
    <definedName name="Planilha_1" localSheetId="0">#REF!,#REF!</definedName>
    <definedName name="Planilha_1" localSheetId="1">#REF!,#REF!</definedName>
    <definedName name="Planilha_1">#REF!,#REF!</definedName>
    <definedName name="Planilha_1ÁreaTotal" localSheetId="0">#REF!,#REF!</definedName>
    <definedName name="Planilha_1ÁreaTotal" localSheetId="1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 localSheetId="1">#REF!,#REF!</definedName>
    <definedName name="Planilha_4TítCols">#REF!,#REF!</definedName>
    <definedName name="Planilha_Educação" localSheetId="0">#REF!,#REF!</definedName>
    <definedName name="Planilha_Educação" localSheetId="1">#REF!,#REF!</definedName>
    <definedName name="Planilha_Educação">#REF!,#REF!</definedName>
    <definedName name="Planilha1" localSheetId="0">#REF!,#REF!</definedName>
    <definedName name="Planilha1" localSheetId="1">#REF!,#REF!</definedName>
    <definedName name="Planilha1">#REF!,#REF!</definedName>
    <definedName name="Planilhas" localSheetId="0">#REF!</definedName>
    <definedName name="Planilhas" localSheetId="1">#REF!</definedName>
    <definedName name="Planilhas">#REF!</definedName>
    <definedName name="PrevAtu" localSheetId="0">#REF!</definedName>
    <definedName name="PrevAtu" localSheetId="1">#REF!</definedName>
    <definedName name="PrevAtu">#REF!</definedName>
    <definedName name="PrevInicial" localSheetId="0">#REF!</definedName>
    <definedName name="PrevInicial" localSheetId="1">#REF!</definedName>
    <definedName name="PrevInicial">#REF!</definedName>
    <definedName name="RecAnt" localSheetId="0">#REF!</definedName>
    <definedName name="RecAnt" localSheetId="1">#REF!</definedName>
    <definedName name="RecAnt">#REF!</definedName>
    <definedName name="RecBim" localSheetId="0">#REF!</definedName>
    <definedName name="RecBim" localSheetId="1">#REF!</definedName>
    <definedName name="RecBim">#REF!</definedName>
    <definedName name="RecNBim" localSheetId="0">#REF!</definedName>
    <definedName name="RecNBim" localSheetId="1">#REF!</definedName>
    <definedName name="RecNBim">#REF!</definedName>
    <definedName name="RecNoBim" localSheetId="0">#REF!</definedName>
    <definedName name="RecNoBim" localSheetId="1">#REF!</definedName>
    <definedName name="RecNoBim">#REF!</definedName>
    <definedName name="rgps" localSheetId="0">#REF!</definedName>
    <definedName name="rgps" localSheetId="1">#REF!</definedName>
    <definedName name="rgps">#REF!</definedName>
    <definedName name="RGPS1" localSheetId="0">#REF!</definedName>
    <definedName name="RGPS1" localSheetId="1">#REF!</definedName>
    <definedName name="RGPS1">#REF!</definedName>
    <definedName name="RGPS2" localSheetId="0">#REF!,#REF!</definedName>
    <definedName name="RGPS2" localSheetId="1">#REF!,#REF!</definedName>
    <definedName name="RGPS2">#REF!,#REF!</definedName>
    <definedName name="xxx" localSheetId="0">#REF!,#REF!</definedName>
    <definedName name="xxx" localSheetId="1">#REF!,#REF!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0" i="183" l="1"/>
  <c r="N159" i="183"/>
  <c r="L159" i="183"/>
  <c r="J159" i="183"/>
  <c r="I159" i="183"/>
  <c r="I156" i="183"/>
  <c r="J154" i="183"/>
  <c r="I154" i="183"/>
  <c r="I153" i="183"/>
  <c r="J153" i="183"/>
  <c r="L153" i="183"/>
  <c r="N153" i="183"/>
  <c r="N151" i="183"/>
  <c r="L151" i="183"/>
  <c r="J151" i="183"/>
  <c r="I151" i="183"/>
  <c r="I150" i="183"/>
  <c r="J150" i="183"/>
  <c r="L150" i="183"/>
  <c r="N150" i="183"/>
  <c r="N148" i="183"/>
  <c r="L148" i="183"/>
  <c r="J148" i="183"/>
  <c r="I148" i="183"/>
  <c r="I147" i="183"/>
  <c r="J147" i="183"/>
  <c r="L147" i="183"/>
  <c r="N147" i="183"/>
  <c r="N145" i="183"/>
  <c r="L145" i="183"/>
  <c r="J145" i="183"/>
  <c r="I145" i="183"/>
  <c r="I144" i="183"/>
  <c r="J144" i="183"/>
  <c r="L144" i="183"/>
  <c r="N144" i="183"/>
  <c r="N141" i="183"/>
  <c r="L141" i="183"/>
  <c r="J141" i="183"/>
  <c r="I141" i="183"/>
  <c r="J133" i="183"/>
  <c r="L133" i="183"/>
  <c r="L129" i="183"/>
  <c r="J129" i="183"/>
  <c r="L108" i="183"/>
  <c r="L107" i="183"/>
  <c r="L106" i="183"/>
  <c r="L105" i="183"/>
  <c r="L104" i="183"/>
  <c r="L103" i="183"/>
  <c r="I63" i="183" l="1"/>
  <c r="K63" i="183" s="1"/>
  <c r="J63" i="183"/>
  <c r="L63" i="183"/>
  <c r="N63" i="183"/>
  <c r="N62" i="183"/>
  <c r="L62" i="183"/>
  <c r="M62" i="183" s="1"/>
  <c r="J62" i="183"/>
  <c r="K62" i="183" s="1"/>
  <c r="I62" i="183"/>
  <c r="I61" i="183"/>
  <c r="I59" i="183"/>
  <c r="O59" i="183" s="1"/>
  <c r="I57" i="183"/>
  <c r="J57" i="183"/>
  <c r="L57" i="183"/>
  <c r="N57" i="183"/>
  <c r="N56" i="183"/>
  <c r="O56" i="183" s="1"/>
  <c r="L56" i="183"/>
  <c r="J56" i="183"/>
  <c r="K56" i="183" s="1"/>
  <c r="I56" i="183"/>
  <c r="I53" i="183"/>
  <c r="M53" i="183" s="1"/>
  <c r="J53" i="183"/>
  <c r="K53" i="183" s="1"/>
  <c r="L53" i="183"/>
  <c r="N53" i="183"/>
  <c r="N50" i="183"/>
  <c r="L50" i="183"/>
  <c r="J50" i="183"/>
  <c r="I50" i="183"/>
  <c r="I48" i="183"/>
  <c r="J48" i="183"/>
  <c r="L48" i="183"/>
  <c r="M48" i="183" s="1"/>
  <c r="N48" i="183"/>
  <c r="O48" i="183" s="1"/>
  <c r="N47" i="183"/>
  <c r="O47" i="183" s="1"/>
  <c r="L47" i="183"/>
  <c r="M47" i="183" s="1"/>
  <c r="J47" i="183"/>
  <c r="K47" i="183" s="1"/>
  <c r="I47" i="183"/>
  <c r="N44" i="183"/>
  <c r="L44" i="183"/>
  <c r="J44" i="183"/>
  <c r="I44" i="183"/>
  <c r="J37" i="183"/>
  <c r="L37" i="183"/>
  <c r="L36" i="183"/>
  <c r="J36" i="183"/>
  <c r="J35" i="183"/>
  <c r="L35" i="183"/>
  <c r="L34" i="183"/>
  <c r="J34" i="183"/>
  <c r="J30" i="183"/>
  <c r="L30" i="183"/>
  <c r="L29" i="183"/>
  <c r="J29" i="183"/>
  <c r="J28" i="183"/>
  <c r="L28" i="183"/>
  <c r="L26" i="183"/>
  <c r="J26" i="183"/>
  <c r="J23" i="183"/>
  <c r="L23" i="183"/>
  <c r="L20" i="183"/>
  <c r="J20" i="183"/>
  <c r="J19" i="183"/>
  <c r="L19" i="183"/>
  <c r="L17" i="183"/>
  <c r="J17" i="183"/>
  <c r="O63" i="183"/>
  <c r="O62" i="183"/>
  <c r="O57" i="183"/>
  <c r="O53" i="183"/>
  <c r="O50" i="183"/>
  <c r="K59" i="183"/>
  <c r="K57" i="183"/>
  <c r="K50" i="183"/>
  <c r="K48" i="183"/>
  <c r="M59" i="183"/>
  <c r="M57" i="183"/>
  <c r="M50" i="183"/>
  <c r="O160" i="183"/>
  <c r="O159" i="183"/>
  <c r="O156" i="183"/>
  <c r="O154" i="183"/>
  <c r="O153" i="183"/>
  <c r="O151" i="183"/>
  <c r="O150" i="183"/>
  <c r="O148" i="183"/>
  <c r="O147" i="183"/>
  <c r="O145" i="183"/>
  <c r="O144" i="183"/>
  <c r="O141" i="183"/>
  <c r="M160" i="183"/>
  <c r="M159" i="183"/>
  <c r="M156" i="183"/>
  <c r="M154" i="183"/>
  <c r="M153" i="183"/>
  <c r="M151" i="183"/>
  <c r="M150" i="183"/>
  <c r="M148" i="183"/>
  <c r="M147" i="183"/>
  <c r="M145" i="183"/>
  <c r="M144" i="183"/>
  <c r="M141" i="183"/>
  <c r="K160" i="183"/>
  <c r="K159" i="183"/>
  <c r="K156" i="183"/>
  <c r="K154" i="183"/>
  <c r="K153" i="183"/>
  <c r="K151" i="183"/>
  <c r="K150" i="183"/>
  <c r="K148" i="183"/>
  <c r="K147" i="183"/>
  <c r="K145" i="183"/>
  <c r="K144" i="183"/>
  <c r="M63" i="183" l="1"/>
  <c r="M56" i="183"/>
  <c r="N108" i="183" l="1"/>
  <c r="N103" i="183"/>
  <c r="N113" i="183" l="1"/>
  <c r="H106" i="183"/>
  <c r="E110" i="183"/>
  <c r="E109" i="183"/>
  <c r="E108" i="183"/>
  <c r="E107" i="183"/>
  <c r="E106" i="183"/>
  <c r="E105" i="183"/>
  <c r="E104" i="183"/>
  <c r="E103" i="183"/>
  <c r="F104" i="183"/>
  <c r="F105" i="183"/>
  <c r="N37" i="183"/>
  <c r="N30" i="183"/>
  <c r="H177" i="183"/>
  <c r="H183" i="183"/>
  <c r="D103" i="183"/>
  <c r="I17" i="183" l="1"/>
  <c r="I19" i="183"/>
  <c r="I20" i="183"/>
  <c r="I23" i="183"/>
  <c r="I26" i="183"/>
  <c r="I28" i="183"/>
  <c r="I29" i="183"/>
  <c r="I30" i="183"/>
  <c r="F103" i="183" l="1"/>
  <c r="I34" i="183" l="1"/>
  <c r="I35" i="183"/>
  <c r="I36" i="183"/>
  <c r="I37" i="183"/>
  <c r="H160" i="183"/>
  <c r="H159" i="183"/>
  <c r="H156" i="183"/>
  <c r="H153" i="183"/>
  <c r="H150" i="183"/>
  <c r="H148" i="183"/>
  <c r="H147" i="183"/>
  <c r="H145" i="183"/>
  <c r="H144" i="183"/>
  <c r="K141" i="183"/>
  <c r="H141" i="183"/>
  <c r="I133" i="183"/>
  <c r="I129" i="183"/>
  <c r="N122" i="183"/>
  <c r="N121" i="183"/>
  <c r="N115" i="183"/>
  <c r="B103" i="183"/>
  <c r="I120" i="183" l="1"/>
  <c r="N120" i="183" s="1"/>
  <c r="N123" i="183" s="1"/>
  <c r="J108" i="183"/>
  <c r="J103" i="183"/>
  <c r="H103" i="183"/>
  <c r="H63" i="183"/>
  <c r="H62" i="183"/>
  <c r="H59" i="183"/>
  <c r="H57" i="183"/>
  <c r="H56" i="183"/>
  <c r="H53" i="183"/>
  <c r="H50" i="183"/>
  <c r="H48" i="183"/>
  <c r="K44" i="183"/>
  <c r="M44" i="183"/>
  <c r="H47" i="183"/>
  <c r="O44" i="183"/>
  <c r="H44" i="183"/>
  <c r="I33" i="183"/>
  <c r="J33" i="183"/>
  <c r="L33" i="183"/>
  <c r="L158" i="183" l="1"/>
  <c r="N146" i="183"/>
  <c r="L146" i="183"/>
  <c r="J146" i="183"/>
  <c r="H158" i="183"/>
  <c r="H143" i="183"/>
  <c r="F108" i="183"/>
  <c r="F107" i="183"/>
  <c r="F106" i="183"/>
  <c r="J105" i="183"/>
  <c r="J104" i="183"/>
  <c r="H146" i="183"/>
  <c r="L49" i="183"/>
  <c r="L16" i="183"/>
  <c r="L15" i="183" s="1"/>
  <c r="J16" i="183"/>
  <c r="J15" i="183" s="1"/>
  <c r="I16" i="183"/>
  <c r="I15" i="183" s="1"/>
  <c r="N133" i="183"/>
  <c r="N97" i="183"/>
  <c r="M97" i="183"/>
  <c r="L97" i="183"/>
  <c r="K97" i="183"/>
  <c r="I97" i="183"/>
  <c r="K134" i="183"/>
  <c r="I152" i="183"/>
  <c r="O185" i="183"/>
  <c r="M185" i="183"/>
  <c r="H110" i="183"/>
  <c r="N110" i="183"/>
  <c r="H109" i="183"/>
  <c r="N109" i="183"/>
  <c r="I123" i="183"/>
  <c r="H152" i="183"/>
  <c r="H181" i="183" s="1"/>
  <c r="L128" i="183"/>
  <c r="N18" i="183"/>
  <c r="N19" i="183"/>
  <c r="O166" i="183"/>
  <c r="N158" i="183"/>
  <c r="N155" i="183"/>
  <c r="N152" i="183"/>
  <c r="N149" i="183"/>
  <c r="N143" i="183"/>
  <c r="N140" i="183"/>
  <c r="L155" i="183"/>
  <c r="L152" i="183"/>
  <c r="L149" i="183"/>
  <c r="L143" i="183"/>
  <c r="L140" i="183"/>
  <c r="J158" i="183"/>
  <c r="J155" i="183"/>
  <c r="J152" i="183"/>
  <c r="J149" i="183"/>
  <c r="J143" i="183"/>
  <c r="J140" i="183"/>
  <c r="I155" i="183"/>
  <c r="I149" i="183"/>
  <c r="I140" i="183"/>
  <c r="H149" i="183"/>
  <c r="H155" i="183"/>
  <c r="H140" i="183"/>
  <c r="J128" i="183"/>
  <c r="J134" i="183" s="1"/>
  <c r="M134" i="183"/>
  <c r="I128" i="183"/>
  <c r="I134" i="183" s="1"/>
  <c r="N129" i="183"/>
  <c r="M123" i="183"/>
  <c r="L123" i="183"/>
  <c r="K123" i="183"/>
  <c r="O88" i="183"/>
  <c r="O172" i="183" s="1"/>
  <c r="O89" i="183"/>
  <c r="O173" i="183"/>
  <c r="A89" i="183"/>
  <c r="A173" i="183"/>
  <c r="A87" i="183"/>
  <c r="A171" i="183" s="1"/>
  <c r="A86" i="183"/>
  <c r="A170" i="183" s="1"/>
  <c r="A85" i="183"/>
  <c r="A169" i="183" s="1"/>
  <c r="A84" i="183"/>
  <c r="A168" i="183"/>
  <c r="A83" i="183"/>
  <c r="A167" i="183"/>
  <c r="J58" i="183"/>
  <c r="J46" i="183"/>
  <c r="I46" i="183"/>
  <c r="N61" i="183"/>
  <c r="L61" i="183"/>
  <c r="J61" i="183"/>
  <c r="H61" i="183"/>
  <c r="N58" i="183"/>
  <c r="L58" i="183"/>
  <c r="L182" i="183"/>
  <c r="I58" i="183"/>
  <c r="H58" i="183"/>
  <c r="N55" i="183"/>
  <c r="L55" i="183"/>
  <c r="J55" i="183"/>
  <c r="I55" i="183"/>
  <c r="H55" i="183"/>
  <c r="N52" i="183"/>
  <c r="L52" i="183"/>
  <c r="J52" i="183"/>
  <c r="I52" i="183"/>
  <c r="H52" i="183"/>
  <c r="N49" i="183"/>
  <c r="J49" i="183"/>
  <c r="I49" i="183"/>
  <c r="H49" i="183"/>
  <c r="N46" i="183"/>
  <c r="L46" i="183"/>
  <c r="H46" i="183"/>
  <c r="N43" i="183"/>
  <c r="L43" i="183"/>
  <c r="J43" i="183"/>
  <c r="I43" i="183"/>
  <c r="H43" i="183"/>
  <c r="N36" i="183"/>
  <c r="N35" i="183"/>
  <c r="N34" i="183"/>
  <c r="N29" i="183"/>
  <c r="N28" i="183"/>
  <c r="N25" i="183"/>
  <c r="N24" i="183"/>
  <c r="N22" i="183"/>
  <c r="N21" i="183"/>
  <c r="N17" i="183"/>
  <c r="M33" i="183"/>
  <c r="M27" i="183"/>
  <c r="L27" i="183"/>
  <c r="K33" i="183"/>
  <c r="K27" i="183"/>
  <c r="J27" i="183"/>
  <c r="I27" i="183"/>
  <c r="M16" i="183"/>
  <c r="M15" i="183" s="1"/>
  <c r="K16" i="183"/>
  <c r="K15" i="183" s="1"/>
  <c r="N26" i="183"/>
  <c r="N107" i="183"/>
  <c r="K185" i="183"/>
  <c r="N23" i="183"/>
  <c r="N20" i="183"/>
  <c r="H105" i="183"/>
  <c r="N182" i="183"/>
  <c r="I143" i="183"/>
  <c r="H108" i="183"/>
  <c r="N105" i="183"/>
  <c r="N106" i="183"/>
  <c r="J106" i="183"/>
  <c r="H107" i="183"/>
  <c r="I158" i="183"/>
  <c r="I146" i="183"/>
  <c r="N104" i="183"/>
  <c r="K158" i="183" l="1"/>
  <c r="M158" i="183"/>
  <c r="O158" i="183"/>
  <c r="O155" i="183"/>
  <c r="K155" i="183"/>
  <c r="M155" i="183"/>
  <c r="K152" i="183"/>
  <c r="M152" i="183"/>
  <c r="O152" i="183"/>
  <c r="O149" i="183"/>
  <c r="M149" i="183"/>
  <c r="K149" i="183"/>
  <c r="O146" i="183"/>
  <c r="M146" i="183"/>
  <c r="K146" i="183"/>
  <c r="K143" i="183"/>
  <c r="O143" i="183"/>
  <c r="M143" i="183"/>
  <c r="O61" i="183"/>
  <c r="M61" i="183"/>
  <c r="K61" i="183"/>
  <c r="K58" i="183"/>
  <c r="M58" i="183"/>
  <c r="O58" i="183"/>
  <c r="O55" i="183"/>
  <c r="M55" i="183"/>
  <c r="K55" i="183"/>
  <c r="M52" i="183"/>
  <c r="K52" i="183"/>
  <c r="O52" i="183"/>
  <c r="M49" i="183"/>
  <c r="K49" i="183"/>
  <c r="O49" i="183"/>
  <c r="M46" i="183"/>
  <c r="K46" i="183"/>
  <c r="O46" i="183"/>
  <c r="J177" i="183"/>
  <c r="J182" i="183"/>
  <c r="L177" i="183"/>
  <c r="N177" i="183"/>
  <c r="O140" i="183"/>
  <c r="K140" i="183"/>
  <c r="K128" i="183" s="1"/>
  <c r="M140" i="183"/>
  <c r="M128" i="183" s="1"/>
  <c r="K43" i="183"/>
  <c r="M43" i="183"/>
  <c r="O43" i="183"/>
  <c r="M38" i="183"/>
  <c r="H180" i="183"/>
  <c r="I177" i="183"/>
  <c r="H161" i="183"/>
  <c r="H178" i="183"/>
  <c r="J180" i="183"/>
  <c r="H182" i="183"/>
  <c r="H179" i="183"/>
  <c r="I182" i="183"/>
  <c r="K182" i="183" s="1"/>
  <c r="H104" i="183"/>
  <c r="J107" i="183"/>
  <c r="I183" i="183"/>
  <c r="H64" i="183"/>
  <c r="I38" i="183"/>
  <c r="L180" i="183"/>
  <c r="J181" i="183"/>
  <c r="N180" i="183"/>
  <c r="L64" i="183"/>
  <c r="L67" i="183" s="1"/>
  <c r="L71" i="183" s="1"/>
  <c r="N178" i="183"/>
  <c r="N183" i="183"/>
  <c r="I181" i="183"/>
  <c r="N128" i="183"/>
  <c r="L183" i="183"/>
  <c r="J183" i="183"/>
  <c r="I179" i="183"/>
  <c r="K38" i="183"/>
  <c r="N27" i="183"/>
  <c r="N181" i="183"/>
  <c r="N161" i="183"/>
  <c r="N179" i="183"/>
  <c r="L181" i="183"/>
  <c r="L161" i="183"/>
  <c r="L179" i="183"/>
  <c r="L178" i="183"/>
  <c r="J161" i="183"/>
  <c r="J179" i="183"/>
  <c r="I161" i="183"/>
  <c r="L134" i="183"/>
  <c r="N134" i="183" s="1"/>
  <c r="N64" i="183"/>
  <c r="N67" i="183" s="1"/>
  <c r="N71" i="183" s="1"/>
  <c r="J64" i="183"/>
  <c r="J178" i="183"/>
  <c r="I180" i="183"/>
  <c r="I64" i="183"/>
  <c r="I178" i="183"/>
  <c r="N33" i="183"/>
  <c r="L38" i="183"/>
  <c r="N16" i="183"/>
  <c r="N15" i="183"/>
  <c r="J38" i="183"/>
  <c r="K161" i="183" l="1"/>
  <c r="L76" i="183"/>
  <c r="O64" i="183"/>
  <c r="M64" i="183"/>
  <c r="J67" i="183"/>
  <c r="J71" i="183" s="1"/>
  <c r="J76" i="183" s="1"/>
  <c r="K64" i="183"/>
  <c r="M178" i="183"/>
  <c r="K177" i="183"/>
  <c r="O177" i="183"/>
  <c r="M177" i="183"/>
  <c r="J72" i="183"/>
  <c r="K181" i="183"/>
  <c r="O181" i="183"/>
  <c r="H184" i="183"/>
  <c r="H186" i="183" s="1"/>
  <c r="O182" i="183"/>
  <c r="M182" i="183"/>
  <c r="O183" i="183"/>
  <c r="M183" i="183"/>
  <c r="K183" i="183"/>
  <c r="M181" i="183"/>
  <c r="L184" i="183"/>
  <c r="N184" i="183"/>
  <c r="M161" i="183"/>
  <c r="J184" i="183"/>
  <c r="O161" i="183"/>
  <c r="K180" i="183"/>
  <c r="O180" i="183"/>
  <c r="M180" i="183"/>
  <c r="K179" i="183"/>
  <c r="M179" i="183"/>
  <c r="O179" i="183"/>
  <c r="O178" i="183"/>
  <c r="K178" i="183"/>
  <c r="I184" i="183"/>
  <c r="N38" i="183"/>
  <c r="J74" i="183" l="1"/>
  <c r="L74" i="183"/>
  <c r="J75" i="183" s="1"/>
  <c r="N74" i="183"/>
  <c r="N186" i="183"/>
  <c r="L186" i="183"/>
  <c r="J186" i="183"/>
  <c r="M184" i="183"/>
  <c r="K184" i="183"/>
  <c r="I186" i="183"/>
  <c r="O184" i="183"/>
  <c r="K186" i="183" l="1"/>
  <c r="M186" i="183"/>
  <c r="O186" i="18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Renato Ferreira Costa</author>
  </authors>
  <commentList>
    <comment ref="A93" authorId="0" shapeId="0" xr:uid="{09AA8276-8762-4C19-9A4A-F3969C90AFD7}">
      <text>
        <r>
          <rPr>
            <b/>
            <sz val="13"/>
            <color indexed="81"/>
            <rFont val="Tahoma"/>
            <family val="2"/>
          </rPr>
          <t>Renato Ferreira Costa:</t>
        </r>
        <r>
          <rPr>
            <sz val="13"/>
            <color indexed="81"/>
            <rFont val="Tahoma"/>
            <family val="2"/>
          </rPr>
          <t xml:space="preserve">
 (saldo final = XXd)</t>
        </r>
      </text>
    </comment>
    <comment ref="A185" authorId="0" shapeId="0" xr:uid="{3C60C27A-13E6-49A2-BB7C-53781500DF8D}">
      <text>
        <r>
          <rPr>
            <b/>
            <sz val="11"/>
            <color indexed="81"/>
            <rFont val="Tahoma"/>
            <family val="2"/>
          </rPr>
          <t>Renato Ferreira Costa:</t>
        </r>
        <r>
          <rPr>
            <sz val="11"/>
            <color indexed="81"/>
            <rFont val="Tahoma"/>
            <family val="2"/>
          </rPr>
          <t xml:space="preserve">
FR's 198, 212 e 225</t>
        </r>
      </text>
    </comment>
  </commentList>
</comments>
</file>

<file path=xl/sharedStrings.xml><?xml version="1.0" encoding="utf-8"?>
<sst xmlns="http://schemas.openxmlformats.org/spreadsheetml/2006/main" count="456" uniqueCount="301">
  <si>
    <t>Tabela 1 - Balanço Orçamentário</t>
  </si>
  <si>
    <t>&lt;ENTE DA FEDERAÇÃO&gt;</t>
  </si>
  <si>
    <t>RELATÓRIO RESUMIDO DA EXECUÇÃO ORÇAMENTÁRIA</t>
  </si>
  <si>
    <t>BALANÇO ORÇAMENTÁRIO</t>
  </si>
  <si>
    <t>ORÇAMENTOS FISCAL E DA SEGURIDADE SOCIAL</t>
  </si>
  <si>
    <t>&lt;PERÍODO DE REFERÊNCIA PADRÃO&gt;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</si>
  <si>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</si>
  <si>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</si>
  <si>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</si>
  <si>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</si>
  <si>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</si>
  <si>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</si>
  <si>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</si>
  <si>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</si>
  <si>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</si>
  <si>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</si>
  <si>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</si>
  <si>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</si>
  <si>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</si>
  <si>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</si>
  <si>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</si>
  <si>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</si>
  <si>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(...)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</si>
  <si>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</si>
  <si>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</si>
  <si>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</si>
  <si>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</si>
  <si>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</si>
  <si>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</si>
  <si>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TOTAL DAS RECEITAS (V) = (III + IV)</t>
  </si>
  <si>
    <t>(A)</t>
  </si>
  <si>
    <r>
      <t>DÉFICIT (VI)</t>
    </r>
    <r>
      <rPr>
        <vertAlign val="superscript"/>
        <sz val="10"/>
        <rFont val="Times New Roman"/>
        <family val="1"/>
      </rPr>
      <t>1</t>
    </r>
  </si>
  <si>
    <t>(B)</t>
  </si>
  <si>
    <t>TOTAL COM DÉFICIT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</si>
  <si>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</si>
  <si>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</si>
  <si>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</si>
  <si>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>DOTAÇÃO</t>
  </si>
  <si>
    <t>DESPESAS EMPENHADAS</t>
  </si>
  <si>
    <t>DESPESAS LIQUIDADAS</t>
  </si>
  <si>
    <t>DESPESAS PAGAS ATÉ O BIMESTRE</t>
  </si>
  <si>
    <r>
      <t>INSCRITAS EM RESTOS A PAGAR NÃO PROCESSADOS</t>
    </r>
    <r>
      <rPr>
        <b/>
        <vertAlign val="superscript"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(k) </t>
    </r>
  </si>
  <si>
    <t>DESPESAS</t>
  </si>
  <si>
    <t>INICIAL</t>
  </si>
  <si>
    <t>ATUALIZADA</t>
  </si>
  <si>
    <t xml:space="preserve">No </t>
  </si>
  <si>
    <t xml:space="preserve">Até o </t>
  </si>
  <si>
    <t>Bimestre</t>
  </si>
  <si>
    <t>(d)</t>
  </si>
  <si>
    <t>(e)</t>
  </si>
  <si>
    <t>(f)</t>
  </si>
  <si>
    <t xml:space="preserve">(g) = (e-f) </t>
  </si>
  <si>
    <t>(h)</t>
  </si>
  <si>
    <t>(i) = (e-h)</t>
  </si>
  <si>
    <t>(j)</t>
  </si>
  <si>
    <t>TOTAL DAS DESPESAS (XII) = (X + XI)</t>
  </si>
  <si>
    <t>(C)</t>
  </si>
  <si>
    <t>(E)</t>
  </si>
  <si>
    <t>(G)</t>
  </si>
  <si>
    <t>SUPERÁVIT (XIII)</t>
  </si>
  <si>
    <t>(D)</t>
  </si>
  <si>
    <t>(F)</t>
  </si>
  <si>
    <t>(H)</t>
  </si>
  <si>
    <t>TOTAL COM SUPERÁVIT (XIV) = (XII + XIII)</t>
  </si>
  <si>
    <t>RESERVA DO RPPS</t>
  </si>
  <si>
    <t>FONTE: Sistema &lt;sistema&gt;, Unidade Responsável: &lt;Unidade Responsável&gt;. Emissão: &lt;dd/mm/aaaa&gt;, às &lt;hh:mm:ss&gt;. Assinado Digitalmente no dia &lt;dd/mm/aaaa&gt;, às &lt;hh:mm:ss&gt;.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</si>
  <si>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</si>
  <si>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</si>
  <si>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NOTA:</t>
  </si>
  <si>
    <t>RECEITAS INTRA-ORÇAMENTÁRIAS</t>
  </si>
  <si>
    <t>RECEITAS (INTRA-ORÇAMENTÁRIAS) (II)</t>
  </si>
  <si>
    <t xml:space="preserve">    RECEITAS CORRENTES</t>
  </si>
  <si>
    <t xml:space="preserve"> 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</si>
  <si>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</si>
  <si>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</si>
  <si>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</si>
  <si>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</si>
  <si>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</si>
  <si>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</si>
  <si>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</si>
  <si>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</si>
  <si>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</si>
  <si>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</si>
  <si>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</si>
  <si>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</si>
  <si>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</si>
  <si>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</si>
  <si>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</si>
  <si>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</si>
  <si>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</si>
  <si>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</si>
  <si>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</si>
  <si>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</si>
  <si>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</si>
  <si>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</si>
  <si>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</si>
  <si>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</si>
  <si>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</si>
  <si>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</si>
  <si>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</si>
  <si>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</si>
  <si>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</si>
  <si>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</si>
  <si>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</si>
  <si>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</si>
  <si>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</si>
  <si>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</si>
  <si>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</si>
  <si>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</si>
  <si>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</si>
  <si>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</si>
  <si>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</si>
  <si>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</si>
  <si>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</si>
  <si>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</si>
  <si>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</si>
  <si>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</si>
  <si>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</si>
  <si>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</si>
  <si>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</si>
  <si>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</si>
  <si>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</si>
  <si>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</si>
  <si>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</si>
  <si>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</si>
  <si>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</si>
  <si>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</si>
  <si>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</si>
  <si>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</si>
  <si>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</si>
  <si>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 
Bimestre</t>
  </si>
  <si>
    <t>DESPESAS (INTRA-ORÇAMENTÁRIAS) (IX)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</si>
  <si>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</si>
  <si>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</si>
  <si>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</si>
  <si>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</si>
  <si>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</si>
  <si>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</si>
  <si>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</si>
  <si>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</si>
  <si>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CONTIGÊNCIA</t>
  </si>
  <si>
    <t>GOVERNO DO ESTADO DO RIO DE JANEIRO</t>
  </si>
  <si>
    <t xml:space="preserve">DEMONSTRATIVO DAS RECEITAS E DESPESAS COM AÇÕES E SERVIÇOS PÚBLICOS DE SAÚDE </t>
  </si>
  <si>
    <t>RREO – ANEXO 12  (LC n° 141/2012 art.35)</t>
  </si>
  <si>
    <t>RECEITAS RESULTANTES DE IMPOSTOS E TRANSFERÊNCIAS CONSTITUCIONAIS E LEGAIS</t>
  </si>
  <si>
    <t>PREVISÃO</t>
  </si>
  <si>
    <t xml:space="preserve">  (b/a) x 100 </t>
  </si>
  <si>
    <t>RECEITA DE IMPOSTOS  (I)</t>
  </si>
  <si>
    <t xml:space="preserve">    Receita Resultante do Imposto sobre a Circulação de Mercadorias e Serviços de Transporte Interestadual e Intermunicipal e de Comunicação – ICMS</t>
  </si>
  <si>
    <t xml:space="preserve">        ICMS  - Principal e Encargos (Multas, Juros de Mora, Divida Ativa e Outros Encargos do ICMS)</t>
  </si>
  <si>
    <t xml:space="preserve">        Multas, Juros de Mora, Divida Ativa e Outros Encargos do ICMS</t>
  </si>
  <si>
    <t xml:space="preserve">        Adicional de até 2% do ICMS destinado ao Fundo de Combate à Pobreza (ADCT, art. 82, §1º)</t>
  </si>
  <si>
    <t xml:space="preserve">    Receita Resultante do Imposto de Transmissão Causa Mortis e Doação de Bens e Direitos – ITCD</t>
  </si>
  <si>
    <t xml:space="preserve">        ITCD</t>
  </si>
  <si>
    <t xml:space="preserve">        Multas, Juros de Mora, Dívida Ativa e Outros Encargos do ITCD</t>
  </si>
  <si>
    <t xml:space="preserve">    Receita Resultante do Imposto sobre a Propriedade de Veículos Automotores – IPVA</t>
  </si>
  <si>
    <t xml:space="preserve">        IPVA</t>
  </si>
  <si>
    <t xml:space="preserve">        Multas, Juros de Mora, Dívida Ativa e Outros Encargos do IPVA</t>
  </si>
  <si>
    <t xml:space="preserve">    Receita Resultante do Imposto sobre a Renda e Proventos de Qualquer Natureza Retido na Fonte – IRRF</t>
  </si>
  <si>
    <t>RECEITA DE TRANSFERÊNCIAS CONSTITUCIONAIS E LEGAIS (II)</t>
  </si>
  <si>
    <t xml:space="preserve">    Cota-Parte FPE </t>
  </si>
  <si>
    <t xml:space="preserve">    Cota-Parte IPI-Exportação </t>
  </si>
  <si>
    <t xml:space="preserve">     Outras Transferências ou Compensações Financeiras Provenientes de Impostos e Transferências Constitucionais</t>
  </si>
  <si>
    <t xml:space="preserve">        ICMS-Desoneração - L.C. nº 87/1996 </t>
  </si>
  <si>
    <t xml:space="preserve">        Outras</t>
  </si>
  <si>
    <t>DEDUÇÕES DE TRANSFERÊNCIAS CONSTITUCIONAIS AOS MUNICÍPIOS (III)</t>
  </si>
  <si>
    <t xml:space="preserve">    PARCELA DO ICMS REPASSADA AOS MUNICÍPIOS (25%)</t>
  </si>
  <si>
    <t xml:space="preserve">    PARCELA DO IPVA REPASSADA AOS MUNICÍPIOS (50%)</t>
  </si>
  <si>
    <t xml:space="preserve">    PARCELA DA COTA-PARTE DO IPI-EXPORTAÇÃO REPASSADA AOS MUNICÍPIOS (25%)</t>
  </si>
  <si>
    <t xml:space="preserve">    PARCELA DA COTA-PARTE DA EC nº 123 E LC 194 REPASSADA AOS MUNICÍPIOS (25%)</t>
  </si>
  <si>
    <t>TOTAL DAS RECEITAS RESULTANTES DE IMPOSTOS E TRANFERÊNCIAS CONSTITUCIONAIS E LEGAIS - (IV) = (I) + (II) - (III)</t>
  </si>
  <si>
    <t xml:space="preserve">DESPESAS COM AÇÕES E SERVIÇOS PÚBLICOS DE SAÚDE (ASPS) –  POR SUBFUNÇÃO E CATEGORIA ECONÔMICA </t>
  </si>
  <si>
    <t xml:space="preserve">DOTAÇÃO </t>
  </si>
  <si>
    <t xml:space="preserve">DOTAÇÃO    </t>
  </si>
  <si>
    <t>DESPESAS PAGAS</t>
  </si>
  <si>
    <t xml:space="preserve">Até o bimestre </t>
  </si>
  <si>
    <t xml:space="preserve">% </t>
  </si>
  <si>
    <t>Até o bimestre</t>
  </si>
  <si>
    <t>(d/c) x 100</t>
  </si>
  <si>
    <t>(e/c) x 100</t>
  </si>
  <si>
    <t>(f/c) x 100</t>
  </si>
  <si>
    <t>ATENÇÃO BÁSICA  (V)</t>
  </si>
  <si>
    <t xml:space="preserve">     Despesas Correntes </t>
  </si>
  <si>
    <t xml:space="preserve">     Despesas de Capital</t>
  </si>
  <si>
    <t>ASSISTÊNCIA HOSPITALAR E AMBULATORIAL  (VI)</t>
  </si>
  <si>
    <t xml:space="preserve">     Despesas de Capital </t>
  </si>
  <si>
    <t>SUPORTE PROFILÁTICO E TERAPÊUTICO  (VII)</t>
  </si>
  <si>
    <t>VIGILÂNCIA SANITÁRIA  (VIII)</t>
  </si>
  <si>
    <t>VIGILÂNCIA EPIDEMIOLÓGICA  (IX)</t>
  </si>
  <si>
    <t>ALIMENTAÇÃO E NUTRIÇÃO  (X)</t>
  </si>
  <si>
    <t>OUTRAS SUBFUNÇÕES (XI)</t>
  </si>
  <si>
    <t>TOTAL (XII) = (V + VI + VII + VIII + IX + X + XI)</t>
  </si>
  <si>
    <t>APURAÇÃO DO CUMPRIMENTO DO LIMITE MÍNIMO PARA APLICAÇÃO EM ASPS</t>
  </si>
  <si>
    <t>Total das Despesas com ASPS (XIII) = (XII)</t>
  </si>
  <si>
    <t>(-) Restos a Pagar Não Processados Inscritos Indevidamente no Exercício sem Disponibilidade Financeira (XIV)</t>
  </si>
  <si>
    <t>(-) Despesas Custeadas com Recursos Vinculados à Parcela do Percentual Mínimo que não foi Aplicada em ASPS em Exercícios Anteriores (XV)</t>
  </si>
  <si>
    <t>(-) Despesas Custeadas com Disponibilidade de Caixa Vinculada aos Restos a Pagar Cancelados (XVI)</t>
  </si>
  <si>
    <t>(=) VALOR APLICADO EM ASPS (XVII) = (XIII - XIV - XV - XVI)</t>
  </si>
  <si>
    <t>Despesa Mínima a ser Aplicada em ASPS (XVIII) = (IV) x 12% (LC 141/2012)</t>
  </si>
  <si>
    <t>Despesa Mínima a ser Aplicada em ASPS (XVIII) = (IV) x % (Constituição Estadual)</t>
  </si>
  <si>
    <r>
      <t>Diferença entre o Valor Aplicado e a Despesa Mínima a ser Aplicada (XIX) = (XVII (d ou e) - XVIII)</t>
    </r>
    <r>
      <rPr>
        <vertAlign val="superscript"/>
        <sz val="13"/>
        <rFont val="Times New Roman"/>
        <family val="1"/>
      </rPr>
      <t>1</t>
    </r>
  </si>
  <si>
    <t>Limite não Cumprido (XX) = (XIX) (Quando valor for inferior a zero)</t>
  </si>
  <si>
    <t>PERCENTUAL DA RECEITA DE IMPOSTOS E TRANSFERÊNCIAS CONSTITUCIONAIS E LEGAIS APLICADO EM ASPS  (XVII / IV)*100 (mínimo de 12% conforme LC n° 141/2012 ou % da Constituição Estadual)</t>
  </si>
  <si>
    <t>Continua (1/3)</t>
  </si>
  <si>
    <t xml:space="preserve">Continuação </t>
  </si>
  <si>
    <t>CONTROLE DO VALOR REFERENTE AO PERCENTUAL MÍNIMO NÃO CUMPRIDO EM EXERCÍCIOS ANTERIORES PARA FINS DE APLICAÇÃO DOS RECURSOS VINCULADOS CONFORME ARTIGOS 25 E 26 DA LC 141/2012</t>
  </si>
  <si>
    <t>LIMITE NÃO CUMPRIDO</t>
  </si>
  <si>
    <t>Saldo Inicial (no exercicio atual)</t>
  </si>
  <si>
    <t xml:space="preserve">Despesas Custeadas no Exercício de Referência </t>
  </si>
  <si>
    <r>
      <t>Saldo Final (não aplicado)</t>
    </r>
    <r>
      <rPr>
        <b/>
        <vertAlign val="superscript"/>
        <sz val="13"/>
        <rFont val="Times New Roman"/>
        <family val="1"/>
      </rPr>
      <t>1</t>
    </r>
  </si>
  <si>
    <t xml:space="preserve">Empenhadas                                                  (i) </t>
  </si>
  <si>
    <t>Liquidadas                                                            (j)</t>
  </si>
  <si>
    <t>Pagas                   (k)</t>
  </si>
  <si>
    <t>(l) = (h - (i ou j))</t>
  </si>
  <si>
    <t>Diferença de limite não cumprido em 2021</t>
  </si>
  <si>
    <t>Diferença de limite não cumprido em 2023</t>
  </si>
  <si>
    <t xml:space="preserve">Diferença de limite não cumprido em Exercícios Anteriores </t>
  </si>
  <si>
    <t>TOTAL DA DIFERENÇA DE LIMITE NÃO CUMPRIDO EM EXERCÍCIOS ANTERIORES (XXI)</t>
  </si>
  <si>
    <t>EXECUÇÃO DE RESTOS A PAGAR</t>
  </si>
  <si>
    <r>
      <t>EXERCÍCIO DO EMPENHO</t>
    </r>
    <r>
      <rPr>
        <b/>
        <u/>
        <vertAlign val="superscript"/>
        <sz val="13"/>
        <rFont val="Times New Roman"/>
        <family val="1"/>
      </rPr>
      <t>2</t>
    </r>
  </si>
  <si>
    <t xml:space="preserve"> Valor Mínimo para aplicação em ASPS                                                 (m)</t>
  </si>
  <si>
    <t xml:space="preserve"> Valor aplicado em ASPS no exercício                                                  (n)</t>
  </si>
  <si>
    <t>Valor aplicado além do limite mínimo                                                         (o) = (n - m),          se &lt; 0,              então (o) = 0</t>
  </si>
  <si>
    <t>Total inscrito em RP no exercício            (p)</t>
  </si>
  <si>
    <t>RPNP Inscritos Indevidamente no Exercício sem Disponibilidade Financeira         q = (XIVd)</t>
  </si>
  <si>
    <t>Valor inscrito em RP considerado no Limite                                                (r) = (p - (o + q))                        se &lt; 0, então (r) = (0)</t>
  </si>
  <si>
    <t>Total de RP pagos                (s)</t>
  </si>
  <si>
    <t>Total de RP a pagar                                                              (t)</t>
  </si>
  <si>
    <t>Total de RP cancelados ou prescritos                                                                                  (u)</t>
  </si>
  <si>
    <t>Diferença entre o valor aplicado além do limite e o total de RP cancelados                                                       (v) = ((o + q) - u))</t>
  </si>
  <si>
    <t>Empenhos de 2023 (regra nova)</t>
  </si>
  <si>
    <t>Empenhos de 2022 (regra nova)</t>
  </si>
  <si>
    <t>Empenhos de 2021 (regra nova)</t>
  </si>
  <si>
    <t>Empenhos de 2020 (regra nova)</t>
  </si>
  <si>
    <t>Empenhos de 2019 (regra nova)</t>
  </si>
  <si>
    <t>Empenhos de 2018</t>
  </si>
  <si>
    <t>Empenhos de 2017</t>
  </si>
  <si>
    <t>Empenhos de 2016 e anteriores</t>
  </si>
  <si>
    <t xml:space="preserve">TOTAL DOS RESTOS A PAGAR CANCELADOS OU PRESCRITOS ATÉ O FINAL DO EXERCÍCIO ATUAL QUE AFETARAM O CUMPRIMENTO DO LIMITE (XXII) </t>
  </si>
  <si>
    <t xml:space="preserve">TOTAL DOS RESTOS A PAGAR CANCELADOS OU PRESCRITOS ATÉ O FINAL DO EXERCÍCIO ANTERIOR QUE AFETARAM O CUMPRIMENTO DO LIMITE (XXIII) </t>
  </si>
  <si>
    <t>TOTAL DOS RESTOS A PAGAR CANCELADOS OU PRESCRITOS NO EXERCÍCIO ATUAL QUE AFETARAM O CUMPRIMENTO DO LIMITE (XXIV) = (XXII - XXIII)</t>
  </si>
  <si>
    <t>CONTROLE DE RESTOS A PAGAR CANCELADOS OU PRESCRITOS CONSIDERADOS PARA FINS DE APLICAÇÃO DA DISPONIBILIDADE DE CAIXA CONFORME ARTIGO 24§ 1º e 2º DA LC 141/2012</t>
  </si>
  <si>
    <t>RESTOS A PAGAR CANCELADOS OU PRESCRITOS</t>
  </si>
  <si>
    <t>Saldo Inicial</t>
  </si>
  <si>
    <r>
      <t>Saldo Final (não aplicado)</t>
    </r>
    <r>
      <rPr>
        <b/>
        <vertAlign val="superscript"/>
        <sz val="13"/>
        <rFont val="Times New Roman"/>
        <family val="1"/>
      </rPr>
      <t>1</t>
    </r>
    <r>
      <rPr>
        <b/>
        <sz val="13"/>
        <rFont val="Times New Roman"/>
        <family val="1"/>
      </rPr>
      <t xml:space="preserve">           (aa) = (w - (x ou y))</t>
    </r>
  </si>
  <si>
    <t>(w)</t>
  </si>
  <si>
    <t xml:space="preserve">Empenhadas                                           (x)              </t>
  </si>
  <si>
    <t>Liquidadas                    (y)</t>
  </si>
  <si>
    <t>Pagas                    (z)</t>
  </si>
  <si>
    <t xml:space="preserve"> Restos a pagar cancelados ou prescritos em exercícios anteriores a serem compensados (XXVII) </t>
  </si>
  <si>
    <t>TOTAL DE RESTOS A PAGAR CANCELADOS OU PRESCRITOS A COMPENSAR (XXVIII)</t>
  </si>
  <si>
    <t>RECEITAS ADICIONAIS PARA O FINANCIAMENTO DA SAÚDE NÃO COMPUTADAS NO CÁLCULO DO MÍNIMO</t>
  </si>
  <si>
    <t>RECEITAS DE TRANSFERÊNCIAS PARA A SAÚDE  (XXIX)</t>
  </si>
  <si>
    <t xml:space="preserve">     Proveniente da União</t>
  </si>
  <si>
    <t xml:space="preserve">     Proveniente dos Estados </t>
  </si>
  <si>
    <t xml:space="preserve">     Proveniente dos Municípios </t>
  </si>
  <si>
    <t>RECEITA DE OPERAÇÕES DE CRÉDITO INTERNAS E EXTERNAS VINCULADAS A SAÚDE (XXX)</t>
  </si>
  <si>
    <t>OUTRAS RECEITAS (XXXI)</t>
  </si>
  <si>
    <t>TOTAL DE RECEITAS ADICIONAIS PARA FINANCIAMENTO DA SAÚDE (XXXII) = (XXIX + XXX + XXXI)</t>
  </si>
  <si>
    <t>DESPESAS COM SAÚDE NÃO COMPUTADAS NO CÁLCULO DO MÍNIMO</t>
  </si>
  <si>
    <t>DESPESAS COM SAUDE POR SUBFUNÇÕES E CATEGORIA ECONÔMICA NÃO COMPUTADAS NO CÁLCULO DO MÍNIMO</t>
  </si>
  <si>
    <t>ATENÇÃO BÁSICA (XXXIII)</t>
  </si>
  <si>
    <t>ASSISTÊNCIA HOSPITALAR E AMBULATORIAL  (XXXIV)</t>
  </si>
  <si>
    <t>SUPORTE PROFILÁTICO E TERAPÊUTICO (XXXV)</t>
  </si>
  <si>
    <t>VIGILÂNCIA SANITÁRIA (XXXVI)</t>
  </si>
  <si>
    <t>VIGILÂNCIA EPIDEMIOLÓGICA (XXXVII)</t>
  </si>
  <si>
    <t>ALIMENTAÇÃO E NUTRIÇÃO (XXXVIII)</t>
  </si>
  <si>
    <t>OUTRAS SUBFUNÇÕES (XXXIX)</t>
  </si>
  <si>
    <t>TOTAL DAS DESPESAS NÃO COMPUTADAS NO CÁLCULO DO MÍNIMO  (XL) = ( XXXIII + XXXIV + XXXV + XXXVI + XXXVII + XXXVIII + XXXIX)</t>
  </si>
  <si>
    <t>Continua (2/3)</t>
  </si>
  <si>
    <t xml:space="preserve">DESPESAS TOTAIS COM SAÚDE </t>
  </si>
  <si>
    <t>ATENÇÃO BÁSICA (XLI) = (V + XXXIII)</t>
  </si>
  <si>
    <t>ASSISTÊNCIA HOSPITALAR E AMBULATORIAL (XLII) = (VI + XXXIV)</t>
  </si>
  <si>
    <t>SUPORTE PROFILÁTICO E TERAPÊUTICO (XLIII) = (VII + XXXV)</t>
  </si>
  <si>
    <t>VIGILÂNCIA SANITÁRIA (XLIV) = (VIII + XXXVI)</t>
  </si>
  <si>
    <t>VIGILÂNCIA EPIDEMIOLÓGICA (XLV) = (XIX + XXXVII)</t>
  </si>
  <si>
    <t>ALIMENTAÇÃO E NUTRIÇÃO  (XLVI) = (X + XXXVIII)</t>
  </si>
  <si>
    <t>OUTRAS SUBFUNÇÕES (XLVII) = (XI + XXXIX)</t>
  </si>
  <si>
    <t>TOTAL DAS DESPESAS COM SAÚDE (XLVIII) = (XII +XL)</t>
  </si>
  <si>
    <r>
      <t>(-) Despesas executadas com recursos provenientes das transferências de recursos de outros entes</t>
    </r>
    <r>
      <rPr>
        <b/>
        <vertAlign val="superscript"/>
        <sz val="13"/>
        <rFont val="Times New Roman"/>
        <family val="1"/>
      </rPr>
      <t>3</t>
    </r>
  </si>
  <si>
    <t>TOTAL DAS DESPESAS EXECUTADAS COM RECURSOS PRÓPRIOS (XLIX)</t>
  </si>
  <si>
    <t>FONTE: Siafe-Rio - Secretaria de Estado de Fazenda.</t>
  </si>
  <si>
    <t>(3/3)</t>
  </si>
  <si>
    <t>Notas:</t>
  </si>
  <si>
    <r>
      <rPr>
        <vertAlign val="superscript"/>
        <sz val="13"/>
        <rFont val="Times New Roman"/>
        <family val="1"/>
      </rPr>
      <t>1</t>
    </r>
    <r>
      <rPr>
        <sz val="13"/>
        <rFont val="Times New Roman"/>
        <family val="1"/>
      </rPr>
      <t>Nos cinco primeiros bimestres do exercício, o acompanhamento será feito com base na despesa liquidada. No último bimestre do exercício, o valor deverá corresponder ao total da despesa empenhada.</t>
    </r>
  </si>
  <si>
    <r>
      <rPr>
        <vertAlign val="superscript"/>
        <sz val="13"/>
        <rFont val="Times New Roman"/>
        <family val="1"/>
      </rPr>
      <t>2</t>
    </r>
    <r>
      <rPr>
        <sz val="13"/>
        <rFont val="Times New Roman"/>
        <family val="1"/>
      </rPr>
      <t>Até o exercício de 2018, o controle da execução dos restos a pagar considerava apenas os valores dos restos a pagar não processados (regra antiga). A partir do exercício de 2019, o controle da execução dos restos a pagar considera os restos a pagar processados e não processados (regra nova).</t>
    </r>
  </si>
  <si>
    <t xml:space="preserve"> Renato Ferreira Costa</t>
  </si>
  <si>
    <t xml:space="preserve"> 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</si>
  <si>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</si>
  <si>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</si>
  <si>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</si>
  <si>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</si>
  <si>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</si>
  <si>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</si>
  <si>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</si>
  <si>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>Empenhos de 2024 (regra nova)</t>
  </si>
  <si>
    <t>Diferença de limite não cumprido em 2024</t>
  </si>
  <si>
    <r>
      <t xml:space="preserve"> </t>
    </r>
    <r>
      <rPr>
        <sz val="13"/>
        <rFont val="Times New Roman"/>
        <family val="1"/>
      </rPr>
      <t>Restos a pagar cancelados ou prescritos em 2024 a serem compensados (XXVI)</t>
    </r>
    <r>
      <rPr>
        <sz val="13"/>
        <color indexed="60"/>
        <rFont val="Times New Roman"/>
        <family val="1"/>
      </rPr>
      <t xml:space="preserve"> </t>
    </r>
  </si>
  <si>
    <r>
      <t xml:space="preserve"> </t>
    </r>
    <r>
      <rPr>
        <sz val="13"/>
        <rFont val="Times New Roman"/>
        <family val="1"/>
      </rPr>
      <t>Restos a pagar cancelados ou prescritos em 2025 a serem compensados (XXV)</t>
    </r>
    <r>
      <rPr>
        <sz val="13"/>
        <color indexed="17"/>
        <rFont val="Times New Roman"/>
        <family val="1"/>
      </rPr>
      <t xml:space="preserve"> </t>
    </r>
  </si>
  <si>
    <t>JANEIRO A OUTUBRO 2025/BIMESTRE SETEMBRO - OUTUBRO</t>
  </si>
  <si>
    <t xml:space="preserve"> Emissão: 19/11/2025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</si>
</sst>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#,##0.0_);\(#,##0.0\)"/>
    <numFmt numFmtId="167" formatCode="#,##0.00_ ;\-#,##0.00\ "/>
    <numFmt numFmtId="168" formatCode="_-* #,##0_-;\-* #,##0_-;_-* &quot;-&quot;??_-;_-@_-"/>
    <numFmt numFmtId="169" formatCode="#,##0_ ;\-#,##0\ "/>
  </numFmts>
  <fonts count="36" x14ac:knownFonts="1"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sz val="13"/>
      <name val="Arial"/>
      <family val="2"/>
    </font>
    <font>
      <vertAlign val="superscript"/>
      <sz val="13"/>
      <name val="Times New Roman"/>
      <family val="1"/>
    </font>
    <font>
      <b/>
      <sz val="13"/>
      <name val="Arial"/>
      <family val="2"/>
    </font>
    <font>
      <b/>
      <vertAlign val="superscript"/>
      <sz val="13"/>
      <name val="Times New Roman"/>
      <family val="1"/>
    </font>
    <font>
      <sz val="13"/>
      <color indexed="60"/>
      <name val="Times New Roman"/>
      <family val="1"/>
    </font>
    <font>
      <sz val="13"/>
      <color indexed="17"/>
      <name val="Times New Roman"/>
      <family val="1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b/>
      <u/>
      <vertAlign val="superscript"/>
      <sz val="13"/>
      <name val="Times New Roman"/>
      <family val="1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1"/>
      <color theme="1"/>
      <name val="Calibri"/>
      <family val="2"/>
      <scheme val="minor"/>
    </font>
    <font>
      <b/>
      <strike/>
      <sz val="10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rgb="FF636363"/>
      <name val="Times New Roman"/>
      <family val="1"/>
    </font>
    <font>
      <sz val="13"/>
      <color rgb="FF00B050"/>
      <name val="Times New Roman"/>
      <family val="1"/>
    </font>
    <font>
      <b/>
      <sz val="35"/>
      <name val="Times New Roman"/>
      <family val="1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 tint="-0.14996795556505021"/>
      </patternFill>
    </fill>
    <fill>
      <patternFill patternType="lightUp">
        <bgColor theme="0" tint="-0.14999847407452621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13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164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516">
    <xf numFmtId="0" fontId="0" fillId="0" borderId="0" xfId="0"/>
    <xf numFmtId="0" fontId="2" fillId="0" borderId="1" xfId="1" applyFont="1" applyBorder="1"/>
    <xf numFmtId="165" fontId="2" fillId="0" borderId="0" xfId="1" applyNumberFormat="1" applyFont="1" applyAlignment="1">
      <alignment horizontal="right"/>
    </xf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2" fillId="0" borderId="10" xfId="1" applyFont="1" applyBorder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0" fontId="4" fillId="3" borderId="3" xfId="1" applyFont="1" applyFill="1" applyBorder="1" applyAlignment="1">
      <alignment horizontal="center"/>
    </xf>
    <xf numFmtId="49" fontId="2" fillId="0" borderId="3" xfId="1" applyNumberFormat="1" applyFont="1" applyBorder="1"/>
    <xf numFmtId="37" fontId="2" fillId="0" borderId="3" xfId="1" applyNumberFormat="1" applyFont="1" applyBorder="1"/>
    <xf numFmtId="37" fontId="2" fillId="0" borderId="5" xfId="1" applyNumberFormat="1" applyFont="1" applyBorder="1"/>
    <xf numFmtId="0" fontId="4" fillId="3" borderId="13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/>
    </xf>
    <xf numFmtId="0" fontId="1" fillId="0" borderId="5" xfId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center"/>
    </xf>
    <xf numFmtId="166" fontId="2" fillId="0" borderId="0" xfId="1" applyNumberFormat="1" applyFont="1"/>
    <xf numFmtId="0" fontId="2" fillId="0" borderId="0" xfId="1" applyFont="1" applyAlignment="1">
      <alignment horizontal="right"/>
    </xf>
    <xf numFmtId="49" fontId="4" fillId="3" borderId="4" xfId="1" applyNumberFormat="1" applyFont="1" applyFill="1" applyBorder="1"/>
    <xf numFmtId="49" fontId="4" fillId="3" borderId="4" xfId="1" applyNumberFormat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166" fontId="4" fillId="3" borderId="5" xfId="1" applyNumberFormat="1" applyFont="1" applyFill="1" applyBorder="1" applyAlignment="1">
      <alignment horizontal="center"/>
    </xf>
    <xf numFmtId="49" fontId="4" fillId="3" borderId="3" xfId="1" applyNumberFormat="1" applyFont="1" applyFill="1" applyBorder="1" applyAlignment="1">
      <alignment horizontal="center"/>
    </xf>
    <xf numFmtId="0" fontId="4" fillId="3" borderId="10" xfId="1" applyFont="1" applyFill="1" applyBorder="1"/>
    <xf numFmtId="49" fontId="4" fillId="3" borderId="11" xfId="1" applyNumberFormat="1" applyFont="1" applyFill="1" applyBorder="1" applyAlignment="1">
      <alignment vertical="center"/>
    </xf>
    <xf numFmtId="49" fontId="4" fillId="3" borderId="6" xfId="1" applyNumberFormat="1" applyFont="1" applyFill="1" applyBorder="1" applyAlignment="1">
      <alignment vertical="center"/>
    </xf>
    <xf numFmtId="166" fontId="4" fillId="3" borderId="11" xfId="1" applyNumberFormat="1" applyFont="1" applyFill="1" applyBorder="1" applyAlignment="1">
      <alignment horizontal="center"/>
    </xf>
    <xf numFmtId="49" fontId="4" fillId="3" borderId="10" xfId="1" applyNumberFormat="1" applyFont="1" applyFill="1" applyBorder="1" applyAlignment="1">
      <alignment horizontal="center"/>
    </xf>
    <xf numFmtId="37" fontId="2" fillId="0" borderId="14" xfId="1" applyNumberFormat="1" applyFont="1" applyBorder="1"/>
    <xf numFmtId="37" fontId="2" fillId="0" borderId="13" xfId="1" applyNumberFormat="1" applyFont="1" applyBorder="1"/>
    <xf numFmtId="166" fontId="2" fillId="0" borderId="14" xfId="1" applyNumberFormat="1" applyFont="1" applyBorder="1"/>
    <xf numFmtId="166" fontId="2" fillId="0" borderId="13" xfId="1" applyNumberFormat="1" applyFont="1" applyBorder="1"/>
    <xf numFmtId="166" fontId="2" fillId="0" borderId="3" xfId="1" applyNumberFormat="1" applyFont="1" applyBorder="1"/>
    <xf numFmtId="37" fontId="2" fillId="0" borderId="2" xfId="1" applyNumberFormat="1" applyFont="1" applyBorder="1"/>
    <xf numFmtId="166" fontId="2" fillId="0" borderId="2" xfId="1" applyNumberFormat="1" applyFont="1" applyBorder="1"/>
    <xf numFmtId="166" fontId="2" fillId="0" borderId="5" xfId="1" applyNumberFormat="1" applyFont="1" applyBorder="1"/>
    <xf numFmtId="49" fontId="2" fillId="0" borderId="3" xfId="1" applyNumberFormat="1" applyFont="1" applyBorder="1" applyAlignment="1">
      <alignment wrapText="1"/>
    </xf>
    <xf numFmtId="0" fontId="5" fillId="0" borderId="3" xfId="1" applyFont="1" applyBorder="1" applyAlignment="1">
      <alignment horizontal="justify" vertical="top" wrapText="1"/>
    </xf>
    <xf numFmtId="49" fontId="2" fillId="0" borderId="7" xfId="1" applyNumberFormat="1" applyFont="1" applyBorder="1"/>
    <xf numFmtId="37" fontId="2" fillId="0" borderId="9" xfId="1" applyNumberFormat="1" applyFont="1" applyBorder="1"/>
    <xf numFmtId="37" fontId="2" fillId="0" borderId="8" xfId="1" applyNumberFormat="1" applyFont="1" applyBorder="1"/>
    <xf numFmtId="166" fontId="2" fillId="0" borderId="8" xfId="1" applyNumberFormat="1" applyFont="1" applyBorder="1"/>
    <xf numFmtId="37" fontId="2" fillId="0" borderId="4" xfId="1" applyNumberFormat="1" applyFont="1" applyBorder="1"/>
    <xf numFmtId="166" fontId="2" fillId="0" borderId="9" xfId="1" applyNumberFormat="1" applyFont="1" applyBorder="1"/>
    <xf numFmtId="166" fontId="2" fillId="0" borderId="7" xfId="1" applyNumberFormat="1" applyFont="1" applyBorder="1"/>
    <xf numFmtId="0" fontId="2" fillId="0" borderId="4" xfId="1" applyFont="1" applyBorder="1" applyAlignment="1">
      <alignment wrapText="1"/>
    </xf>
    <xf numFmtId="37" fontId="2" fillId="0" borderId="12" xfId="1" applyNumberFormat="1" applyFont="1" applyBorder="1"/>
    <xf numFmtId="37" fontId="2" fillId="0" borderId="13" xfId="1" applyNumberFormat="1" applyFont="1" applyBorder="1" applyAlignment="1">
      <alignment horizontal="center"/>
    </xf>
    <xf numFmtId="37" fontId="2" fillId="0" borderId="4" xfId="1" applyNumberFormat="1" applyFont="1" applyBorder="1" applyAlignment="1">
      <alignment horizontal="center"/>
    </xf>
    <xf numFmtId="37" fontId="2" fillId="0" borderId="0" xfId="1" applyNumberFormat="1" applyFont="1"/>
    <xf numFmtId="37" fontId="2" fillId="0" borderId="5" xfId="1" applyNumberFormat="1" applyFont="1" applyBorder="1" applyAlignment="1">
      <alignment horizontal="center"/>
    </xf>
    <xf numFmtId="37" fontId="2" fillId="0" borderId="3" xfId="1" applyNumberFormat="1" applyFont="1" applyBorder="1" applyAlignment="1">
      <alignment horizontal="center"/>
    </xf>
    <xf numFmtId="37" fontId="2" fillId="0" borderId="11" xfId="1" applyNumberFormat="1" applyFont="1" applyBorder="1"/>
    <xf numFmtId="37" fontId="2" fillId="0" borderId="1" xfId="1" applyNumberFormat="1" applyFont="1" applyBorder="1"/>
    <xf numFmtId="166" fontId="2" fillId="0" borderId="6" xfId="1" applyNumberFormat="1" applyFont="1" applyBorder="1"/>
    <xf numFmtId="166" fontId="2" fillId="0" borderId="11" xfId="1" applyNumberFormat="1" applyFont="1" applyBorder="1"/>
    <xf numFmtId="37" fontId="2" fillId="0" borderId="6" xfId="1" applyNumberFormat="1" applyFont="1" applyBorder="1"/>
    <xf numFmtId="37" fontId="2" fillId="0" borderId="10" xfId="1" applyNumberFormat="1" applyFont="1" applyBorder="1" applyAlignment="1">
      <alignment horizontal="center"/>
    </xf>
    <xf numFmtId="37" fontId="4" fillId="0" borderId="7" xfId="1" applyNumberFormat="1" applyFont="1" applyBorder="1" applyAlignment="1">
      <alignment horizontal="center"/>
    </xf>
    <xf numFmtId="37" fontId="2" fillId="2" borderId="4" xfId="1" applyNumberFormat="1" applyFont="1" applyFill="1" applyBorder="1" applyAlignment="1">
      <alignment horizontal="center"/>
    </xf>
    <xf numFmtId="49" fontId="2" fillId="3" borderId="9" xfId="1" applyNumberFormat="1" applyFont="1" applyFill="1" applyBorder="1"/>
    <xf numFmtId="37" fontId="4" fillId="3" borderId="8" xfId="1" applyNumberFormat="1" applyFont="1" applyFill="1" applyBorder="1" applyAlignment="1">
      <alignment horizontal="center"/>
    </xf>
    <xf numFmtId="37" fontId="4" fillId="3" borderId="9" xfId="1" applyNumberFormat="1" applyFont="1" applyFill="1" applyBorder="1" applyAlignment="1">
      <alignment horizontal="center"/>
    </xf>
    <xf numFmtId="37" fontId="2" fillId="3" borderId="7" xfId="1" applyNumberFormat="1" applyFont="1" applyFill="1" applyBorder="1" applyAlignment="1">
      <alignment horizontal="center"/>
    </xf>
    <xf numFmtId="49" fontId="2" fillId="0" borderId="5" xfId="1" applyNumberFormat="1" applyFont="1" applyBorder="1" applyAlignment="1">
      <alignment wrapText="1"/>
    </xf>
    <xf numFmtId="37" fontId="2" fillId="2" borderId="7" xfId="1" applyNumberFormat="1" applyFont="1" applyFill="1" applyBorder="1" applyAlignment="1">
      <alignment horizontal="center" vertical="center"/>
    </xf>
    <xf numFmtId="37" fontId="2" fillId="0" borderId="1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wrapText="1"/>
    </xf>
    <xf numFmtId="0" fontId="2" fillId="0" borderId="9" xfId="1" applyFont="1" applyBorder="1" applyAlignment="1">
      <alignment horizontal="justify"/>
    </xf>
    <xf numFmtId="0" fontId="4" fillId="3" borderId="13" xfId="1" applyFont="1" applyFill="1" applyBorder="1"/>
    <xf numFmtId="0" fontId="4" fillId="3" borderId="4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 wrapText="1"/>
    </xf>
    <xf numFmtId="0" fontId="4" fillId="3" borderId="11" xfId="1" applyFont="1" applyFill="1" applyBorder="1"/>
    <xf numFmtId="0" fontId="30" fillId="3" borderId="10" xfId="1" applyFont="1" applyFill="1" applyBorder="1" applyAlignment="1">
      <alignment horizontal="center"/>
    </xf>
    <xf numFmtId="49" fontId="2" fillId="0" borderId="10" xfId="1" applyNumberFormat="1" applyFont="1" applyBorder="1"/>
    <xf numFmtId="166" fontId="2" fillId="0" borderId="10" xfId="1" applyNumberFormat="1" applyFont="1" applyBorder="1"/>
    <xf numFmtId="37" fontId="2" fillId="0" borderId="10" xfId="1" applyNumberFormat="1" applyFont="1" applyBorder="1"/>
    <xf numFmtId="49" fontId="4" fillId="3" borderId="14" xfId="1" applyNumberFormat="1" applyFont="1" applyFill="1" applyBorder="1"/>
    <xf numFmtId="0" fontId="4" fillId="4" borderId="2" xfId="1" applyFont="1" applyFill="1" applyBorder="1" applyAlignment="1">
      <alignment horizontal="center"/>
    </xf>
    <xf numFmtId="0" fontId="4" fillId="4" borderId="6" xfId="1" applyFont="1" applyFill="1" applyBorder="1"/>
    <xf numFmtId="166" fontId="2" fillId="0" borderId="12" xfId="1" applyNumberFormat="1" applyFont="1" applyBorder="1"/>
    <xf numFmtId="0" fontId="1" fillId="0" borderId="2" xfId="1" applyFont="1" applyBorder="1" applyAlignment="1">
      <alignment horizontal="left" vertical="center" wrapText="1"/>
    </xf>
    <xf numFmtId="49" fontId="2" fillId="0" borderId="2" xfId="1" applyNumberFormat="1" applyFont="1" applyBorder="1"/>
    <xf numFmtId="49" fontId="2" fillId="0" borderId="2" xfId="1" applyNumberFormat="1" applyFont="1" applyBorder="1" applyAlignment="1">
      <alignment wrapText="1"/>
    </xf>
    <xf numFmtId="0" fontId="5" fillId="0" borderId="3" xfId="1" applyFont="1" applyBorder="1"/>
    <xf numFmtId="0" fontId="2" fillId="5" borderId="6" xfId="1" applyFont="1" applyFill="1" applyBorder="1" applyAlignment="1">
      <alignment horizontal="justify" vertical="top" wrapText="1"/>
    </xf>
    <xf numFmtId="0" fontId="1" fillId="0" borderId="1" xfId="1" applyFont="1" applyBorder="1" applyAlignment="1">
      <alignment horizontal="left" vertical="center" wrapText="1"/>
    </xf>
    <xf numFmtId="0" fontId="1" fillId="0" borderId="6" xfId="1" applyFont="1" applyBorder="1" applyAlignment="1">
      <alignment horizontal="left" vertical="center" wrapText="1"/>
    </xf>
    <xf numFmtId="0" fontId="1" fillId="0" borderId="11" xfId="1" applyFont="1" applyBorder="1" applyAlignment="1">
      <alignment horizontal="left" vertical="center" wrapText="1"/>
    </xf>
    <xf numFmtId="0" fontId="4" fillId="3" borderId="12" xfId="1" applyFont="1" applyFill="1" applyBorder="1"/>
    <xf numFmtId="0" fontId="4" fillId="3" borderId="0" xfId="1" applyFont="1" applyFill="1" applyAlignment="1">
      <alignment horizontal="center"/>
    </xf>
    <xf numFmtId="0" fontId="4" fillId="3" borderId="1" xfId="1" applyFont="1" applyFill="1" applyBorder="1"/>
    <xf numFmtId="0" fontId="2" fillId="3" borderId="7" xfId="1" applyFont="1" applyFill="1" applyBorder="1"/>
    <xf numFmtId="37" fontId="2" fillId="0" borderId="7" xfId="1" applyNumberFormat="1" applyFont="1" applyBorder="1"/>
    <xf numFmtId="37" fontId="2" fillId="0" borderId="7" xfId="1" applyNumberFormat="1" applyFont="1" applyBorder="1" applyAlignment="1">
      <alignment horizontal="center"/>
    </xf>
    <xf numFmtId="37" fontId="2" fillId="6" borderId="7" xfId="1" applyNumberFormat="1" applyFont="1" applyFill="1" applyBorder="1" applyAlignment="1">
      <alignment horizontal="center"/>
    </xf>
    <xf numFmtId="37" fontId="2" fillId="7" borderId="7" xfId="1" applyNumberFormat="1" applyFont="1" applyFill="1" applyBorder="1" applyAlignment="1">
      <alignment horizontal="center"/>
    </xf>
    <xf numFmtId="0" fontId="6" fillId="0" borderId="0" xfId="7" applyFont="1"/>
    <xf numFmtId="0" fontId="2" fillId="0" borderId="5" xfId="1" applyFont="1" applyBorder="1" applyAlignment="1">
      <alignment horizontal="left"/>
    </xf>
    <xf numFmtId="0" fontId="2" fillId="2" borderId="1" xfId="1" applyFont="1" applyFill="1" applyBorder="1"/>
    <xf numFmtId="0" fontId="2" fillId="2" borderId="10" xfId="1" applyFont="1" applyFill="1" applyBorder="1"/>
    <xf numFmtId="0" fontId="2" fillId="2" borderId="11" xfId="1" applyFont="1" applyFill="1" applyBorder="1"/>
    <xf numFmtId="0" fontId="2" fillId="2" borderId="6" xfId="1" applyFont="1" applyFill="1" applyBorder="1"/>
    <xf numFmtId="49" fontId="4" fillId="3" borderId="5" xfId="1" applyNumberFormat="1" applyFont="1" applyFill="1" applyBorder="1" applyAlignment="1">
      <alignment horizontal="center"/>
    </xf>
    <xf numFmtId="49" fontId="4" fillId="3" borderId="11" xfId="1" applyNumberFormat="1" applyFont="1" applyFill="1" applyBorder="1" applyAlignment="1">
      <alignment horizontal="center"/>
    </xf>
    <xf numFmtId="0" fontId="2" fillId="0" borderId="7" xfId="1" applyFont="1" applyBorder="1" applyAlignment="1">
      <alignment horizontal="center"/>
    </xf>
    <xf numFmtId="37" fontId="2" fillId="2" borderId="7" xfId="1" applyNumberFormat="1" applyFont="1" applyFill="1" applyBorder="1" applyAlignment="1">
      <alignment horizontal="center"/>
    </xf>
    <xf numFmtId="37" fontId="2" fillId="3" borderId="9" xfId="1" applyNumberFormat="1" applyFont="1" applyFill="1" applyBorder="1" applyAlignment="1">
      <alignment horizontal="center"/>
    </xf>
    <xf numFmtId="37" fontId="2" fillId="2" borderId="9" xfId="1" applyNumberFormat="1" applyFont="1" applyFill="1" applyBorder="1" applyAlignment="1">
      <alignment horizontal="center" vertical="center"/>
    </xf>
    <xf numFmtId="0" fontId="3" fillId="2" borderId="8" xfId="1" applyFill="1" applyBorder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2" fillId="2" borderId="7" xfId="1" applyFont="1" applyFill="1" applyBorder="1" applyAlignment="1">
      <alignment horizontal="center"/>
    </xf>
    <xf numFmtId="37" fontId="2" fillId="0" borderId="11" xfId="1" applyNumberFormat="1" applyFont="1" applyBorder="1" applyAlignment="1">
      <alignment horizontal="center"/>
    </xf>
    <xf numFmtId="37" fontId="2" fillId="0" borderId="8" xfId="1" applyNumberFormat="1" applyFont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/>
    <xf numFmtId="49" fontId="2" fillId="0" borderId="0" xfId="1" applyNumberFormat="1" applyFont="1"/>
    <xf numFmtId="0" fontId="4" fillId="0" borderId="0" xfId="1" applyFont="1"/>
    <xf numFmtId="0" fontId="6" fillId="0" borderId="0" xfId="1" applyFont="1"/>
    <xf numFmtId="0" fontId="8" fillId="0" borderId="0" xfId="7" applyFont="1"/>
    <xf numFmtId="0" fontId="31" fillId="0" borderId="0" xfId="7" applyFont="1" applyAlignment="1">
      <alignment horizontal="justify" vertical="center"/>
    </xf>
    <xf numFmtId="0" fontId="15" fillId="0" borderId="0" xfId="7" applyFont="1"/>
    <xf numFmtId="0" fontId="16" fillId="0" borderId="0" xfId="7" applyFont="1"/>
    <xf numFmtId="0" fontId="16" fillId="0" borderId="0" xfId="7" applyFont="1" applyAlignment="1">
      <alignment vertical="center"/>
    </xf>
    <xf numFmtId="0" fontId="16" fillId="0" borderId="0" xfId="7" applyFont="1" applyAlignment="1">
      <alignment horizontal="left"/>
    </xf>
    <xf numFmtId="0" fontId="16" fillId="0" borderId="1" xfId="7" applyFont="1" applyBorder="1"/>
    <xf numFmtId="8" fontId="15" fillId="0" borderId="0" xfId="7" applyNumberFormat="1" applyFont="1" applyAlignment="1">
      <alignment horizontal="left" vertical="center"/>
    </xf>
    <xf numFmtId="8" fontId="16" fillId="0" borderId="0" xfId="7" applyNumberFormat="1" applyFont="1" applyAlignment="1">
      <alignment horizontal="right" vertical="center"/>
    </xf>
    <xf numFmtId="0" fontId="15" fillId="3" borderId="0" xfId="7" applyFont="1" applyFill="1" applyAlignment="1">
      <alignment horizontal="center" vertical="center" wrapText="1"/>
    </xf>
    <xf numFmtId="43" fontId="15" fillId="5" borderId="13" xfId="11" applyFont="1" applyFill="1" applyBorder="1" applyAlignment="1">
      <alignment vertical="center" wrapText="1"/>
    </xf>
    <xf numFmtId="43" fontId="16" fillId="5" borderId="5" xfId="11" applyFont="1" applyFill="1" applyBorder="1" applyAlignment="1">
      <alignment vertical="center" wrapText="1"/>
    </xf>
    <xf numFmtId="43" fontId="15" fillId="5" borderId="5" xfId="11" applyFont="1" applyFill="1" applyBorder="1" applyAlignment="1">
      <alignment vertical="center" wrapText="1"/>
    </xf>
    <xf numFmtId="43" fontId="16" fillId="5" borderId="5" xfId="11" applyFont="1" applyFill="1" applyBorder="1" applyAlignment="1">
      <alignment horizontal="center" vertical="center" wrapText="1"/>
    </xf>
    <xf numFmtId="43" fontId="16" fillId="5" borderId="11" xfId="11" applyFont="1" applyFill="1" applyBorder="1" applyAlignment="1">
      <alignment vertical="center" wrapText="1"/>
    </xf>
    <xf numFmtId="43" fontId="15" fillId="3" borderId="15" xfId="11" applyFont="1" applyFill="1" applyBorder="1" applyAlignment="1">
      <alignment vertical="center" wrapText="1"/>
    </xf>
    <xf numFmtId="0" fontId="18" fillId="0" borderId="0" xfId="0" applyFont="1"/>
    <xf numFmtId="0" fontId="15" fillId="3" borderId="4" xfId="7" applyFont="1" applyFill="1" applyBorder="1" applyAlignment="1">
      <alignment horizontal="center" vertical="center" wrapText="1"/>
    </xf>
    <xf numFmtId="0" fontId="15" fillId="3" borderId="3" xfId="7" applyFont="1" applyFill="1" applyBorder="1" applyAlignment="1">
      <alignment horizontal="center" vertical="top" wrapText="1"/>
    </xf>
    <xf numFmtId="0" fontId="15" fillId="3" borderId="3" xfId="7" applyFont="1" applyFill="1" applyBorder="1" applyAlignment="1">
      <alignment horizontal="center" vertical="center" wrapText="1"/>
    </xf>
    <xf numFmtId="0" fontId="15" fillId="3" borderId="14" xfId="7" applyFont="1" applyFill="1" applyBorder="1" applyAlignment="1">
      <alignment horizontal="center" vertical="center" wrapText="1"/>
    </xf>
    <xf numFmtId="0" fontId="16" fillId="3" borderId="4" xfId="7" applyFont="1" applyFill="1" applyBorder="1" applyAlignment="1">
      <alignment horizontal="center" vertical="center" wrapText="1"/>
    </xf>
    <xf numFmtId="0" fontId="16" fillId="3" borderId="13" xfId="7" applyFont="1" applyFill="1" applyBorder="1" applyAlignment="1">
      <alignment horizontal="center" vertical="center" wrapText="1"/>
    </xf>
    <xf numFmtId="0" fontId="15" fillId="3" borderId="10" xfId="7" applyFont="1" applyFill="1" applyBorder="1" applyAlignment="1">
      <alignment vertical="center" wrapText="1"/>
    </xf>
    <xf numFmtId="0" fontId="15" fillId="3" borderId="10" xfId="7" applyFont="1" applyFill="1" applyBorder="1" applyAlignment="1">
      <alignment horizontal="center" vertical="center" wrapText="1"/>
    </xf>
    <xf numFmtId="0" fontId="15" fillId="3" borderId="6" xfId="7" applyFont="1" applyFill="1" applyBorder="1" applyAlignment="1">
      <alignment horizontal="center" vertical="center" wrapText="1"/>
    </xf>
    <xf numFmtId="0" fontId="15" fillId="3" borderId="11" xfId="7" applyFont="1" applyFill="1" applyBorder="1" applyAlignment="1">
      <alignment horizontal="center" vertical="center" wrapText="1"/>
    </xf>
    <xf numFmtId="43" fontId="16" fillId="5" borderId="0" xfId="11" applyFont="1" applyFill="1" applyBorder="1" applyAlignment="1">
      <alignment vertical="center" wrapText="1"/>
    </xf>
    <xf numFmtId="43" fontId="16" fillId="5" borderId="3" xfId="11" applyFont="1" applyFill="1" applyBorder="1" applyAlignment="1">
      <alignment vertical="center" wrapText="1"/>
    </xf>
    <xf numFmtId="0" fontId="16" fillId="0" borderId="0" xfId="7" applyFont="1" applyAlignment="1">
      <alignment horizontal="left" vertical="center" wrapText="1"/>
    </xf>
    <xf numFmtId="43" fontId="15" fillId="3" borderId="7" xfId="11" applyFont="1" applyFill="1" applyBorder="1" applyAlignment="1">
      <alignment vertical="center" wrapText="1"/>
    </xf>
    <xf numFmtId="43" fontId="15" fillId="3" borderId="9" xfId="11" applyFont="1" applyFill="1" applyBorder="1" applyAlignment="1">
      <alignment vertical="center" wrapText="1"/>
    </xf>
    <xf numFmtId="0" fontId="16" fillId="0" borderId="0" xfId="7" applyFont="1" applyAlignment="1">
      <alignment horizontal="right"/>
    </xf>
    <xf numFmtId="43" fontId="16" fillId="5" borderId="13" xfId="11" applyFont="1" applyFill="1" applyBorder="1" applyAlignment="1">
      <alignment vertical="center" wrapText="1"/>
    </xf>
    <xf numFmtId="0" fontId="15" fillId="3" borderId="2" xfId="7" applyFont="1" applyFill="1" applyBorder="1" applyAlignment="1">
      <alignment horizontal="center" vertical="top" wrapText="1"/>
    </xf>
    <xf numFmtId="0" fontId="15" fillId="3" borderId="6" xfId="7" applyFont="1" applyFill="1" applyBorder="1" applyAlignment="1">
      <alignment vertical="center" wrapText="1"/>
    </xf>
    <xf numFmtId="8" fontId="16" fillId="0" borderId="0" xfId="7" applyNumberFormat="1" applyFont="1" applyAlignment="1">
      <alignment horizontal="right"/>
    </xf>
    <xf numFmtId="0" fontId="15" fillId="3" borderId="7" xfId="7" applyFont="1" applyFill="1" applyBorder="1" applyAlignment="1">
      <alignment horizontal="center" vertical="center" wrapText="1"/>
    </xf>
    <xf numFmtId="43" fontId="16" fillId="2" borderId="4" xfId="11" applyFont="1" applyFill="1" applyBorder="1" applyAlignment="1">
      <alignment horizontal="right"/>
    </xf>
    <xf numFmtId="0" fontId="15" fillId="0" borderId="0" xfId="7" applyFont="1" applyAlignment="1">
      <alignment horizontal="left" vertical="center" wrapText="1"/>
    </xf>
    <xf numFmtId="0" fontId="15" fillId="0" borderId="0" xfId="7" applyFont="1" applyAlignment="1">
      <alignment vertical="center" wrapText="1"/>
    </xf>
    <xf numFmtId="0" fontId="16" fillId="8" borderId="0" xfId="7" applyFont="1" applyFill="1" applyAlignment="1">
      <alignment vertical="center" wrapText="1"/>
    </xf>
    <xf numFmtId="0" fontId="16" fillId="8" borderId="1" xfId="7" applyFont="1" applyFill="1" applyBorder="1" applyAlignment="1">
      <alignment vertical="center" wrapText="1"/>
    </xf>
    <xf numFmtId="0" fontId="15" fillId="8" borderId="0" xfId="7" applyFont="1" applyFill="1" applyAlignment="1">
      <alignment horizontal="left" vertical="center" wrapText="1"/>
    </xf>
    <xf numFmtId="0" fontId="15" fillId="8" borderId="0" xfId="7" applyFont="1" applyFill="1" applyAlignment="1">
      <alignment horizontal="left" vertical="center"/>
    </xf>
    <xf numFmtId="0" fontId="15" fillId="8" borderId="0" xfId="7" applyFont="1" applyFill="1" applyAlignment="1">
      <alignment vertical="center" wrapText="1"/>
    </xf>
    <xf numFmtId="0" fontId="15" fillId="0" borderId="0" xfId="7" applyFont="1" applyAlignment="1">
      <alignment horizontal="justify" vertical="center" wrapText="1"/>
    </xf>
    <xf numFmtId="43" fontId="16" fillId="0" borderId="0" xfId="11" applyFont="1" applyBorder="1" applyAlignment="1">
      <alignment vertical="center" wrapText="1"/>
    </xf>
    <xf numFmtId="43" fontId="16" fillId="0" borderId="3" xfId="11" applyFont="1" applyBorder="1" applyAlignment="1">
      <alignment vertical="center" wrapText="1"/>
    </xf>
    <xf numFmtId="43" fontId="16" fillId="0" borderId="10" xfId="11" applyFont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horizontal="right"/>
    </xf>
    <xf numFmtId="8" fontId="16" fillId="0" borderId="0" xfId="0" applyNumberFormat="1" applyFont="1" applyAlignment="1">
      <alignment horizontal="right"/>
    </xf>
    <xf numFmtId="49" fontId="16" fillId="0" borderId="0" xfId="7" applyNumberFormat="1" applyFont="1" applyAlignment="1">
      <alignment horizontal="right" vertical="center" wrapText="1"/>
    </xf>
    <xf numFmtId="43" fontId="18" fillId="0" borderId="0" xfId="0" applyNumberFormat="1" applyFont="1"/>
    <xf numFmtId="167" fontId="16" fillId="5" borderId="5" xfId="11" applyNumberFormat="1" applyFont="1" applyFill="1" applyBorder="1" applyAlignment="1">
      <alignment horizontal="center" vertical="center" wrapText="1"/>
    </xf>
    <xf numFmtId="167" fontId="16" fillId="5" borderId="5" xfId="11" applyNumberFormat="1" applyFont="1" applyFill="1" applyBorder="1" applyAlignment="1">
      <alignment vertical="center" wrapText="1"/>
    </xf>
    <xf numFmtId="167" fontId="16" fillId="5" borderId="3" xfId="11" applyNumberFormat="1" applyFont="1" applyFill="1" applyBorder="1" applyAlignment="1">
      <alignment vertical="center" wrapText="1"/>
    </xf>
    <xf numFmtId="167" fontId="16" fillId="0" borderId="3" xfId="11" applyNumberFormat="1" applyFont="1" applyBorder="1" applyAlignment="1">
      <alignment vertical="center" wrapText="1"/>
    </xf>
    <xf numFmtId="168" fontId="16" fillId="8" borderId="10" xfId="11" applyNumberFormat="1" applyFont="1" applyFill="1" applyBorder="1" applyAlignment="1">
      <alignment horizontal="right" vertical="center" wrapText="1"/>
    </xf>
    <xf numFmtId="168" fontId="16" fillId="8" borderId="10" xfId="11" applyNumberFormat="1" applyFont="1" applyFill="1" applyBorder="1" applyAlignment="1">
      <alignment horizontal="right" vertical="center"/>
    </xf>
    <xf numFmtId="169" fontId="16" fillId="8" borderId="10" xfId="11" applyNumberFormat="1" applyFont="1" applyFill="1" applyBorder="1" applyAlignment="1">
      <alignment horizontal="right" vertical="center"/>
    </xf>
    <xf numFmtId="43" fontId="8" fillId="0" borderId="0" xfId="11" applyFont="1"/>
    <xf numFmtId="43" fontId="16" fillId="5" borderId="2" xfId="11" applyFont="1" applyFill="1" applyBorder="1" applyAlignment="1">
      <alignment horizontal="right" vertical="center" wrapText="1"/>
    </xf>
    <xf numFmtId="43" fontId="15" fillId="5" borderId="2" xfId="11" applyFont="1" applyFill="1" applyBorder="1" applyAlignment="1">
      <alignment horizontal="right" vertical="center" wrapText="1"/>
    </xf>
    <xf numFmtId="43" fontId="16" fillId="5" borderId="6" xfId="11" applyFont="1" applyFill="1" applyBorder="1" applyAlignment="1">
      <alignment horizontal="right" vertical="center" wrapText="1"/>
    </xf>
    <xf numFmtId="43" fontId="16" fillId="5" borderId="4" xfId="11" applyFont="1" applyFill="1" applyBorder="1" applyAlignment="1">
      <alignment horizontal="right" vertical="center" wrapText="1"/>
    </xf>
    <xf numFmtId="43" fontId="16" fillId="5" borderId="3" xfId="11" applyFont="1" applyFill="1" applyBorder="1" applyAlignment="1">
      <alignment horizontal="right" vertical="center" wrapText="1"/>
    </xf>
    <xf numFmtId="43" fontId="16" fillId="5" borderId="10" xfId="11" applyFont="1" applyFill="1" applyBorder="1" applyAlignment="1">
      <alignment horizontal="right" vertical="center" wrapText="1"/>
    </xf>
    <xf numFmtId="167" fontId="15" fillId="3" borderId="7" xfId="11" applyNumberFormat="1" applyFont="1" applyFill="1" applyBorder="1" applyAlignment="1">
      <alignment vertical="center" wrapText="1"/>
    </xf>
    <xf numFmtId="43" fontId="16" fillId="8" borderId="3" xfId="11" applyFont="1" applyFill="1" applyBorder="1" applyAlignment="1">
      <alignment horizontal="right" vertical="center" wrapText="1"/>
    </xf>
    <xf numFmtId="43" fontId="16" fillId="8" borderId="3" xfId="11" applyFont="1" applyFill="1" applyBorder="1" applyAlignment="1">
      <alignment horizontal="right" vertical="center"/>
    </xf>
    <xf numFmtId="43" fontId="16" fillId="8" borderId="10" xfId="11" applyFont="1" applyFill="1" applyBorder="1" applyAlignment="1">
      <alignment horizontal="right" vertical="center" wrapText="1"/>
    </xf>
    <xf numFmtId="43" fontId="16" fillId="8" borderId="10" xfId="11" applyFont="1" applyFill="1" applyBorder="1" applyAlignment="1">
      <alignment horizontal="right" vertical="center"/>
    </xf>
    <xf numFmtId="43" fontId="16" fillId="8" borderId="4" xfId="11" applyFont="1" applyFill="1" applyBorder="1" applyAlignment="1">
      <alignment horizontal="right" vertical="center" wrapText="1"/>
    </xf>
    <xf numFmtId="43" fontId="16" fillId="5" borderId="14" xfId="11" applyFont="1" applyFill="1" applyBorder="1" applyAlignment="1">
      <alignment horizontal="right" vertical="center" wrapText="1"/>
    </xf>
    <xf numFmtId="167" fontId="16" fillId="0" borderId="10" xfId="11" applyNumberFormat="1" applyFont="1" applyBorder="1" applyAlignment="1">
      <alignment vertical="center" wrapText="1"/>
    </xf>
    <xf numFmtId="43" fontId="16" fillId="0" borderId="14" xfId="11" applyFont="1" applyBorder="1" applyAlignment="1">
      <alignment vertical="center" wrapText="1"/>
    </xf>
    <xf numFmtId="43" fontId="16" fillId="0" borderId="4" xfId="11" applyFont="1" applyBorder="1" applyAlignment="1">
      <alignment vertical="center" wrapText="1"/>
    </xf>
    <xf numFmtId="43" fontId="16" fillId="0" borderId="2" xfId="11" applyFont="1" applyBorder="1" applyAlignment="1">
      <alignment vertical="center" wrapText="1"/>
    </xf>
    <xf numFmtId="43" fontId="16" fillId="0" borderId="6" xfId="11" applyFont="1" applyBorder="1" applyAlignment="1">
      <alignment vertical="center" wrapText="1"/>
    </xf>
    <xf numFmtId="43" fontId="15" fillId="3" borderId="8" xfId="11" applyFont="1" applyFill="1" applyBorder="1" applyAlignment="1">
      <alignment vertical="center" wrapText="1"/>
    </xf>
    <xf numFmtId="43" fontId="16" fillId="0" borderId="3" xfId="11" applyFont="1" applyFill="1" applyBorder="1" applyAlignment="1">
      <alignment vertical="center" wrapText="1"/>
    </xf>
    <xf numFmtId="43" fontId="16" fillId="0" borderId="10" xfId="11" applyFont="1" applyFill="1" applyBorder="1" applyAlignment="1">
      <alignment vertical="center" wrapText="1"/>
    </xf>
    <xf numFmtId="43" fontId="16" fillId="0" borderId="0" xfId="7" applyNumberFormat="1" applyFont="1" applyAlignment="1">
      <alignment horizontal="left" vertical="center" wrapText="1"/>
    </xf>
    <xf numFmtId="43" fontId="16" fillId="5" borderId="10" xfId="11" applyFont="1" applyFill="1" applyBorder="1" applyAlignment="1">
      <alignment vertical="center" wrapText="1"/>
    </xf>
    <xf numFmtId="43" fontId="16" fillId="5" borderId="3" xfId="11" applyFont="1" applyFill="1" applyBorder="1" applyAlignment="1">
      <alignment horizontal="right" vertical="center"/>
    </xf>
    <xf numFmtId="43" fontId="16" fillId="0" borderId="0" xfId="11" applyFont="1"/>
    <xf numFmtId="43" fontId="15" fillId="5" borderId="8" xfId="11" applyFont="1" applyFill="1" applyBorder="1" applyAlignment="1">
      <alignment vertical="center" wrapText="1"/>
    </xf>
    <xf numFmtId="43" fontId="16" fillId="2" borderId="3" xfId="11" applyFont="1" applyFill="1" applyBorder="1" applyAlignment="1">
      <alignment horizontal="right"/>
    </xf>
    <xf numFmtId="43" fontId="15" fillId="0" borderId="7" xfId="11" applyFont="1" applyFill="1" applyBorder="1" applyAlignment="1">
      <alignment vertical="center" wrapText="1"/>
    </xf>
    <xf numFmtId="167" fontId="15" fillId="0" borderId="7" xfId="11" applyNumberFormat="1" applyFont="1" applyFill="1" applyBorder="1" applyAlignment="1">
      <alignment vertical="center" wrapText="1"/>
    </xf>
    <xf numFmtId="167" fontId="15" fillId="0" borderId="15" xfId="11" applyNumberFormat="1" applyFont="1" applyFill="1" applyBorder="1" applyAlignment="1">
      <alignment vertical="center" wrapText="1"/>
    </xf>
    <xf numFmtId="43" fontId="16" fillId="0" borderId="0" xfId="7" applyNumberFormat="1" applyFont="1"/>
    <xf numFmtId="43" fontId="6" fillId="0" borderId="0" xfId="7" applyNumberFormat="1" applyFont="1"/>
    <xf numFmtId="43" fontId="16" fillId="0" borderId="3" xfId="11" applyFont="1" applyFill="1" applyBorder="1" applyAlignment="1">
      <alignment horizontal="right" vertical="center" wrapText="1"/>
    </xf>
    <xf numFmtId="43" fontId="16" fillId="0" borderId="3" xfId="11" applyFont="1" applyBorder="1" applyAlignment="1">
      <alignment horizontal="right" vertical="center"/>
    </xf>
    <xf numFmtId="43" fontId="16" fillId="0" borderId="3" xfId="11" applyFont="1" applyBorder="1" applyAlignment="1">
      <alignment horizontal="center" vertical="center" wrapText="1"/>
    </xf>
    <xf numFmtId="43" fontId="16" fillId="0" borderId="2" xfId="11" applyFont="1" applyFill="1" applyBorder="1" applyAlignment="1">
      <alignment vertical="center" wrapText="1"/>
    </xf>
    <xf numFmtId="43" fontId="16" fillId="0" borderId="4" xfId="11" applyFont="1" applyFill="1" applyBorder="1" applyAlignment="1">
      <alignment vertical="center" wrapText="1"/>
    </xf>
    <xf numFmtId="0" fontId="16" fillId="0" borderId="2" xfId="7" applyFont="1" applyBorder="1" applyAlignment="1">
      <alignment vertical="center" wrapText="1"/>
    </xf>
    <xf numFmtId="0" fontId="16" fillId="0" borderId="6" xfId="7" applyFont="1" applyBorder="1" applyAlignment="1">
      <alignment vertical="center" wrapText="1"/>
    </xf>
    <xf numFmtId="43" fontId="16" fillId="0" borderId="4" xfId="11" applyFont="1" applyFill="1" applyBorder="1" applyAlignment="1">
      <alignment horizontal="left" vertical="center" wrapText="1"/>
    </xf>
    <xf numFmtId="43" fontId="16" fillId="0" borderId="3" xfId="11" applyFont="1" applyFill="1" applyBorder="1" applyAlignment="1">
      <alignment horizontal="left" vertical="center" wrapText="1"/>
    </xf>
    <xf numFmtId="43" fontId="16" fillId="0" borderId="10" xfId="11" applyFont="1" applyFill="1" applyBorder="1" applyAlignment="1">
      <alignment horizontal="left" vertical="center" wrapText="1"/>
    </xf>
    <xf numFmtId="43" fontId="15" fillId="5" borderId="14" xfId="11" applyFont="1" applyFill="1" applyBorder="1" applyAlignment="1">
      <alignment horizontal="right" vertical="center" wrapText="1"/>
    </xf>
    <xf numFmtId="43" fontId="16" fillId="5" borderId="2" xfId="11" applyFont="1" applyFill="1" applyBorder="1" applyAlignment="1">
      <alignment horizontal="center" vertical="center" wrapText="1"/>
    </xf>
    <xf numFmtId="43" fontId="16" fillId="0" borderId="0" xfId="11" applyFont="1" applyBorder="1" applyAlignment="1">
      <alignment horizontal="right" vertical="center" wrapText="1"/>
    </xf>
    <xf numFmtId="43" fontId="16" fillId="0" borderId="11" xfId="11" applyFont="1" applyBorder="1" applyAlignment="1">
      <alignment horizontal="right" vertical="center" wrapText="1"/>
    </xf>
    <xf numFmtId="43" fontId="16" fillId="8" borderId="0" xfId="11" applyFont="1" applyFill="1" applyBorder="1" applyAlignment="1">
      <alignment horizontal="center" vertical="center" wrapText="1"/>
    </xf>
    <xf numFmtId="167" fontId="16" fillId="0" borderId="0" xfId="11" applyNumberFormat="1" applyFont="1" applyBorder="1" applyAlignment="1">
      <alignment horizontal="right" vertical="center" wrapText="1"/>
    </xf>
    <xf numFmtId="43" fontId="16" fillId="0" borderId="3" xfId="11" applyFont="1" applyBorder="1" applyAlignment="1">
      <alignment horizontal="right" vertical="center" wrapText="1"/>
    </xf>
    <xf numFmtId="43" fontId="16" fillId="0" borderId="10" xfId="11" applyFont="1" applyBorder="1" applyAlignment="1">
      <alignment horizontal="right" vertical="center" wrapText="1"/>
    </xf>
    <xf numFmtId="43" fontId="16" fillId="0" borderId="14" xfId="11" applyFont="1" applyBorder="1" applyAlignment="1">
      <alignment horizontal="center" vertical="center" wrapText="1"/>
    </xf>
    <xf numFmtId="43" fontId="16" fillId="5" borderId="0" xfId="11" applyFont="1" applyFill="1" applyBorder="1" applyAlignment="1">
      <alignment horizontal="right" vertical="center" wrapText="1"/>
    </xf>
    <xf numFmtId="167" fontId="16" fillId="5" borderId="0" xfId="11" applyNumberFormat="1" applyFont="1" applyFill="1" applyBorder="1" applyAlignment="1">
      <alignment horizontal="right" vertical="center" wrapText="1"/>
    </xf>
    <xf numFmtId="0" fontId="16" fillId="0" borderId="0" xfId="7" applyFont="1" applyAlignment="1">
      <alignment vertical="center" wrapText="1"/>
    </xf>
    <xf numFmtId="43" fontId="16" fillId="5" borderId="2" xfId="11" applyFont="1" applyFill="1" applyBorder="1" applyAlignment="1">
      <alignment vertical="center" wrapText="1"/>
    </xf>
    <xf numFmtId="43" fontId="6" fillId="8" borderId="0" xfId="7" applyNumberFormat="1" applyFont="1" applyFill="1" applyAlignment="1">
      <alignment vertical="center" wrapText="1"/>
    </xf>
    <xf numFmtId="43" fontId="16" fillId="5" borderId="5" xfId="11" applyFont="1" applyFill="1" applyBorder="1" applyAlignment="1">
      <alignment horizontal="right" vertical="center" wrapText="1"/>
    </xf>
    <xf numFmtId="167" fontId="16" fillId="0" borderId="3" xfId="11" applyNumberFormat="1" applyFont="1" applyFill="1" applyBorder="1" applyAlignment="1">
      <alignment horizontal="right" vertical="center" wrapText="1"/>
    </xf>
    <xf numFmtId="43" fontId="16" fillId="0" borderId="0" xfId="11" applyFont="1" applyFill="1" applyBorder="1" applyAlignment="1">
      <alignment horizontal="center" vertical="center" wrapText="1"/>
    </xf>
    <xf numFmtId="43" fontId="16" fillId="0" borderId="0" xfId="11" applyFont="1" applyFill="1" applyBorder="1" applyAlignment="1">
      <alignment vertical="center" wrapText="1"/>
    </xf>
    <xf numFmtId="43" fontId="16" fillId="0" borderId="10" xfId="11" applyFont="1" applyFill="1" applyBorder="1" applyAlignment="1">
      <alignment horizontal="right" vertical="center" wrapText="1"/>
    </xf>
    <xf numFmtId="167" fontId="16" fillId="5" borderId="3" xfId="11" applyNumberFormat="1" applyFont="1" applyFill="1" applyBorder="1" applyAlignment="1">
      <alignment horizontal="right" vertical="center" wrapText="1"/>
    </xf>
    <xf numFmtId="43" fontId="16" fillId="0" borderId="0" xfId="0" applyNumberFormat="1" applyFont="1"/>
    <xf numFmtId="0" fontId="16" fillId="5" borderId="0" xfId="7" applyFont="1" applyFill="1"/>
    <xf numFmtId="43" fontId="15" fillId="3" borderId="8" xfId="11" applyFont="1" applyFill="1" applyBorder="1" applyAlignment="1">
      <alignment horizontal="right" vertical="center" wrapText="1"/>
    </xf>
    <xf numFmtId="43" fontId="15" fillId="3" borderId="4" xfId="11" applyFont="1" applyFill="1" applyBorder="1" applyAlignment="1">
      <alignment horizontal="left" vertical="center" wrapText="1"/>
    </xf>
    <xf numFmtId="43" fontId="15" fillId="3" borderId="4" xfId="11" applyFont="1" applyFill="1" applyBorder="1" applyAlignment="1">
      <alignment horizontal="right" vertical="center" wrapText="1"/>
    </xf>
    <xf numFmtId="43" fontId="15" fillId="3" borderId="7" xfId="11" applyFont="1" applyFill="1" applyBorder="1" applyAlignment="1">
      <alignment horizontal="right" vertical="center" wrapText="1"/>
    </xf>
    <xf numFmtId="0" fontId="16" fillId="5" borderId="0" xfId="7" applyFont="1" applyFill="1" applyAlignment="1">
      <alignment horizontal="right"/>
    </xf>
    <xf numFmtId="0" fontId="2" fillId="2" borderId="7" xfId="1" applyFont="1" applyFill="1" applyBorder="1" applyAlignment="1">
      <alignment horizontal="center"/>
    </xf>
    <xf numFmtId="0" fontId="1" fillId="0" borderId="0" xfId="1" applyFont="1" applyAlignment="1">
      <alignment horizontal="left" vertical="center" wrapText="1"/>
    </xf>
    <xf numFmtId="0" fontId="1" fillId="0" borderId="12" xfId="1" applyFont="1" applyBorder="1" applyAlignment="1">
      <alignment horizontal="left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49" fontId="4" fillId="3" borderId="11" xfId="1" applyNumberFormat="1" applyFont="1" applyFill="1" applyBorder="1" applyAlignment="1">
      <alignment horizontal="center"/>
    </xf>
    <xf numFmtId="49" fontId="4" fillId="3" borderId="6" xfId="1" applyNumberFormat="1" applyFont="1" applyFill="1" applyBorder="1" applyAlignment="1">
      <alignment horizontal="center"/>
    </xf>
    <xf numFmtId="49" fontId="4" fillId="3" borderId="13" xfId="1" applyNumberFormat="1" applyFont="1" applyFill="1" applyBorder="1" applyAlignment="1">
      <alignment horizontal="center" vertical="center" wrapText="1"/>
    </xf>
    <xf numFmtId="49" fontId="4" fillId="3" borderId="14" xfId="1" applyNumberFormat="1" applyFont="1" applyFill="1" applyBorder="1" applyAlignment="1">
      <alignment horizontal="center" vertical="center" wrapText="1"/>
    </xf>
    <xf numFmtId="49" fontId="4" fillId="3" borderId="5" xfId="1" applyNumberFormat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49" fontId="4" fillId="3" borderId="5" xfId="1" applyNumberFormat="1" applyFont="1" applyFill="1" applyBorder="1" applyAlignment="1">
      <alignment horizontal="center"/>
    </xf>
    <xf numFmtId="49" fontId="4" fillId="3" borderId="2" xfId="1" applyNumberFormat="1" applyFont="1" applyFill="1" applyBorder="1" applyAlignment="1">
      <alignment horizontal="center"/>
    </xf>
    <xf numFmtId="49" fontId="4" fillId="3" borderId="13" xfId="1" applyNumberFormat="1" applyFont="1" applyFill="1" applyBorder="1" applyAlignment="1">
      <alignment horizontal="center"/>
    </xf>
    <xf numFmtId="49" fontId="4" fillId="3" borderId="1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2" fillId="0" borderId="9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37" fontId="2" fillId="2" borderId="7" xfId="1" applyNumberFormat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37" fontId="2" fillId="2" borderId="9" xfId="1" applyNumberFormat="1" applyFont="1" applyFill="1" applyBorder="1" applyAlignment="1">
      <alignment horizontal="center" vertical="center"/>
    </xf>
    <xf numFmtId="37" fontId="2" fillId="2" borderId="8" xfId="1" applyNumberFormat="1" applyFont="1" applyFill="1" applyBorder="1" applyAlignment="1">
      <alignment horizontal="center" vertical="center"/>
    </xf>
    <xf numFmtId="37" fontId="2" fillId="2" borderId="9" xfId="1" applyNumberFormat="1" applyFont="1" applyFill="1" applyBorder="1" applyAlignment="1">
      <alignment horizontal="center"/>
    </xf>
    <xf numFmtId="37" fontId="2" fillId="2" borderId="8" xfId="1" applyNumberFormat="1" applyFont="1" applyFill="1" applyBorder="1" applyAlignment="1">
      <alignment horizontal="center"/>
    </xf>
    <xf numFmtId="0" fontId="3" fillId="2" borderId="8" xfId="1" applyFill="1" applyBorder="1" applyAlignment="1">
      <alignment horizontal="center"/>
    </xf>
    <xf numFmtId="37" fontId="2" fillId="0" borderId="9" xfId="1" applyNumberFormat="1" applyFont="1" applyBorder="1" applyAlignment="1">
      <alignment horizontal="center"/>
    </xf>
    <xf numFmtId="37" fontId="2" fillId="0" borderId="8" xfId="1" applyNumberFormat="1" applyFont="1" applyBorder="1" applyAlignment="1">
      <alignment horizontal="center"/>
    </xf>
    <xf numFmtId="0" fontId="3" fillId="2" borderId="8" xfId="1" applyFill="1" applyBorder="1" applyAlignment="1">
      <alignment horizontal="center" vertical="center"/>
    </xf>
    <xf numFmtId="37" fontId="2" fillId="3" borderId="9" xfId="1" applyNumberFormat="1" applyFont="1" applyFill="1" applyBorder="1" applyAlignment="1">
      <alignment horizontal="center"/>
    </xf>
    <xf numFmtId="0" fontId="3" fillId="3" borderId="8" xfId="1" applyFill="1" applyBorder="1" applyAlignment="1">
      <alignment horizontal="center"/>
    </xf>
    <xf numFmtId="0" fontId="2" fillId="0" borderId="7" xfId="1" applyFont="1" applyBorder="1" applyAlignment="1">
      <alignment horizontal="center"/>
    </xf>
    <xf numFmtId="166" fontId="2" fillId="0" borderId="9" xfId="1" applyNumberFormat="1" applyFont="1" applyBorder="1" applyAlignment="1">
      <alignment horizontal="center"/>
    </xf>
    <xf numFmtId="166" fontId="2" fillId="0" borderId="8" xfId="1" applyNumberFormat="1" applyFont="1" applyBorder="1" applyAlignment="1">
      <alignment horizontal="center"/>
    </xf>
    <xf numFmtId="0" fontId="2" fillId="0" borderId="0" xfId="1" applyFont="1" applyAlignment="1">
      <alignment horizontal="left"/>
    </xf>
    <xf numFmtId="49" fontId="2" fillId="0" borderId="0" xfId="1" applyNumberFormat="1" applyFont="1" applyAlignment="1">
      <alignment horizontal="left"/>
    </xf>
    <xf numFmtId="0" fontId="4" fillId="0" borderId="0" xfId="1" applyFont="1" applyAlignment="1">
      <alignment horizontal="left"/>
    </xf>
    <xf numFmtId="43" fontId="15" fillId="3" borderId="9" xfId="11" applyFont="1" applyFill="1" applyBorder="1" applyAlignment="1">
      <alignment horizontal="right" vertical="center" wrapText="1"/>
    </xf>
    <xf numFmtId="43" fontId="15" fillId="3" borderId="8" xfId="11" applyFont="1" applyFill="1" applyBorder="1" applyAlignment="1">
      <alignment horizontal="right" vertical="center" wrapText="1"/>
    </xf>
    <xf numFmtId="0" fontId="15" fillId="3" borderId="15" xfId="7" applyFont="1" applyFill="1" applyBorder="1" applyAlignment="1">
      <alignment horizontal="left" vertical="center" wrapText="1"/>
    </xf>
    <xf numFmtId="0" fontId="15" fillId="3" borderId="8" xfId="7" applyFont="1" applyFill="1" applyBorder="1" applyAlignment="1">
      <alignment horizontal="left" vertical="center" wrapText="1"/>
    </xf>
    <xf numFmtId="43" fontId="16" fillId="5" borderId="13" xfId="11" applyFont="1" applyFill="1" applyBorder="1" applyAlignment="1">
      <alignment horizontal="right" vertical="center" wrapText="1"/>
    </xf>
    <xf numFmtId="43" fontId="16" fillId="5" borderId="14" xfId="11" applyFont="1" applyFill="1" applyBorder="1" applyAlignment="1">
      <alignment horizontal="right" vertical="center" wrapText="1"/>
    </xf>
    <xf numFmtId="43" fontId="16" fillId="5" borderId="13" xfId="11" applyFont="1" applyFill="1" applyBorder="1" applyAlignment="1">
      <alignment horizontal="right"/>
    </xf>
    <xf numFmtId="43" fontId="16" fillId="5" borderId="14" xfId="11" applyFont="1" applyFill="1" applyBorder="1" applyAlignment="1">
      <alignment horizontal="right"/>
    </xf>
    <xf numFmtId="43" fontId="16" fillId="5" borderId="5" xfId="11" applyFont="1" applyFill="1" applyBorder="1" applyAlignment="1">
      <alignment horizontal="center" vertical="center" wrapText="1"/>
    </xf>
    <xf numFmtId="43" fontId="16" fillId="5" borderId="2" xfId="11" applyFont="1" applyFill="1" applyBorder="1" applyAlignment="1">
      <alignment horizontal="center" vertical="center" wrapText="1"/>
    </xf>
    <xf numFmtId="43" fontId="16" fillId="5" borderId="5" xfId="11" applyFont="1" applyFill="1" applyBorder="1" applyAlignment="1">
      <alignment horizontal="right"/>
    </xf>
    <xf numFmtId="43" fontId="16" fillId="5" borderId="2" xfId="11" applyFont="1" applyFill="1" applyBorder="1" applyAlignment="1">
      <alignment horizontal="right"/>
    </xf>
    <xf numFmtId="0" fontId="15" fillId="3" borderId="11" xfId="7" applyFont="1" applyFill="1" applyBorder="1" applyAlignment="1">
      <alignment horizontal="center" vertical="center" wrapText="1"/>
    </xf>
    <xf numFmtId="0" fontId="15" fillId="3" borderId="6" xfId="7" applyFont="1" applyFill="1" applyBorder="1" applyAlignment="1">
      <alignment horizontal="center" vertical="center" wrapText="1"/>
    </xf>
    <xf numFmtId="43" fontId="16" fillId="0" borderId="5" xfId="11" applyFont="1" applyFill="1" applyBorder="1" applyAlignment="1">
      <alignment horizontal="right" vertical="center"/>
    </xf>
    <xf numFmtId="43" fontId="16" fillId="0" borderId="2" xfId="11" applyFont="1" applyFill="1" applyBorder="1" applyAlignment="1">
      <alignment horizontal="right" vertical="center"/>
    </xf>
    <xf numFmtId="43" fontId="16" fillId="0" borderId="5" xfId="11" applyFont="1" applyFill="1" applyBorder="1" applyAlignment="1">
      <alignment horizontal="right" vertical="center" wrapText="1"/>
    </xf>
    <xf numFmtId="43" fontId="16" fillId="0" borderId="2" xfId="11" applyFont="1" applyFill="1" applyBorder="1" applyAlignment="1">
      <alignment horizontal="right" vertical="center" wrapText="1"/>
    </xf>
    <xf numFmtId="0" fontId="15" fillId="3" borderId="15" xfId="7" applyFont="1" applyFill="1" applyBorder="1" applyAlignment="1">
      <alignment horizontal="center" vertical="center" wrapText="1"/>
    </xf>
    <xf numFmtId="0" fontId="15" fillId="3" borderId="12" xfId="7" applyFont="1" applyFill="1" applyBorder="1" applyAlignment="1">
      <alignment horizontal="center" vertical="center" wrapText="1"/>
    </xf>
    <xf numFmtId="0" fontId="16" fillId="5" borderId="1" xfId="7" applyFont="1" applyFill="1" applyBorder="1" applyAlignment="1">
      <alignment horizontal="left" vertical="center" wrapText="1"/>
    </xf>
    <xf numFmtId="164" fontId="15" fillId="3" borderId="9" xfId="1" applyNumberFormat="1" applyFont="1" applyFill="1" applyBorder="1" applyAlignment="1">
      <alignment horizontal="center" vertical="center"/>
    </xf>
    <xf numFmtId="164" fontId="15" fillId="3" borderId="15" xfId="1" applyNumberFormat="1" applyFont="1" applyFill="1" applyBorder="1" applyAlignment="1">
      <alignment horizontal="center" vertical="center"/>
    </xf>
    <xf numFmtId="37" fontId="16" fillId="8" borderId="1" xfId="11" applyNumberFormat="1" applyFont="1" applyFill="1" applyBorder="1" applyAlignment="1">
      <alignment horizontal="right" vertical="center" wrapText="1"/>
    </xf>
    <xf numFmtId="0" fontId="15" fillId="3" borderId="0" xfId="7" applyFont="1" applyFill="1" applyAlignment="1">
      <alignment horizontal="center" vertical="center" wrapText="1"/>
    </xf>
    <xf numFmtId="0" fontId="15" fillId="3" borderId="2" xfId="7" applyFont="1" applyFill="1" applyBorder="1" applyAlignment="1">
      <alignment horizontal="center" vertical="center" wrapText="1"/>
    </xf>
    <xf numFmtId="0" fontId="15" fillId="3" borderId="5" xfId="7" applyFont="1" applyFill="1" applyBorder="1" applyAlignment="1">
      <alignment horizontal="center" vertical="center" wrapText="1"/>
    </xf>
    <xf numFmtId="0" fontId="17" fillId="3" borderId="12" xfId="7" applyFont="1" applyFill="1" applyBorder="1" applyAlignment="1">
      <alignment horizontal="center" vertical="center" wrapText="1"/>
    </xf>
    <xf numFmtId="0" fontId="17" fillId="3" borderId="14" xfId="7" applyFont="1" applyFill="1" applyBorder="1" applyAlignment="1">
      <alignment horizontal="center" vertical="center" wrapText="1"/>
    </xf>
    <xf numFmtId="0" fontId="17" fillId="3" borderId="0" xfId="7" applyFont="1" applyFill="1" applyAlignment="1">
      <alignment horizontal="center" vertical="center" wrapText="1"/>
    </xf>
    <xf numFmtId="0" fontId="17" fillId="3" borderId="2" xfId="7" applyFont="1" applyFill="1" applyBorder="1" applyAlignment="1">
      <alignment horizontal="center" vertical="center" wrapText="1"/>
    </xf>
    <xf numFmtId="0" fontId="17" fillId="3" borderId="1" xfId="7" applyFont="1" applyFill="1" applyBorder="1" applyAlignment="1">
      <alignment horizontal="center" vertical="center" wrapText="1"/>
    </xf>
    <xf numFmtId="0" fontId="17" fillId="3" borderId="6" xfId="7" applyFont="1" applyFill="1" applyBorder="1" applyAlignment="1">
      <alignment horizontal="center" vertical="center" wrapText="1"/>
    </xf>
    <xf numFmtId="0" fontId="15" fillId="3" borderId="14" xfId="7" applyFont="1" applyFill="1" applyBorder="1" applyAlignment="1">
      <alignment horizontal="center" vertical="center" wrapText="1"/>
    </xf>
    <xf numFmtId="0" fontId="15" fillId="3" borderId="13" xfId="7" applyFont="1" applyFill="1" applyBorder="1" applyAlignment="1">
      <alignment horizontal="center" vertical="center" wrapText="1"/>
    </xf>
    <xf numFmtId="43" fontId="16" fillId="5" borderId="0" xfId="11" applyFont="1" applyFill="1" applyBorder="1" applyAlignment="1">
      <alignment horizontal="right"/>
    </xf>
    <xf numFmtId="43" fontId="16" fillId="5" borderId="5" xfId="11" applyFont="1" applyFill="1" applyBorder="1" applyAlignment="1">
      <alignment horizontal="center"/>
    </xf>
    <xf numFmtId="43" fontId="16" fillId="5" borderId="2" xfId="11" applyFont="1" applyFill="1" applyBorder="1" applyAlignment="1">
      <alignment horizontal="center"/>
    </xf>
    <xf numFmtId="0" fontId="16" fillId="5" borderId="0" xfId="7" applyFont="1" applyFill="1" applyAlignment="1">
      <alignment horizontal="left" vertical="center" wrapText="1"/>
    </xf>
    <xf numFmtId="0" fontId="16" fillId="5" borderId="2" xfId="7" applyFont="1" applyFill="1" applyBorder="1" applyAlignment="1">
      <alignment horizontal="left" vertical="center" wrapText="1"/>
    </xf>
    <xf numFmtId="43" fontId="16" fillId="5" borderId="11" xfId="11" applyFont="1" applyFill="1" applyBorder="1" applyAlignment="1">
      <alignment horizontal="center" vertical="center" wrapText="1"/>
    </xf>
    <xf numFmtId="43" fontId="16" fillId="5" borderId="6" xfId="11" applyFont="1" applyFill="1" applyBorder="1" applyAlignment="1">
      <alignment horizontal="center" vertical="center" wrapText="1"/>
    </xf>
    <xf numFmtId="43" fontId="16" fillId="5" borderId="11" xfId="11" applyFont="1" applyFill="1" applyBorder="1" applyAlignment="1">
      <alignment horizontal="center"/>
    </xf>
    <xf numFmtId="43" fontId="16" fillId="5" borderId="6" xfId="11" applyFont="1" applyFill="1" applyBorder="1" applyAlignment="1">
      <alignment horizontal="center"/>
    </xf>
    <xf numFmtId="0" fontId="15" fillId="3" borderId="1" xfId="7" applyFont="1" applyFill="1" applyBorder="1" applyAlignment="1">
      <alignment horizontal="center" vertical="center" wrapText="1"/>
    </xf>
    <xf numFmtId="0" fontId="15" fillId="3" borderId="9" xfId="7" applyFont="1" applyFill="1" applyBorder="1" applyAlignment="1">
      <alignment horizontal="center" vertical="center" wrapText="1"/>
    </xf>
    <xf numFmtId="0" fontId="15" fillId="3" borderId="8" xfId="7" applyFont="1" applyFill="1" applyBorder="1" applyAlignment="1">
      <alignment horizontal="center" vertical="center" wrapText="1"/>
    </xf>
    <xf numFmtId="0" fontId="15" fillId="4" borderId="0" xfId="7" applyFont="1" applyFill="1" applyAlignment="1">
      <alignment horizontal="center" vertical="center" wrapText="1"/>
    </xf>
    <xf numFmtId="0" fontId="15" fillId="4" borderId="2" xfId="7" applyFont="1" applyFill="1" applyBorder="1" applyAlignment="1">
      <alignment horizontal="center" vertical="center" wrapText="1"/>
    </xf>
    <xf numFmtId="0" fontId="15" fillId="4" borderId="11" xfId="7" applyFont="1" applyFill="1" applyBorder="1" applyAlignment="1">
      <alignment horizontal="center" wrapText="1"/>
    </xf>
    <xf numFmtId="0" fontId="15" fillId="4" borderId="6" xfId="7" applyFont="1" applyFill="1" applyBorder="1" applyAlignment="1">
      <alignment horizontal="center" wrapText="1"/>
    </xf>
    <xf numFmtId="168" fontId="16" fillId="8" borderId="11" xfId="11" applyNumberFormat="1" applyFont="1" applyFill="1" applyBorder="1" applyAlignment="1">
      <alignment horizontal="right" vertical="center" wrapText="1"/>
    </xf>
    <xf numFmtId="168" fontId="16" fillId="8" borderId="6" xfId="11" applyNumberFormat="1" applyFont="1" applyFill="1" applyBorder="1" applyAlignment="1">
      <alignment horizontal="right" vertical="center" wrapText="1"/>
    </xf>
    <xf numFmtId="168" fontId="16" fillId="0" borderId="11" xfId="11" applyNumberFormat="1" applyFont="1" applyBorder="1" applyAlignment="1">
      <alignment horizontal="right"/>
    </xf>
    <xf numFmtId="168" fontId="16" fillId="0" borderId="6" xfId="11" applyNumberFormat="1" applyFont="1" applyBorder="1" applyAlignment="1">
      <alignment horizontal="right"/>
    </xf>
    <xf numFmtId="0" fontId="15" fillId="4" borderId="13" xfId="7" applyFont="1" applyFill="1" applyBorder="1" applyAlignment="1">
      <alignment horizontal="center" vertical="center" wrapText="1"/>
    </xf>
    <xf numFmtId="0" fontId="15" fillId="4" borderId="14" xfId="7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5" borderId="12" xfId="7" applyFont="1" applyFill="1" applyBorder="1" applyAlignment="1">
      <alignment horizontal="left" vertical="center" wrapText="1"/>
    </xf>
    <xf numFmtId="0" fontId="16" fillId="5" borderId="14" xfId="7" applyFont="1" applyFill="1" applyBorder="1" applyAlignment="1">
      <alignment horizontal="left" vertical="center" wrapText="1"/>
    </xf>
    <xf numFmtId="43" fontId="16" fillId="2" borderId="13" xfId="11" applyFont="1" applyFill="1" applyBorder="1" applyAlignment="1">
      <alignment horizontal="right"/>
    </xf>
    <xf numFmtId="43" fontId="16" fillId="2" borderId="14" xfId="11" applyFont="1" applyFill="1" applyBorder="1" applyAlignment="1">
      <alignment horizontal="right"/>
    </xf>
    <xf numFmtId="0" fontId="16" fillId="0" borderId="12" xfId="7" applyFont="1" applyBorder="1" applyAlignment="1">
      <alignment horizontal="left" vertical="center" wrapText="1"/>
    </xf>
    <xf numFmtId="43" fontId="16" fillId="0" borderId="11" xfId="11" applyFont="1" applyBorder="1" applyAlignment="1">
      <alignment horizontal="right"/>
    </xf>
    <xf numFmtId="43" fontId="16" fillId="0" borderId="6" xfId="11" applyFont="1" applyBorder="1" applyAlignment="1">
      <alignment horizontal="right"/>
    </xf>
    <xf numFmtId="43" fontId="16" fillId="5" borderId="11" xfId="11" applyFont="1" applyFill="1" applyBorder="1" applyAlignment="1">
      <alignment horizontal="right" vertical="center" wrapText="1"/>
    </xf>
    <xf numFmtId="43" fontId="16" fillId="5" borderId="6" xfId="11" applyFont="1" applyFill="1" applyBorder="1" applyAlignment="1">
      <alignment horizontal="right" vertical="center" wrapText="1"/>
    </xf>
    <xf numFmtId="0" fontId="15" fillId="4" borderId="11" xfId="7" applyFont="1" applyFill="1" applyBorder="1" applyAlignment="1">
      <alignment horizontal="center" vertical="center" wrapText="1"/>
    </xf>
    <xf numFmtId="0" fontId="15" fillId="4" borderId="6" xfId="7" applyFont="1" applyFill="1" applyBorder="1" applyAlignment="1">
      <alignment horizontal="center" vertical="center" wrapText="1"/>
    </xf>
    <xf numFmtId="0" fontId="15" fillId="4" borderId="4" xfId="7" applyFont="1" applyFill="1" applyBorder="1" applyAlignment="1">
      <alignment horizontal="center" vertical="center" wrapText="1"/>
    </xf>
    <xf numFmtId="0" fontId="15" fillId="4" borderId="10" xfId="7" applyFont="1" applyFill="1" applyBorder="1" applyAlignment="1">
      <alignment horizontal="center" vertical="center" wrapText="1"/>
    </xf>
    <xf numFmtId="43" fontId="15" fillId="3" borderId="15" xfId="11" applyFont="1" applyFill="1" applyBorder="1" applyAlignment="1">
      <alignment horizontal="right" vertical="center" wrapText="1"/>
    </xf>
    <xf numFmtId="43" fontId="16" fillId="8" borderId="0" xfId="11" applyFont="1" applyFill="1" applyBorder="1" applyAlignment="1">
      <alignment horizontal="center" vertical="center" wrapText="1"/>
    </xf>
    <xf numFmtId="43" fontId="16" fillId="0" borderId="13" xfId="11" applyFont="1" applyBorder="1" applyAlignment="1">
      <alignment horizontal="center" vertical="center" wrapText="1"/>
    </xf>
    <xf numFmtId="43" fontId="16" fillId="0" borderId="12" xfId="11" applyFont="1" applyBorder="1" applyAlignment="1">
      <alignment horizontal="center" vertical="center" wrapText="1"/>
    </xf>
    <xf numFmtId="0" fontId="33" fillId="5" borderId="0" xfId="7" applyFont="1" applyFill="1" applyAlignment="1">
      <alignment horizontal="left" vertical="center" wrapText="1"/>
    </xf>
    <xf numFmtId="43" fontId="16" fillId="8" borderId="5" xfId="11" applyFont="1" applyFill="1" applyBorder="1" applyAlignment="1">
      <alignment horizontal="right" vertical="center" wrapText="1"/>
    </xf>
    <xf numFmtId="43" fontId="16" fillId="8" borderId="2" xfId="11" applyFont="1" applyFill="1" applyBorder="1" applyAlignment="1">
      <alignment horizontal="right" vertical="center" wrapText="1"/>
    </xf>
    <xf numFmtId="43" fontId="16" fillId="8" borderId="0" xfId="11" applyFont="1" applyFill="1" applyBorder="1" applyAlignment="1">
      <alignment horizontal="right" vertical="center" wrapText="1"/>
    </xf>
    <xf numFmtId="43" fontId="16" fillId="8" borderId="0" xfId="11" applyFont="1" applyFill="1" applyAlignment="1">
      <alignment horizontal="right" vertical="center" wrapText="1"/>
    </xf>
    <xf numFmtId="0" fontId="15" fillId="4" borderId="9" xfId="7" applyFont="1" applyFill="1" applyBorder="1" applyAlignment="1">
      <alignment horizontal="center" vertical="center" wrapText="1"/>
    </xf>
    <xf numFmtId="0" fontId="15" fillId="4" borderId="15" xfId="7" applyFont="1" applyFill="1" applyBorder="1" applyAlignment="1">
      <alignment horizontal="center" vertical="center" wrapText="1"/>
    </xf>
    <xf numFmtId="43" fontId="16" fillId="8" borderId="0" xfId="11" applyFont="1" applyFill="1" applyAlignment="1">
      <alignment horizontal="center" vertical="center" wrapText="1"/>
    </xf>
    <xf numFmtId="0" fontId="16" fillId="5" borderId="6" xfId="7" applyFont="1" applyFill="1" applyBorder="1" applyAlignment="1">
      <alignment horizontal="left" vertical="center" wrapText="1"/>
    </xf>
    <xf numFmtId="0" fontId="16" fillId="5" borderId="0" xfId="7" applyFont="1" applyFill="1" applyAlignment="1" applyProtection="1">
      <alignment horizontal="left" vertical="center"/>
      <protection locked="0"/>
    </xf>
    <xf numFmtId="0" fontId="16" fillId="5" borderId="2" xfId="7" applyFont="1" applyFill="1" applyBorder="1" applyAlignment="1" applyProtection="1">
      <alignment horizontal="left" vertical="center"/>
      <protection locked="0"/>
    </xf>
    <xf numFmtId="43" fontId="16" fillId="5" borderId="12" xfId="11" applyFont="1" applyFill="1" applyBorder="1" applyAlignment="1">
      <alignment horizontal="right"/>
    </xf>
    <xf numFmtId="0" fontId="15" fillId="0" borderId="15" xfId="7" applyFont="1" applyBorder="1" applyAlignment="1">
      <alignment horizontal="left" vertical="center" wrapText="1"/>
    </xf>
    <xf numFmtId="0" fontId="15" fillId="0" borderId="8" xfId="7" applyFont="1" applyBorder="1" applyAlignment="1">
      <alignment horizontal="left" vertical="center" wrapText="1"/>
    </xf>
    <xf numFmtId="43" fontId="16" fillId="0" borderId="5" xfId="11" applyFont="1" applyFill="1" applyBorder="1" applyAlignment="1">
      <alignment horizontal="center"/>
    </xf>
    <xf numFmtId="43" fontId="16" fillId="0" borderId="2" xfId="11" applyFont="1" applyFill="1" applyBorder="1" applyAlignment="1">
      <alignment horizontal="center"/>
    </xf>
    <xf numFmtId="43" fontId="16" fillId="8" borderId="11" xfId="11" applyFont="1" applyFill="1" applyBorder="1" applyAlignment="1">
      <alignment horizontal="right" vertical="center" wrapText="1"/>
    </xf>
    <xf numFmtId="43" fontId="16" fillId="8" borderId="6" xfId="11" applyFont="1" applyFill="1" applyBorder="1" applyAlignment="1">
      <alignment horizontal="right" vertical="center" wrapText="1"/>
    </xf>
    <xf numFmtId="0" fontId="15" fillId="4" borderId="12" xfId="7" applyFont="1" applyFill="1" applyBorder="1" applyAlignment="1">
      <alignment horizontal="center" vertical="center" wrapText="1"/>
    </xf>
    <xf numFmtId="0" fontId="15" fillId="4" borderId="1" xfId="7" applyFont="1" applyFill="1" applyBorder="1" applyAlignment="1">
      <alignment horizontal="center" vertical="center" wrapText="1"/>
    </xf>
    <xf numFmtId="0" fontId="17" fillId="4" borderId="14" xfId="7" applyFont="1" applyFill="1" applyBorder="1" applyAlignment="1">
      <alignment horizontal="center" vertical="center" wrapText="1"/>
    </xf>
    <xf numFmtId="0" fontId="17" fillId="4" borderId="6" xfId="7" applyFont="1" applyFill="1" applyBorder="1" applyAlignment="1">
      <alignment horizontal="center" vertical="center" wrapText="1"/>
    </xf>
    <xf numFmtId="43" fontId="16" fillId="8" borderId="1" xfId="11" applyFont="1" applyFill="1" applyBorder="1" applyAlignment="1">
      <alignment horizontal="right" vertical="center" wrapText="1"/>
    </xf>
    <xf numFmtId="43" fontId="16" fillId="0" borderId="5" xfId="11" applyFont="1" applyFill="1" applyBorder="1" applyAlignment="1">
      <alignment horizontal="center" vertical="center" wrapText="1"/>
    </xf>
    <xf numFmtId="43" fontId="16" fillId="0" borderId="2" xfId="11" applyFont="1" applyFill="1" applyBorder="1" applyAlignment="1">
      <alignment horizontal="center" vertical="center" wrapText="1"/>
    </xf>
    <xf numFmtId="43" fontId="16" fillId="0" borderId="11" xfId="11" applyFont="1" applyFill="1" applyBorder="1" applyAlignment="1">
      <alignment horizontal="center" vertical="center" wrapText="1"/>
    </xf>
    <xf numFmtId="43" fontId="16" fillId="0" borderId="6" xfId="11" applyFont="1" applyFill="1" applyBorder="1" applyAlignment="1">
      <alignment horizontal="center" vertical="center" wrapText="1"/>
    </xf>
    <xf numFmtId="43" fontId="16" fillId="0" borderId="14" xfId="11" applyFont="1" applyBorder="1" applyAlignment="1">
      <alignment horizontal="center" vertical="center" wrapText="1"/>
    </xf>
    <xf numFmtId="43" fontId="16" fillId="0" borderId="13" xfId="11" applyFont="1" applyFill="1" applyBorder="1" applyAlignment="1">
      <alignment horizontal="center" vertical="center" wrapText="1"/>
    </xf>
    <xf numFmtId="43" fontId="16" fillId="0" borderId="14" xfId="11" applyFont="1" applyFill="1" applyBorder="1" applyAlignment="1">
      <alignment horizontal="center" vertical="center" wrapText="1"/>
    </xf>
    <xf numFmtId="0" fontId="16" fillId="0" borderId="0" xfId="6" applyFont="1" applyAlignment="1">
      <alignment horizontal="left" wrapText="1"/>
    </xf>
    <xf numFmtId="0" fontId="16" fillId="0" borderId="0" xfId="7" applyFont="1" applyAlignment="1">
      <alignment horizontal="left" vertical="center" wrapText="1"/>
    </xf>
    <xf numFmtId="0" fontId="16" fillId="0" borderId="0" xfId="7" applyFont="1" applyAlignment="1">
      <alignment horizontal="center"/>
    </xf>
    <xf numFmtId="0" fontId="15" fillId="3" borderId="1" xfId="7" applyFont="1" applyFill="1" applyBorder="1" applyAlignment="1">
      <alignment horizontal="left" vertical="center" wrapText="1"/>
    </xf>
    <xf numFmtId="0" fontId="15" fillId="3" borderId="6" xfId="7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7" fillId="4" borderId="12" xfId="7" applyFont="1" applyFill="1" applyBorder="1" applyAlignment="1">
      <alignment horizontal="center" vertical="center" wrapText="1"/>
    </xf>
    <xf numFmtId="0" fontId="17" fillId="4" borderId="0" xfId="7" applyFont="1" applyFill="1" applyAlignment="1">
      <alignment horizontal="center" vertical="center" wrapText="1"/>
    </xf>
    <xf numFmtId="0" fontId="17" fillId="4" borderId="2" xfId="7" applyFont="1" applyFill="1" applyBorder="1" applyAlignment="1">
      <alignment horizontal="center" vertical="center" wrapText="1"/>
    </xf>
    <xf numFmtId="0" fontId="17" fillId="4" borderId="1" xfId="7" applyFont="1" applyFill="1" applyBorder="1" applyAlignment="1">
      <alignment horizontal="center" vertical="center" wrapText="1"/>
    </xf>
    <xf numFmtId="43" fontId="16" fillId="0" borderId="5" xfId="11" applyFont="1" applyBorder="1" applyAlignment="1">
      <alignment horizontal="right" vertical="center" wrapText="1"/>
    </xf>
    <xf numFmtId="43" fontId="16" fillId="0" borderId="0" xfId="11" applyFont="1" applyBorder="1" applyAlignment="1">
      <alignment horizontal="right" vertical="center" wrapText="1"/>
    </xf>
    <xf numFmtId="43" fontId="16" fillId="5" borderId="5" xfId="11" applyFont="1" applyFill="1" applyBorder="1" applyAlignment="1">
      <alignment horizontal="right" vertical="center" wrapText="1"/>
    </xf>
    <xf numFmtId="43" fontId="16" fillId="5" borderId="0" xfId="11" applyFont="1" applyFill="1" applyBorder="1" applyAlignment="1">
      <alignment horizontal="right" vertical="center" wrapText="1"/>
    </xf>
    <xf numFmtId="43" fontId="16" fillId="0" borderId="5" xfId="11" applyFont="1" applyFill="1" applyBorder="1" applyAlignment="1">
      <alignment horizontal="right"/>
    </xf>
    <xf numFmtId="43" fontId="16" fillId="0" borderId="2" xfId="11" applyFont="1" applyFill="1" applyBorder="1" applyAlignment="1">
      <alignment horizontal="right"/>
    </xf>
    <xf numFmtId="43" fontId="16" fillId="0" borderId="5" xfId="11" applyFont="1" applyBorder="1" applyAlignment="1">
      <alignment horizontal="right"/>
    </xf>
    <xf numFmtId="43" fontId="16" fillId="0" borderId="2" xfId="11" applyFont="1" applyBorder="1" applyAlignment="1">
      <alignment horizontal="right"/>
    </xf>
    <xf numFmtId="0" fontId="33" fillId="5" borderId="12" xfId="7" applyFont="1" applyFill="1" applyBorder="1" applyAlignment="1">
      <alignment horizontal="left" vertical="center" wrapText="1"/>
    </xf>
    <xf numFmtId="43" fontId="16" fillId="8" borderId="13" xfId="11" applyFont="1" applyFill="1" applyBorder="1" applyAlignment="1">
      <alignment horizontal="right" vertical="center" wrapText="1"/>
    </xf>
    <xf numFmtId="43" fontId="16" fillId="8" borderId="14" xfId="11" applyFont="1" applyFill="1" applyBorder="1" applyAlignment="1">
      <alignment horizontal="right" vertical="center" wrapText="1"/>
    </xf>
    <xf numFmtId="0" fontId="15" fillId="4" borderId="8" xfId="7" applyFont="1" applyFill="1" applyBorder="1" applyAlignment="1">
      <alignment horizontal="center" vertical="center" wrapText="1"/>
    </xf>
    <xf numFmtId="43" fontId="16" fillId="5" borderId="2" xfId="11" applyFont="1" applyFill="1" applyBorder="1" applyAlignment="1">
      <alignment horizontal="right" vertical="center" wrapText="1"/>
    </xf>
    <xf numFmtId="43" fontId="16" fillId="2" borderId="13" xfId="11" applyFont="1" applyFill="1" applyBorder="1" applyAlignment="1">
      <alignment horizontal="center"/>
    </xf>
    <xf numFmtId="43" fontId="16" fillId="2" borderId="14" xfId="11" applyFont="1" applyFill="1" applyBorder="1" applyAlignment="1">
      <alignment horizontal="center"/>
    </xf>
    <xf numFmtId="43" fontId="16" fillId="2" borderId="5" xfId="11" applyFont="1" applyFill="1" applyBorder="1" applyAlignment="1">
      <alignment horizontal="center"/>
    </xf>
    <xf numFmtId="43" fontId="16" fillId="2" borderId="0" xfId="11" applyFont="1" applyFill="1" applyBorder="1" applyAlignment="1">
      <alignment horizontal="center"/>
    </xf>
    <xf numFmtId="164" fontId="16" fillId="5" borderId="0" xfId="1" applyNumberFormat="1" applyFont="1" applyFill="1" applyAlignment="1">
      <alignment horizontal="center" vertical="center"/>
    </xf>
    <xf numFmtId="0" fontId="15" fillId="3" borderId="11" xfId="7" applyFont="1" applyFill="1" applyBorder="1" applyAlignment="1">
      <alignment horizontal="center" wrapText="1"/>
    </xf>
    <xf numFmtId="0" fontId="15" fillId="3" borderId="6" xfId="7" applyFont="1" applyFill="1" applyBorder="1" applyAlignment="1">
      <alignment horizontal="center" wrapText="1"/>
    </xf>
    <xf numFmtId="0" fontId="15" fillId="3" borderId="0" xfId="7" applyFont="1" applyFill="1" applyAlignment="1">
      <alignment horizontal="center" wrapText="1"/>
    </xf>
    <xf numFmtId="0" fontId="15" fillId="3" borderId="15" xfId="7" applyFont="1" applyFill="1" applyBorder="1" applyAlignment="1">
      <alignment vertical="center" wrapText="1"/>
    </xf>
    <xf numFmtId="0" fontId="15" fillId="3" borderId="8" xfId="7" applyFont="1" applyFill="1" applyBorder="1" applyAlignment="1">
      <alignment vertical="center" wrapText="1"/>
    </xf>
    <xf numFmtId="37" fontId="15" fillId="2" borderId="9" xfId="1" applyNumberFormat="1" applyFont="1" applyFill="1" applyBorder="1" applyAlignment="1">
      <alignment horizontal="center"/>
    </xf>
    <xf numFmtId="0" fontId="20" fillId="2" borderId="15" xfId="1" applyFont="1" applyFill="1" applyBorder="1" applyAlignment="1">
      <alignment horizontal="center"/>
    </xf>
    <xf numFmtId="0" fontId="16" fillId="5" borderId="15" xfId="7" applyFont="1" applyFill="1" applyBorder="1" applyAlignment="1">
      <alignment vertical="center" wrapText="1"/>
    </xf>
    <xf numFmtId="0" fontId="16" fillId="5" borderId="8" xfId="7" applyFont="1" applyFill="1" applyBorder="1" applyAlignment="1">
      <alignment vertical="center" wrapText="1"/>
    </xf>
    <xf numFmtId="164" fontId="16" fillId="0" borderId="9" xfId="7" applyNumberFormat="1" applyFont="1" applyBorder="1" applyAlignment="1">
      <alignment horizontal="right"/>
    </xf>
    <xf numFmtId="164" fontId="16" fillId="0" borderId="15" xfId="7" applyNumberFormat="1" applyFont="1" applyBorder="1" applyAlignment="1">
      <alignment horizontal="right"/>
    </xf>
    <xf numFmtId="164" fontId="16" fillId="0" borderId="8" xfId="7" applyNumberFormat="1" applyFont="1" applyBorder="1" applyAlignment="1">
      <alignment horizontal="right"/>
    </xf>
    <xf numFmtId="43" fontId="15" fillId="3" borderId="9" xfId="11" applyFont="1" applyFill="1" applyBorder="1" applyAlignment="1">
      <alignment horizontal="right"/>
    </xf>
    <xf numFmtId="43" fontId="15" fillId="3" borderId="8" xfId="11" applyFont="1" applyFill="1" applyBorder="1" applyAlignment="1">
      <alignment horizontal="right"/>
    </xf>
    <xf numFmtId="43" fontId="15" fillId="3" borderId="9" xfId="11" applyFont="1" applyFill="1" applyBorder="1" applyAlignment="1">
      <alignment horizontal="center"/>
    </xf>
    <xf numFmtId="43" fontId="15" fillId="3" borderId="8" xfId="11" applyFont="1" applyFill="1" applyBorder="1" applyAlignment="1">
      <alignment horizontal="center"/>
    </xf>
    <xf numFmtId="43" fontId="15" fillId="0" borderId="9" xfId="7" applyNumberFormat="1" applyFont="1" applyBorder="1" applyAlignment="1">
      <alignment horizontal="center" vertical="center" wrapText="1"/>
    </xf>
    <xf numFmtId="43" fontId="15" fillId="0" borderId="15" xfId="7" applyNumberFormat="1" applyFont="1" applyBorder="1" applyAlignment="1">
      <alignment horizontal="center" vertical="center" wrapText="1"/>
    </xf>
    <xf numFmtId="168" fontId="32" fillId="0" borderId="0" xfId="11" applyNumberFormat="1" applyFont="1" applyBorder="1" applyAlignment="1">
      <alignment horizontal="center" vertical="center" wrapText="1"/>
    </xf>
    <xf numFmtId="37" fontId="16" fillId="2" borderId="9" xfId="1" applyNumberFormat="1" applyFont="1" applyFill="1" applyBorder="1" applyAlignment="1">
      <alignment horizontal="center"/>
    </xf>
    <xf numFmtId="0" fontId="18" fillId="2" borderId="8" xfId="1" applyFont="1" applyFill="1" applyBorder="1" applyAlignment="1">
      <alignment horizontal="center"/>
    </xf>
    <xf numFmtId="43" fontId="16" fillId="0" borderId="13" xfId="11" applyFont="1" applyBorder="1" applyAlignment="1">
      <alignment horizontal="center"/>
    </xf>
    <xf numFmtId="43" fontId="16" fillId="0" borderId="14" xfId="11" applyFont="1" applyBorder="1" applyAlignment="1">
      <alignment horizontal="center"/>
    </xf>
    <xf numFmtId="43" fontId="16" fillId="0" borderId="12" xfId="11" applyFont="1" applyBorder="1" applyAlignment="1">
      <alignment horizontal="center"/>
    </xf>
    <xf numFmtId="43" fontId="16" fillId="0" borderId="0" xfId="11" applyFont="1" applyBorder="1" applyAlignment="1">
      <alignment horizontal="right"/>
    </xf>
    <xf numFmtId="43" fontId="16" fillId="0" borderId="1" xfId="11" applyFont="1" applyBorder="1" applyAlignment="1">
      <alignment horizontal="right"/>
    </xf>
    <xf numFmtId="43" fontId="15" fillId="3" borderId="9" xfId="11" applyFont="1" applyFill="1" applyBorder="1" applyAlignment="1">
      <alignment horizontal="center" vertical="center" wrapText="1"/>
    </xf>
    <xf numFmtId="43" fontId="15" fillId="3" borderId="15" xfId="11" applyFont="1" applyFill="1" applyBorder="1" applyAlignment="1">
      <alignment horizontal="center" vertical="center" wrapText="1"/>
    </xf>
    <xf numFmtId="0" fontId="16" fillId="5" borderId="12" xfId="7" applyFont="1" applyFill="1" applyBorder="1" applyAlignment="1" applyProtection="1">
      <alignment vertical="center"/>
      <protection locked="0"/>
    </xf>
    <xf numFmtId="0" fontId="16" fillId="5" borderId="14" xfId="7" applyFont="1" applyFill="1" applyBorder="1" applyAlignment="1" applyProtection="1">
      <alignment vertical="center"/>
      <protection locked="0"/>
    </xf>
    <xf numFmtId="43" fontId="15" fillId="3" borderId="8" xfId="11" applyFont="1" applyFill="1" applyBorder="1" applyAlignment="1">
      <alignment horizontal="center" vertical="center" wrapText="1"/>
    </xf>
    <xf numFmtId="0" fontId="16" fillId="5" borderId="0" xfId="7" applyFont="1" applyFill="1" applyAlignment="1" applyProtection="1">
      <alignment vertical="center"/>
      <protection locked="0"/>
    </xf>
    <xf numFmtId="0" fontId="16" fillId="5" borderId="2" xfId="7" applyFont="1" applyFill="1" applyBorder="1" applyAlignment="1" applyProtection="1">
      <alignment vertical="center"/>
      <protection locked="0"/>
    </xf>
    <xf numFmtId="0" fontId="16" fillId="5" borderId="0" xfId="7" applyFont="1" applyFill="1" applyAlignment="1" applyProtection="1">
      <alignment vertical="center" wrapText="1"/>
      <protection locked="0"/>
    </xf>
    <xf numFmtId="0" fontId="16" fillId="5" borderId="2" xfId="7" applyFont="1" applyFill="1" applyBorder="1" applyAlignment="1" applyProtection="1">
      <alignment vertical="center" wrapText="1"/>
      <protection locked="0"/>
    </xf>
    <xf numFmtId="0" fontId="16" fillId="5" borderId="1" xfId="7" applyFont="1" applyFill="1" applyBorder="1" applyAlignment="1" applyProtection="1">
      <alignment vertical="center"/>
      <protection locked="0"/>
    </xf>
    <xf numFmtId="0" fontId="16" fillId="5" borderId="6" xfId="7" applyFont="1" applyFill="1" applyBorder="1" applyAlignment="1" applyProtection="1">
      <alignment vertical="center"/>
      <protection locked="0"/>
    </xf>
    <xf numFmtId="0" fontId="15" fillId="3" borderId="12" xfId="7" applyFont="1" applyFill="1" applyBorder="1" applyAlignment="1">
      <alignment horizontal="left" vertical="center" wrapText="1"/>
    </xf>
    <xf numFmtId="0" fontId="15" fillId="3" borderId="14" xfId="7" applyFont="1" applyFill="1" applyBorder="1" applyAlignment="1">
      <alignment horizontal="left" vertical="center" wrapText="1"/>
    </xf>
    <xf numFmtId="0" fontId="16" fillId="5" borderId="0" xfId="7" applyFont="1" applyFill="1" applyAlignment="1">
      <alignment horizontal="left" vertical="top" wrapText="1"/>
    </xf>
    <xf numFmtId="43" fontId="15" fillId="5" borderId="5" xfId="11" applyFont="1" applyFill="1" applyBorder="1" applyAlignment="1">
      <alignment horizontal="right"/>
    </xf>
    <xf numFmtId="43" fontId="15" fillId="5" borderId="2" xfId="11" applyFont="1" applyFill="1" applyBorder="1" applyAlignment="1">
      <alignment horizontal="right"/>
    </xf>
    <xf numFmtId="0" fontId="16" fillId="5" borderId="1" xfId="1" applyFont="1" applyFill="1" applyBorder="1" applyAlignment="1">
      <alignment horizontal="left" vertical="center" wrapText="1"/>
    </xf>
    <xf numFmtId="0" fontId="16" fillId="5" borderId="6" xfId="1" applyFont="1" applyFill="1" applyBorder="1" applyAlignment="1">
      <alignment horizontal="left" vertical="center" wrapText="1"/>
    </xf>
    <xf numFmtId="0" fontId="16" fillId="5" borderId="0" xfId="1" applyFont="1" applyFill="1" applyAlignment="1">
      <alignment horizontal="left" vertical="center"/>
    </xf>
    <xf numFmtId="0" fontId="15" fillId="5" borderId="0" xfId="7" applyFont="1" applyFill="1" applyAlignment="1">
      <alignment horizontal="left" vertical="center" wrapText="1"/>
    </xf>
    <xf numFmtId="43" fontId="15" fillId="5" borderId="5" xfId="11" applyFont="1" applyFill="1" applyBorder="1" applyAlignment="1">
      <alignment horizontal="right" vertical="center" wrapText="1"/>
    </xf>
    <xf numFmtId="43" fontId="15" fillId="5" borderId="2" xfId="11" applyFont="1" applyFill="1" applyBorder="1" applyAlignment="1">
      <alignment horizontal="right" vertical="center" wrapText="1"/>
    </xf>
    <xf numFmtId="0" fontId="16" fillId="5" borderId="0" xfId="1" applyFont="1" applyFill="1" applyAlignment="1">
      <alignment horizontal="left" vertical="center" wrapText="1"/>
    </xf>
    <xf numFmtId="0" fontId="15" fillId="5" borderId="0" xfId="7" applyFont="1" applyFill="1" applyAlignment="1">
      <alignment horizontal="left" vertical="top" wrapText="1"/>
    </xf>
    <xf numFmtId="0" fontId="16" fillId="0" borderId="0" xfId="7" applyFont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43" fontId="15" fillId="5" borderId="13" xfId="11" applyFont="1" applyFill="1" applyBorder="1" applyAlignment="1">
      <alignment horizontal="right" vertical="center" wrapText="1"/>
    </xf>
    <xf numFmtId="43" fontId="15" fillId="5" borderId="14" xfId="11" applyFont="1" applyFill="1" applyBorder="1" applyAlignment="1">
      <alignment horizontal="right" vertical="center" wrapText="1"/>
    </xf>
    <xf numFmtId="43" fontId="15" fillId="5" borderId="13" xfId="11" applyFont="1" applyFill="1" applyBorder="1" applyAlignment="1">
      <alignment horizontal="right"/>
    </xf>
    <xf numFmtId="43" fontId="15" fillId="5" borderId="12" xfId="11" applyFont="1" applyFill="1" applyBorder="1" applyAlignment="1">
      <alignment horizontal="right"/>
    </xf>
    <xf numFmtId="43" fontId="15" fillId="5" borderId="14" xfId="11" applyFont="1" applyFill="1" applyBorder="1" applyAlignment="1">
      <alignment horizontal="right"/>
    </xf>
    <xf numFmtId="167" fontId="16" fillId="5" borderId="5" xfId="11" applyNumberFormat="1" applyFont="1" applyFill="1" applyBorder="1" applyAlignment="1">
      <alignment horizontal="right"/>
    </xf>
    <xf numFmtId="167" fontId="16" fillId="5" borderId="0" xfId="11" applyNumberFormat="1" applyFont="1" applyFill="1" applyBorder="1" applyAlignment="1">
      <alignment horizontal="right"/>
    </xf>
    <xf numFmtId="43" fontId="15" fillId="5" borderId="0" xfId="11" applyFont="1" applyFill="1" applyBorder="1" applyAlignment="1">
      <alignment horizontal="right"/>
    </xf>
    <xf numFmtId="0" fontId="18" fillId="2" borderId="15" xfId="1" applyFont="1" applyFill="1" applyBorder="1" applyAlignment="1">
      <alignment horizontal="center"/>
    </xf>
    <xf numFmtId="0" fontId="15" fillId="0" borderId="0" xfId="7" applyFont="1" applyAlignment="1">
      <alignment horizontal="center"/>
    </xf>
    <xf numFmtId="43" fontId="16" fillId="2" borderId="12" xfId="11" applyFont="1" applyFill="1" applyBorder="1" applyAlignment="1">
      <alignment horizontal="center"/>
    </xf>
    <xf numFmtId="0" fontId="8" fillId="0" borderId="0" xfId="7" applyFont="1" applyFill="1"/>
    <xf numFmtId="43" fontId="8" fillId="0" borderId="0" xfId="11" applyFont="1" applyFill="1"/>
    <xf numFmtId="43" fontId="8" fillId="0" borderId="0" xfId="11" applyFont="1" applyFill="1" applyAlignment="1">
      <alignment horizontal="right"/>
    </xf>
    <xf numFmtId="0" fontId="8" fillId="0" borderId="0" xfId="7" applyFont="1" applyFill="1" applyAlignment="1">
      <alignment horizontal="right"/>
    </xf>
    <xf numFmtId="43" fontId="8" fillId="0" borderId="0" xfId="7" applyNumberFormat="1" applyFont="1" applyFill="1"/>
    <xf numFmtId="43" fontId="8" fillId="0" borderId="0" xfId="11" applyFont="1" applyFill="1" applyBorder="1"/>
    <xf numFmtId="0" fontId="34" fillId="0" borderId="0" xfId="7" applyFont="1" applyFill="1" applyAlignment="1">
      <alignment horizontal="center" vertical="center" wrapText="1"/>
    </xf>
    <xf numFmtId="0" fontId="34" fillId="0" borderId="0" xfId="7" applyFont="1" applyFill="1" applyAlignment="1">
      <alignment vertical="center" wrapText="1"/>
    </xf>
    <xf numFmtId="0" fontId="6" fillId="0" borderId="0" xfId="7" applyFont="1" applyFill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6" fillId="0" borderId="0" xfId="7" applyFont="1" applyFill="1" applyAlignment="1">
      <alignment vertical="center" wrapText="1"/>
    </xf>
    <xf numFmtId="0" fontId="6" fillId="0" borderId="0" xfId="7" applyFont="1" applyFill="1" applyAlignment="1">
      <alignment horizontal="center" vertical="center" wrapText="1"/>
    </xf>
  </cellXfs>
  <cellStyles count="14">
    <cellStyle name="Normal" xfId="0" builtinId="0"/>
    <cellStyle name="Normal 2" xfId="1" xr:uid="{051C23F1-F937-4660-842D-5CF360A854B6}"/>
    <cellStyle name="Normal 2 2" xfId="2" xr:uid="{FB6102EE-4D35-4554-9002-C5E1A67EBE17}"/>
    <cellStyle name="Normal 3" xfId="3" xr:uid="{483AC46F-709A-4E91-983A-E9EADC8944D8}"/>
    <cellStyle name="Normal 4" xfId="4" xr:uid="{D13C0FF5-75F9-4A96-B797-DD2E5DB1D709}"/>
    <cellStyle name="Normal 4 2" xfId="5" xr:uid="{34329082-C1DC-41FB-97DD-9BD8FEEBFBA8}"/>
    <cellStyle name="Normal 4 2 2" xfId="6" xr:uid="{41071A43-88E0-4E22-BA48-C1D15A0C52F0}"/>
    <cellStyle name="Normal 4 2 3" xfId="7" xr:uid="{8185E7C8-8613-4AB7-BE6E-3CFF27E5AFB2}"/>
    <cellStyle name="Normal 5" xfId="8" xr:uid="{79CD84B2-AC4D-44D7-A516-725EFAFDC7F1}"/>
    <cellStyle name="Normal 6" xfId="9" xr:uid="{FA8373C7-647F-436E-9F84-B62703B8C43C}"/>
    <cellStyle name="Separador de milhares 2" xfId="10" xr:uid="{7FB0EF22-3327-41FD-A667-699FBF05723A}"/>
    <cellStyle name="Vírgula" xfId="11" builtinId="3"/>
    <cellStyle name="Vírgula 2" xfId="12" xr:uid="{0874E58C-7E6E-45CA-A199-023FA3F80DC8}"/>
    <cellStyle name="Vírgula 3" xfId="13" xr:uid="{B8FCD18F-EF7A-41B2-98E3-9F0483B176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941616</xdr:colOff>
      <xdr:row>0</xdr:row>
      <xdr:rowOff>140154</xdr:rowOff>
    </xdr:from>
    <xdr:to>
      <xdr:col>7</xdr:col>
      <xdr:colOff>436791</xdr:colOff>
      <xdr:row>3</xdr:row>
      <xdr:rowOff>197304</xdr:rowOff>
    </xdr:to>
    <xdr:pic>
      <xdr:nvPicPr>
        <xdr:cNvPr id="2407" name="Picture 1">
          <a:extLst>
            <a:ext uri="{FF2B5EF4-FFF2-40B4-BE49-F238E27FC236}">
              <a16:creationId xmlns:a16="http://schemas.microsoft.com/office/drawing/2014/main" id="{13B68296-E564-2CF2-0EE5-56C2F0C6F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4509" y="140154"/>
          <a:ext cx="692603" cy="6694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888546</xdr:colOff>
      <xdr:row>78</xdr:row>
      <xdr:rowOff>112939</xdr:rowOff>
    </xdr:from>
    <xdr:to>
      <xdr:col>7</xdr:col>
      <xdr:colOff>374196</xdr:colOff>
      <xdr:row>81</xdr:row>
      <xdr:rowOff>189139</xdr:rowOff>
    </xdr:to>
    <xdr:pic>
      <xdr:nvPicPr>
        <xdr:cNvPr id="2408" name="Picture 1">
          <a:extLst>
            <a:ext uri="{FF2B5EF4-FFF2-40B4-BE49-F238E27FC236}">
              <a16:creationId xmlns:a16="http://schemas.microsoft.com/office/drawing/2014/main" id="{0A27EDC2-15B1-9B73-9F46-8E91D796B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7510" y="15665903"/>
          <a:ext cx="683079" cy="6885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877663</xdr:colOff>
      <xdr:row>162</xdr:row>
      <xdr:rowOff>91168</xdr:rowOff>
    </xdr:from>
    <xdr:to>
      <xdr:col>7</xdr:col>
      <xdr:colOff>363313</xdr:colOff>
      <xdr:row>165</xdr:row>
      <xdr:rowOff>167368</xdr:rowOff>
    </xdr:to>
    <xdr:pic>
      <xdr:nvPicPr>
        <xdr:cNvPr id="2409" name="Picture 1">
          <a:extLst>
            <a:ext uri="{FF2B5EF4-FFF2-40B4-BE49-F238E27FC236}">
              <a16:creationId xmlns:a16="http://schemas.microsoft.com/office/drawing/2014/main" id="{5FC6D1C9-F76F-3628-0620-ED977956B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7" y="34925454"/>
          <a:ext cx="683079" cy="6885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97961-94EC-4EB2-AC03-9EA6C206E0A1}">
  <dimension ref="A1:L123"/>
  <sheetViews>
    <sheetView showGridLines="0" zoomScaleNormal="100" workbookViewId="0">
      <selection activeCell="B33" sqref="B33"/>
    </sheetView>
  </sheetViews>
  <sheetFormatPr defaultColWidth="9.140625" defaultRowHeight="11.25" customHeight="1" x14ac:dyDescent="0.2"/>
  <cols>
    <col min="1" max="1" width="59.28515625" style="127" customWidth="1"/>
    <col min="2" max="2" width="10.7109375" style="127" customWidth="1"/>
    <col min="3" max="3" width="12.7109375" style="127" customWidth="1"/>
    <col min="4" max="5" width="11.7109375" style="127" customWidth="1"/>
    <col min="6" max="6" width="10.7109375" style="127" customWidth="1"/>
    <col min="7" max="8" width="11.7109375" style="127" customWidth="1"/>
    <col min="9" max="9" width="10.7109375" style="127" customWidth="1"/>
    <col min="10" max="11" width="11.7109375" style="127" customWidth="1"/>
    <col min="12" max="12" width="10.7109375" style="127" customWidth="1"/>
    <col min="13" max="13" width="13.85546875" style="127" customWidth="1"/>
    <col min="14" max="14" width="18.5703125" style="127" customWidth="1"/>
    <col min="15" max="15" width="6.5703125" style="127" customWidth="1"/>
    <col min="16" max="17" width="15.42578125" style="127" customWidth="1"/>
    <col min="18" max="18" width="22" style="127" customWidth="1"/>
    <col min="19" max="19" width="13.42578125" style="127" customWidth="1"/>
    <col min="20" max="16384" width="9.140625" style="127"/>
  </cols>
  <sheetData>
    <row r="1" spans="1:12" ht="15.75" x14ac:dyDescent="0.25">
      <c r="A1" s="130" t="s">
        <v>0</v>
      </c>
    </row>
    <row r="2" spans="1:12" ht="11.25" customHeight="1" x14ac:dyDescent="0.2">
      <c r="A2" s="129"/>
    </row>
    <row r="3" spans="1:12" ht="11.25" customHeight="1" x14ac:dyDescent="0.2">
      <c r="A3" s="305" t="s">
        <v>1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</row>
    <row r="4" spans="1:12" ht="11.25" customHeight="1" x14ac:dyDescent="0.2">
      <c r="A4" s="306" t="s">
        <v>2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</row>
    <row r="5" spans="1:12" ht="11.25" customHeight="1" x14ac:dyDescent="0.2">
      <c r="A5" s="307" t="s">
        <v>3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</row>
    <row r="6" spans="1:12" ht="11.25" customHeight="1" x14ac:dyDescent="0.2">
      <c r="A6" s="305" t="s">
        <v>4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</row>
    <row r="7" spans="1:12" ht="11.25" customHeight="1" x14ac:dyDescent="0.2">
      <c r="A7" s="306" t="s">
        <v>5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</row>
    <row r="8" spans="1:12" ht="11.25" customHeight="1" x14ac:dyDescent="0.2">
      <c r="A8" s="24"/>
      <c r="B8" s="24"/>
      <c r="C8" s="24"/>
      <c r="D8" s="24"/>
      <c r="E8" s="24"/>
      <c r="F8" s="24"/>
      <c r="G8" s="24"/>
      <c r="H8" s="24"/>
      <c r="I8" s="126"/>
      <c r="J8" s="126"/>
      <c r="K8" s="126"/>
    </row>
    <row r="9" spans="1:12" ht="11.25" customHeight="1" x14ac:dyDescent="0.2">
      <c r="A9" s="128" t="s">
        <v>6</v>
      </c>
      <c r="E9" s="25"/>
      <c r="H9" s="26"/>
      <c r="I9" s="126"/>
      <c r="J9" s="2"/>
      <c r="L9" s="2" t="s">
        <v>7</v>
      </c>
    </row>
    <row r="10" spans="1:12" ht="11.25" customHeight="1" x14ac:dyDescent="0.2">
      <c r="A10" s="27"/>
      <c r="B10" s="274" t="s">
        <v>8</v>
      </c>
      <c r="C10" s="275"/>
      <c r="D10" s="274" t="s">
        <v>9</v>
      </c>
      <c r="E10" s="275"/>
      <c r="F10" s="278" t="s">
        <v>10</v>
      </c>
      <c r="G10" s="279"/>
      <c r="H10" s="279"/>
      <c r="I10" s="279"/>
      <c r="J10" s="279"/>
      <c r="K10" s="280"/>
      <c r="L10" s="28" t="s">
        <v>11</v>
      </c>
    </row>
    <row r="11" spans="1:12" ht="12.75" customHeight="1" x14ac:dyDescent="0.2">
      <c r="A11" s="29" t="s">
        <v>12</v>
      </c>
      <c r="B11" s="276"/>
      <c r="C11" s="277"/>
      <c r="D11" s="276"/>
      <c r="E11" s="277"/>
      <c r="F11" s="281" t="s">
        <v>13</v>
      </c>
      <c r="G11" s="282"/>
      <c r="H11" s="30" t="s">
        <v>14</v>
      </c>
      <c r="I11" s="283" t="s">
        <v>15</v>
      </c>
      <c r="J11" s="284"/>
      <c r="K11" s="113" t="s">
        <v>14</v>
      </c>
      <c r="L11" s="31"/>
    </row>
    <row r="12" spans="1:12" ht="11.25" customHeight="1" x14ac:dyDescent="0.2">
      <c r="A12" s="32"/>
      <c r="B12" s="33"/>
      <c r="C12" s="34"/>
      <c r="D12" s="272" t="s">
        <v>16</v>
      </c>
      <c r="E12" s="273"/>
      <c r="F12" s="272" t="s">
        <v>17</v>
      </c>
      <c r="G12" s="273"/>
      <c r="H12" s="35" t="s">
        <v>18</v>
      </c>
      <c r="I12" s="272" t="s">
        <v>19</v>
      </c>
      <c r="J12" s="273"/>
      <c r="K12" s="114" t="s">
        <v>20</v>
      </c>
      <c r="L12" s="36" t="s">
        <v>21</v>
      </c>
    </row>
    <row r="13" spans="1:12" ht="12.75" x14ac:dyDescent="0.2">
      <c r="A13" s="46" t="s">
        <v>22</v>
      </c>
      <c r="B13" s="18"/>
      <c r="C13" s="42"/>
      <c r="F13" s="18"/>
      <c r="G13" s="43"/>
      <c r="H13" s="17"/>
      <c r="I13" s="44"/>
      <c r="J13" s="42"/>
      <c r="K13" s="41"/>
      <c r="L13" s="41"/>
    </row>
    <row r="14" spans="1:12" ht="12.75" x14ac:dyDescent="0.2">
      <c r="A14" s="47" t="s">
        <v>23</v>
      </c>
      <c r="B14" s="48"/>
      <c r="C14" s="49"/>
      <c r="D14" s="287"/>
      <c r="E14" s="288"/>
      <c r="F14" s="48"/>
      <c r="G14" s="50"/>
      <c r="H14" s="51"/>
      <c r="I14" s="52"/>
      <c r="J14" s="49"/>
      <c r="K14" s="53"/>
      <c r="L14" s="53"/>
    </row>
    <row r="15" spans="1:12" ht="12.75" x14ac:dyDescent="0.2">
      <c r="A15" s="54" t="s">
        <v>24</v>
      </c>
      <c r="B15" s="38"/>
      <c r="C15" s="55"/>
      <c r="D15" s="14"/>
      <c r="F15" s="38"/>
      <c r="G15" s="39"/>
      <c r="H15" s="38"/>
      <c r="I15" s="40"/>
      <c r="J15" s="37"/>
      <c r="K15" s="56"/>
      <c r="L15" s="57"/>
    </row>
    <row r="16" spans="1:12" ht="12.75" x14ac:dyDescent="0.2">
      <c r="A16" s="16" t="s">
        <v>25</v>
      </c>
      <c r="B16" s="18"/>
      <c r="C16" s="58"/>
      <c r="D16" s="6"/>
      <c r="F16" s="18"/>
      <c r="G16" s="43"/>
      <c r="H16" s="18"/>
      <c r="I16" s="44"/>
      <c r="J16" s="42"/>
      <c r="K16" s="59"/>
      <c r="L16" s="60"/>
    </row>
    <row r="17" spans="1:12" ht="12.75" x14ac:dyDescent="0.2">
      <c r="A17" s="16" t="s">
        <v>26</v>
      </c>
      <c r="B17" s="18"/>
      <c r="C17" s="58"/>
      <c r="D17" s="6"/>
      <c r="F17" s="18"/>
      <c r="G17" s="43"/>
      <c r="H17" s="18"/>
      <c r="I17" s="44"/>
      <c r="J17" s="42"/>
      <c r="K17" s="59"/>
      <c r="L17" s="60"/>
    </row>
    <row r="18" spans="1:12" ht="12.75" x14ac:dyDescent="0.2">
      <c r="A18" s="108" t="s">
        <v>27</v>
      </c>
      <c r="B18" s="18"/>
      <c r="C18" s="58"/>
      <c r="D18" s="6"/>
      <c r="F18" s="18"/>
      <c r="G18" s="43"/>
      <c r="H18" s="18"/>
      <c r="I18" s="44"/>
      <c r="J18" s="42"/>
      <c r="K18" s="59"/>
      <c r="L18" s="60"/>
    </row>
    <row r="19" spans="1:12" ht="12.75" x14ac:dyDescent="0.2">
      <c r="A19" s="16" t="s">
        <v>28</v>
      </c>
      <c r="B19" s="18"/>
      <c r="C19" s="58"/>
      <c r="D19" s="6"/>
      <c r="F19" s="18"/>
      <c r="G19" s="43"/>
      <c r="H19" s="18"/>
      <c r="I19" s="44"/>
      <c r="J19" s="42"/>
      <c r="K19" s="59"/>
      <c r="L19" s="60"/>
    </row>
    <row r="20" spans="1:12" ht="12.75" x14ac:dyDescent="0.2">
      <c r="A20" s="16" t="s">
        <v>26</v>
      </c>
      <c r="B20" s="18"/>
      <c r="C20" s="58"/>
      <c r="D20" s="6"/>
      <c r="F20" s="18"/>
      <c r="G20" s="43"/>
      <c r="H20" s="18"/>
      <c r="I20" s="44"/>
      <c r="J20" s="42"/>
      <c r="K20" s="59"/>
      <c r="L20" s="60"/>
    </row>
    <row r="21" spans="1:12" ht="12.75" x14ac:dyDescent="0.2">
      <c r="A21" s="108" t="s">
        <v>27</v>
      </c>
      <c r="B21" s="61"/>
      <c r="C21" s="62"/>
      <c r="D21" s="12"/>
      <c r="F21" s="61"/>
      <c r="G21" s="63"/>
      <c r="H21" s="61"/>
      <c r="I21" s="64"/>
      <c r="J21" s="65"/>
      <c r="K21" s="122"/>
      <c r="L21" s="66"/>
    </row>
    <row r="22" spans="1:12" ht="12.75" x14ac:dyDescent="0.2">
      <c r="A22" s="47" t="s">
        <v>29</v>
      </c>
      <c r="B22" s="297"/>
      <c r="C22" s="298"/>
      <c r="D22" s="302"/>
      <c r="E22" s="302"/>
      <c r="F22" s="297"/>
      <c r="G22" s="298"/>
      <c r="H22" s="103"/>
      <c r="I22" s="303" t="s">
        <v>30</v>
      </c>
      <c r="J22" s="304"/>
      <c r="K22" s="67"/>
      <c r="L22" s="67"/>
    </row>
    <row r="23" spans="1:12" ht="15" customHeight="1" x14ac:dyDescent="0.2">
      <c r="A23" s="47" t="s">
        <v>31</v>
      </c>
      <c r="B23" s="294"/>
      <c r="C23" s="296"/>
      <c r="D23" s="294"/>
      <c r="E23" s="296"/>
      <c r="F23" s="294"/>
      <c r="G23" s="296"/>
      <c r="H23" s="68"/>
      <c r="I23" s="297" t="s">
        <v>32</v>
      </c>
      <c r="J23" s="298"/>
      <c r="K23" s="68"/>
      <c r="L23" s="68"/>
    </row>
    <row r="24" spans="1:12" ht="12.75" x14ac:dyDescent="0.2">
      <c r="A24" s="69" t="s">
        <v>33</v>
      </c>
      <c r="B24" s="117"/>
      <c r="C24" s="70"/>
      <c r="D24" s="300"/>
      <c r="E24" s="301"/>
      <c r="F24" s="300"/>
      <c r="G24" s="301"/>
      <c r="H24" s="117"/>
      <c r="I24" s="71"/>
      <c r="J24" s="70"/>
      <c r="K24" s="117"/>
      <c r="L24" s="72"/>
    </row>
    <row r="25" spans="1:12" ht="12.75" x14ac:dyDescent="0.2">
      <c r="A25" s="73" t="s">
        <v>34</v>
      </c>
      <c r="B25" s="297"/>
      <c r="C25" s="298"/>
      <c r="D25" s="10"/>
      <c r="E25" s="9"/>
      <c r="F25" s="292"/>
      <c r="G25" s="299"/>
      <c r="H25" s="74"/>
      <c r="I25" s="75"/>
      <c r="J25" s="123"/>
      <c r="K25" s="74"/>
      <c r="L25" s="74"/>
    </row>
    <row r="26" spans="1:12" ht="12.75" x14ac:dyDescent="0.2">
      <c r="A26" s="76" t="s">
        <v>35</v>
      </c>
      <c r="B26" s="287"/>
      <c r="C26" s="288"/>
      <c r="D26" s="297"/>
      <c r="E26" s="298"/>
      <c r="F26" s="118"/>
      <c r="G26" s="119"/>
      <c r="H26" s="74"/>
      <c r="I26" s="292"/>
      <c r="J26" s="293"/>
      <c r="K26" s="74"/>
      <c r="L26" s="74"/>
    </row>
    <row r="27" spans="1:12" ht="12.75" x14ac:dyDescent="0.2">
      <c r="A27" s="77" t="s">
        <v>36</v>
      </c>
      <c r="B27" s="294"/>
      <c r="C27" s="295"/>
      <c r="D27" s="287"/>
      <c r="E27" s="288"/>
      <c r="F27" s="294"/>
      <c r="G27" s="296"/>
      <c r="H27" s="74"/>
      <c r="I27" s="75"/>
      <c r="J27" s="123"/>
      <c r="K27" s="74"/>
      <c r="L27" s="74"/>
    </row>
    <row r="28" spans="1:12" ht="12.75" x14ac:dyDescent="0.2">
      <c r="A28" s="6"/>
      <c r="L28" s="3"/>
    </row>
    <row r="29" spans="1:12" ht="14.25" customHeight="1" x14ac:dyDescent="0.2">
      <c r="A29" s="78"/>
      <c r="B29" s="79" t="s">
        <v>37</v>
      </c>
      <c r="C29" s="79" t="s">
        <v>37</v>
      </c>
      <c r="D29" s="278" t="s">
        <v>38</v>
      </c>
      <c r="E29" s="279"/>
      <c r="F29" s="19" t="s">
        <v>11</v>
      </c>
      <c r="G29" s="278" t="s">
        <v>39</v>
      </c>
      <c r="H29" s="280"/>
      <c r="I29" s="19" t="s">
        <v>11</v>
      </c>
      <c r="J29" s="285" t="s">
        <v>40</v>
      </c>
      <c r="K29" s="266" t="s">
        <v>41</v>
      </c>
      <c r="L29" s="267"/>
    </row>
    <row r="30" spans="1:12" ht="14.25" customHeight="1" x14ac:dyDescent="0.2">
      <c r="A30" s="80" t="s">
        <v>42</v>
      </c>
      <c r="B30" s="15" t="s">
        <v>43</v>
      </c>
      <c r="C30" s="15" t="s">
        <v>44</v>
      </c>
      <c r="D30" s="81" t="s">
        <v>45</v>
      </c>
      <c r="E30" s="81" t="s">
        <v>46</v>
      </c>
      <c r="F30" s="21"/>
      <c r="G30" s="81" t="s">
        <v>45</v>
      </c>
      <c r="H30" s="21" t="s">
        <v>46</v>
      </c>
      <c r="I30" s="21"/>
      <c r="J30" s="286"/>
      <c r="K30" s="268"/>
      <c r="L30" s="269"/>
    </row>
    <row r="31" spans="1:12" ht="14.25" customHeight="1" x14ac:dyDescent="0.2">
      <c r="A31" s="21"/>
      <c r="B31" s="15"/>
      <c r="C31" s="15"/>
      <c r="D31" s="21" t="s">
        <v>47</v>
      </c>
      <c r="E31" s="21" t="s">
        <v>47</v>
      </c>
      <c r="F31" s="21"/>
      <c r="G31" s="21" t="s">
        <v>47</v>
      </c>
      <c r="H31" s="21" t="s">
        <v>47</v>
      </c>
      <c r="I31" s="21"/>
      <c r="J31" s="286"/>
      <c r="K31" s="268"/>
      <c r="L31" s="269"/>
    </row>
    <row r="32" spans="1:12" ht="12.75" customHeight="1" x14ac:dyDescent="0.2">
      <c r="A32" s="82"/>
      <c r="B32" s="20" t="s">
        <v>48</v>
      </c>
      <c r="C32" s="20" t="s">
        <v>49</v>
      </c>
      <c r="D32" s="83"/>
      <c r="E32" s="20" t="s">
        <v>50</v>
      </c>
      <c r="F32" s="22" t="s">
        <v>51</v>
      </c>
      <c r="G32" s="83"/>
      <c r="H32" s="20" t="s">
        <v>52</v>
      </c>
      <c r="I32" s="20" t="s">
        <v>53</v>
      </c>
      <c r="J32" s="20" t="s">
        <v>54</v>
      </c>
      <c r="K32" s="270"/>
      <c r="L32" s="271"/>
    </row>
    <row r="33" spans="1:12" ht="12.75" x14ac:dyDescent="0.2">
      <c r="A33" s="84" t="s">
        <v>22</v>
      </c>
      <c r="B33" s="61"/>
      <c r="C33" s="61"/>
      <c r="D33" s="85"/>
      <c r="E33" s="61"/>
      <c r="F33" s="86"/>
      <c r="G33" s="122"/>
      <c r="H33" s="122"/>
      <c r="I33" s="122"/>
      <c r="J33" s="4"/>
      <c r="K33" s="6"/>
      <c r="L33" s="3"/>
    </row>
    <row r="34" spans="1:12" ht="12.75" x14ac:dyDescent="0.2">
      <c r="A34" s="8" t="s">
        <v>55</v>
      </c>
      <c r="B34" s="8"/>
      <c r="C34" s="8"/>
      <c r="D34" s="8"/>
      <c r="E34" s="115" t="s">
        <v>56</v>
      </c>
      <c r="F34" s="8"/>
      <c r="G34" s="8"/>
      <c r="H34" s="115" t="s">
        <v>57</v>
      </c>
      <c r="I34" s="104"/>
      <c r="J34" s="115" t="s">
        <v>58</v>
      </c>
      <c r="K34" s="287"/>
      <c r="L34" s="288"/>
    </row>
    <row r="35" spans="1:12" ht="12.75" x14ac:dyDescent="0.2">
      <c r="A35" s="8" t="s">
        <v>59</v>
      </c>
      <c r="B35" s="116"/>
      <c r="C35" s="116"/>
      <c r="D35" s="116"/>
      <c r="E35" s="104" t="s">
        <v>60</v>
      </c>
      <c r="F35" s="116"/>
      <c r="G35" s="116"/>
      <c r="H35" s="104" t="s">
        <v>61</v>
      </c>
      <c r="I35" s="116"/>
      <c r="J35" s="115" t="s">
        <v>62</v>
      </c>
      <c r="K35" s="289"/>
      <c r="L35" s="289"/>
    </row>
    <row r="36" spans="1:12" ht="12.75" x14ac:dyDescent="0.2">
      <c r="A36" s="102" t="s">
        <v>63</v>
      </c>
      <c r="B36" s="102"/>
      <c r="C36" s="102"/>
      <c r="D36" s="102"/>
      <c r="E36" s="102"/>
      <c r="F36" s="105"/>
      <c r="G36" s="72"/>
      <c r="H36" s="72"/>
      <c r="I36" s="106"/>
      <c r="J36" s="102"/>
      <c r="K36" s="290"/>
      <c r="L36" s="291"/>
    </row>
    <row r="37" spans="1:12" ht="12.75" x14ac:dyDescent="0.2">
      <c r="A37" s="8" t="s">
        <v>64</v>
      </c>
      <c r="B37" s="8"/>
      <c r="C37" s="8"/>
      <c r="D37" s="121"/>
      <c r="E37" s="121"/>
      <c r="F37" s="115"/>
      <c r="G37" s="121"/>
      <c r="H37" s="121"/>
      <c r="I37" s="115"/>
      <c r="J37" s="121"/>
      <c r="K37" s="263"/>
      <c r="L37" s="263"/>
    </row>
    <row r="38" spans="1:12" ht="12.75" customHeight="1" x14ac:dyDescent="0.2">
      <c r="A38" s="265" t="s">
        <v>65</v>
      </c>
      <c r="B38" s="265"/>
      <c r="C38" s="265"/>
      <c r="D38" s="265"/>
      <c r="E38" s="265"/>
      <c r="F38" s="265"/>
      <c r="G38" s="265"/>
      <c r="H38" s="265"/>
      <c r="I38" s="265"/>
      <c r="J38" s="265"/>
      <c r="K38" s="264"/>
    </row>
    <row r="39" spans="1:12" ht="13.5" customHeight="1" x14ac:dyDescent="0.2">
      <c r="A39" s="264" t="s">
        <v>66</v>
      </c>
      <c r="B39" s="264"/>
      <c r="C39" s="264"/>
      <c r="D39" s="264"/>
      <c r="E39" s="264"/>
      <c r="F39" s="264"/>
      <c r="G39" s="264"/>
      <c r="H39" s="264"/>
      <c r="I39" s="120"/>
      <c r="J39" s="120"/>
      <c r="K39" s="120"/>
    </row>
    <row r="40" spans="1:12" ht="12.75" customHeight="1" x14ac:dyDescent="0.2">
      <c r="A40" s="264" t="s">
        <v>67</v>
      </c>
      <c r="B40" s="264"/>
      <c r="C40" s="264"/>
      <c r="D40" s="120"/>
      <c r="E40" s="120"/>
      <c r="F40" s="120"/>
      <c r="G40" s="120"/>
      <c r="H40" s="120"/>
      <c r="I40" s="120"/>
      <c r="J40" s="120"/>
      <c r="K40" s="120"/>
    </row>
    <row r="41" spans="1:12" ht="12.75" customHeight="1" x14ac:dyDescent="0.2">
      <c r="A41" s="120" t="s">
        <v>68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</row>
    <row r="42" spans="1:12" ht="12.75" customHeight="1" x14ac:dyDescent="0.2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</row>
    <row r="43" spans="1:12" ht="11.25" customHeight="1" x14ac:dyDescent="0.2">
      <c r="A43" s="87"/>
      <c r="B43" s="274" t="s">
        <v>8</v>
      </c>
      <c r="C43" s="275"/>
      <c r="D43" s="274" t="s">
        <v>9</v>
      </c>
      <c r="E43" s="275"/>
      <c r="F43" s="278" t="s">
        <v>10</v>
      </c>
      <c r="G43" s="279"/>
      <c r="H43" s="279"/>
      <c r="I43" s="279"/>
      <c r="J43" s="279"/>
      <c r="K43" s="280"/>
      <c r="L43" s="28" t="s">
        <v>11</v>
      </c>
    </row>
    <row r="44" spans="1:12" ht="11.25" customHeight="1" x14ac:dyDescent="0.2">
      <c r="A44" s="88" t="s">
        <v>69</v>
      </c>
      <c r="B44" s="276"/>
      <c r="C44" s="277"/>
      <c r="D44" s="276"/>
      <c r="E44" s="277"/>
      <c r="F44" s="281" t="s">
        <v>13</v>
      </c>
      <c r="G44" s="282"/>
      <c r="H44" s="30" t="s">
        <v>14</v>
      </c>
      <c r="I44" s="283" t="s">
        <v>15</v>
      </c>
      <c r="J44" s="284"/>
      <c r="K44" s="113" t="s">
        <v>14</v>
      </c>
      <c r="L44" s="31"/>
    </row>
    <row r="45" spans="1:12" ht="11.25" customHeight="1" x14ac:dyDescent="0.2">
      <c r="A45" s="89"/>
      <c r="B45" s="33"/>
      <c r="C45" s="34"/>
      <c r="D45" s="272" t="s">
        <v>16</v>
      </c>
      <c r="E45" s="273"/>
      <c r="F45" s="272" t="s">
        <v>17</v>
      </c>
      <c r="G45" s="273"/>
      <c r="H45" s="35" t="s">
        <v>18</v>
      </c>
      <c r="I45" s="272" t="s">
        <v>19</v>
      </c>
      <c r="J45" s="273"/>
      <c r="K45" s="114" t="s">
        <v>20</v>
      </c>
      <c r="L45" s="36" t="s">
        <v>21</v>
      </c>
    </row>
    <row r="46" spans="1:12" ht="11.25" customHeight="1" x14ac:dyDescent="0.2">
      <c r="A46" s="54" t="s">
        <v>70</v>
      </c>
      <c r="B46" s="55"/>
      <c r="C46" s="37"/>
      <c r="D46" s="55"/>
      <c r="E46" s="90"/>
      <c r="F46" s="38"/>
      <c r="G46" s="39"/>
      <c r="H46" s="55"/>
      <c r="I46" s="40"/>
      <c r="J46" s="37"/>
      <c r="K46" s="5"/>
      <c r="L46" s="3"/>
    </row>
    <row r="47" spans="1:12" ht="11.25" customHeight="1" x14ac:dyDescent="0.2">
      <c r="A47" s="16" t="s">
        <v>71</v>
      </c>
      <c r="B47" s="120"/>
      <c r="C47" s="91"/>
      <c r="D47" s="120"/>
      <c r="E47" s="120"/>
      <c r="F47" s="23"/>
      <c r="G47" s="91"/>
      <c r="H47" s="120"/>
      <c r="I47" s="23"/>
      <c r="J47" s="91"/>
      <c r="K47" s="4"/>
      <c r="L47" s="3"/>
    </row>
    <row r="48" spans="1:12" ht="11.25" customHeight="1" x14ac:dyDescent="0.2">
      <c r="A48" s="92" t="s">
        <v>72</v>
      </c>
      <c r="B48" s="120"/>
      <c r="C48" s="91"/>
      <c r="D48" s="120"/>
      <c r="E48" s="120"/>
      <c r="F48" s="23"/>
      <c r="G48" s="91"/>
      <c r="H48" s="120"/>
      <c r="I48" s="23"/>
      <c r="J48" s="91"/>
      <c r="K48" s="4"/>
      <c r="L48" s="3"/>
    </row>
    <row r="49" spans="1:12" ht="11.25" customHeight="1" x14ac:dyDescent="0.2">
      <c r="A49" s="16" t="s">
        <v>73</v>
      </c>
      <c r="B49" s="120"/>
      <c r="C49" s="91"/>
      <c r="D49" s="120"/>
      <c r="E49" s="120"/>
      <c r="F49" s="23"/>
      <c r="G49" s="91"/>
      <c r="H49" s="120"/>
      <c r="I49" s="23"/>
      <c r="J49" s="91"/>
      <c r="K49" s="4"/>
      <c r="L49" s="3"/>
    </row>
    <row r="50" spans="1:12" ht="11.25" customHeight="1" x14ac:dyDescent="0.2">
      <c r="A50" s="16" t="s">
        <v>74</v>
      </c>
      <c r="B50" s="120"/>
      <c r="C50" s="91"/>
      <c r="D50" s="120"/>
      <c r="E50" s="120"/>
      <c r="F50" s="23"/>
      <c r="G50" s="91"/>
      <c r="H50" s="120"/>
      <c r="I50" s="23"/>
      <c r="J50" s="91"/>
      <c r="K50" s="4"/>
      <c r="L50" s="3"/>
    </row>
    <row r="51" spans="1:12" ht="11.25" customHeight="1" x14ac:dyDescent="0.2">
      <c r="A51" s="16" t="s">
        <v>75</v>
      </c>
      <c r="B51" s="120"/>
      <c r="C51" s="91"/>
      <c r="D51" s="120"/>
      <c r="E51" s="120"/>
      <c r="F51" s="23"/>
      <c r="G51" s="91"/>
      <c r="H51" s="120"/>
      <c r="I51" s="23"/>
      <c r="J51" s="91"/>
      <c r="K51" s="4"/>
      <c r="L51" s="3"/>
    </row>
    <row r="52" spans="1:12" ht="11.25" customHeight="1" x14ac:dyDescent="0.2">
      <c r="A52" s="92" t="s">
        <v>76</v>
      </c>
      <c r="B52" s="120"/>
      <c r="C52" s="91"/>
      <c r="D52" s="120"/>
      <c r="E52" s="120"/>
      <c r="F52" s="23"/>
      <c r="G52" s="91"/>
      <c r="H52" s="120"/>
      <c r="I52" s="23"/>
      <c r="J52" s="91"/>
      <c r="K52" s="4"/>
      <c r="L52" s="3"/>
    </row>
    <row r="53" spans="1:12" ht="11.25" customHeight="1" x14ac:dyDescent="0.2">
      <c r="A53" s="16" t="s">
        <v>77</v>
      </c>
      <c r="B53" s="120"/>
      <c r="C53" s="91"/>
      <c r="D53" s="120"/>
      <c r="E53" s="120"/>
      <c r="F53" s="23"/>
      <c r="G53" s="91"/>
      <c r="H53" s="120"/>
      <c r="I53" s="23"/>
      <c r="J53" s="91"/>
      <c r="K53" s="4"/>
      <c r="L53" s="3"/>
    </row>
    <row r="54" spans="1:12" ht="11.25" customHeight="1" x14ac:dyDescent="0.2">
      <c r="A54" s="16" t="s">
        <v>78</v>
      </c>
      <c r="B54" s="120"/>
      <c r="C54" s="91"/>
      <c r="D54" s="120"/>
      <c r="E54" s="120"/>
      <c r="F54" s="23"/>
      <c r="G54" s="91"/>
      <c r="H54" s="120"/>
      <c r="I54" s="23"/>
      <c r="J54" s="91"/>
      <c r="K54" s="4"/>
      <c r="L54" s="3"/>
    </row>
    <row r="55" spans="1:12" ht="25.5" x14ac:dyDescent="0.2">
      <c r="A55" s="93" t="s">
        <v>79</v>
      </c>
      <c r="B55" s="120"/>
      <c r="C55" s="91"/>
      <c r="D55" s="120"/>
      <c r="E55" s="120"/>
      <c r="F55" s="23"/>
      <c r="G55" s="91"/>
      <c r="H55" s="120"/>
      <c r="I55" s="23"/>
      <c r="J55" s="91"/>
      <c r="K55" s="4"/>
      <c r="L55" s="3"/>
    </row>
    <row r="56" spans="1:12" ht="12.75" x14ac:dyDescent="0.2">
      <c r="A56" s="45" t="s">
        <v>80</v>
      </c>
      <c r="B56" s="120"/>
      <c r="C56" s="91"/>
      <c r="D56" s="120"/>
      <c r="E56" s="120"/>
      <c r="F56" s="23"/>
      <c r="G56" s="91"/>
      <c r="H56" s="120"/>
      <c r="I56" s="23"/>
      <c r="J56" s="91"/>
      <c r="K56" s="4"/>
      <c r="L56" s="3"/>
    </row>
    <row r="57" spans="1:12" ht="11.25" customHeight="1" x14ac:dyDescent="0.2">
      <c r="A57" s="16" t="s">
        <v>81</v>
      </c>
      <c r="B57" s="120"/>
      <c r="C57" s="91"/>
      <c r="D57" s="120"/>
      <c r="E57" s="120"/>
      <c r="F57" s="23"/>
      <c r="G57" s="91"/>
      <c r="H57" s="120"/>
      <c r="I57" s="23"/>
      <c r="J57" s="91"/>
      <c r="K57" s="4"/>
      <c r="L57" s="3"/>
    </row>
    <row r="58" spans="1:12" ht="11.25" customHeight="1" x14ac:dyDescent="0.2">
      <c r="A58" s="16" t="s">
        <v>82</v>
      </c>
      <c r="B58" s="120"/>
      <c r="C58" s="91"/>
      <c r="D58" s="120"/>
      <c r="E58" s="120"/>
      <c r="F58" s="23"/>
      <c r="G58" s="91"/>
      <c r="H58" s="120"/>
      <c r="I58" s="23"/>
      <c r="J58" s="91"/>
      <c r="K58" s="4"/>
      <c r="L58" s="3"/>
    </row>
    <row r="59" spans="1:12" ht="11.25" customHeight="1" x14ac:dyDescent="0.2">
      <c r="A59" s="16" t="s">
        <v>83</v>
      </c>
      <c r="B59" s="120"/>
      <c r="C59" s="91"/>
      <c r="D59" s="120"/>
      <c r="E59" s="120"/>
      <c r="F59" s="23"/>
      <c r="G59" s="91"/>
      <c r="H59" s="120"/>
      <c r="I59" s="23"/>
      <c r="J59" s="91"/>
      <c r="K59" s="4"/>
      <c r="L59" s="3"/>
    </row>
    <row r="60" spans="1:12" ht="25.5" x14ac:dyDescent="0.2">
      <c r="A60" s="45" t="s">
        <v>84</v>
      </c>
      <c r="B60" s="120"/>
      <c r="C60" s="91"/>
      <c r="D60" s="120"/>
      <c r="E60" s="120"/>
      <c r="F60" s="23"/>
      <c r="G60" s="91"/>
      <c r="H60" s="120"/>
      <c r="I60" s="23"/>
      <c r="J60" s="91"/>
      <c r="K60" s="4"/>
      <c r="L60" s="3"/>
    </row>
    <row r="61" spans="1:12" ht="11.25" customHeight="1" x14ac:dyDescent="0.2">
      <c r="A61" s="16" t="s">
        <v>85</v>
      </c>
      <c r="B61" s="120"/>
      <c r="C61" s="91"/>
      <c r="D61" s="120"/>
      <c r="E61" s="120"/>
      <c r="F61" s="23"/>
      <c r="G61" s="91"/>
      <c r="H61" s="120"/>
      <c r="I61" s="23"/>
      <c r="J61" s="91"/>
      <c r="K61" s="4"/>
      <c r="L61" s="3"/>
    </row>
    <row r="62" spans="1:12" ht="11.25" customHeight="1" x14ac:dyDescent="0.2">
      <c r="A62" s="16" t="s">
        <v>86</v>
      </c>
      <c r="B62" s="120"/>
      <c r="C62" s="91"/>
      <c r="D62" s="120"/>
      <c r="E62" s="120"/>
      <c r="F62" s="23"/>
      <c r="G62" s="91"/>
      <c r="H62" s="120"/>
      <c r="I62" s="23"/>
      <c r="J62" s="91"/>
      <c r="K62" s="4"/>
      <c r="L62" s="3"/>
    </row>
    <row r="63" spans="1:12" ht="11.25" customHeight="1" x14ac:dyDescent="0.2">
      <c r="A63" s="16" t="s">
        <v>87</v>
      </c>
      <c r="B63" s="120"/>
      <c r="C63" s="91"/>
      <c r="D63" s="120"/>
      <c r="E63" s="120"/>
      <c r="F63" s="23"/>
      <c r="G63" s="91"/>
      <c r="H63" s="120"/>
      <c r="I63" s="23"/>
      <c r="J63" s="91"/>
      <c r="K63" s="4"/>
      <c r="L63" s="3"/>
    </row>
    <row r="64" spans="1:12" ht="11.25" customHeight="1" x14ac:dyDescent="0.2">
      <c r="A64" s="16" t="s">
        <v>88</v>
      </c>
      <c r="B64" s="120"/>
      <c r="C64" s="91"/>
      <c r="D64" s="120"/>
      <c r="E64" s="120"/>
      <c r="F64" s="23"/>
      <c r="G64" s="91"/>
      <c r="H64" s="120"/>
      <c r="I64" s="23"/>
      <c r="J64" s="91"/>
      <c r="K64" s="4"/>
      <c r="L64" s="3"/>
    </row>
    <row r="65" spans="1:12" ht="11.25" customHeight="1" x14ac:dyDescent="0.2">
      <c r="A65" s="16" t="s">
        <v>89</v>
      </c>
      <c r="B65" s="120"/>
      <c r="C65" s="91"/>
      <c r="D65" s="120"/>
      <c r="E65" s="120"/>
      <c r="F65" s="23"/>
      <c r="G65" s="91"/>
      <c r="H65" s="120"/>
      <c r="I65" s="23"/>
      <c r="J65" s="91"/>
      <c r="K65" s="4"/>
      <c r="L65" s="3"/>
    </row>
    <row r="66" spans="1:12" ht="11.25" customHeight="1" x14ac:dyDescent="0.2">
      <c r="A66" s="16" t="s">
        <v>90</v>
      </c>
      <c r="B66" s="120"/>
      <c r="C66" s="91"/>
      <c r="D66" s="120"/>
      <c r="E66" s="120"/>
      <c r="F66" s="23"/>
      <c r="G66" s="91"/>
      <c r="H66" s="120"/>
      <c r="I66" s="23"/>
      <c r="J66" s="91"/>
      <c r="K66" s="4"/>
      <c r="L66" s="3"/>
    </row>
    <row r="67" spans="1:12" ht="11.25" customHeight="1" x14ac:dyDescent="0.2">
      <c r="A67" s="16" t="s">
        <v>91</v>
      </c>
      <c r="B67" s="120"/>
      <c r="C67" s="91"/>
      <c r="D67" s="120"/>
      <c r="E67" s="120"/>
      <c r="F67" s="23"/>
      <c r="G67" s="91"/>
      <c r="H67" s="120"/>
      <c r="I67" s="23"/>
      <c r="J67" s="91"/>
      <c r="K67" s="4"/>
      <c r="L67" s="3"/>
    </row>
    <row r="68" spans="1:12" ht="11.25" customHeight="1" x14ac:dyDescent="0.2">
      <c r="A68" s="16" t="s">
        <v>92</v>
      </c>
      <c r="B68" s="120"/>
      <c r="C68" s="91"/>
      <c r="D68" s="120"/>
      <c r="E68" s="120"/>
      <c r="F68" s="23"/>
      <c r="G68" s="91"/>
      <c r="H68" s="120"/>
      <c r="I68" s="23"/>
      <c r="J68" s="91"/>
      <c r="K68" s="4"/>
      <c r="L68" s="3"/>
    </row>
    <row r="69" spans="1:12" ht="11.25" customHeight="1" x14ac:dyDescent="0.2">
      <c r="A69" s="16" t="s">
        <v>93</v>
      </c>
      <c r="B69" s="120"/>
      <c r="C69" s="91"/>
      <c r="D69" s="120"/>
      <c r="E69" s="120"/>
      <c r="F69" s="23"/>
      <c r="G69" s="91"/>
      <c r="H69" s="120"/>
      <c r="I69" s="23"/>
      <c r="J69" s="91"/>
      <c r="K69" s="4"/>
      <c r="L69" s="3"/>
    </row>
    <row r="70" spans="1:12" ht="11.25" customHeight="1" x14ac:dyDescent="0.2">
      <c r="A70" s="16" t="s">
        <v>94</v>
      </c>
      <c r="B70" s="120"/>
      <c r="C70" s="91"/>
      <c r="D70" s="120"/>
      <c r="E70" s="120"/>
      <c r="F70" s="23"/>
      <c r="G70" s="91"/>
      <c r="H70" s="120"/>
      <c r="I70" s="23"/>
      <c r="J70" s="91"/>
      <c r="K70" s="4"/>
      <c r="L70" s="3"/>
    </row>
    <row r="71" spans="1:12" ht="11.25" customHeight="1" x14ac:dyDescent="0.2">
      <c r="A71" s="16" t="s">
        <v>95</v>
      </c>
      <c r="B71" s="120"/>
      <c r="C71" s="91"/>
      <c r="D71" s="120"/>
      <c r="E71" s="120"/>
      <c r="F71" s="23"/>
      <c r="G71" s="91"/>
      <c r="H71" s="120"/>
      <c r="I71" s="23"/>
      <c r="J71" s="91"/>
      <c r="K71" s="4"/>
      <c r="L71" s="3"/>
    </row>
    <row r="72" spans="1:12" ht="11.25" customHeight="1" x14ac:dyDescent="0.2">
      <c r="A72" s="16" t="s">
        <v>96</v>
      </c>
      <c r="B72" s="120"/>
      <c r="C72" s="91"/>
      <c r="D72" s="120"/>
      <c r="E72" s="120"/>
      <c r="F72" s="23"/>
      <c r="G72" s="91"/>
      <c r="H72" s="120"/>
      <c r="I72" s="23"/>
      <c r="J72" s="91"/>
      <c r="K72" s="4"/>
      <c r="L72" s="3"/>
    </row>
    <row r="73" spans="1:12" ht="11.25" customHeight="1" x14ac:dyDescent="0.2">
      <c r="A73" s="16" t="s">
        <v>97</v>
      </c>
      <c r="B73" s="120"/>
      <c r="C73" s="91"/>
      <c r="D73" s="120"/>
      <c r="E73" s="120"/>
      <c r="F73" s="23"/>
      <c r="G73" s="91"/>
      <c r="H73" s="120"/>
      <c r="I73" s="23"/>
      <c r="J73" s="91"/>
      <c r="K73" s="4"/>
      <c r="L73" s="3"/>
    </row>
    <row r="74" spans="1:12" ht="11.25" customHeight="1" x14ac:dyDescent="0.2">
      <c r="A74" s="16" t="s">
        <v>98</v>
      </c>
      <c r="B74" s="120"/>
      <c r="C74" s="91"/>
      <c r="D74" s="120"/>
      <c r="E74" s="120"/>
      <c r="F74" s="23"/>
      <c r="G74" s="91"/>
      <c r="H74" s="120"/>
      <c r="I74" s="23"/>
      <c r="J74" s="91"/>
      <c r="K74" s="4"/>
      <c r="L74" s="3"/>
    </row>
    <row r="75" spans="1:12" ht="11.25" customHeight="1" x14ac:dyDescent="0.2">
      <c r="A75" s="16" t="s">
        <v>99</v>
      </c>
      <c r="B75" s="120"/>
      <c r="C75" s="91"/>
      <c r="D75" s="120"/>
      <c r="E75" s="120"/>
      <c r="F75" s="23"/>
      <c r="G75" s="91"/>
      <c r="H75" s="120"/>
      <c r="I75" s="23"/>
      <c r="J75" s="91"/>
      <c r="K75" s="4"/>
      <c r="L75" s="3"/>
    </row>
    <row r="76" spans="1:12" ht="11.25" customHeight="1" x14ac:dyDescent="0.2">
      <c r="A76" s="16" t="s">
        <v>100</v>
      </c>
      <c r="B76" s="120"/>
      <c r="C76" s="91"/>
      <c r="D76" s="120"/>
      <c r="E76" s="120"/>
      <c r="F76" s="23"/>
      <c r="G76" s="91"/>
      <c r="H76" s="120"/>
      <c r="I76" s="23"/>
      <c r="J76" s="91"/>
      <c r="K76" s="4"/>
      <c r="L76" s="3"/>
    </row>
    <row r="77" spans="1:12" ht="11.25" customHeight="1" x14ac:dyDescent="0.2">
      <c r="A77" s="16" t="s">
        <v>101</v>
      </c>
      <c r="B77" s="120"/>
      <c r="C77" s="91"/>
      <c r="D77" s="120"/>
      <c r="E77" s="120"/>
      <c r="F77" s="23"/>
      <c r="G77" s="91"/>
      <c r="H77" s="120"/>
      <c r="I77" s="23"/>
      <c r="J77" s="91"/>
      <c r="K77" s="4"/>
      <c r="L77" s="3"/>
    </row>
    <row r="78" spans="1:12" ht="11.25" customHeight="1" x14ac:dyDescent="0.2">
      <c r="A78" s="16" t="s">
        <v>102</v>
      </c>
      <c r="B78" s="120"/>
      <c r="C78" s="91"/>
      <c r="D78" s="120"/>
      <c r="E78" s="120"/>
      <c r="F78" s="23"/>
      <c r="G78" s="91"/>
      <c r="H78" s="120"/>
      <c r="I78" s="23"/>
      <c r="J78" s="91"/>
      <c r="K78" s="4"/>
      <c r="L78" s="3"/>
    </row>
    <row r="79" spans="1:12" ht="11.25" customHeight="1" x14ac:dyDescent="0.2">
      <c r="A79" s="16" t="s">
        <v>103</v>
      </c>
      <c r="B79" s="120"/>
      <c r="C79" s="91"/>
      <c r="D79" s="120"/>
      <c r="E79" s="120"/>
      <c r="F79" s="23"/>
      <c r="G79" s="91"/>
      <c r="H79" s="120"/>
      <c r="I79" s="23"/>
      <c r="J79" s="91"/>
      <c r="K79" s="4"/>
      <c r="L79" s="3"/>
    </row>
    <row r="80" spans="1:12" ht="11.25" customHeight="1" x14ac:dyDescent="0.2">
      <c r="A80" s="16" t="s">
        <v>104</v>
      </c>
      <c r="B80" s="120"/>
      <c r="C80" s="91"/>
      <c r="D80" s="120"/>
      <c r="E80" s="120"/>
      <c r="F80" s="23"/>
      <c r="G80" s="91"/>
      <c r="H80" s="120"/>
      <c r="I80" s="23"/>
      <c r="J80" s="91"/>
      <c r="K80" s="4"/>
      <c r="L80" s="3"/>
    </row>
    <row r="81" spans="1:12" ht="11.25" customHeight="1" x14ac:dyDescent="0.2">
      <c r="A81" s="94" t="s">
        <v>105</v>
      </c>
      <c r="B81" s="120"/>
      <c r="C81" s="91"/>
      <c r="D81" s="120"/>
      <c r="E81" s="120"/>
      <c r="F81" s="23"/>
      <c r="G81" s="91"/>
      <c r="H81" s="120"/>
      <c r="I81" s="23"/>
      <c r="J81" s="91"/>
      <c r="K81" s="4"/>
      <c r="L81" s="3"/>
    </row>
    <row r="82" spans="1:12" ht="11.25" customHeight="1" x14ac:dyDescent="0.2">
      <c r="A82" s="16" t="s">
        <v>106</v>
      </c>
      <c r="B82" s="120"/>
      <c r="C82" s="91"/>
      <c r="D82" s="120"/>
      <c r="E82" s="120"/>
      <c r="F82" s="23"/>
      <c r="G82" s="91"/>
      <c r="H82" s="120"/>
      <c r="I82" s="23"/>
      <c r="J82" s="91"/>
      <c r="K82" s="4"/>
      <c r="L82" s="3"/>
    </row>
    <row r="83" spans="1:12" ht="11.25" customHeight="1" x14ac:dyDescent="0.2">
      <c r="A83" s="16" t="s">
        <v>107</v>
      </c>
      <c r="B83" s="120"/>
      <c r="C83" s="91"/>
      <c r="D83" s="120"/>
      <c r="E83" s="120"/>
      <c r="F83" s="23"/>
      <c r="G83" s="91"/>
      <c r="H83" s="120"/>
      <c r="I83" s="23"/>
      <c r="J83" s="91"/>
      <c r="K83" s="4"/>
      <c r="L83" s="3"/>
    </row>
    <row r="84" spans="1:12" ht="11.25" customHeight="1" x14ac:dyDescent="0.2">
      <c r="A84" s="16" t="s">
        <v>108</v>
      </c>
      <c r="B84" s="120"/>
      <c r="C84" s="91"/>
      <c r="D84" s="120"/>
      <c r="E84" s="120"/>
      <c r="F84" s="23"/>
      <c r="G84" s="91"/>
      <c r="H84" s="120"/>
      <c r="I84" s="23"/>
      <c r="J84" s="91"/>
      <c r="K84" s="4"/>
      <c r="L84" s="3"/>
    </row>
    <row r="85" spans="1:12" ht="11.25" customHeight="1" x14ac:dyDescent="0.2">
      <c r="A85" s="16" t="s">
        <v>109</v>
      </c>
      <c r="B85" s="120"/>
      <c r="C85" s="91"/>
      <c r="D85" s="120"/>
      <c r="E85" s="120"/>
      <c r="F85" s="23"/>
      <c r="G85" s="91"/>
      <c r="H85" s="120"/>
      <c r="I85" s="23"/>
      <c r="J85" s="91"/>
      <c r="K85" s="4"/>
      <c r="L85" s="3"/>
    </row>
    <row r="86" spans="1:12" ht="11.25" customHeight="1" x14ac:dyDescent="0.2">
      <c r="A86" s="45" t="s">
        <v>110</v>
      </c>
      <c r="B86" s="120"/>
      <c r="C86" s="91"/>
      <c r="D86" s="120"/>
      <c r="E86" s="120"/>
      <c r="F86" s="23"/>
      <c r="G86" s="91"/>
      <c r="H86" s="120"/>
      <c r="I86" s="23"/>
      <c r="J86" s="91"/>
      <c r="K86" s="4"/>
      <c r="L86" s="3"/>
    </row>
    <row r="87" spans="1:12" ht="11.25" customHeight="1" x14ac:dyDescent="0.2">
      <c r="A87" s="16" t="s">
        <v>111</v>
      </c>
      <c r="B87" s="120"/>
      <c r="C87" s="91"/>
      <c r="D87" s="120"/>
      <c r="E87" s="120"/>
      <c r="F87" s="23"/>
      <c r="G87" s="91"/>
      <c r="H87" s="120"/>
      <c r="I87" s="23"/>
      <c r="J87" s="91"/>
      <c r="K87" s="4"/>
      <c r="L87" s="3"/>
    </row>
    <row r="88" spans="1:12" ht="11.25" customHeight="1" x14ac:dyDescent="0.2">
      <c r="A88" s="16" t="s">
        <v>112</v>
      </c>
      <c r="B88" s="120"/>
      <c r="C88" s="91"/>
      <c r="D88" s="120"/>
      <c r="E88" s="120"/>
      <c r="F88" s="23"/>
      <c r="G88" s="91"/>
      <c r="H88" s="120"/>
      <c r="I88" s="23"/>
      <c r="J88" s="91"/>
      <c r="K88" s="4"/>
      <c r="L88" s="3"/>
    </row>
    <row r="89" spans="1:12" ht="11.25" customHeight="1" x14ac:dyDescent="0.2">
      <c r="A89" s="16" t="s">
        <v>113</v>
      </c>
      <c r="B89" s="120"/>
      <c r="C89" s="91"/>
      <c r="D89" s="120"/>
      <c r="E89" s="120"/>
      <c r="F89" s="23"/>
      <c r="G89" s="91"/>
      <c r="H89" s="120"/>
      <c r="I89" s="23"/>
      <c r="J89" s="91"/>
      <c r="K89" s="4"/>
      <c r="L89" s="3"/>
    </row>
    <row r="90" spans="1:12" ht="11.25" customHeight="1" x14ac:dyDescent="0.2">
      <c r="A90" s="16" t="s">
        <v>114</v>
      </c>
      <c r="B90" s="120"/>
      <c r="C90" s="91"/>
      <c r="D90" s="120"/>
      <c r="E90" s="120"/>
      <c r="F90" s="23"/>
      <c r="G90" s="91"/>
      <c r="H90" s="120"/>
      <c r="I90" s="23"/>
      <c r="J90" s="91"/>
      <c r="K90" s="4"/>
      <c r="L90" s="3"/>
    </row>
    <row r="91" spans="1:12" ht="11.25" customHeight="1" x14ac:dyDescent="0.2">
      <c r="A91" s="16" t="s">
        <v>115</v>
      </c>
      <c r="B91" s="120"/>
      <c r="C91" s="91"/>
      <c r="D91" s="120"/>
      <c r="E91" s="120"/>
      <c r="F91" s="23"/>
      <c r="G91" s="91"/>
      <c r="H91" s="120"/>
      <c r="I91" s="23"/>
      <c r="J91" s="91"/>
      <c r="K91" s="4"/>
      <c r="L91" s="3"/>
    </row>
    <row r="92" spans="1:12" ht="11.25" customHeight="1" x14ac:dyDescent="0.2">
      <c r="A92" s="16" t="s">
        <v>116</v>
      </c>
      <c r="B92" s="120"/>
      <c r="C92" s="91"/>
      <c r="D92" s="120"/>
      <c r="E92" s="120"/>
      <c r="F92" s="23"/>
      <c r="G92" s="91"/>
      <c r="H92" s="120"/>
      <c r="I92" s="23"/>
      <c r="J92" s="91"/>
      <c r="K92" s="4"/>
      <c r="L92" s="3"/>
    </row>
    <row r="93" spans="1:12" ht="11.25" customHeight="1" x14ac:dyDescent="0.2">
      <c r="A93" s="16" t="s">
        <v>117</v>
      </c>
      <c r="B93" s="120"/>
      <c r="C93" s="91"/>
      <c r="D93" s="120"/>
      <c r="E93" s="120"/>
      <c r="F93" s="23"/>
      <c r="G93" s="91"/>
      <c r="H93" s="120"/>
      <c r="I93" s="23"/>
      <c r="J93" s="91"/>
      <c r="K93" s="4"/>
      <c r="L93" s="3"/>
    </row>
    <row r="94" spans="1:12" ht="11.25" customHeight="1" x14ac:dyDescent="0.2">
      <c r="A94" s="16" t="s">
        <v>118</v>
      </c>
      <c r="B94" s="120"/>
      <c r="C94" s="91"/>
      <c r="D94" s="120"/>
      <c r="E94" s="120"/>
      <c r="F94" s="23"/>
      <c r="G94" s="91"/>
      <c r="H94" s="120"/>
      <c r="I94" s="23"/>
      <c r="J94" s="91"/>
      <c r="K94" s="4"/>
      <c r="L94" s="3"/>
    </row>
    <row r="95" spans="1:12" ht="11.25" customHeight="1" x14ac:dyDescent="0.2">
      <c r="A95" s="16" t="s">
        <v>119</v>
      </c>
      <c r="B95" s="120"/>
      <c r="C95" s="91"/>
      <c r="D95" s="120"/>
      <c r="E95" s="120"/>
      <c r="F95" s="23"/>
      <c r="G95" s="91"/>
      <c r="H95" s="120"/>
      <c r="I95" s="23"/>
      <c r="J95" s="91"/>
      <c r="K95" s="4"/>
      <c r="L95" s="3"/>
    </row>
    <row r="96" spans="1:12" ht="11.25" customHeight="1" x14ac:dyDescent="0.2">
      <c r="A96" s="16" t="s">
        <v>120</v>
      </c>
      <c r="B96" s="120"/>
      <c r="C96" s="91"/>
      <c r="D96" s="120"/>
      <c r="E96" s="120"/>
      <c r="F96" s="23"/>
      <c r="G96" s="91"/>
      <c r="H96" s="120"/>
      <c r="I96" s="23"/>
      <c r="J96" s="91"/>
      <c r="K96" s="4"/>
      <c r="L96" s="3"/>
    </row>
    <row r="97" spans="1:12" ht="11.25" customHeight="1" x14ac:dyDescent="0.2">
      <c r="A97" s="16" t="s">
        <v>121</v>
      </c>
      <c r="B97" s="120"/>
      <c r="C97" s="91"/>
      <c r="D97" s="120"/>
      <c r="E97" s="120"/>
      <c r="F97" s="23"/>
      <c r="G97" s="91"/>
      <c r="H97" s="120"/>
      <c r="I97" s="23"/>
      <c r="J97" s="91"/>
      <c r="K97" s="4"/>
      <c r="L97" s="3"/>
    </row>
    <row r="98" spans="1:12" ht="11.25" customHeight="1" x14ac:dyDescent="0.2">
      <c r="A98" s="16" t="s">
        <v>99</v>
      </c>
      <c r="B98" s="120"/>
      <c r="C98" s="91"/>
      <c r="D98" s="120"/>
      <c r="E98" s="120"/>
      <c r="F98" s="23"/>
      <c r="G98" s="91"/>
      <c r="H98" s="120"/>
      <c r="I98" s="23"/>
      <c r="J98" s="91"/>
      <c r="K98" s="4"/>
      <c r="L98" s="3"/>
    </row>
    <row r="99" spans="1:12" ht="11.25" customHeight="1" x14ac:dyDescent="0.2">
      <c r="A99" s="16" t="s">
        <v>100</v>
      </c>
      <c r="B99" s="120"/>
      <c r="C99" s="91"/>
      <c r="D99" s="120"/>
      <c r="E99" s="120"/>
      <c r="F99" s="23"/>
      <c r="G99" s="91"/>
      <c r="H99" s="120"/>
      <c r="I99" s="23"/>
      <c r="J99" s="91"/>
      <c r="K99" s="4"/>
      <c r="L99" s="3"/>
    </row>
    <row r="100" spans="1:12" ht="11.25" customHeight="1" x14ac:dyDescent="0.2">
      <c r="A100" s="16" t="s">
        <v>101</v>
      </c>
      <c r="B100" s="120"/>
      <c r="C100" s="91"/>
      <c r="D100" s="120"/>
      <c r="E100" s="120"/>
      <c r="F100" s="23"/>
      <c r="G100" s="91"/>
      <c r="H100" s="120"/>
      <c r="I100" s="23"/>
      <c r="J100" s="91"/>
      <c r="K100" s="4"/>
      <c r="L100" s="3"/>
    </row>
    <row r="101" spans="1:12" ht="11.25" customHeight="1" x14ac:dyDescent="0.2">
      <c r="A101" s="46" t="s">
        <v>102</v>
      </c>
      <c r="B101" s="120"/>
      <c r="C101" s="91"/>
      <c r="D101" s="120"/>
      <c r="E101" s="120"/>
      <c r="F101" s="23"/>
      <c r="G101" s="91"/>
      <c r="H101" s="120"/>
      <c r="I101" s="23"/>
      <c r="J101" s="91"/>
      <c r="K101" s="4"/>
      <c r="L101" s="3"/>
    </row>
    <row r="102" spans="1:12" ht="12.75" customHeight="1" x14ac:dyDescent="0.2">
      <c r="A102" s="46" t="s">
        <v>103</v>
      </c>
      <c r="B102" s="120"/>
      <c r="C102" s="91"/>
      <c r="D102" s="120"/>
      <c r="E102" s="120"/>
      <c r="F102" s="23"/>
      <c r="G102" s="91"/>
      <c r="H102" s="120"/>
      <c r="I102" s="23"/>
      <c r="J102" s="91"/>
      <c r="K102" s="4"/>
      <c r="L102" s="3"/>
    </row>
    <row r="103" spans="1:12" ht="11.25" customHeight="1" x14ac:dyDescent="0.2">
      <c r="A103" s="16" t="s">
        <v>104</v>
      </c>
      <c r="B103" s="120"/>
      <c r="C103" s="91"/>
      <c r="D103" s="120"/>
      <c r="E103" s="120"/>
      <c r="F103" s="23"/>
      <c r="G103" s="91"/>
      <c r="H103" s="120"/>
      <c r="I103" s="23"/>
      <c r="J103" s="91"/>
      <c r="K103" s="4"/>
      <c r="L103" s="3"/>
    </row>
    <row r="104" spans="1:12" ht="14.25" customHeight="1" x14ac:dyDescent="0.2">
      <c r="A104" s="46" t="s">
        <v>122</v>
      </c>
      <c r="B104" s="120"/>
      <c r="C104" s="91"/>
      <c r="D104" s="120"/>
      <c r="E104" s="120"/>
      <c r="F104" s="23"/>
      <c r="G104" s="91"/>
      <c r="H104" s="120"/>
      <c r="I104" s="23"/>
      <c r="J104" s="91"/>
      <c r="K104" s="4"/>
      <c r="L104" s="3"/>
    </row>
    <row r="105" spans="1:12" ht="11.25" customHeight="1" x14ac:dyDescent="0.2">
      <c r="A105" s="92" t="s">
        <v>123</v>
      </c>
      <c r="B105" s="120"/>
      <c r="C105" s="91"/>
      <c r="D105" s="120"/>
      <c r="E105" s="120"/>
      <c r="F105" s="23"/>
      <c r="G105" s="91"/>
      <c r="H105" s="120"/>
      <c r="I105" s="23"/>
      <c r="J105" s="91"/>
      <c r="K105" s="4"/>
      <c r="L105" s="3"/>
    </row>
    <row r="106" spans="1:12" ht="11.25" customHeight="1" x14ac:dyDescent="0.2">
      <c r="A106" s="92" t="s">
        <v>124</v>
      </c>
      <c r="B106" s="120"/>
      <c r="C106" s="91"/>
      <c r="D106" s="120"/>
      <c r="E106" s="120"/>
      <c r="F106" s="23"/>
      <c r="G106" s="91"/>
      <c r="H106" s="120"/>
      <c r="I106" s="23"/>
      <c r="J106" s="91"/>
      <c r="K106" s="4"/>
      <c r="L106" s="3"/>
    </row>
    <row r="107" spans="1:12" ht="12.75" x14ac:dyDescent="0.2">
      <c r="A107" s="93" t="s">
        <v>125</v>
      </c>
      <c r="B107" s="120"/>
      <c r="C107" s="91"/>
      <c r="D107" s="120"/>
      <c r="E107" s="120"/>
      <c r="F107" s="23"/>
      <c r="G107" s="91"/>
      <c r="H107" s="120"/>
      <c r="I107" s="23"/>
      <c r="J107" s="91"/>
      <c r="K107" s="4"/>
      <c r="L107" s="3"/>
    </row>
    <row r="108" spans="1:12" ht="12.75" x14ac:dyDescent="0.2">
      <c r="A108" s="93" t="s">
        <v>126</v>
      </c>
      <c r="B108" s="120"/>
      <c r="C108" s="91"/>
      <c r="D108" s="120"/>
      <c r="E108" s="120"/>
      <c r="F108" s="23"/>
      <c r="G108" s="91"/>
      <c r="H108" s="120"/>
      <c r="I108" s="23"/>
      <c r="J108" s="91"/>
      <c r="K108" s="4"/>
      <c r="L108" s="3"/>
    </row>
    <row r="109" spans="1:12" ht="12.75" x14ac:dyDescent="0.2">
      <c r="A109" s="95" t="s">
        <v>127</v>
      </c>
      <c r="B109" s="96"/>
      <c r="C109" s="97"/>
      <c r="D109" s="96"/>
      <c r="E109" s="96"/>
      <c r="F109" s="98"/>
      <c r="G109" s="97"/>
      <c r="H109" s="96"/>
      <c r="I109" s="98"/>
      <c r="J109" s="97"/>
      <c r="K109" s="11"/>
      <c r="L109" s="7"/>
    </row>
    <row r="111" spans="1:12" ht="11.25" customHeight="1" x14ac:dyDescent="0.2">
      <c r="A111" s="99"/>
      <c r="B111" s="79" t="s">
        <v>37</v>
      </c>
      <c r="C111" s="79" t="s">
        <v>37</v>
      </c>
      <c r="D111" s="278" t="s">
        <v>38</v>
      </c>
      <c r="E111" s="279"/>
      <c r="F111" s="19" t="s">
        <v>11</v>
      </c>
      <c r="G111" s="278" t="s">
        <v>39</v>
      </c>
      <c r="H111" s="280"/>
      <c r="I111" s="19" t="s">
        <v>11</v>
      </c>
      <c r="J111" s="285" t="s">
        <v>40</v>
      </c>
      <c r="K111" s="266" t="s">
        <v>128</v>
      </c>
      <c r="L111" s="267"/>
    </row>
    <row r="112" spans="1:12" ht="26.25" customHeight="1" x14ac:dyDescent="0.2">
      <c r="A112" s="100" t="s">
        <v>129</v>
      </c>
      <c r="B112" s="15" t="s">
        <v>43</v>
      </c>
      <c r="C112" s="15" t="s">
        <v>44</v>
      </c>
      <c r="D112" s="21" t="s">
        <v>13</v>
      </c>
      <c r="E112" s="81" t="s">
        <v>130</v>
      </c>
      <c r="F112" s="21"/>
      <c r="G112" s="21" t="s">
        <v>13</v>
      </c>
      <c r="H112" s="81" t="s">
        <v>130</v>
      </c>
      <c r="I112" s="21"/>
      <c r="J112" s="286"/>
      <c r="K112" s="268"/>
      <c r="L112" s="269"/>
    </row>
    <row r="113" spans="1:12" ht="11.25" customHeight="1" x14ac:dyDescent="0.2">
      <c r="A113" s="101"/>
      <c r="B113" s="125" t="s">
        <v>48</v>
      </c>
      <c r="C113" s="125" t="s">
        <v>49</v>
      </c>
      <c r="D113" s="125"/>
      <c r="E113" s="125" t="s">
        <v>50</v>
      </c>
      <c r="F113" s="124" t="s">
        <v>51</v>
      </c>
      <c r="G113" s="20"/>
      <c r="H113" s="20" t="s">
        <v>52</v>
      </c>
      <c r="I113" s="124" t="s">
        <v>53</v>
      </c>
      <c r="J113" s="20" t="s">
        <v>54</v>
      </c>
      <c r="K113" s="270"/>
      <c r="L113" s="271"/>
    </row>
    <row r="114" spans="1:12" ht="11.25" customHeight="1" x14ac:dyDescent="0.2">
      <c r="A114" s="54" t="s">
        <v>131</v>
      </c>
      <c r="B114" s="13"/>
      <c r="C114" s="5"/>
      <c r="D114" s="13"/>
      <c r="E114" s="5"/>
      <c r="F114" s="13"/>
      <c r="G114" s="5"/>
      <c r="H114" s="13"/>
      <c r="I114" s="5"/>
      <c r="J114" s="5"/>
      <c r="K114" s="6"/>
      <c r="L114" s="3"/>
    </row>
    <row r="115" spans="1:12" ht="11.25" customHeight="1" x14ac:dyDescent="0.2">
      <c r="A115" s="4" t="s">
        <v>132</v>
      </c>
      <c r="C115" s="4"/>
      <c r="E115" s="4"/>
      <c r="G115" s="4"/>
      <c r="I115" s="4"/>
      <c r="J115" s="4"/>
      <c r="K115" s="6"/>
      <c r="L115" s="3"/>
    </row>
    <row r="116" spans="1:12" ht="11.25" customHeight="1" x14ac:dyDescent="0.2">
      <c r="A116" s="4" t="s">
        <v>133</v>
      </c>
      <c r="C116" s="4"/>
      <c r="E116" s="4"/>
      <c r="G116" s="4"/>
      <c r="I116" s="4"/>
      <c r="J116" s="4"/>
      <c r="K116" s="6"/>
      <c r="L116" s="3"/>
    </row>
    <row r="117" spans="1:12" ht="11.25" customHeight="1" x14ac:dyDescent="0.2">
      <c r="A117" s="4" t="s">
        <v>134</v>
      </c>
      <c r="C117" s="4"/>
      <c r="E117" s="4"/>
      <c r="G117" s="4"/>
      <c r="I117" s="4"/>
      <c r="J117" s="4"/>
      <c r="K117" s="6"/>
      <c r="L117" s="3"/>
    </row>
    <row r="118" spans="1:12" ht="11.25" customHeight="1" x14ac:dyDescent="0.2">
      <c r="A118" s="4" t="s">
        <v>135</v>
      </c>
      <c r="C118" s="4"/>
      <c r="E118" s="4"/>
      <c r="G118" s="4"/>
      <c r="I118" s="4"/>
      <c r="J118" s="4"/>
      <c r="K118" s="6"/>
      <c r="L118" s="3"/>
    </row>
    <row r="119" spans="1:12" ht="11.25" customHeight="1" x14ac:dyDescent="0.2">
      <c r="A119" s="4" t="s">
        <v>136</v>
      </c>
      <c r="C119" s="4"/>
      <c r="E119" s="4"/>
      <c r="G119" s="4"/>
      <c r="I119" s="4"/>
      <c r="J119" s="4"/>
      <c r="K119" s="6"/>
      <c r="L119" s="3"/>
    </row>
    <row r="120" spans="1:12" ht="11.25" customHeight="1" x14ac:dyDescent="0.2">
      <c r="A120" s="4" t="s">
        <v>137</v>
      </c>
      <c r="C120" s="4"/>
      <c r="E120" s="4"/>
      <c r="G120" s="4"/>
      <c r="I120" s="4"/>
      <c r="J120" s="4"/>
      <c r="K120" s="6"/>
      <c r="L120" s="3"/>
    </row>
    <row r="121" spans="1:12" ht="11.25" customHeight="1" x14ac:dyDescent="0.2">
      <c r="A121" s="4" t="s">
        <v>138</v>
      </c>
      <c r="C121" s="4"/>
      <c r="E121" s="4"/>
      <c r="G121" s="4"/>
      <c r="I121" s="4"/>
      <c r="J121" s="4"/>
      <c r="K121" s="6"/>
      <c r="L121" s="3"/>
    </row>
    <row r="122" spans="1:12" ht="11.25" customHeight="1" x14ac:dyDescent="0.2">
      <c r="A122" s="4" t="s">
        <v>139</v>
      </c>
      <c r="C122" s="4"/>
      <c r="E122" s="4"/>
      <c r="G122" s="4"/>
      <c r="I122" s="4"/>
      <c r="J122" s="4"/>
      <c r="K122" s="6"/>
      <c r="L122" s="3"/>
    </row>
    <row r="123" spans="1:12" ht="11.25" customHeight="1" x14ac:dyDescent="0.2">
      <c r="A123" s="11" t="s">
        <v>140</v>
      </c>
      <c r="B123" s="1"/>
      <c r="C123" s="11"/>
      <c r="D123" s="109"/>
      <c r="E123" s="110"/>
      <c r="F123" s="109"/>
      <c r="G123" s="110"/>
      <c r="H123" s="109"/>
      <c r="I123" s="110"/>
      <c r="J123" s="110"/>
      <c r="K123" s="111"/>
      <c r="L123" s="112"/>
    </row>
  </sheetData>
  <dataConsolidate/>
  <mergeCells count="55">
    <mergeCell ref="A3:K3"/>
    <mergeCell ref="A4:K4"/>
    <mergeCell ref="A5:K5"/>
    <mergeCell ref="A6:K6"/>
    <mergeCell ref="A7:K7"/>
    <mergeCell ref="B10:C11"/>
    <mergeCell ref="D10:E11"/>
    <mergeCell ref="F10:K10"/>
    <mergeCell ref="F11:G11"/>
    <mergeCell ref="I11:J11"/>
    <mergeCell ref="I23:J23"/>
    <mergeCell ref="D24:E24"/>
    <mergeCell ref="F24:G24"/>
    <mergeCell ref="D12:E12"/>
    <mergeCell ref="F12:G12"/>
    <mergeCell ref="I12:J12"/>
    <mergeCell ref="D22:E22"/>
    <mergeCell ref="F22:G22"/>
    <mergeCell ref="I22:J22"/>
    <mergeCell ref="B27:C27"/>
    <mergeCell ref="D27:E27"/>
    <mergeCell ref="F27:G27"/>
    <mergeCell ref="D14:E14"/>
    <mergeCell ref="B23:C23"/>
    <mergeCell ref="D23:E23"/>
    <mergeCell ref="F23:G23"/>
    <mergeCell ref="B25:C25"/>
    <mergeCell ref="F25:G25"/>
    <mergeCell ref="B22:C22"/>
    <mergeCell ref="B26:C26"/>
    <mergeCell ref="D26:E26"/>
    <mergeCell ref="K29:L32"/>
    <mergeCell ref="K34:L34"/>
    <mergeCell ref="K35:L35"/>
    <mergeCell ref="K36:L36"/>
    <mergeCell ref="I26:J26"/>
    <mergeCell ref="D29:E29"/>
    <mergeCell ref="G29:H29"/>
    <mergeCell ref="J29:J31"/>
    <mergeCell ref="D111:E111"/>
    <mergeCell ref="G111:H111"/>
    <mergeCell ref="J111:J112"/>
    <mergeCell ref="K37:L37"/>
    <mergeCell ref="A40:C40"/>
    <mergeCell ref="A38:K38"/>
    <mergeCell ref="A39:H39"/>
    <mergeCell ref="K111:L113"/>
    <mergeCell ref="D45:E45"/>
    <mergeCell ref="F45:G45"/>
    <mergeCell ref="I45:J45"/>
    <mergeCell ref="B43:C44"/>
    <mergeCell ref="D43:E44"/>
    <mergeCell ref="F43:K43"/>
    <mergeCell ref="F44:G44"/>
    <mergeCell ref="I44:J44"/>
  </mergeCells>
  <printOptions horizontalCentered="1"/>
  <pageMargins left="0.39370078740157483" right="0.39370078740157483" top="0.98425196850393704" bottom="0.98425196850393704" header="0" footer="0.19685039370078741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C139A-77E4-4467-A753-98FC7B278955}">
  <dimension ref="A1:V215"/>
  <sheetViews>
    <sheetView showGridLines="0" tabSelected="1" zoomScale="70" zoomScaleNormal="70" workbookViewId="0">
      <selection activeCell="F106" sqref="F106"/>
    </sheetView>
  </sheetViews>
  <sheetFormatPr defaultColWidth="9.140625" defaultRowHeight="15.75" x14ac:dyDescent="0.25"/>
  <cols>
    <col min="1" max="1" width="66.28515625" style="131" customWidth="1"/>
    <col min="2" max="2" width="12.140625" style="131" customWidth="1"/>
    <col min="3" max="3" width="13.42578125" style="131" customWidth="1"/>
    <col min="4" max="4" width="20.85546875" style="131" customWidth="1"/>
    <col min="5" max="5" width="19.5703125" style="131" customWidth="1"/>
    <col min="6" max="6" width="20.7109375" style="131" customWidth="1"/>
    <col min="7" max="7" width="18" style="131" customWidth="1"/>
    <col min="8" max="10" width="26.7109375" style="131" customWidth="1"/>
    <col min="11" max="11" width="16.28515625" style="131" customWidth="1"/>
    <col min="12" max="12" width="26.7109375" style="131" customWidth="1"/>
    <col min="13" max="13" width="12.85546875" style="131" customWidth="1"/>
    <col min="14" max="14" width="26.7109375" style="131" customWidth="1"/>
    <col min="15" max="15" width="13" style="131" customWidth="1"/>
    <col min="16" max="16" width="9.140625" style="131"/>
    <col min="17" max="18" width="21.7109375" style="131" bestFit="1" customWidth="1"/>
    <col min="19" max="19" width="20.5703125" style="131" bestFit="1" customWidth="1"/>
    <col min="20" max="16384" width="9.140625" style="131"/>
  </cols>
  <sheetData>
    <row r="1" spans="1:15" ht="16.5" x14ac:dyDescent="0.25">
      <c r="A1" s="132"/>
      <c r="B1" s="133"/>
      <c r="C1" s="133"/>
      <c r="D1" s="133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ht="16.5" x14ac:dyDescent="0.25">
      <c r="A2" s="132"/>
      <c r="B2" s="133"/>
      <c r="C2" s="133"/>
      <c r="D2" s="133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ht="16.5" x14ac:dyDescent="0.25">
      <c r="A3" s="132"/>
      <c r="B3" s="133"/>
      <c r="C3" s="133"/>
      <c r="D3" s="133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5" ht="16.5" x14ac:dyDescent="0.25">
      <c r="A4" s="132"/>
      <c r="B4" s="133"/>
      <c r="C4" s="133"/>
      <c r="D4" s="133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5" ht="17.850000000000001" customHeight="1" x14ac:dyDescent="0.25">
      <c r="A5" s="491" t="s">
        <v>141</v>
      </c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</row>
    <row r="6" spans="1:15" ht="17.850000000000001" customHeight="1" x14ac:dyDescent="0.25">
      <c r="A6" s="491" t="s">
        <v>2</v>
      </c>
      <c r="B6" s="491"/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</row>
    <row r="7" spans="1:15" ht="17.850000000000001" customHeight="1" x14ac:dyDescent="0.25">
      <c r="A7" s="492" t="s">
        <v>142</v>
      </c>
      <c r="B7" s="492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2"/>
      <c r="O7" s="492"/>
    </row>
    <row r="8" spans="1:15" ht="17.850000000000001" customHeight="1" x14ac:dyDescent="0.25">
      <c r="A8" s="491" t="s">
        <v>4</v>
      </c>
      <c r="B8" s="491"/>
      <c r="C8" s="491"/>
      <c r="D8" s="491"/>
      <c r="E8" s="491"/>
      <c r="F8" s="491"/>
      <c r="G8" s="491"/>
      <c r="H8" s="491"/>
      <c r="I8" s="491"/>
      <c r="J8" s="491"/>
      <c r="K8" s="491"/>
      <c r="L8" s="491"/>
      <c r="M8" s="491"/>
      <c r="N8" s="491"/>
      <c r="O8" s="491"/>
    </row>
    <row r="9" spans="1:15" ht="17.850000000000001" customHeight="1" x14ac:dyDescent="0.25">
      <c r="A9" s="491" t="s">
        <v>299</v>
      </c>
      <c r="B9" s="491"/>
      <c r="C9" s="491"/>
      <c r="D9" s="491"/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</row>
    <row r="10" spans="1:15" ht="17.850000000000001" customHeight="1" x14ac:dyDescent="0.25">
      <c r="A10" s="135"/>
      <c r="B10" s="135"/>
      <c r="C10" s="135"/>
      <c r="D10" s="135"/>
      <c r="E10" s="135"/>
      <c r="F10" s="135"/>
      <c r="G10" s="135"/>
      <c r="H10" s="135"/>
      <c r="I10" s="135"/>
      <c r="J10" s="135"/>
      <c r="K10" s="136"/>
      <c r="L10" s="134"/>
      <c r="M10" s="257"/>
      <c r="N10" s="257"/>
      <c r="O10" s="262" t="s">
        <v>300</v>
      </c>
    </row>
    <row r="11" spans="1:15" ht="17.850000000000001" customHeight="1" x14ac:dyDescent="0.25">
      <c r="A11" s="137" t="s">
        <v>143</v>
      </c>
      <c r="B11" s="137"/>
      <c r="C11" s="137"/>
      <c r="D11" s="137"/>
      <c r="E11" s="137"/>
      <c r="F11" s="137"/>
      <c r="G11" s="137"/>
      <c r="H11" s="137"/>
      <c r="I11" s="137"/>
      <c r="J11" s="138"/>
      <c r="K11" s="134"/>
      <c r="L11" s="134"/>
      <c r="M11" s="134"/>
      <c r="N11" s="134"/>
      <c r="O11" s="139">
        <v>1</v>
      </c>
    </row>
    <row r="12" spans="1:15" ht="17.850000000000001" customHeight="1" x14ac:dyDescent="0.25">
      <c r="A12" s="335" t="s">
        <v>144</v>
      </c>
      <c r="B12" s="335"/>
      <c r="C12" s="335"/>
      <c r="D12" s="335"/>
      <c r="E12" s="335"/>
      <c r="F12" s="335"/>
      <c r="G12" s="336"/>
      <c r="H12" s="342" t="s">
        <v>145</v>
      </c>
      <c r="I12" s="341"/>
      <c r="J12" s="342" t="s">
        <v>145</v>
      </c>
      <c r="K12" s="341"/>
      <c r="L12" s="326" t="s">
        <v>10</v>
      </c>
      <c r="M12" s="326"/>
      <c r="N12" s="327"/>
      <c r="O12" s="327"/>
    </row>
    <row r="13" spans="1:15" ht="17.850000000000001" customHeight="1" x14ac:dyDescent="0.25">
      <c r="A13" s="337"/>
      <c r="B13" s="337"/>
      <c r="C13" s="337"/>
      <c r="D13" s="337"/>
      <c r="E13" s="337"/>
      <c r="F13" s="337"/>
      <c r="G13" s="338"/>
      <c r="H13" s="334" t="s">
        <v>43</v>
      </c>
      <c r="I13" s="333"/>
      <c r="J13" s="334" t="s">
        <v>44</v>
      </c>
      <c r="K13" s="333"/>
      <c r="L13" s="327" t="s">
        <v>15</v>
      </c>
      <c r="M13" s="327"/>
      <c r="N13" s="342" t="s">
        <v>14</v>
      </c>
      <c r="O13" s="327"/>
    </row>
    <row r="14" spans="1:15" ht="17.850000000000001" customHeight="1" x14ac:dyDescent="0.25">
      <c r="A14" s="339"/>
      <c r="B14" s="339"/>
      <c r="C14" s="339"/>
      <c r="D14" s="339"/>
      <c r="E14" s="339"/>
      <c r="F14" s="339"/>
      <c r="G14" s="340"/>
      <c r="H14" s="320"/>
      <c r="I14" s="321"/>
      <c r="J14" s="320" t="s">
        <v>16</v>
      </c>
      <c r="K14" s="321"/>
      <c r="L14" s="352" t="s">
        <v>17</v>
      </c>
      <c r="M14" s="352"/>
      <c r="N14" s="334" t="s">
        <v>146</v>
      </c>
      <c r="O14" s="332"/>
    </row>
    <row r="15" spans="1:15" ht="17.850000000000001" customHeight="1" x14ac:dyDescent="0.25">
      <c r="A15" s="486" t="s">
        <v>147</v>
      </c>
      <c r="B15" s="486"/>
      <c r="C15" s="486"/>
      <c r="D15" s="486"/>
      <c r="E15" s="486"/>
      <c r="F15" s="486"/>
      <c r="G15" s="486"/>
      <c r="H15" s="141"/>
      <c r="I15" s="236">
        <f>I16+I20+I23+I26</f>
        <v>71830898316</v>
      </c>
      <c r="J15" s="493">
        <f>J16+J20+J23+J26</f>
        <v>77037046922.960007</v>
      </c>
      <c r="K15" s="494">
        <f>K16+K20+K23+K26</f>
        <v>0</v>
      </c>
      <c r="L15" s="495">
        <f>L16+L20+L23+L26</f>
        <v>64682591192.540009</v>
      </c>
      <c r="M15" s="497">
        <f>M16+M20+M23+M26</f>
        <v>0</v>
      </c>
      <c r="N15" s="495">
        <f>(L15/J15)*100</f>
        <v>83.962968177148682</v>
      </c>
      <c r="O15" s="496"/>
    </row>
    <row r="16" spans="1:15" ht="17.850000000000001" customHeight="1" x14ac:dyDescent="0.25">
      <c r="A16" s="489" t="s">
        <v>148</v>
      </c>
      <c r="B16" s="489"/>
      <c r="C16" s="489"/>
      <c r="D16" s="489"/>
      <c r="E16" s="489"/>
      <c r="F16" s="489"/>
      <c r="G16" s="489"/>
      <c r="H16" s="142"/>
      <c r="I16" s="194">
        <f>I17+I19</f>
        <v>57428077919</v>
      </c>
      <c r="J16" s="425">
        <f>J17+J19</f>
        <v>61994388228.389999</v>
      </c>
      <c r="K16" s="435">
        <f>K17+K18+K19</f>
        <v>0</v>
      </c>
      <c r="L16" s="318">
        <f>L17+L19</f>
        <v>51825561312.040001</v>
      </c>
      <c r="M16" s="319">
        <f>M17+M18+M19</f>
        <v>0</v>
      </c>
      <c r="N16" s="318">
        <f t="shared" ref="N16:N38" si="0">(L16/J16)*100</f>
        <v>83.597181604748485</v>
      </c>
      <c r="O16" s="343"/>
    </row>
    <row r="17" spans="1:21" ht="17.850000000000001" customHeight="1" x14ac:dyDescent="0.25">
      <c r="A17" s="485" t="s">
        <v>149</v>
      </c>
      <c r="B17" s="485"/>
      <c r="C17" s="485"/>
      <c r="D17" s="485"/>
      <c r="E17" s="485"/>
      <c r="F17" s="485"/>
      <c r="G17" s="485"/>
      <c r="H17" s="142"/>
      <c r="I17" s="194">
        <f>50626783592</f>
        <v>50626783592</v>
      </c>
      <c r="J17" s="316">
        <f>55107479486.71</f>
        <v>55107479486.709999</v>
      </c>
      <c r="K17" s="317"/>
      <c r="L17" s="344">
        <f>46147834723.24</f>
        <v>46147834723.239998</v>
      </c>
      <c r="M17" s="345"/>
      <c r="N17" s="318">
        <f>(L17/J17)*100</f>
        <v>83.741508690066738</v>
      </c>
      <c r="O17" s="343"/>
    </row>
    <row r="18" spans="1:21" ht="17.850000000000001" hidden="1" customHeight="1" x14ac:dyDescent="0.25">
      <c r="A18" s="485" t="s">
        <v>150</v>
      </c>
      <c r="B18" s="485"/>
      <c r="C18" s="485"/>
      <c r="D18" s="485"/>
      <c r="E18" s="485"/>
      <c r="F18" s="485"/>
      <c r="G18" s="485"/>
      <c r="H18" s="142"/>
      <c r="I18" s="194"/>
      <c r="J18" s="316"/>
      <c r="K18" s="317"/>
      <c r="L18" s="344"/>
      <c r="M18" s="345"/>
      <c r="N18" s="318" t="e">
        <f t="shared" si="0"/>
        <v>#DIV/0!</v>
      </c>
      <c r="O18" s="343"/>
    </row>
    <row r="19" spans="1:21" ht="17.850000000000001" customHeight="1" x14ac:dyDescent="0.25">
      <c r="A19" s="489" t="s">
        <v>151</v>
      </c>
      <c r="B19" s="489"/>
      <c r="C19" s="489"/>
      <c r="D19" s="489"/>
      <c r="E19" s="489"/>
      <c r="F19" s="489"/>
      <c r="G19" s="489"/>
      <c r="H19" s="142"/>
      <c r="I19" s="194">
        <f>6801294327</f>
        <v>6801294327</v>
      </c>
      <c r="J19" s="316">
        <f>6886908741.68</f>
        <v>6886908741.6800003</v>
      </c>
      <c r="K19" s="317"/>
      <c r="L19" s="344">
        <f>5677726588.8</f>
        <v>5677726588.8000002</v>
      </c>
      <c r="M19" s="345"/>
      <c r="N19" s="318">
        <f t="shared" si="0"/>
        <v>82.442309049894121</v>
      </c>
      <c r="O19" s="343"/>
    </row>
    <row r="20" spans="1:21" ht="17.850000000000001" customHeight="1" x14ac:dyDescent="0.25">
      <c r="A20" s="485" t="s">
        <v>152</v>
      </c>
      <c r="B20" s="485"/>
      <c r="C20" s="485"/>
      <c r="D20" s="485"/>
      <c r="E20" s="485"/>
      <c r="F20" s="485"/>
      <c r="G20" s="485"/>
      <c r="H20" s="142"/>
      <c r="I20" s="194">
        <f>1680007530</f>
        <v>1680007530</v>
      </c>
      <c r="J20" s="425">
        <f>1748214651.48</f>
        <v>1748214651.48</v>
      </c>
      <c r="K20" s="435"/>
      <c r="L20" s="318">
        <f>1418852981.98</f>
        <v>1418852981.98</v>
      </c>
      <c r="M20" s="319"/>
      <c r="N20" s="318">
        <f t="shared" si="0"/>
        <v>81.160112734373342</v>
      </c>
      <c r="O20" s="343"/>
    </row>
    <row r="21" spans="1:21" ht="17.850000000000001" hidden="1" customHeight="1" x14ac:dyDescent="0.25">
      <c r="A21" s="485" t="s">
        <v>153</v>
      </c>
      <c r="B21" s="485"/>
      <c r="C21" s="485"/>
      <c r="D21" s="485"/>
      <c r="E21" s="485"/>
      <c r="F21" s="485"/>
      <c r="G21" s="485"/>
      <c r="H21" s="142"/>
      <c r="I21" s="194"/>
      <c r="J21" s="316"/>
      <c r="K21" s="317"/>
      <c r="L21" s="344"/>
      <c r="M21" s="345"/>
      <c r="N21" s="318" t="e">
        <f t="shared" si="0"/>
        <v>#DIV/0!</v>
      </c>
      <c r="O21" s="343"/>
    </row>
    <row r="22" spans="1:21" ht="17.850000000000001" hidden="1" customHeight="1" x14ac:dyDescent="0.25">
      <c r="A22" s="485" t="s">
        <v>154</v>
      </c>
      <c r="B22" s="485"/>
      <c r="C22" s="485"/>
      <c r="D22" s="485"/>
      <c r="E22" s="485"/>
      <c r="F22" s="485"/>
      <c r="G22" s="485"/>
      <c r="H22" s="142"/>
      <c r="I22" s="194"/>
      <c r="J22" s="316"/>
      <c r="K22" s="317"/>
      <c r="L22" s="344"/>
      <c r="M22" s="345"/>
      <c r="N22" s="318" t="e">
        <f t="shared" si="0"/>
        <v>#DIV/0!</v>
      </c>
      <c r="O22" s="343"/>
    </row>
    <row r="23" spans="1:21" ht="17.850000000000001" customHeight="1" x14ac:dyDescent="0.25">
      <c r="A23" s="485" t="s">
        <v>155</v>
      </c>
      <c r="B23" s="485"/>
      <c r="C23" s="485"/>
      <c r="D23" s="485"/>
      <c r="E23" s="485"/>
      <c r="F23" s="485"/>
      <c r="G23" s="485"/>
      <c r="H23" s="142"/>
      <c r="I23" s="194">
        <f>5470248458</f>
        <v>5470248458</v>
      </c>
      <c r="J23" s="425">
        <f>5471690929.13</f>
        <v>5471690929.1300001</v>
      </c>
      <c r="K23" s="435"/>
      <c r="L23" s="318">
        <f>5197095076.55</f>
        <v>5197095076.5500002</v>
      </c>
      <c r="M23" s="319"/>
      <c r="N23" s="318">
        <f t="shared" si="0"/>
        <v>94.981517484510761</v>
      </c>
      <c r="O23" s="343"/>
    </row>
    <row r="24" spans="1:21" ht="17.850000000000001" hidden="1" customHeight="1" x14ac:dyDescent="0.25">
      <c r="A24" s="485" t="s">
        <v>156</v>
      </c>
      <c r="B24" s="485"/>
      <c r="C24" s="485"/>
      <c r="D24" s="485"/>
      <c r="E24" s="485"/>
      <c r="F24" s="485"/>
      <c r="G24" s="485"/>
      <c r="H24" s="142"/>
      <c r="I24" s="194"/>
      <c r="J24" s="316"/>
      <c r="K24" s="317"/>
      <c r="L24" s="344"/>
      <c r="M24" s="345"/>
      <c r="N24" s="318" t="e">
        <f t="shared" si="0"/>
        <v>#DIV/0!</v>
      </c>
      <c r="O24" s="343"/>
    </row>
    <row r="25" spans="1:21" ht="17.850000000000001" hidden="1" customHeight="1" x14ac:dyDescent="0.25">
      <c r="A25" s="485" t="s">
        <v>157</v>
      </c>
      <c r="B25" s="485"/>
      <c r="C25" s="485"/>
      <c r="D25" s="485"/>
      <c r="E25" s="485"/>
      <c r="F25" s="485"/>
      <c r="G25" s="485"/>
      <c r="H25" s="142"/>
      <c r="I25" s="194"/>
      <c r="J25" s="316"/>
      <c r="K25" s="317"/>
      <c r="L25" s="344"/>
      <c r="M25" s="345"/>
      <c r="N25" s="318" t="e">
        <f t="shared" si="0"/>
        <v>#DIV/0!</v>
      </c>
      <c r="O25" s="343"/>
    </row>
    <row r="26" spans="1:21" ht="17.850000000000001" customHeight="1" x14ac:dyDescent="0.25">
      <c r="A26" s="489" t="s">
        <v>158</v>
      </c>
      <c r="B26" s="489"/>
      <c r="C26" s="489"/>
      <c r="D26" s="489"/>
      <c r="E26" s="489"/>
      <c r="F26" s="489"/>
      <c r="G26" s="489"/>
      <c r="H26" s="142"/>
      <c r="I26" s="194">
        <f>7252564409</f>
        <v>7252564409</v>
      </c>
      <c r="J26" s="316">
        <f>7822753113.96</f>
        <v>7822753113.96</v>
      </c>
      <c r="K26" s="317"/>
      <c r="L26" s="316">
        <f>6241081821.97</f>
        <v>6241081821.9700003</v>
      </c>
      <c r="M26" s="317"/>
      <c r="N26" s="318">
        <f t="shared" si="0"/>
        <v>79.781142662326303</v>
      </c>
      <c r="O26" s="343"/>
    </row>
    <row r="27" spans="1:21" ht="17.850000000000001" customHeight="1" x14ac:dyDescent="0.25">
      <c r="A27" s="490" t="s">
        <v>159</v>
      </c>
      <c r="B27" s="490"/>
      <c r="C27" s="490"/>
      <c r="D27" s="490"/>
      <c r="E27" s="490"/>
      <c r="F27" s="490"/>
      <c r="G27" s="490"/>
      <c r="H27" s="143"/>
      <c r="I27" s="195">
        <f>I28+I29+I30</f>
        <v>5581227729</v>
      </c>
      <c r="J27" s="487">
        <f>J28+J29+J30</f>
        <v>5968058435.7799997</v>
      </c>
      <c r="K27" s="488">
        <f>K28+K29+K30</f>
        <v>0</v>
      </c>
      <c r="L27" s="481">
        <f>L28+L29+L30</f>
        <v>4949193017.2600002</v>
      </c>
      <c r="M27" s="482">
        <f>M28+M29+M30</f>
        <v>0</v>
      </c>
      <c r="N27" s="481">
        <f t="shared" si="0"/>
        <v>82.928025429314715</v>
      </c>
      <c r="O27" s="500"/>
    </row>
    <row r="28" spans="1:21" ht="17.850000000000001" customHeight="1" x14ac:dyDescent="0.25">
      <c r="A28" s="485" t="s">
        <v>160</v>
      </c>
      <c r="B28" s="485"/>
      <c r="C28" s="485"/>
      <c r="D28" s="485"/>
      <c r="E28" s="485"/>
      <c r="F28" s="485"/>
      <c r="G28" s="485"/>
      <c r="H28" s="142"/>
      <c r="I28" s="194">
        <f>3365650745</f>
        <v>3365650745</v>
      </c>
      <c r="J28" s="316">
        <f>3383797242.24</f>
        <v>3383797242.2399998</v>
      </c>
      <c r="K28" s="317"/>
      <c r="L28" s="344">
        <f>2713099867.95</f>
        <v>2713099867.9499998</v>
      </c>
      <c r="M28" s="345"/>
      <c r="N28" s="318">
        <f t="shared" si="0"/>
        <v>80.179150041330104</v>
      </c>
      <c r="O28" s="343"/>
    </row>
    <row r="29" spans="1:21" ht="17.850000000000001" customHeight="1" x14ac:dyDescent="0.25">
      <c r="A29" s="485" t="s">
        <v>161</v>
      </c>
      <c r="B29" s="485"/>
      <c r="C29" s="485"/>
      <c r="D29" s="485"/>
      <c r="E29" s="485"/>
      <c r="F29" s="485"/>
      <c r="G29" s="485"/>
      <c r="H29" s="144"/>
      <c r="I29" s="194">
        <f>1407876984</f>
        <v>1407876984</v>
      </c>
      <c r="J29" s="316">
        <f>1776561193.54</f>
        <v>1776561193.54</v>
      </c>
      <c r="K29" s="317"/>
      <c r="L29" s="344">
        <f>1428393149.31</f>
        <v>1428393149.3099999</v>
      </c>
      <c r="M29" s="345"/>
      <c r="N29" s="318">
        <f t="shared" si="0"/>
        <v>80.402136132657745</v>
      </c>
      <c r="O29" s="343"/>
    </row>
    <row r="30" spans="1:21" ht="17.850000000000001" customHeight="1" x14ac:dyDescent="0.25">
      <c r="A30" s="485" t="s">
        <v>162</v>
      </c>
      <c r="B30" s="485"/>
      <c r="C30" s="485"/>
      <c r="D30" s="485"/>
      <c r="E30" s="485"/>
      <c r="F30" s="485"/>
      <c r="G30" s="485"/>
      <c r="H30" s="186"/>
      <c r="I30" s="194">
        <f>807700000</f>
        <v>807700000</v>
      </c>
      <c r="J30" s="425">
        <f>807700000</f>
        <v>807700000</v>
      </c>
      <c r="K30" s="435"/>
      <c r="L30" s="318">
        <f>807700000</f>
        <v>807700000</v>
      </c>
      <c r="M30" s="319"/>
      <c r="N30" s="318">
        <f t="shared" ref="N30" si="1">(L30/J30)*100</f>
        <v>100</v>
      </c>
      <c r="O30" s="343"/>
      <c r="Q30" s="504"/>
      <c r="R30" s="504"/>
      <c r="S30" s="504"/>
      <c r="T30" s="504"/>
      <c r="U30" s="504"/>
    </row>
    <row r="31" spans="1:21" ht="17.850000000000001" hidden="1" customHeight="1" x14ac:dyDescent="0.25">
      <c r="A31" s="485" t="s">
        <v>163</v>
      </c>
      <c r="B31" s="485"/>
      <c r="C31" s="485"/>
      <c r="D31" s="485"/>
      <c r="E31" s="485"/>
      <c r="F31" s="485"/>
      <c r="G31" s="485"/>
      <c r="H31" s="187"/>
      <c r="I31" s="194">
        <v>0</v>
      </c>
      <c r="J31" s="425">
        <v>0</v>
      </c>
      <c r="K31" s="435"/>
      <c r="L31" s="318">
        <v>0</v>
      </c>
      <c r="M31" s="319"/>
      <c r="N31" s="498">
        <v>0</v>
      </c>
      <c r="O31" s="499"/>
      <c r="Q31" s="504"/>
      <c r="R31" s="504"/>
      <c r="S31" s="504"/>
      <c r="T31" s="504"/>
      <c r="U31" s="504"/>
    </row>
    <row r="32" spans="1:21" ht="17.850000000000001" hidden="1" customHeight="1" x14ac:dyDescent="0.25">
      <c r="A32" s="485" t="s">
        <v>164</v>
      </c>
      <c r="B32" s="485"/>
      <c r="C32" s="485"/>
      <c r="D32" s="485"/>
      <c r="E32" s="485"/>
      <c r="F32" s="485"/>
      <c r="G32" s="485"/>
      <c r="H32" s="187"/>
      <c r="I32" s="194">
        <v>0</v>
      </c>
      <c r="J32" s="425">
        <v>0</v>
      </c>
      <c r="K32" s="435"/>
      <c r="L32" s="318">
        <v>0</v>
      </c>
      <c r="M32" s="319"/>
      <c r="N32" s="498">
        <v>0</v>
      </c>
      <c r="O32" s="499"/>
      <c r="Q32" s="504"/>
      <c r="R32" s="504"/>
      <c r="S32" s="504"/>
      <c r="T32" s="504"/>
      <c r="U32" s="504"/>
    </row>
    <row r="33" spans="1:21" ht="17.850000000000001" customHeight="1" x14ac:dyDescent="0.25">
      <c r="A33" s="486" t="s">
        <v>165</v>
      </c>
      <c r="B33" s="486"/>
      <c r="C33" s="486"/>
      <c r="D33" s="486"/>
      <c r="E33" s="486"/>
      <c r="F33" s="486"/>
      <c r="G33" s="486"/>
      <c r="H33" s="143"/>
      <c r="I33" s="195">
        <f>I34+I35+I36+I37</f>
        <v>15895695814</v>
      </c>
      <c r="J33" s="487">
        <f>J34+J35+J36+J37</f>
        <v>17108202702.24</v>
      </c>
      <c r="K33" s="488">
        <f>K34+K35+K36</f>
        <v>0</v>
      </c>
      <c r="L33" s="481">
        <f>L34+L35+L36+L37</f>
        <v>14651297519.26</v>
      </c>
      <c r="M33" s="482">
        <f>M34+M35+M36</f>
        <v>0</v>
      </c>
      <c r="N33" s="481">
        <f t="shared" si="0"/>
        <v>85.639022253001983</v>
      </c>
      <c r="O33" s="500"/>
      <c r="Q33" s="504"/>
      <c r="R33" s="504"/>
      <c r="S33" s="504"/>
      <c r="T33" s="504"/>
      <c r="U33" s="504"/>
    </row>
    <row r="34" spans="1:21" ht="17.850000000000001" customHeight="1" x14ac:dyDescent="0.25">
      <c r="A34" s="489" t="s">
        <v>166</v>
      </c>
      <c r="B34" s="489"/>
      <c r="C34" s="489"/>
      <c r="D34" s="489"/>
      <c r="E34" s="489"/>
      <c r="F34" s="489"/>
      <c r="G34" s="489"/>
      <c r="H34" s="142"/>
      <c r="I34" s="194">
        <f>12606778526</f>
        <v>12606778526</v>
      </c>
      <c r="J34" s="316">
        <f>13726392739.69</f>
        <v>13726392739.690001</v>
      </c>
      <c r="K34" s="317"/>
      <c r="L34" s="344">
        <f>11493810646.5</f>
        <v>11493810646.5</v>
      </c>
      <c r="M34" s="345"/>
      <c r="N34" s="318">
        <f t="shared" si="0"/>
        <v>83.735114275621243</v>
      </c>
      <c r="O34" s="343"/>
      <c r="Q34" s="504"/>
      <c r="R34" s="504"/>
      <c r="S34" s="504"/>
      <c r="T34" s="504"/>
      <c r="U34" s="504"/>
    </row>
    <row r="35" spans="1:21" ht="17.850000000000001" customHeight="1" x14ac:dyDescent="0.25">
      <c r="A35" s="489" t="s">
        <v>167</v>
      </c>
      <c r="B35" s="489"/>
      <c r="C35" s="489"/>
      <c r="D35" s="489"/>
      <c r="E35" s="489"/>
      <c r="F35" s="489"/>
      <c r="G35" s="489"/>
      <c r="H35" s="142"/>
      <c r="I35" s="194">
        <f>2735023040</f>
        <v>2735023040</v>
      </c>
      <c r="J35" s="316">
        <f>2735744664.15</f>
        <v>2735744664.1500001</v>
      </c>
      <c r="K35" s="317"/>
      <c r="L35" s="344">
        <f>2598463585.4</f>
        <v>2598463585.4000001</v>
      </c>
      <c r="M35" s="345"/>
      <c r="N35" s="318">
        <f t="shared" si="0"/>
        <v>94.981948405164729</v>
      </c>
      <c r="O35" s="343"/>
      <c r="Q35" s="504"/>
      <c r="R35" s="504"/>
      <c r="S35" s="504"/>
      <c r="T35" s="504"/>
      <c r="U35" s="504"/>
    </row>
    <row r="36" spans="1:21" ht="17.850000000000001" customHeight="1" x14ac:dyDescent="0.25">
      <c r="A36" s="489" t="s">
        <v>168</v>
      </c>
      <c r="B36" s="489"/>
      <c r="C36" s="489"/>
      <c r="D36" s="489"/>
      <c r="E36" s="489"/>
      <c r="F36" s="489"/>
      <c r="G36" s="489"/>
      <c r="H36" s="142"/>
      <c r="I36" s="194">
        <f>351969248</f>
        <v>351969248</v>
      </c>
      <c r="J36" s="316">
        <f>444140298.39</f>
        <v>444140298.38999999</v>
      </c>
      <c r="K36" s="317"/>
      <c r="L36" s="344">
        <f>357098287.35</f>
        <v>357098287.35000002</v>
      </c>
      <c r="M36" s="345"/>
      <c r="N36" s="318">
        <f t="shared" si="0"/>
        <v>80.402136136818569</v>
      </c>
      <c r="O36" s="343"/>
      <c r="Q36" s="504"/>
      <c r="R36" s="504"/>
      <c r="S36" s="504"/>
      <c r="T36" s="504"/>
      <c r="U36" s="504"/>
    </row>
    <row r="37" spans="1:21" ht="17.850000000000001" customHeight="1" x14ac:dyDescent="0.25">
      <c r="A37" s="483" t="s">
        <v>169</v>
      </c>
      <c r="B37" s="483"/>
      <c r="C37" s="483"/>
      <c r="D37" s="483"/>
      <c r="E37" s="483"/>
      <c r="F37" s="483"/>
      <c r="G37" s="484"/>
      <c r="H37" s="145"/>
      <c r="I37" s="196">
        <f>201925000</f>
        <v>201925000</v>
      </c>
      <c r="J37" s="348">
        <f>201925000.01</f>
        <v>201925000.00999999</v>
      </c>
      <c r="K37" s="349"/>
      <c r="L37" s="350">
        <f>201925000.01</f>
        <v>201925000.00999999</v>
      </c>
      <c r="M37" s="351"/>
      <c r="N37" s="318">
        <f>(L37/J37)*100</f>
        <v>100</v>
      </c>
      <c r="O37" s="343"/>
      <c r="Q37" s="504"/>
      <c r="R37" s="504"/>
      <c r="S37" s="504"/>
      <c r="T37" s="504"/>
      <c r="U37" s="504"/>
    </row>
    <row r="38" spans="1:21" ht="17.850000000000001" customHeight="1" x14ac:dyDescent="0.25">
      <c r="A38" s="310" t="s">
        <v>170</v>
      </c>
      <c r="B38" s="310"/>
      <c r="C38" s="310"/>
      <c r="D38" s="310"/>
      <c r="E38" s="310"/>
      <c r="F38" s="310"/>
      <c r="G38" s="311"/>
      <c r="H38" s="146"/>
      <c r="I38" s="258">
        <f>I15+I27-I33</f>
        <v>61516430231</v>
      </c>
      <c r="J38" s="467">
        <f>J15+J27-J33</f>
        <v>65896902656.500008</v>
      </c>
      <c r="K38" s="471">
        <f>K15+K27-K33</f>
        <v>0</v>
      </c>
      <c r="L38" s="308">
        <f>L15+L27-L33</f>
        <v>54980486690.540001</v>
      </c>
      <c r="M38" s="309">
        <f>M15+M27-M33</f>
        <v>0</v>
      </c>
      <c r="N38" s="308">
        <f t="shared" si="0"/>
        <v>83.434098529844604</v>
      </c>
      <c r="O38" s="379"/>
      <c r="Q38" s="505"/>
      <c r="R38" s="505"/>
      <c r="S38" s="505"/>
      <c r="T38" s="504"/>
      <c r="U38" s="504"/>
    </row>
    <row r="39" spans="1:21" ht="10.5" customHeight="1" x14ac:dyDescent="0.25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Q39" s="505"/>
      <c r="R39" s="505"/>
      <c r="S39" s="505"/>
      <c r="T39" s="504"/>
      <c r="U39" s="504"/>
    </row>
    <row r="40" spans="1:21" ht="17.850000000000001" customHeight="1" x14ac:dyDescent="0.25">
      <c r="A40" s="335" t="s">
        <v>171</v>
      </c>
      <c r="B40" s="335"/>
      <c r="C40" s="335"/>
      <c r="D40" s="335"/>
      <c r="E40" s="335"/>
      <c r="F40" s="335"/>
      <c r="G40" s="336"/>
      <c r="H40" s="148" t="s">
        <v>172</v>
      </c>
      <c r="I40" s="148" t="s">
        <v>173</v>
      </c>
      <c r="J40" s="353" t="s">
        <v>38</v>
      </c>
      <c r="K40" s="354"/>
      <c r="L40" s="353" t="s">
        <v>39</v>
      </c>
      <c r="M40" s="354"/>
      <c r="N40" s="353" t="s">
        <v>174</v>
      </c>
      <c r="O40" s="326"/>
      <c r="Q40" s="505"/>
      <c r="R40" s="505"/>
      <c r="S40" s="505"/>
      <c r="T40" s="504"/>
      <c r="U40" s="504"/>
    </row>
    <row r="41" spans="1:21" ht="17.850000000000001" customHeight="1" x14ac:dyDescent="0.25">
      <c r="A41" s="337"/>
      <c r="B41" s="337"/>
      <c r="C41" s="337"/>
      <c r="D41" s="337"/>
      <c r="E41" s="337"/>
      <c r="F41" s="337"/>
      <c r="G41" s="338"/>
      <c r="H41" s="149" t="s">
        <v>43</v>
      </c>
      <c r="I41" s="150" t="s">
        <v>44</v>
      </c>
      <c r="J41" s="151" t="s">
        <v>175</v>
      </c>
      <c r="K41" s="148" t="s">
        <v>176</v>
      </c>
      <c r="L41" s="148" t="s">
        <v>177</v>
      </c>
      <c r="M41" s="152" t="s">
        <v>14</v>
      </c>
      <c r="N41" s="150" t="s">
        <v>177</v>
      </c>
      <c r="O41" s="153" t="s">
        <v>14</v>
      </c>
      <c r="Q41" s="504"/>
      <c r="R41" s="504"/>
      <c r="S41" s="504"/>
      <c r="T41" s="504"/>
      <c r="U41" s="504"/>
    </row>
    <row r="42" spans="1:21" ht="17.850000000000001" customHeight="1" x14ac:dyDescent="0.25">
      <c r="A42" s="339"/>
      <c r="B42" s="339"/>
      <c r="C42" s="339"/>
      <c r="D42" s="339"/>
      <c r="E42" s="339"/>
      <c r="F42" s="339"/>
      <c r="G42" s="340"/>
      <c r="H42" s="154"/>
      <c r="I42" s="155" t="s">
        <v>19</v>
      </c>
      <c r="J42" s="156" t="s">
        <v>48</v>
      </c>
      <c r="K42" s="155" t="s">
        <v>178</v>
      </c>
      <c r="L42" s="155" t="s">
        <v>49</v>
      </c>
      <c r="M42" s="155" t="s">
        <v>179</v>
      </c>
      <c r="N42" s="155" t="s">
        <v>50</v>
      </c>
      <c r="O42" s="157" t="s">
        <v>180</v>
      </c>
      <c r="Q42" s="504"/>
      <c r="R42" s="504"/>
      <c r="S42" s="504"/>
      <c r="T42" s="504"/>
      <c r="U42" s="504"/>
    </row>
    <row r="43" spans="1:21" ht="17.850000000000001" customHeight="1" x14ac:dyDescent="0.25">
      <c r="A43" s="480" t="s">
        <v>181</v>
      </c>
      <c r="B43" s="480"/>
      <c r="C43" s="480"/>
      <c r="D43" s="480"/>
      <c r="E43" s="480"/>
      <c r="F43" s="480"/>
      <c r="G43" s="480"/>
      <c r="H43" s="233">
        <f>H44+H45</f>
        <v>51983713</v>
      </c>
      <c r="I43" s="197">
        <f>I44+I45</f>
        <v>18667335.73</v>
      </c>
      <c r="J43" s="158">
        <f>J44+J45</f>
        <v>17216120.629999999</v>
      </c>
      <c r="K43" s="159">
        <f>(J43/I43)*100</f>
        <v>92.225912036993179</v>
      </c>
      <c r="L43" s="158">
        <f>L44+L45</f>
        <v>17186370.629999999</v>
      </c>
      <c r="M43" s="159">
        <f>(L43/I43)*100</f>
        <v>92.06654274921533</v>
      </c>
      <c r="N43" s="164">
        <f>N44+N45</f>
        <v>17186370.629999999</v>
      </c>
      <c r="O43" s="142">
        <f>(N43/I43)*100</f>
        <v>92.06654274921533</v>
      </c>
      <c r="Q43" s="504"/>
      <c r="R43" s="504"/>
      <c r="S43" s="504"/>
      <c r="T43" s="504"/>
      <c r="U43" s="504"/>
    </row>
    <row r="44" spans="1:21" ht="17.850000000000001" customHeight="1" x14ac:dyDescent="0.25">
      <c r="A44" s="392" t="s">
        <v>182</v>
      </c>
      <c r="B44" s="392"/>
      <c r="C44" s="392"/>
      <c r="D44" s="392"/>
      <c r="E44" s="392"/>
      <c r="F44" s="392"/>
      <c r="G44" s="392"/>
      <c r="H44" s="234">
        <f>51983713</f>
        <v>51983713</v>
      </c>
      <c r="I44" s="198">
        <f>18667335.73</f>
        <v>18667335.73</v>
      </c>
      <c r="J44" s="158">
        <f>17216120.63</f>
        <v>17216120.629999999</v>
      </c>
      <c r="K44" s="159">
        <f>(J44/I44)*100</f>
        <v>92.225912036993179</v>
      </c>
      <c r="L44" s="158">
        <f>17186370.63</f>
        <v>17186370.629999999</v>
      </c>
      <c r="M44" s="159">
        <f t="shared" ref="M44:M64" si="2">(L44/I44)*100</f>
        <v>92.06654274921533</v>
      </c>
      <c r="N44" s="142">
        <f>17186370.63</f>
        <v>17186370.629999999</v>
      </c>
      <c r="O44" s="250">
        <f>(N44/I44)*100</f>
        <v>92.06654274921533</v>
      </c>
    </row>
    <row r="45" spans="1:21" ht="17.850000000000001" customHeight="1" x14ac:dyDescent="0.25">
      <c r="A45" s="392" t="s">
        <v>183</v>
      </c>
      <c r="B45" s="392"/>
      <c r="C45" s="392"/>
      <c r="D45" s="392"/>
      <c r="E45" s="392"/>
      <c r="F45" s="392"/>
      <c r="G45" s="392"/>
      <c r="H45" s="234">
        <v>0</v>
      </c>
      <c r="I45" s="198">
        <v>0</v>
      </c>
      <c r="J45" s="158">
        <v>0</v>
      </c>
      <c r="K45" s="159">
        <v>0</v>
      </c>
      <c r="L45" s="158">
        <v>0</v>
      </c>
      <c r="M45" s="159">
        <v>0</v>
      </c>
      <c r="N45" s="142">
        <v>0</v>
      </c>
      <c r="O45" s="142">
        <v>0</v>
      </c>
    </row>
    <row r="46" spans="1:21" ht="17.850000000000001" customHeight="1" x14ac:dyDescent="0.25">
      <c r="A46" s="346" t="s">
        <v>184</v>
      </c>
      <c r="B46" s="346"/>
      <c r="C46" s="346"/>
      <c r="D46" s="346"/>
      <c r="E46" s="346"/>
      <c r="F46" s="346"/>
      <c r="G46" s="346"/>
      <c r="H46" s="234">
        <f>H47+H48</f>
        <v>6446180476</v>
      </c>
      <c r="I46" s="198">
        <f>I47+I48</f>
        <v>6881542600.5099993</v>
      </c>
      <c r="J46" s="158">
        <f>J47+J48</f>
        <v>6289404765.21</v>
      </c>
      <c r="K46" s="159">
        <f t="shared" ref="K46:K64" si="3">(J46/I46)*100</f>
        <v>91.395274727266596</v>
      </c>
      <c r="L46" s="158">
        <f>L47+L48</f>
        <v>6221996932.1700001</v>
      </c>
      <c r="M46" s="159">
        <f t="shared" si="2"/>
        <v>90.415729341105589</v>
      </c>
      <c r="N46" s="159">
        <f>N47+N48</f>
        <v>5940397853.9300003</v>
      </c>
      <c r="O46" s="245">
        <f t="shared" ref="O46:O64" si="4">(N46/I46)*100</f>
        <v>86.323636992231229</v>
      </c>
    </row>
    <row r="47" spans="1:21" ht="17.850000000000001" customHeight="1" x14ac:dyDescent="0.25">
      <c r="A47" s="392" t="s">
        <v>182</v>
      </c>
      <c r="B47" s="392"/>
      <c r="C47" s="392"/>
      <c r="D47" s="392"/>
      <c r="E47" s="392"/>
      <c r="F47" s="392"/>
      <c r="G47" s="392"/>
      <c r="H47" s="234">
        <f>6105484676</f>
        <v>6105484676</v>
      </c>
      <c r="I47" s="198">
        <f>6764093279.32</f>
        <v>6764093279.3199997</v>
      </c>
      <c r="J47" s="158">
        <f>6181111993.07</f>
        <v>6181111993.0699997</v>
      </c>
      <c r="K47" s="159">
        <f t="shared" si="3"/>
        <v>91.381235264268739</v>
      </c>
      <c r="L47" s="158">
        <f>6117805029.95</f>
        <v>6117805029.9499998</v>
      </c>
      <c r="M47" s="159">
        <f t="shared" si="2"/>
        <v>90.445308444430978</v>
      </c>
      <c r="N47" s="159">
        <f>5837171533.51</f>
        <v>5837171533.5100002</v>
      </c>
      <c r="O47" s="245">
        <f t="shared" si="4"/>
        <v>86.296437563274054</v>
      </c>
    </row>
    <row r="48" spans="1:21" ht="17.850000000000001" customHeight="1" x14ac:dyDescent="0.25">
      <c r="A48" s="392" t="s">
        <v>185</v>
      </c>
      <c r="B48" s="392"/>
      <c r="C48" s="392"/>
      <c r="D48" s="392"/>
      <c r="E48" s="392"/>
      <c r="F48" s="392"/>
      <c r="G48" s="392"/>
      <c r="H48" s="234">
        <f>340695800</f>
        <v>340695800</v>
      </c>
      <c r="I48" s="198">
        <f>117449321.19</f>
        <v>117449321.19</v>
      </c>
      <c r="J48" s="158">
        <f>108292772.14</f>
        <v>108292772.14</v>
      </c>
      <c r="K48" s="159">
        <f t="shared" si="3"/>
        <v>92.203829739307494</v>
      </c>
      <c r="L48" s="158">
        <f>104191902.22</f>
        <v>104191902.22</v>
      </c>
      <c r="M48" s="159">
        <f t="shared" si="2"/>
        <v>88.712221717694533</v>
      </c>
      <c r="N48" s="159">
        <f>103226320.42</f>
        <v>103226320.42</v>
      </c>
      <c r="O48" s="245">
        <f t="shared" si="4"/>
        <v>87.890095382508704</v>
      </c>
    </row>
    <row r="49" spans="1:18" ht="17.850000000000001" customHeight="1" x14ac:dyDescent="0.25">
      <c r="A49" s="346" t="s">
        <v>186</v>
      </c>
      <c r="B49" s="346"/>
      <c r="C49" s="346"/>
      <c r="D49" s="346"/>
      <c r="E49" s="346"/>
      <c r="F49" s="346"/>
      <c r="G49" s="346"/>
      <c r="H49" s="234">
        <f>H50+H51</f>
        <v>86481939</v>
      </c>
      <c r="I49" s="198">
        <f>I50+I51</f>
        <v>92436873.290000007</v>
      </c>
      <c r="J49" s="158">
        <f>J50+J51</f>
        <v>88021881.900000006</v>
      </c>
      <c r="K49" s="159">
        <f t="shared" si="3"/>
        <v>95.223776797221433</v>
      </c>
      <c r="L49" s="158">
        <f>L50+L51</f>
        <v>81980467.510000005</v>
      </c>
      <c r="M49" s="159">
        <f t="shared" si="2"/>
        <v>88.688057689710718</v>
      </c>
      <c r="N49" s="159">
        <f>N50+N51</f>
        <v>81167759.239999995</v>
      </c>
      <c r="O49" s="245">
        <f t="shared" si="4"/>
        <v>87.808854141306043</v>
      </c>
    </row>
    <row r="50" spans="1:18" ht="17.850000000000001" customHeight="1" x14ac:dyDescent="0.25">
      <c r="A50" s="392" t="s">
        <v>182</v>
      </c>
      <c r="B50" s="392"/>
      <c r="C50" s="392"/>
      <c r="D50" s="392"/>
      <c r="E50" s="392"/>
      <c r="F50" s="392"/>
      <c r="G50" s="392"/>
      <c r="H50" s="234">
        <f>86481939</f>
        <v>86481939</v>
      </c>
      <c r="I50" s="198">
        <f>92436873.29</f>
        <v>92436873.290000007</v>
      </c>
      <c r="J50" s="158">
        <f>88021881.9</f>
        <v>88021881.900000006</v>
      </c>
      <c r="K50" s="159">
        <f t="shared" si="3"/>
        <v>95.223776797221433</v>
      </c>
      <c r="L50" s="158">
        <f>81980467.51</f>
        <v>81980467.510000005</v>
      </c>
      <c r="M50" s="159">
        <f t="shared" si="2"/>
        <v>88.688057689710718</v>
      </c>
      <c r="N50" s="159">
        <f>81167759.24</f>
        <v>81167759.239999995</v>
      </c>
      <c r="O50" s="245">
        <f t="shared" si="4"/>
        <v>87.808854141306043</v>
      </c>
    </row>
    <row r="51" spans="1:18" ht="17.850000000000001" customHeight="1" x14ac:dyDescent="0.25">
      <c r="A51" s="392" t="s">
        <v>185</v>
      </c>
      <c r="B51" s="392"/>
      <c r="C51" s="392"/>
      <c r="D51" s="392"/>
      <c r="E51" s="392"/>
      <c r="F51" s="392"/>
      <c r="G51" s="392"/>
      <c r="H51" s="226">
        <v>0</v>
      </c>
      <c r="I51" s="198">
        <v>0</v>
      </c>
      <c r="J51" s="158">
        <v>0</v>
      </c>
      <c r="K51" s="159">
        <v>0</v>
      </c>
      <c r="L51" s="158">
        <v>0</v>
      </c>
      <c r="M51" s="159">
        <v>0</v>
      </c>
      <c r="N51" s="159">
        <v>0</v>
      </c>
      <c r="O51" s="158">
        <v>0</v>
      </c>
    </row>
    <row r="52" spans="1:18" ht="17.850000000000001" customHeight="1" x14ac:dyDescent="0.25">
      <c r="A52" s="346" t="s">
        <v>187</v>
      </c>
      <c r="B52" s="346"/>
      <c r="C52" s="346"/>
      <c r="D52" s="346"/>
      <c r="E52" s="346"/>
      <c r="F52" s="346"/>
      <c r="G52" s="346"/>
      <c r="H52" s="234">
        <f>H53+H54</f>
        <v>100000</v>
      </c>
      <c r="I52" s="198">
        <f>I53+I54</f>
        <v>43858.61</v>
      </c>
      <c r="J52" s="158">
        <f>J53+J54</f>
        <v>42</v>
      </c>
      <c r="K52" s="159">
        <f t="shared" si="3"/>
        <v>9.5762268799672409E-2</v>
      </c>
      <c r="L52" s="158">
        <f>L53+L54</f>
        <v>42</v>
      </c>
      <c r="M52" s="159">
        <f t="shared" si="2"/>
        <v>9.5762268799672409E-2</v>
      </c>
      <c r="N52" s="159">
        <f>N53+N54</f>
        <v>42</v>
      </c>
      <c r="O52" s="158">
        <f t="shared" si="4"/>
        <v>9.5762268799672409E-2</v>
      </c>
    </row>
    <row r="53" spans="1:18" ht="17.850000000000001" customHeight="1" x14ac:dyDescent="0.25">
      <c r="A53" s="392" t="s">
        <v>182</v>
      </c>
      <c r="B53" s="392"/>
      <c r="C53" s="392"/>
      <c r="D53" s="392"/>
      <c r="E53" s="392"/>
      <c r="F53" s="392"/>
      <c r="G53" s="392"/>
      <c r="H53" s="234">
        <f>100000</f>
        <v>100000</v>
      </c>
      <c r="I53" s="198">
        <f>43858.61</f>
        <v>43858.61</v>
      </c>
      <c r="J53" s="158">
        <f>42</f>
        <v>42</v>
      </c>
      <c r="K53" s="159">
        <f t="shared" si="3"/>
        <v>9.5762268799672409E-2</v>
      </c>
      <c r="L53" s="158">
        <f>42</f>
        <v>42</v>
      </c>
      <c r="M53" s="159">
        <f t="shared" si="2"/>
        <v>9.5762268799672409E-2</v>
      </c>
      <c r="N53" s="159">
        <f>42</f>
        <v>42</v>
      </c>
      <c r="O53" s="158">
        <f t="shared" si="4"/>
        <v>9.5762268799672409E-2</v>
      </c>
    </row>
    <row r="54" spans="1:18" ht="17.850000000000001" customHeight="1" x14ac:dyDescent="0.25">
      <c r="A54" s="392" t="s">
        <v>185</v>
      </c>
      <c r="B54" s="392"/>
      <c r="C54" s="392"/>
      <c r="D54" s="392"/>
      <c r="E54" s="392"/>
      <c r="F54" s="392"/>
      <c r="G54" s="392"/>
      <c r="H54" s="234">
        <v>0</v>
      </c>
      <c r="I54" s="198">
        <v>0</v>
      </c>
      <c r="J54" s="158">
        <v>0</v>
      </c>
      <c r="K54" s="159">
        <v>0</v>
      </c>
      <c r="L54" s="158">
        <v>0</v>
      </c>
      <c r="M54" s="159">
        <v>0</v>
      </c>
      <c r="N54" s="159">
        <v>0</v>
      </c>
      <c r="O54" s="158">
        <v>0</v>
      </c>
    </row>
    <row r="55" spans="1:18" ht="17.850000000000001" customHeight="1" x14ac:dyDescent="0.25">
      <c r="A55" s="346" t="s">
        <v>188</v>
      </c>
      <c r="B55" s="346"/>
      <c r="C55" s="346"/>
      <c r="D55" s="346"/>
      <c r="E55" s="346"/>
      <c r="F55" s="346"/>
      <c r="G55" s="346"/>
      <c r="H55" s="234">
        <f>H56+H57</f>
        <v>21914204</v>
      </c>
      <c r="I55" s="198">
        <f>I56+I57</f>
        <v>6001980.1699999999</v>
      </c>
      <c r="J55" s="158">
        <f>J56+J57</f>
        <v>4849287.09</v>
      </c>
      <c r="K55" s="159">
        <f t="shared" si="3"/>
        <v>80.794786931127092</v>
      </c>
      <c r="L55" s="158">
        <f>L56+L57</f>
        <v>4149721.81</v>
      </c>
      <c r="M55" s="159">
        <f t="shared" si="2"/>
        <v>69.139212267673983</v>
      </c>
      <c r="N55" s="159">
        <f>N56+N57</f>
        <v>3968441.82</v>
      </c>
      <c r="O55" s="245">
        <f t="shared" si="4"/>
        <v>66.118875897585653</v>
      </c>
    </row>
    <row r="56" spans="1:18" ht="17.850000000000001" customHeight="1" x14ac:dyDescent="0.25">
      <c r="A56" s="392" t="s">
        <v>182</v>
      </c>
      <c r="B56" s="392"/>
      <c r="C56" s="392"/>
      <c r="D56" s="392"/>
      <c r="E56" s="392"/>
      <c r="F56" s="392"/>
      <c r="G56" s="392"/>
      <c r="H56" s="234">
        <f>20914204</f>
        <v>20914204</v>
      </c>
      <c r="I56" s="198">
        <f>4304628.77</f>
        <v>4304628.7699999996</v>
      </c>
      <c r="J56" s="158">
        <f>3159991.15</f>
        <v>3159991.15</v>
      </c>
      <c r="K56" s="159">
        <f t="shared" si="3"/>
        <v>73.409144408055425</v>
      </c>
      <c r="L56" s="158">
        <f>2460425.87</f>
        <v>2460425.87</v>
      </c>
      <c r="M56" s="159">
        <f t="shared" si="2"/>
        <v>57.15767843088593</v>
      </c>
      <c r="N56" s="159">
        <f>2279145.88</f>
        <v>2279145.88</v>
      </c>
      <c r="O56" s="245">
        <f t="shared" si="4"/>
        <v>52.946397977078064</v>
      </c>
    </row>
    <row r="57" spans="1:18" ht="17.850000000000001" customHeight="1" x14ac:dyDescent="0.25">
      <c r="A57" s="392" t="s">
        <v>185</v>
      </c>
      <c r="B57" s="392"/>
      <c r="C57" s="392"/>
      <c r="D57" s="392"/>
      <c r="E57" s="392"/>
      <c r="F57" s="392"/>
      <c r="G57" s="392"/>
      <c r="H57" s="234">
        <f>1000000</f>
        <v>1000000</v>
      </c>
      <c r="I57" s="198">
        <f>1697351.4</f>
        <v>1697351.4</v>
      </c>
      <c r="J57" s="158">
        <f>1689295.94</f>
        <v>1689295.94</v>
      </c>
      <c r="K57" s="159">
        <f t="shared" si="3"/>
        <v>99.525410000545548</v>
      </c>
      <c r="L57" s="158">
        <f>1689295.94</f>
        <v>1689295.94</v>
      </c>
      <c r="M57" s="159">
        <f t="shared" si="2"/>
        <v>99.525410000545548</v>
      </c>
      <c r="N57" s="159">
        <f>1689295.94</f>
        <v>1689295.94</v>
      </c>
      <c r="O57" s="245">
        <f t="shared" si="4"/>
        <v>99.525410000545548</v>
      </c>
    </row>
    <row r="58" spans="1:18" ht="17.850000000000001" customHeight="1" x14ac:dyDescent="0.25">
      <c r="A58" s="346" t="s">
        <v>189</v>
      </c>
      <c r="B58" s="346"/>
      <c r="C58" s="346"/>
      <c r="D58" s="346"/>
      <c r="E58" s="346"/>
      <c r="F58" s="346"/>
      <c r="G58" s="346"/>
      <c r="H58" s="234">
        <f>H59+H60</f>
        <v>10000</v>
      </c>
      <c r="I58" s="198">
        <f>I59+I60</f>
        <v>100000</v>
      </c>
      <c r="J58" s="158">
        <f>J59+J60</f>
        <v>0</v>
      </c>
      <c r="K58" s="159">
        <f t="shared" si="3"/>
        <v>0</v>
      </c>
      <c r="L58" s="158">
        <f>L59+L60</f>
        <v>0</v>
      </c>
      <c r="M58" s="159">
        <f t="shared" si="2"/>
        <v>0</v>
      </c>
      <c r="N58" s="159">
        <f>N59+N60</f>
        <v>0</v>
      </c>
      <c r="O58" s="158">
        <f t="shared" si="4"/>
        <v>0</v>
      </c>
    </row>
    <row r="59" spans="1:18" ht="17.850000000000001" customHeight="1" x14ac:dyDescent="0.25">
      <c r="A59" s="392" t="s">
        <v>182</v>
      </c>
      <c r="B59" s="392"/>
      <c r="C59" s="392"/>
      <c r="D59" s="392"/>
      <c r="E59" s="392"/>
      <c r="F59" s="392"/>
      <c r="G59" s="392"/>
      <c r="H59" s="234">
        <f>10000</f>
        <v>10000</v>
      </c>
      <c r="I59" s="198">
        <f>100000</f>
        <v>100000</v>
      </c>
      <c r="J59" s="158">
        <v>0</v>
      </c>
      <c r="K59" s="159">
        <f t="shared" si="3"/>
        <v>0</v>
      </c>
      <c r="L59" s="158">
        <v>0</v>
      </c>
      <c r="M59" s="159">
        <f t="shared" si="2"/>
        <v>0</v>
      </c>
      <c r="N59" s="159">
        <v>0</v>
      </c>
      <c r="O59" s="158">
        <f t="shared" si="4"/>
        <v>0</v>
      </c>
    </row>
    <row r="60" spans="1:18" ht="17.850000000000001" customHeight="1" x14ac:dyDescent="0.25">
      <c r="A60" s="392" t="s">
        <v>185</v>
      </c>
      <c r="B60" s="392"/>
      <c r="C60" s="392"/>
      <c r="D60" s="392"/>
      <c r="E60" s="392"/>
      <c r="F60" s="392"/>
      <c r="G60" s="392"/>
      <c r="H60" s="234">
        <v>0</v>
      </c>
      <c r="I60" s="198">
        <v>0</v>
      </c>
      <c r="J60" s="158">
        <v>0</v>
      </c>
      <c r="K60" s="159">
        <v>0</v>
      </c>
      <c r="L60" s="158">
        <v>0</v>
      </c>
      <c r="M60" s="159">
        <v>0</v>
      </c>
      <c r="N60" s="159">
        <v>0</v>
      </c>
      <c r="O60" s="158">
        <v>0</v>
      </c>
    </row>
    <row r="61" spans="1:18" ht="17.850000000000001" customHeight="1" x14ac:dyDescent="0.25">
      <c r="A61" s="346" t="s">
        <v>190</v>
      </c>
      <c r="B61" s="346"/>
      <c r="C61" s="346"/>
      <c r="D61" s="346"/>
      <c r="E61" s="346"/>
      <c r="F61" s="346"/>
      <c r="G61" s="346"/>
      <c r="H61" s="234">
        <f>H62+H63</f>
        <v>1430614368</v>
      </c>
      <c r="I61" s="198">
        <f>I62+I63</f>
        <v>1412133608.96</v>
      </c>
      <c r="J61" s="158">
        <f>J62+J63</f>
        <v>1086186506.4400001</v>
      </c>
      <c r="K61" s="159">
        <f t="shared" si="3"/>
        <v>76.918111682077196</v>
      </c>
      <c r="L61" s="158">
        <f>L62+L63</f>
        <v>1023525324.4399999</v>
      </c>
      <c r="M61" s="159">
        <f t="shared" si="2"/>
        <v>72.480770795746437</v>
      </c>
      <c r="N61" s="159">
        <f>N62+N63</f>
        <v>962245981.15999997</v>
      </c>
      <c r="O61" s="245">
        <f t="shared" si="4"/>
        <v>68.141284582035354</v>
      </c>
    </row>
    <row r="62" spans="1:18" ht="17.850000000000001" customHeight="1" x14ac:dyDescent="0.25">
      <c r="A62" s="392" t="s">
        <v>182</v>
      </c>
      <c r="B62" s="392"/>
      <c r="C62" s="392"/>
      <c r="D62" s="392"/>
      <c r="E62" s="392"/>
      <c r="F62" s="392"/>
      <c r="G62" s="392"/>
      <c r="H62" s="234">
        <f>1415452948</f>
        <v>1415452948</v>
      </c>
      <c r="I62" s="198">
        <f>1404328142.72</f>
        <v>1404328142.72</v>
      </c>
      <c r="J62" s="158">
        <f>1081294334.81</f>
        <v>1081294334.8099999</v>
      </c>
      <c r="K62" s="159">
        <f t="shared" si="3"/>
        <v>76.997270218887309</v>
      </c>
      <c r="L62" s="158">
        <f>1018921592.81</f>
        <v>1018921592.8099999</v>
      </c>
      <c r="M62" s="159">
        <f t="shared" si="2"/>
        <v>72.55580528611226</v>
      </c>
      <c r="N62" s="159">
        <f>957642249.53</f>
        <v>957642249.52999997</v>
      </c>
      <c r="O62" s="245">
        <f t="shared" si="4"/>
        <v>68.192199557802212</v>
      </c>
    </row>
    <row r="63" spans="1:18" ht="17.850000000000001" customHeight="1" x14ac:dyDescent="0.25">
      <c r="A63" s="392" t="s">
        <v>185</v>
      </c>
      <c r="B63" s="392"/>
      <c r="C63" s="392"/>
      <c r="D63" s="392"/>
      <c r="E63" s="392"/>
      <c r="F63" s="392"/>
      <c r="G63" s="392"/>
      <c r="H63" s="235">
        <f>15161420</f>
        <v>15161420</v>
      </c>
      <c r="I63" s="199">
        <f>7805466.24</f>
        <v>7805466.2400000002</v>
      </c>
      <c r="J63" s="158">
        <f>4892171.63</f>
        <v>4892171.63</v>
      </c>
      <c r="K63" s="216">
        <f t="shared" si="3"/>
        <v>62.676225603661052</v>
      </c>
      <c r="L63" s="158">
        <f>4603731.63</f>
        <v>4603731.63</v>
      </c>
      <c r="M63" s="159">
        <f t="shared" si="2"/>
        <v>58.980866593306793</v>
      </c>
      <c r="N63" s="216">
        <f>4603731.63</f>
        <v>4603731.63</v>
      </c>
      <c r="O63" s="158">
        <f t="shared" si="4"/>
        <v>58.980866593306793</v>
      </c>
      <c r="Q63" s="504"/>
      <c r="R63" s="504"/>
    </row>
    <row r="64" spans="1:18" ht="17.850000000000001" customHeight="1" x14ac:dyDescent="0.25">
      <c r="A64" s="478" t="s">
        <v>191</v>
      </c>
      <c r="B64" s="478"/>
      <c r="C64" s="478"/>
      <c r="D64" s="478"/>
      <c r="E64" s="478"/>
      <c r="F64" s="478"/>
      <c r="G64" s="479"/>
      <c r="H64" s="259">
        <f>H43+H46+H49+H52+H55+H58+H61</f>
        <v>8037284700</v>
      </c>
      <c r="I64" s="260">
        <f>I43+I46+I49+I52+I55+I58+I61</f>
        <v>8410926257.2699986</v>
      </c>
      <c r="J64" s="161">
        <f>J43+J46+J49+J52+J55+J58+J61</f>
        <v>7485678603.2700005</v>
      </c>
      <c r="K64" s="161">
        <f t="shared" si="3"/>
        <v>88.999455877998471</v>
      </c>
      <c r="L64" s="200">
        <f>L43+L46+L49+L52+L55+L58+L61</f>
        <v>7348838858.5600004</v>
      </c>
      <c r="M64" s="161">
        <f t="shared" si="2"/>
        <v>87.372527516907169</v>
      </c>
      <c r="N64" s="200">
        <f>N43+N46+N49+N52+N55+N58+N61</f>
        <v>7004966448.7799997</v>
      </c>
      <c r="O64" s="162">
        <f t="shared" si="4"/>
        <v>83.284126319919224</v>
      </c>
      <c r="Q64" s="504"/>
      <c r="R64" s="504"/>
    </row>
    <row r="65" spans="1:18" ht="17.850000000000001" customHeight="1" x14ac:dyDescent="0.25">
      <c r="A65" s="335" t="s">
        <v>192</v>
      </c>
      <c r="B65" s="335"/>
      <c r="C65" s="335"/>
      <c r="D65" s="335"/>
      <c r="E65" s="335"/>
      <c r="F65" s="335"/>
      <c r="G65" s="335"/>
      <c r="H65" s="335"/>
      <c r="I65" s="336"/>
      <c r="J65" s="342" t="s">
        <v>38</v>
      </c>
      <c r="K65" s="341"/>
      <c r="L65" s="342" t="s">
        <v>39</v>
      </c>
      <c r="M65" s="341"/>
      <c r="N65" s="332" t="s">
        <v>174</v>
      </c>
      <c r="O65" s="332"/>
      <c r="Q65" s="504"/>
      <c r="R65" s="504"/>
    </row>
    <row r="66" spans="1:18" ht="17.850000000000001" customHeight="1" x14ac:dyDescent="0.25">
      <c r="A66" s="339"/>
      <c r="B66" s="339"/>
      <c r="C66" s="339"/>
      <c r="D66" s="339"/>
      <c r="E66" s="339"/>
      <c r="F66" s="339"/>
      <c r="G66" s="339"/>
      <c r="H66" s="339"/>
      <c r="I66" s="340"/>
      <c r="J66" s="441" t="s">
        <v>48</v>
      </c>
      <c r="K66" s="442"/>
      <c r="L66" s="441" t="s">
        <v>49</v>
      </c>
      <c r="M66" s="442"/>
      <c r="N66" s="443" t="s">
        <v>50</v>
      </c>
      <c r="O66" s="443"/>
      <c r="Q66" s="504"/>
      <c r="R66" s="504"/>
    </row>
    <row r="67" spans="1:18" ht="17.850000000000001" customHeight="1" x14ac:dyDescent="0.25">
      <c r="A67" s="469" t="s">
        <v>193</v>
      </c>
      <c r="B67" s="469"/>
      <c r="C67" s="469"/>
      <c r="D67" s="469"/>
      <c r="E67" s="469"/>
      <c r="F67" s="469"/>
      <c r="G67" s="469"/>
      <c r="H67" s="469"/>
      <c r="I67" s="470"/>
      <c r="J67" s="462">
        <f>J64</f>
        <v>7485678603.2700005</v>
      </c>
      <c r="K67" s="463"/>
      <c r="L67" s="462">
        <f>L64</f>
        <v>7348838858.5600004</v>
      </c>
      <c r="M67" s="463"/>
      <c r="N67" s="462">
        <f>N64</f>
        <v>7004966448.7799997</v>
      </c>
      <c r="O67" s="464"/>
      <c r="Q67" s="504"/>
      <c r="R67" s="504"/>
    </row>
    <row r="68" spans="1:18" ht="17.850000000000001" customHeight="1" x14ac:dyDescent="0.25">
      <c r="A68" s="472" t="s">
        <v>194</v>
      </c>
      <c r="B68" s="472"/>
      <c r="C68" s="472"/>
      <c r="D68" s="472"/>
      <c r="E68" s="472"/>
      <c r="F68" s="472"/>
      <c r="G68" s="472"/>
      <c r="H68" s="472"/>
      <c r="I68" s="473"/>
      <c r="J68" s="429">
        <v>0</v>
      </c>
      <c r="K68" s="430"/>
      <c r="L68" s="429">
        <v>0</v>
      </c>
      <c r="M68" s="430"/>
      <c r="N68" s="429">
        <v>0</v>
      </c>
      <c r="O68" s="465"/>
      <c r="Q68" s="504"/>
      <c r="R68" s="504"/>
    </row>
    <row r="69" spans="1:18" ht="17.850000000000001" customHeight="1" x14ac:dyDescent="0.25">
      <c r="A69" s="474" t="s">
        <v>195</v>
      </c>
      <c r="B69" s="474"/>
      <c r="C69" s="474"/>
      <c r="D69" s="474"/>
      <c r="E69" s="474"/>
      <c r="F69" s="474"/>
      <c r="G69" s="474"/>
      <c r="H69" s="474"/>
      <c r="I69" s="475"/>
      <c r="J69" s="429">
        <v>0</v>
      </c>
      <c r="K69" s="430"/>
      <c r="L69" s="429">
        <v>0</v>
      </c>
      <c r="M69" s="430"/>
      <c r="N69" s="429">
        <v>0</v>
      </c>
      <c r="O69" s="465"/>
      <c r="Q69" s="504"/>
      <c r="R69" s="504"/>
    </row>
    <row r="70" spans="1:18" ht="17.850000000000001" customHeight="1" x14ac:dyDescent="0.25">
      <c r="A70" s="476" t="s">
        <v>196</v>
      </c>
      <c r="B70" s="476"/>
      <c r="C70" s="476"/>
      <c r="D70" s="476"/>
      <c r="E70" s="476"/>
      <c r="F70" s="476"/>
      <c r="G70" s="476"/>
      <c r="H70" s="476"/>
      <c r="I70" s="477"/>
      <c r="J70" s="371">
        <v>0</v>
      </c>
      <c r="K70" s="372"/>
      <c r="L70" s="371">
        <v>0</v>
      </c>
      <c r="M70" s="372"/>
      <c r="N70" s="371">
        <v>0</v>
      </c>
      <c r="O70" s="466"/>
      <c r="Q70" s="504"/>
      <c r="R70" s="504"/>
    </row>
    <row r="71" spans="1:18" ht="17.850000000000001" customHeight="1" x14ac:dyDescent="0.25">
      <c r="A71" s="444" t="s">
        <v>197</v>
      </c>
      <c r="B71" s="444"/>
      <c r="C71" s="444"/>
      <c r="D71" s="444"/>
      <c r="E71" s="444"/>
      <c r="F71" s="444"/>
      <c r="G71" s="444"/>
      <c r="H71" s="444"/>
      <c r="I71" s="445"/>
      <c r="J71" s="467">
        <f>J67-J68-J69-J70</f>
        <v>7485678603.2700005</v>
      </c>
      <c r="K71" s="471"/>
      <c r="L71" s="467">
        <f>L67-L68-L69-L70</f>
        <v>7348838858.5600004</v>
      </c>
      <c r="M71" s="471"/>
      <c r="N71" s="467">
        <f>N67-N68-N69-N70</f>
        <v>7004966448.7799997</v>
      </c>
      <c r="O71" s="468"/>
      <c r="Q71" s="506"/>
      <c r="R71" s="507"/>
    </row>
    <row r="72" spans="1:18" ht="17.850000000000001" customHeight="1" x14ac:dyDescent="0.25">
      <c r="A72" s="448" t="s">
        <v>198</v>
      </c>
      <c r="B72" s="448"/>
      <c r="C72" s="448"/>
      <c r="D72" s="448"/>
      <c r="E72" s="448"/>
      <c r="F72" s="448"/>
      <c r="G72" s="448"/>
      <c r="H72" s="448"/>
      <c r="I72" s="449"/>
      <c r="J72" s="457">
        <f>L38*0.12</f>
        <v>6597658402.8647995</v>
      </c>
      <c r="K72" s="458"/>
      <c r="L72" s="458"/>
      <c r="M72" s="458"/>
      <c r="N72" s="458"/>
      <c r="O72" s="458"/>
      <c r="Q72" s="506"/>
      <c r="R72" s="507"/>
    </row>
    <row r="73" spans="1:18" ht="17.850000000000001" customHeight="1" x14ac:dyDescent="0.25">
      <c r="A73" s="448" t="s">
        <v>199</v>
      </c>
      <c r="B73" s="448"/>
      <c r="C73" s="448"/>
      <c r="D73" s="448"/>
      <c r="E73" s="448"/>
      <c r="F73" s="448"/>
      <c r="G73" s="448"/>
      <c r="H73" s="448"/>
      <c r="I73" s="449"/>
      <c r="J73" s="459">
        <v>0</v>
      </c>
      <c r="K73" s="459"/>
      <c r="L73" s="459"/>
      <c r="M73" s="459"/>
      <c r="N73" s="459"/>
      <c r="O73" s="459"/>
      <c r="Q73" s="504"/>
      <c r="R73" s="504"/>
    </row>
    <row r="74" spans="1:18" ht="17.850000000000001" customHeight="1" x14ac:dyDescent="0.25">
      <c r="A74" s="448" t="s">
        <v>200</v>
      </c>
      <c r="B74" s="448"/>
      <c r="C74" s="448"/>
      <c r="D74" s="448"/>
      <c r="E74" s="448"/>
      <c r="F74" s="448"/>
      <c r="G74" s="448"/>
      <c r="H74" s="448"/>
      <c r="I74" s="449"/>
      <c r="J74" s="450">
        <f>J71-J72</f>
        <v>888020200.40520096</v>
      </c>
      <c r="K74" s="452"/>
      <c r="L74" s="450">
        <f>L71-J72</f>
        <v>751180455.69520092</v>
      </c>
      <c r="M74" s="452"/>
      <c r="N74" s="450">
        <f>N71-J72</f>
        <v>407308045.91520023</v>
      </c>
      <c r="O74" s="451"/>
      <c r="Q74" s="505"/>
      <c r="R74" s="507"/>
    </row>
    <row r="75" spans="1:18" ht="17.850000000000001" customHeight="1" x14ac:dyDescent="0.25">
      <c r="A75" s="448" t="s">
        <v>201</v>
      </c>
      <c r="B75" s="448"/>
      <c r="C75" s="448"/>
      <c r="D75" s="448"/>
      <c r="E75" s="448"/>
      <c r="F75" s="448"/>
      <c r="G75" s="448"/>
      <c r="H75" s="448"/>
      <c r="I75" s="449"/>
      <c r="J75" s="450">
        <f>IF((L74&lt;0),(L74),0)</f>
        <v>0</v>
      </c>
      <c r="K75" s="452"/>
      <c r="L75" s="460"/>
      <c r="M75" s="461"/>
      <c r="N75" s="460"/>
      <c r="O75" s="501"/>
      <c r="Q75" s="505"/>
      <c r="R75" s="507"/>
    </row>
    <row r="76" spans="1:18" ht="35.25" customHeight="1" x14ac:dyDescent="0.25">
      <c r="A76" s="444" t="s">
        <v>202</v>
      </c>
      <c r="B76" s="444"/>
      <c r="C76" s="444"/>
      <c r="D76" s="444"/>
      <c r="E76" s="444"/>
      <c r="F76" s="444"/>
      <c r="G76" s="444"/>
      <c r="H76" s="444"/>
      <c r="I76" s="445"/>
      <c r="J76" s="453">
        <f>(J71/L38)*100</f>
        <v>13.615155219348022</v>
      </c>
      <c r="K76" s="454"/>
      <c r="L76" s="455">
        <f>(L71/L38)*100</f>
        <v>13.366267381231548</v>
      </c>
      <c r="M76" s="456"/>
      <c r="N76" s="446"/>
      <c r="O76" s="447"/>
      <c r="Q76" s="505"/>
      <c r="R76" s="507"/>
    </row>
    <row r="77" spans="1:18" ht="17.850000000000001" customHeight="1" x14ac:dyDescent="0.25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63" t="s">
        <v>203</v>
      </c>
      <c r="Q77" s="505"/>
      <c r="R77" s="507"/>
    </row>
    <row r="78" spans="1:18" ht="17.850000000000001" customHeight="1" x14ac:dyDescent="0.25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63"/>
      <c r="Q78" s="504"/>
      <c r="R78" s="504"/>
    </row>
    <row r="79" spans="1:18" ht="16.5" x14ac:dyDescent="0.25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63"/>
      <c r="Q79" s="504"/>
      <c r="R79" s="504"/>
    </row>
    <row r="80" spans="1:18" ht="16.5" x14ac:dyDescent="0.25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63"/>
      <c r="Q80" s="504"/>
      <c r="R80" s="504"/>
    </row>
    <row r="81" spans="1:20" ht="16.5" x14ac:dyDescent="0.25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63"/>
      <c r="Q81" s="504"/>
      <c r="R81" s="504"/>
    </row>
    <row r="82" spans="1:20" ht="16.5" x14ac:dyDescent="0.25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63" t="s">
        <v>204</v>
      </c>
      <c r="Q82" s="504"/>
      <c r="R82" s="504"/>
    </row>
    <row r="83" spans="1:20" ht="16.5" x14ac:dyDescent="0.25">
      <c r="A83" s="415" t="str">
        <f>A5</f>
        <v>GOVERNO DO ESTADO DO RIO DE JANEIRO</v>
      </c>
      <c r="B83" s="415"/>
      <c r="C83" s="415"/>
      <c r="D83" s="415"/>
      <c r="E83" s="415"/>
      <c r="F83" s="415"/>
      <c r="G83" s="415"/>
      <c r="H83" s="415"/>
      <c r="I83" s="415"/>
      <c r="J83" s="415"/>
      <c r="K83" s="415"/>
      <c r="L83" s="415"/>
      <c r="M83" s="415"/>
      <c r="N83" s="415"/>
      <c r="O83" s="415"/>
      <c r="Q83" s="504"/>
      <c r="R83" s="504"/>
    </row>
    <row r="84" spans="1:20" ht="16.5" x14ac:dyDescent="0.25">
      <c r="A84" s="415" t="str">
        <f>A6</f>
        <v>RELATÓRIO RESUMIDO DA EXECUÇÃO ORÇAMENTÁRIA</v>
      </c>
      <c r="B84" s="415"/>
      <c r="C84" s="415"/>
      <c r="D84" s="415"/>
      <c r="E84" s="415"/>
      <c r="F84" s="415"/>
      <c r="G84" s="415"/>
      <c r="H84" s="415"/>
      <c r="I84" s="415"/>
      <c r="J84" s="415"/>
      <c r="K84" s="415"/>
      <c r="L84" s="415"/>
      <c r="M84" s="415"/>
      <c r="N84" s="415"/>
      <c r="O84" s="415"/>
      <c r="Q84" s="504"/>
      <c r="R84" s="504"/>
    </row>
    <row r="85" spans="1:20" ht="16.5" x14ac:dyDescent="0.25">
      <c r="A85" s="502" t="str">
        <f>A7</f>
        <v xml:space="preserve">DEMONSTRATIVO DAS RECEITAS E DESPESAS COM AÇÕES E SERVIÇOS PÚBLICOS DE SAÚDE </v>
      </c>
      <c r="B85" s="502"/>
      <c r="C85" s="502"/>
      <c r="D85" s="502"/>
      <c r="E85" s="502"/>
      <c r="F85" s="502"/>
      <c r="G85" s="502"/>
      <c r="H85" s="502"/>
      <c r="I85" s="502"/>
      <c r="J85" s="502"/>
      <c r="K85" s="502"/>
      <c r="L85" s="502"/>
      <c r="M85" s="502"/>
      <c r="N85" s="502"/>
      <c r="O85" s="502"/>
      <c r="Q85" s="504"/>
      <c r="R85" s="504"/>
    </row>
    <row r="86" spans="1:20" ht="16.5" x14ac:dyDescent="0.25">
      <c r="A86" s="415" t="str">
        <f>A8</f>
        <v>ORÇAMENTOS FISCAL E DA SEGURIDADE SOCIAL</v>
      </c>
      <c r="B86" s="415"/>
      <c r="C86" s="415"/>
      <c r="D86" s="415"/>
      <c r="E86" s="415"/>
      <c r="F86" s="415"/>
      <c r="G86" s="415"/>
      <c r="H86" s="415"/>
      <c r="I86" s="415"/>
      <c r="J86" s="415"/>
      <c r="K86" s="415"/>
      <c r="L86" s="415"/>
      <c r="M86" s="415"/>
      <c r="N86" s="415"/>
      <c r="O86" s="415"/>
    </row>
    <row r="87" spans="1:20" ht="16.5" x14ac:dyDescent="0.25">
      <c r="A87" s="415" t="str">
        <f>A9</f>
        <v>JANEIRO A OUTUBRO 2025/BIMESTRE SETEMBRO - OUTUBRO</v>
      </c>
      <c r="B87" s="415"/>
      <c r="C87" s="415"/>
      <c r="D87" s="415"/>
      <c r="E87" s="415"/>
      <c r="F87" s="415"/>
      <c r="G87" s="415"/>
      <c r="H87" s="415"/>
      <c r="I87" s="415"/>
      <c r="J87" s="415"/>
      <c r="K87" s="415"/>
      <c r="L87" s="415"/>
      <c r="M87" s="415"/>
      <c r="N87" s="415"/>
      <c r="O87" s="415"/>
    </row>
    <row r="88" spans="1:20" ht="16.5" x14ac:dyDescent="0.25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63" t="str">
        <f>O10</f>
        <v xml:space="preserve"> Emissão: 19/11/2025</v>
      </c>
    </row>
    <row r="89" spans="1:20" ht="16.5" x14ac:dyDescent="0.25">
      <c r="A89" s="134" t="str">
        <f>A11</f>
        <v>RREO – ANEXO 12  (LC n° 141/2012 art.35)</v>
      </c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67">
        <f>O11</f>
        <v>1</v>
      </c>
    </row>
    <row r="90" spans="1:20" ht="15.75" customHeight="1" x14ac:dyDescent="0.25">
      <c r="A90" s="419" t="s">
        <v>205</v>
      </c>
      <c r="B90" s="419"/>
      <c r="C90" s="419"/>
      <c r="D90" s="419"/>
      <c r="E90" s="419"/>
      <c r="F90" s="419"/>
      <c r="G90" s="419"/>
      <c r="H90" s="403"/>
      <c r="I90" s="389" t="s">
        <v>206</v>
      </c>
      <c r="J90" s="389"/>
      <c r="K90" s="389"/>
      <c r="L90" s="389"/>
      <c r="M90" s="389"/>
      <c r="N90" s="389"/>
      <c r="O90" s="389"/>
    </row>
    <row r="91" spans="1:20" ht="28.5" customHeight="1" x14ac:dyDescent="0.25">
      <c r="A91" s="420"/>
      <c r="B91" s="420"/>
      <c r="C91" s="420"/>
      <c r="D91" s="420"/>
      <c r="E91" s="420"/>
      <c r="F91" s="420"/>
      <c r="G91" s="420"/>
      <c r="H91" s="421"/>
      <c r="I91" s="355" t="s">
        <v>207</v>
      </c>
      <c r="J91" s="356"/>
      <c r="K91" s="375" t="s">
        <v>208</v>
      </c>
      <c r="L91" s="402"/>
      <c r="M91" s="376"/>
      <c r="N91" s="363" t="s">
        <v>209</v>
      </c>
      <c r="O91" s="401"/>
    </row>
    <row r="92" spans="1:20" ht="36" customHeight="1" x14ac:dyDescent="0.25">
      <c r="A92" s="422"/>
      <c r="B92" s="422"/>
      <c r="C92" s="422"/>
      <c r="D92" s="422"/>
      <c r="E92" s="422"/>
      <c r="F92" s="422"/>
      <c r="G92" s="422"/>
      <c r="H92" s="404"/>
      <c r="I92" s="357" t="s">
        <v>52</v>
      </c>
      <c r="J92" s="358"/>
      <c r="K92" s="155" t="s">
        <v>210</v>
      </c>
      <c r="L92" s="168" t="s">
        <v>211</v>
      </c>
      <c r="M92" s="168" t="s">
        <v>212</v>
      </c>
      <c r="N92" s="375" t="s">
        <v>213</v>
      </c>
      <c r="O92" s="402"/>
    </row>
    <row r="93" spans="1:20" ht="18" hidden="1" customHeight="1" x14ac:dyDescent="0.25">
      <c r="A93" s="370" t="s">
        <v>214</v>
      </c>
      <c r="B93" s="370"/>
      <c r="C93" s="370"/>
      <c r="D93" s="370"/>
      <c r="E93" s="370"/>
      <c r="F93" s="370"/>
      <c r="G93" s="370"/>
      <c r="H93" s="370"/>
      <c r="I93" s="368"/>
      <c r="J93" s="369"/>
      <c r="K93" s="169"/>
      <c r="L93" s="169"/>
      <c r="M93" s="169"/>
      <c r="N93" s="436"/>
      <c r="O93" s="503"/>
    </row>
    <row r="94" spans="1:20" ht="18" customHeight="1" x14ac:dyDescent="0.25">
      <c r="A94" s="346" t="s">
        <v>296</v>
      </c>
      <c r="B94" s="346"/>
      <c r="C94" s="346"/>
      <c r="D94" s="346"/>
      <c r="E94" s="346"/>
      <c r="F94" s="346"/>
      <c r="G94" s="346"/>
      <c r="H94" s="346"/>
      <c r="I94" s="436"/>
      <c r="J94" s="437"/>
      <c r="K94" s="220"/>
      <c r="L94" s="220"/>
      <c r="M94" s="220"/>
      <c r="N94" s="438"/>
      <c r="O94" s="439"/>
    </row>
    <row r="95" spans="1:20" ht="18" customHeight="1" x14ac:dyDescent="0.25">
      <c r="A95" s="346" t="s">
        <v>215</v>
      </c>
      <c r="B95" s="346"/>
      <c r="C95" s="346"/>
      <c r="D95" s="346"/>
      <c r="E95" s="346"/>
      <c r="F95" s="346"/>
      <c r="G95" s="346"/>
      <c r="H95" s="346"/>
      <c r="I95" s="384">
        <v>0</v>
      </c>
      <c r="J95" s="385"/>
      <c r="K95" s="201">
        <v>0</v>
      </c>
      <c r="L95" s="201">
        <v>0</v>
      </c>
      <c r="M95" s="201">
        <v>0</v>
      </c>
      <c r="N95" s="384">
        <v>0</v>
      </c>
      <c r="O95" s="386"/>
    </row>
    <row r="96" spans="1:20" ht="18.75" customHeight="1" x14ac:dyDescent="0.25">
      <c r="A96" s="328" t="s">
        <v>216</v>
      </c>
      <c r="B96" s="328"/>
      <c r="C96" s="328"/>
      <c r="D96" s="328"/>
      <c r="E96" s="328"/>
      <c r="F96" s="328"/>
      <c r="G96" s="328"/>
      <c r="H96" s="328"/>
      <c r="I96" s="399">
        <v>0</v>
      </c>
      <c r="J96" s="400"/>
      <c r="K96" s="203">
        <v>0</v>
      </c>
      <c r="L96" s="203">
        <v>0</v>
      </c>
      <c r="M96" s="203">
        <v>0</v>
      </c>
      <c r="N96" s="399">
        <v>0</v>
      </c>
      <c r="O96" s="405"/>
      <c r="P96" s="508"/>
      <c r="Q96" s="509"/>
      <c r="R96" s="504"/>
      <c r="S96" s="504"/>
      <c r="T96" s="504"/>
    </row>
    <row r="97" spans="1:22" ht="16.5" x14ac:dyDescent="0.25">
      <c r="A97" s="310" t="s">
        <v>217</v>
      </c>
      <c r="B97" s="310"/>
      <c r="C97" s="310"/>
      <c r="D97" s="310"/>
      <c r="E97" s="310"/>
      <c r="F97" s="310"/>
      <c r="G97" s="310"/>
      <c r="H97" s="310"/>
      <c r="I97" s="308">
        <f>I94+I95+I96</f>
        <v>0</v>
      </c>
      <c r="J97" s="309"/>
      <c r="K97" s="261">
        <f>K94+K95+K96</f>
        <v>0</v>
      </c>
      <c r="L97" s="261">
        <f>L94+L95+L96</f>
        <v>0</v>
      </c>
      <c r="M97" s="261">
        <f>M94+M95+M96</f>
        <v>0</v>
      </c>
      <c r="N97" s="308">
        <f>N94+N95+N96</f>
        <v>0</v>
      </c>
      <c r="O97" s="379"/>
      <c r="P97" s="508"/>
      <c r="Q97" s="508"/>
      <c r="R97" s="504"/>
      <c r="S97" s="504"/>
      <c r="T97" s="504"/>
    </row>
    <row r="98" spans="1:22" ht="10.5" customHeight="1" x14ac:dyDescent="0.25">
      <c r="A98" s="170"/>
      <c r="B98" s="170"/>
      <c r="C98" s="170"/>
      <c r="D98" s="170"/>
      <c r="E98" s="170"/>
      <c r="F98" s="170"/>
      <c r="G98" s="170"/>
      <c r="H98" s="170"/>
      <c r="I98" s="171"/>
      <c r="J98" s="171"/>
      <c r="K98" s="171"/>
      <c r="L98" s="171"/>
      <c r="M98" s="171"/>
      <c r="N98" s="171"/>
      <c r="O98" s="171"/>
      <c r="P98" s="504"/>
      <c r="Q98" s="504"/>
      <c r="R98" s="504"/>
      <c r="S98" s="504"/>
      <c r="T98" s="504"/>
    </row>
    <row r="99" spans="1:22" ht="15.75" customHeight="1" x14ac:dyDescent="0.25">
      <c r="A99" s="327" t="s">
        <v>218</v>
      </c>
      <c r="B99" s="327"/>
      <c r="C99" s="327"/>
      <c r="D99" s="327"/>
      <c r="E99" s="327"/>
      <c r="F99" s="327"/>
      <c r="G99" s="327"/>
      <c r="H99" s="327"/>
      <c r="I99" s="327"/>
      <c r="J99" s="327"/>
      <c r="K99" s="327"/>
      <c r="L99" s="327"/>
      <c r="M99" s="327"/>
      <c r="N99" s="327"/>
      <c r="O99" s="327"/>
      <c r="P99" s="510"/>
      <c r="Q99" s="510"/>
      <c r="R99" s="510"/>
      <c r="S99" s="504"/>
      <c r="T99" s="504"/>
    </row>
    <row r="100" spans="1:22" ht="15.75" customHeight="1" x14ac:dyDescent="0.25">
      <c r="A100" s="352"/>
      <c r="B100" s="352"/>
      <c r="C100" s="352"/>
      <c r="D100" s="352"/>
      <c r="E100" s="352"/>
      <c r="F100" s="352"/>
      <c r="G100" s="352"/>
      <c r="H100" s="352"/>
      <c r="I100" s="352"/>
      <c r="J100" s="352"/>
      <c r="K100" s="352"/>
      <c r="L100" s="352"/>
      <c r="M100" s="352"/>
      <c r="N100" s="352"/>
      <c r="O100" s="352"/>
      <c r="P100" s="510"/>
      <c r="Q100" s="510"/>
      <c r="R100" s="510"/>
      <c r="S100" s="504"/>
      <c r="T100" s="504"/>
    </row>
    <row r="101" spans="1:22" ht="26.25" customHeight="1" x14ac:dyDescent="0.25">
      <c r="A101" s="403" t="s">
        <v>219</v>
      </c>
      <c r="B101" s="363" t="s">
        <v>220</v>
      </c>
      <c r="C101" s="364"/>
      <c r="D101" s="377" t="s">
        <v>221</v>
      </c>
      <c r="E101" s="377" t="s">
        <v>222</v>
      </c>
      <c r="F101" s="377" t="s">
        <v>223</v>
      </c>
      <c r="G101" s="377" t="s">
        <v>224</v>
      </c>
      <c r="H101" s="377" t="s">
        <v>225</v>
      </c>
      <c r="I101" s="377" t="s">
        <v>226</v>
      </c>
      <c r="J101" s="401" t="s">
        <v>227</v>
      </c>
      <c r="K101" s="401"/>
      <c r="L101" s="363" t="s">
        <v>228</v>
      </c>
      <c r="M101" s="364"/>
      <c r="N101" s="401" t="s">
        <v>229</v>
      </c>
      <c r="O101" s="401"/>
      <c r="P101" s="510"/>
      <c r="Q101" s="510"/>
      <c r="R101" s="510"/>
      <c r="S101" s="504"/>
      <c r="T101" s="504"/>
    </row>
    <row r="102" spans="1:22" ht="139.5" customHeight="1" x14ac:dyDescent="0.25">
      <c r="A102" s="404"/>
      <c r="B102" s="375"/>
      <c r="C102" s="376"/>
      <c r="D102" s="378"/>
      <c r="E102" s="378"/>
      <c r="F102" s="378"/>
      <c r="G102" s="378"/>
      <c r="H102" s="378"/>
      <c r="I102" s="378"/>
      <c r="J102" s="402"/>
      <c r="K102" s="402"/>
      <c r="L102" s="375"/>
      <c r="M102" s="376"/>
      <c r="N102" s="402"/>
      <c r="O102" s="402"/>
      <c r="P102" s="510"/>
      <c r="Q102" s="510"/>
      <c r="R102" s="510"/>
      <c r="S102" s="504"/>
      <c r="T102" s="504"/>
    </row>
    <row r="103" spans="1:22" ht="16.5" customHeight="1" x14ac:dyDescent="0.25">
      <c r="A103" s="231" t="s">
        <v>295</v>
      </c>
      <c r="B103" s="381">
        <f>7299605927.9796</f>
        <v>7299605927.9796</v>
      </c>
      <c r="C103" s="410"/>
      <c r="D103" s="228">
        <f>9253192640.68</f>
        <v>9253192640.6800003</v>
      </c>
      <c r="E103" s="228">
        <f t="shared" ref="E103:E110" si="5">D103-B103</f>
        <v>1953586712.7004004</v>
      </c>
      <c r="F103" s="228">
        <f>9253192640.68-8779366987.89</f>
        <v>473825652.79000092</v>
      </c>
      <c r="G103" s="227">
        <v>0</v>
      </c>
      <c r="H103" s="228">
        <f>IF((F103-(E103+G103))&lt;0,0,(F103-(E103+G103)))</f>
        <v>0</v>
      </c>
      <c r="I103" s="228">
        <v>472817990.75</v>
      </c>
      <c r="J103" s="381">
        <f t="shared" ref="J103:J108" si="6">F103-I103-L103</f>
        <v>534409.96000091545</v>
      </c>
      <c r="K103" s="410"/>
      <c r="L103" s="411">
        <f>473252.08</f>
        <v>473252.08</v>
      </c>
      <c r="M103" s="412"/>
      <c r="N103" s="381">
        <f>((E103+G103)-L103)</f>
        <v>1953113460.6204004</v>
      </c>
      <c r="O103" s="382"/>
      <c r="P103" s="510"/>
      <c r="Q103" s="510"/>
      <c r="R103" s="510"/>
      <c r="S103" s="505"/>
      <c r="T103" s="505"/>
    </row>
    <row r="104" spans="1:22" ht="16.5" customHeight="1" x14ac:dyDescent="0.25">
      <c r="A104" s="231" t="s">
        <v>230</v>
      </c>
      <c r="B104" s="324">
        <v>6725142644.1252003</v>
      </c>
      <c r="C104" s="325"/>
      <c r="D104" s="226">
        <v>6915218418.46</v>
      </c>
      <c r="E104" s="226">
        <f t="shared" si="5"/>
        <v>190075774.33479977</v>
      </c>
      <c r="F104" s="226">
        <f>172689050.08</f>
        <v>172689050.08000001</v>
      </c>
      <c r="G104" s="227">
        <v>0</v>
      </c>
      <c r="H104" s="228">
        <f t="shared" ref="H104:H110" si="7">IF((F104-(E104+G104))&lt;0,0,(F104-(E104+G104)))</f>
        <v>0</v>
      </c>
      <c r="I104" s="198">
        <v>168102989.43000001</v>
      </c>
      <c r="J104" s="322">
        <f t="shared" si="6"/>
        <v>3207355.1800000062</v>
      </c>
      <c r="K104" s="323"/>
      <c r="L104" s="316">
        <f>1378705.47</f>
        <v>1378705.47</v>
      </c>
      <c r="M104" s="317"/>
      <c r="N104" s="423">
        <f>((E104+G104)-L104)</f>
        <v>188697068.86479977</v>
      </c>
      <c r="O104" s="424"/>
      <c r="P104" s="510"/>
      <c r="Q104" s="510"/>
      <c r="R104" s="510"/>
      <c r="S104" s="505"/>
      <c r="T104" s="505"/>
      <c r="U104" s="193"/>
      <c r="V104" s="193"/>
    </row>
    <row r="105" spans="1:22" ht="16.899999999999999" customHeight="1" x14ac:dyDescent="0.25">
      <c r="A105" s="231" t="s">
        <v>231</v>
      </c>
      <c r="B105" s="324">
        <v>6355851171.0360003</v>
      </c>
      <c r="C105" s="325"/>
      <c r="D105" s="226">
        <v>6799944127.8699999</v>
      </c>
      <c r="E105" s="226">
        <f t="shared" si="5"/>
        <v>444092956.83399963</v>
      </c>
      <c r="F105" s="226">
        <f>163806199.47</f>
        <v>163806199.47</v>
      </c>
      <c r="G105" s="227">
        <v>0</v>
      </c>
      <c r="H105" s="228">
        <f t="shared" si="7"/>
        <v>0</v>
      </c>
      <c r="I105" s="198">
        <v>127213441.34999999</v>
      </c>
      <c r="J105" s="322">
        <f t="shared" si="6"/>
        <v>33619781.120000005</v>
      </c>
      <c r="K105" s="323"/>
      <c r="L105" s="316">
        <f>2972977</f>
        <v>2972977</v>
      </c>
      <c r="M105" s="317"/>
      <c r="N105" s="423">
        <f t="shared" ref="N105:N110" si="8">((E105+G105)-L105)</f>
        <v>441119979.83399963</v>
      </c>
      <c r="O105" s="424"/>
      <c r="P105" s="510"/>
      <c r="Q105" s="510"/>
      <c r="R105" s="510"/>
      <c r="S105" s="505"/>
      <c r="T105" s="505"/>
      <c r="U105" s="193"/>
      <c r="V105" s="193"/>
    </row>
    <row r="106" spans="1:22" ht="16.5" customHeight="1" x14ac:dyDescent="0.25">
      <c r="A106" s="231" t="s">
        <v>232</v>
      </c>
      <c r="B106" s="324">
        <v>6302047841.0663996</v>
      </c>
      <c r="C106" s="325"/>
      <c r="D106" s="226">
        <v>6590847974.7200003</v>
      </c>
      <c r="E106" s="226">
        <f t="shared" si="5"/>
        <v>288800133.65360069</v>
      </c>
      <c r="F106" s="226">
        <f>7210998370.09-6787334450.66</f>
        <v>423663919.43000031</v>
      </c>
      <c r="G106" s="227">
        <v>0</v>
      </c>
      <c r="H106" s="228">
        <f>IF((F106-(E106+G106))&lt;0,0,(F106-(E106+G106)))</f>
        <v>134863785.77639961</v>
      </c>
      <c r="I106" s="198">
        <v>421202857.63999999</v>
      </c>
      <c r="J106" s="322">
        <f t="shared" si="6"/>
        <v>2221632.6500003194</v>
      </c>
      <c r="K106" s="323"/>
      <c r="L106" s="316">
        <f>239429.14</f>
        <v>239429.14</v>
      </c>
      <c r="M106" s="317"/>
      <c r="N106" s="423">
        <f t="shared" si="8"/>
        <v>288560704.51360071</v>
      </c>
      <c r="O106" s="424"/>
      <c r="P106" s="510"/>
      <c r="Q106" s="510"/>
      <c r="R106" s="510"/>
      <c r="S106" s="505"/>
      <c r="T106" s="505"/>
      <c r="U106" s="193"/>
      <c r="V106" s="193"/>
    </row>
    <row r="107" spans="1:22" ht="16.5" customHeight="1" x14ac:dyDescent="0.25">
      <c r="A107" s="231" t="s">
        <v>233</v>
      </c>
      <c r="B107" s="316">
        <v>5176471868.8000002</v>
      </c>
      <c r="C107" s="317"/>
      <c r="D107" s="198">
        <v>5191164543.2299995</v>
      </c>
      <c r="E107" s="198">
        <f t="shared" si="5"/>
        <v>14692674.429999352</v>
      </c>
      <c r="F107" s="198">
        <f>5191164543.23-4936080871.59</f>
        <v>255083671.63999939</v>
      </c>
      <c r="G107" s="217">
        <v>0</v>
      </c>
      <c r="H107" s="217">
        <f t="shared" si="7"/>
        <v>240390997.21000004</v>
      </c>
      <c r="I107" s="198">
        <v>242573492.80000001</v>
      </c>
      <c r="J107" s="427">
        <f t="shared" si="6"/>
        <v>8974379.9699993767</v>
      </c>
      <c r="K107" s="428"/>
      <c r="L107" s="316">
        <f>3535798.87</f>
        <v>3535798.87</v>
      </c>
      <c r="M107" s="317"/>
      <c r="N107" s="425">
        <f t="shared" si="8"/>
        <v>11156875.55999935</v>
      </c>
      <c r="O107" s="426"/>
      <c r="P107" s="510"/>
      <c r="Q107" s="510"/>
      <c r="R107" s="510"/>
      <c r="S107" s="505"/>
      <c r="T107" s="505"/>
      <c r="U107" s="193"/>
      <c r="V107" s="193"/>
    </row>
    <row r="108" spans="1:22" ht="16.5" customHeight="1" x14ac:dyDescent="0.25">
      <c r="A108" s="231" t="s">
        <v>234</v>
      </c>
      <c r="B108" s="316">
        <v>4977256321.5600004</v>
      </c>
      <c r="C108" s="317"/>
      <c r="D108" s="198">
        <v>4999474003.9300003</v>
      </c>
      <c r="E108" s="198">
        <f t="shared" si="5"/>
        <v>22217682.369999886</v>
      </c>
      <c r="F108" s="198">
        <f>4999474004.47-4368506061.63</f>
        <v>630967942.84000015</v>
      </c>
      <c r="G108" s="217">
        <v>0</v>
      </c>
      <c r="H108" s="217">
        <f t="shared" si="7"/>
        <v>608750260.47000027</v>
      </c>
      <c r="I108" s="198">
        <v>547083839.13</v>
      </c>
      <c r="J108" s="397">
        <f t="shared" si="6"/>
        <v>613175.09000015259</v>
      </c>
      <c r="K108" s="398"/>
      <c r="L108" s="316">
        <f>83270928.62</f>
        <v>83270928.620000005</v>
      </c>
      <c r="M108" s="317"/>
      <c r="N108" s="440">
        <f>((E108+G108)-L108)</f>
        <v>-61053246.250000119</v>
      </c>
      <c r="O108" s="440"/>
      <c r="P108" s="510"/>
      <c r="Q108" s="510"/>
      <c r="R108" s="510"/>
      <c r="S108" s="505"/>
      <c r="T108" s="505"/>
      <c r="U108" s="193"/>
      <c r="V108" s="193"/>
    </row>
    <row r="109" spans="1:22" ht="16.5" customHeight="1" x14ac:dyDescent="0.25">
      <c r="A109" s="231" t="s">
        <v>235</v>
      </c>
      <c r="B109" s="406">
        <v>5030189927.8800001</v>
      </c>
      <c r="C109" s="407"/>
      <c r="D109" s="201">
        <v>5095917250.0699997</v>
      </c>
      <c r="E109" s="201">
        <f t="shared" si="5"/>
        <v>65727322.18999958</v>
      </c>
      <c r="F109" s="202">
        <v>0</v>
      </c>
      <c r="G109" s="202">
        <v>0</v>
      </c>
      <c r="H109" s="202">
        <f t="shared" si="7"/>
        <v>0</v>
      </c>
      <c r="I109" s="198">
        <v>0</v>
      </c>
      <c r="J109" s="429">
        <v>0</v>
      </c>
      <c r="K109" s="430"/>
      <c r="L109" s="425">
        <v>0</v>
      </c>
      <c r="M109" s="435"/>
      <c r="N109" s="386">
        <f t="shared" si="8"/>
        <v>65727322.18999958</v>
      </c>
      <c r="O109" s="386"/>
      <c r="P109" s="510"/>
      <c r="Q109" s="510"/>
      <c r="R109" s="510"/>
      <c r="S109" s="505"/>
      <c r="T109" s="505"/>
      <c r="U109" s="193"/>
      <c r="V109" s="193"/>
    </row>
    <row r="110" spans="1:22" ht="16.5" customHeight="1" x14ac:dyDescent="0.25">
      <c r="A110" s="232" t="s">
        <v>236</v>
      </c>
      <c r="B110" s="408">
        <v>4530802746.3599997</v>
      </c>
      <c r="C110" s="409"/>
      <c r="D110" s="203">
        <v>4612357436.9700003</v>
      </c>
      <c r="E110" s="203">
        <f t="shared" si="5"/>
        <v>81554690.61000061</v>
      </c>
      <c r="F110" s="204">
        <v>0</v>
      </c>
      <c r="G110" s="204">
        <v>0</v>
      </c>
      <c r="H110" s="204">
        <f t="shared" si="7"/>
        <v>0</v>
      </c>
      <c r="I110" s="199">
        <v>0</v>
      </c>
      <c r="J110" s="371">
        <v>0</v>
      </c>
      <c r="K110" s="372"/>
      <c r="L110" s="373">
        <v>0</v>
      </c>
      <c r="M110" s="374"/>
      <c r="N110" s="405">
        <f t="shared" si="8"/>
        <v>81554690.61000061</v>
      </c>
      <c r="O110" s="405"/>
      <c r="P110" s="510"/>
      <c r="Q110" s="510"/>
      <c r="R110" s="510"/>
      <c r="S110" s="505"/>
      <c r="T110" s="505"/>
      <c r="U110" s="193"/>
      <c r="V110" s="193"/>
    </row>
    <row r="111" spans="1:22" ht="16.5" hidden="1" customHeight="1" x14ac:dyDescent="0.25">
      <c r="A111" s="173" t="s">
        <v>237</v>
      </c>
      <c r="B111" s="359"/>
      <c r="C111" s="360"/>
      <c r="D111" s="190"/>
      <c r="E111" s="190"/>
      <c r="F111" s="190"/>
      <c r="G111" s="192"/>
      <c r="H111" s="191"/>
      <c r="I111" s="190"/>
      <c r="J111" s="361"/>
      <c r="K111" s="362"/>
      <c r="L111" s="359"/>
      <c r="M111" s="360"/>
      <c r="N111" s="331"/>
      <c r="O111" s="331"/>
      <c r="P111" s="511"/>
      <c r="Q111" s="511"/>
      <c r="R111" s="511"/>
      <c r="S111" s="505"/>
      <c r="T111" s="505"/>
      <c r="U111" s="193"/>
      <c r="V111" s="193"/>
    </row>
    <row r="112" spans="1:22" ht="10.5" customHeight="1" x14ac:dyDescent="0.25">
      <c r="A112" s="172"/>
      <c r="B112" s="172"/>
      <c r="C112" s="174"/>
      <c r="D112" s="174"/>
      <c r="E112" s="174"/>
      <c r="F112" s="174"/>
      <c r="G112" s="175"/>
      <c r="H112" s="175"/>
      <c r="I112" s="174"/>
      <c r="J112" s="134"/>
      <c r="K112" s="224"/>
      <c r="L112" s="174"/>
      <c r="M112" s="174"/>
      <c r="N112" s="174"/>
      <c r="O112" s="174"/>
      <c r="P112" s="511"/>
      <c r="Q112" s="511"/>
      <c r="R112" s="511"/>
      <c r="S112" s="505"/>
      <c r="T112" s="505"/>
      <c r="U112" s="193"/>
      <c r="V112" s="193"/>
    </row>
    <row r="113" spans="1:22" ht="15.75" customHeight="1" x14ac:dyDescent="0.25">
      <c r="A113" s="310" t="s">
        <v>238</v>
      </c>
      <c r="B113" s="310"/>
      <c r="C113" s="310"/>
      <c r="D113" s="310"/>
      <c r="E113" s="310"/>
      <c r="F113" s="310"/>
      <c r="G113" s="310"/>
      <c r="H113" s="310"/>
      <c r="I113" s="310"/>
      <c r="J113" s="310"/>
      <c r="K113" s="310"/>
      <c r="L113" s="310"/>
      <c r="M113" s="311"/>
      <c r="N113" s="329">
        <f>N108</f>
        <v>-61053246.250000119</v>
      </c>
      <c r="O113" s="330"/>
      <c r="P113" s="512"/>
      <c r="Q113" s="512"/>
      <c r="R113" s="512"/>
      <c r="S113" s="512"/>
      <c r="T113" s="512"/>
      <c r="U113" s="193"/>
      <c r="V113" s="193"/>
    </row>
    <row r="114" spans="1:22" ht="16.5" customHeight="1" x14ac:dyDescent="0.25">
      <c r="A114" s="310" t="s">
        <v>239</v>
      </c>
      <c r="B114" s="310"/>
      <c r="C114" s="310"/>
      <c r="D114" s="310"/>
      <c r="E114" s="310"/>
      <c r="F114" s="310"/>
      <c r="G114" s="310"/>
      <c r="H114" s="310"/>
      <c r="I114" s="310"/>
      <c r="J114" s="310"/>
      <c r="K114" s="310"/>
      <c r="L114" s="310"/>
      <c r="M114" s="311"/>
      <c r="N114" s="329">
        <v>-61053246.250000119</v>
      </c>
      <c r="O114" s="330"/>
      <c r="P114" s="512"/>
      <c r="Q114" s="512"/>
      <c r="R114" s="512"/>
      <c r="S114" s="512"/>
      <c r="T114" s="512"/>
      <c r="U114" s="193"/>
      <c r="V114" s="193"/>
    </row>
    <row r="115" spans="1:22" ht="16.5" x14ac:dyDescent="0.25">
      <c r="A115" s="310" t="s">
        <v>240</v>
      </c>
      <c r="B115" s="310"/>
      <c r="C115" s="310"/>
      <c r="D115" s="310"/>
      <c r="E115" s="310"/>
      <c r="F115" s="310"/>
      <c r="G115" s="310"/>
      <c r="H115" s="310"/>
      <c r="I115" s="310"/>
      <c r="J115" s="310"/>
      <c r="K115" s="310"/>
      <c r="L115" s="310"/>
      <c r="M115" s="311"/>
      <c r="N115" s="329">
        <f>N113-N114</f>
        <v>0</v>
      </c>
      <c r="O115" s="330"/>
      <c r="P115" s="512"/>
      <c r="Q115" s="512"/>
      <c r="R115" s="512"/>
      <c r="S115" s="512"/>
      <c r="T115" s="512"/>
      <c r="V115" s="193"/>
    </row>
    <row r="116" spans="1:22" ht="10.5" customHeight="1" x14ac:dyDescent="0.25">
      <c r="A116" s="176"/>
      <c r="B116" s="176"/>
      <c r="C116" s="176"/>
      <c r="D116" s="176"/>
      <c r="E116" s="174"/>
      <c r="F116" s="174"/>
      <c r="G116" s="174"/>
      <c r="H116" s="174"/>
      <c r="I116" s="174"/>
      <c r="J116" s="174"/>
      <c r="K116" s="175"/>
      <c r="L116" s="175"/>
      <c r="M116" s="175"/>
      <c r="N116" s="175"/>
      <c r="O116" s="174"/>
      <c r="P116" s="504"/>
      <c r="Q116" s="504"/>
      <c r="R116" s="504"/>
      <c r="S116" s="504"/>
      <c r="T116" s="504"/>
    </row>
    <row r="117" spans="1:22" ht="15.75" customHeight="1" x14ac:dyDescent="0.25">
      <c r="A117" s="419" t="s">
        <v>241</v>
      </c>
      <c r="B117" s="419"/>
      <c r="C117" s="419"/>
      <c r="D117" s="419"/>
      <c r="E117" s="419"/>
      <c r="F117" s="419"/>
      <c r="G117" s="419"/>
      <c r="H117" s="403"/>
      <c r="I117" s="388" t="s">
        <v>242</v>
      </c>
      <c r="J117" s="389"/>
      <c r="K117" s="389"/>
      <c r="L117" s="389"/>
      <c r="M117" s="389"/>
      <c r="N117" s="389"/>
      <c r="O117" s="389"/>
      <c r="P117" s="513"/>
      <c r="Q117" s="513"/>
      <c r="R117" s="513"/>
      <c r="S117" s="514"/>
      <c r="T117" s="504"/>
    </row>
    <row r="118" spans="1:22" ht="27" customHeight="1" x14ac:dyDescent="0.25">
      <c r="A118" s="420"/>
      <c r="B118" s="420"/>
      <c r="C118" s="420"/>
      <c r="D118" s="420"/>
      <c r="E118" s="420"/>
      <c r="F118" s="420"/>
      <c r="G118" s="420"/>
      <c r="H118" s="421"/>
      <c r="I118" s="363" t="s">
        <v>243</v>
      </c>
      <c r="J118" s="364"/>
      <c r="K118" s="388" t="s">
        <v>208</v>
      </c>
      <c r="L118" s="389"/>
      <c r="M118" s="434"/>
      <c r="N118" s="401" t="s">
        <v>244</v>
      </c>
      <c r="O118" s="401"/>
      <c r="P118" s="513"/>
      <c r="Q118" s="513"/>
      <c r="R118" s="513"/>
      <c r="S118" s="514"/>
      <c r="T118" s="504"/>
    </row>
    <row r="119" spans="1:22" ht="37.5" customHeight="1" x14ac:dyDescent="0.25">
      <c r="A119" s="422"/>
      <c r="B119" s="422"/>
      <c r="C119" s="422"/>
      <c r="D119" s="422"/>
      <c r="E119" s="422"/>
      <c r="F119" s="422"/>
      <c r="G119" s="422"/>
      <c r="H119" s="404"/>
      <c r="I119" s="357" t="s">
        <v>245</v>
      </c>
      <c r="J119" s="358"/>
      <c r="K119" s="168" t="s">
        <v>246</v>
      </c>
      <c r="L119" s="140" t="s">
        <v>247</v>
      </c>
      <c r="M119" s="168" t="s">
        <v>248</v>
      </c>
      <c r="N119" s="402"/>
      <c r="O119" s="402"/>
      <c r="P119" s="513"/>
      <c r="Q119" s="513"/>
      <c r="R119" s="513"/>
      <c r="S119" s="514"/>
      <c r="T119" s="504"/>
    </row>
    <row r="120" spans="1:22" ht="15" customHeight="1" x14ac:dyDescent="0.25">
      <c r="A120" s="431" t="s">
        <v>298</v>
      </c>
      <c r="B120" s="431"/>
      <c r="C120" s="431"/>
      <c r="D120" s="431"/>
      <c r="E120" s="431"/>
      <c r="F120" s="431"/>
      <c r="G120" s="431"/>
      <c r="H120" s="431"/>
      <c r="I120" s="432">
        <f>N115</f>
        <v>0</v>
      </c>
      <c r="J120" s="433"/>
      <c r="K120" s="205">
        <v>0</v>
      </c>
      <c r="L120" s="205">
        <v>0</v>
      </c>
      <c r="M120" s="205">
        <v>0</v>
      </c>
      <c r="N120" s="386">
        <f>(I120-L120)</f>
        <v>0</v>
      </c>
      <c r="O120" s="386"/>
      <c r="P120" s="513"/>
      <c r="Q120" s="513"/>
      <c r="R120" s="513"/>
      <c r="S120" s="514"/>
      <c r="T120" s="508"/>
    </row>
    <row r="121" spans="1:22" ht="15" customHeight="1" x14ac:dyDescent="0.25">
      <c r="A121" s="383" t="s">
        <v>297</v>
      </c>
      <c r="B121" s="383"/>
      <c r="C121" s="383"/>
      <c r="D121" s="383"/>
      <c r="E121" s="383"/>
      <c r="F121" s="383"/>
      <c r="G121" s="383"/>
      <c r="H121" s="383"/>
      <c r="I121" s="384">
        <v>61053246.250000097</v>
      </c>
      <c r="J121" s="385"/>
      <c r="K121" s="201">
        <v>0</v>
      </c>
      <c r="L121" s="201">
        <v>0</v>
      </c>
      <c r="M121" s="201">
        <v>0</v>
      </c>
      <c r="N121" s="386">
        <f t="shared" ref="N121:N122" si="9">(I121-L121)</f>
        <v>61053246.250000097</v>
      </c>
      <c r="O121" s="387"/>
      <c r="P121" s="513"/>
      <c r="Q121" s="513"/>
      <c r="R121" s="513"/>
      <c r="S121" s="515"/>
      <c r="T121" s="508"/>
    </row>
    <row r="122" spans="1:22" ht="18" customHeight="1" x14ac:dyDescent="0.25">
      <c r="A122" s="328" t="s">
        <v>249</v>
      </c>
      <c r="B122" s="328"/>
      <c r="C122" s="328"/>
      <c r="D122" s="328"/>
      <c r="E122" s="328"/>
      <c r="F122" s="328"/>
      <c r="G122" s="328"/>
      <c r="H122" s="328"/>
      <c r="I122" s="399">
        <v>0</v>
      </c>
      <c r="J122" s="400"/>
      <c r="K122" s="203">
        <v>0</v>
      </c>
      <c r="L122" s="203">
        <v>0</v>
      </c>
      <c r="M122" s="203">
        <v>0</v>
      </c>
      <c r="N122" s="386">
        <f t="shared" si="9"/>
        <v>0</v>
      </c>
      <c r="O122" s="386"/>
      <c r="P122" s="513"/>
      <c r="Q122" s="513"/>
      <c r="R122" s="513"/>
      <c r="S122" s="514"/>
      <c r="T122" s="508"/>
    </row>
    <row r="123" spans="1:22" ht="16.5" x14ac:dyDescent="0.25">
      <c r="A123" s="310" t="s">
        <v>250</v>
      </c>
      <c r="B123" s="310"/>
      <c r="C123" s="310"/>
      <c r="D123" s="310"/>
      <c r="E123" s="310"/>
      <c r="F123" s="310"/>
      <c r="G123" s="310"/>
      <c r="H123" s="310"/>
      <c r="I123" s="308">
        <f>I120+I121+I122</f>
        <v>61053246.250000097</v>
      </c>
      <c r="J123" s="309"/>
      <c r="K123" s="261">
        <f>K120+K121+K122</f>
        <v>0</v>
      </c>
      <c r="L123" s="261">
        <f>L120+L121+L122</f>
        <v>0</v>
      </c>
      <c r="M123" s="261">
        <f>M120+M121+M122</f>
        <v>0</v>
      </c>
      <c r="N123" s="308">
        <f>N120+N121+N122</f>
        <v>61053246.250000097</v>
      </c>
      <c r="O123" s="379"/>
      <c r="P123" s="513"/>
      <c r="Q123" s="513"/>
      <c r="R123" s="513"/>
      <c r="S123" s="514"/>
      <c r="T123" s="508"/>
    </row>
    <row r="124" spans="1:22" ht="10.5" customHeight="1" x14ac:dyDescent="0.25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R124" s="249"/>
    </row>
    <row r="125" spans="1:22" ht="15.75" customHeight="1" x14ac:dyDescent="0.25">
      <c r="A125" s="335" t="s">
        <v>251</v>
      </c>
      <c r="B125" s="335"/>
      <c r="C125" s="335"/>
      <c r="D125" s="335"/>
      <c r="E125" s="335"/>
      <c r="F125" s="335"/>
      <c r="G125" s="336"/>
      <c r="H125" s="327" t="s">
        <v>145</v>
      </c>
      <c r="I125" s="341"/>
      <c r="J125" s="342" t="s">
        <v>145</v>
      </c>
      <c r="K125" s="341"/>
      <c r="L125" s="326" t="s">
        <v>10</v>
      </c>
      <c r="M125" s="326"/>
      <c r="N125" s="327"/>
      <c r="O125" s="327"/>
      <c r="R125" s="249"/>
    </row>
    <row r="126" spans="1:22" ht="17.25" customHeight="1" x14ac:dyDescent="0.25">
      <c r="A126" s="337"/>
      <c r="B126" s="337"/>
      <c r="C126" s="337"/>
      <c r="D126" s="337"/>
      <c r="E126" s="337"/>
      <c r="F126" s="337"/>
      <c r="G126" s="338"/>
      <c r="H126" s="332" t="s">
        <v>43</v>
      </c>
      <c r="I126" s="333"/>
      <c r="J126" s="334" t="s">
        <v>44</v>
      </c>
      <c r="K126" s="333"/>
      <c r="L126" s="327" t="s">
        <v>15</v>
      </c>
      <c r="M126" s="327"/>
      <c r="N126" s="342" t="s">
        <v>14</v>
      </c>
      <c r="O126" s="327"/>
      <c r="R126" s="249"/>
    </row>
    <row r="127" spans="1:22" ht="15" customHeight="1" x14ac:dyDescent="0.25">
      <c r="A127" s="339"/>
      <c r="B127" s="339"/>
      <c r="C127" s="339"/>
      <c r="D127" s="339"/>
      <c r="E127" s="339"/>
      <c r="F127" s="339"/>
      <c r="G127" s="340"/>
      <c r="H127" s="352"/>
      <c r="I127" s="321"/>
      <c r="J127" s="320" t="s">
        <v>16</v>
      </c>
      <c r="K127" s="321"/>
      <c r="L127" s="352" t="s">
        <v>17</v>
      </c>
      <c r="M127" s="352"/>
      <c r="N127" s="334" t="s">
        <v>146</v>
      </c>
      <c r="O127" s="332"/>
    </row>
    <row r="128" spans="1:22" ht="16.5" x14ac:dyDescent="0.25">
      <c r="A128" s="366" t="s">
        <v>252</v>
      </c>
      <c r="B128" s="366"/>
      <c r="C128" s="366"/>
      <c r="D128" s="366"/>
      <c r="E128" s="366"/>
      <c r="F128" s="366"/>
      <c r="G128" s="367"/>
      <c r="H128" s="164"/>
      <c r="I128" s="206">
        <f>I129+I130+I131</f>
        <v>979340874</v>
      </c>
      <c r="J128" s="312">
        <f>J129+J130+J131</f>
        <v>1015501664.16</v>
      </c>
      <c r="K128" s="313">
        <f>K129+K133+K136+K140</f>
        <v>19.31175</v>
      </c>
      <c r="L128" s="314">
        <f>L129+L130+L131</f>
        <v>836691224.13</v>
      </c>
      <c r="M128" s="315">
        <f>M129+M133+M136+M140</f>
        <v>19.31175</v>
      </c>
      <c r="N128" s="314">
        <f t="shared" ref="N128:N134" si="10">(L128/J128)*100</f>
        <v>82.391910684074759</v>
      </c>
      <c r="O128" s="394"/>
    </row>
    <row r="129" spans="1:20" s="107" customFormat="1" ht="15.75" customHeight="1" x14ac:dyDescent="0.25">
      <c r="A129" s="346" t="s">
        <v>253</v>
      </c>
      <c r="B129" s="346"/>
      <c r="C129" s="346"/>
      <c r="D129" s="346"/>
      <c r="E129" s="346"/>
      <c r="F129" s="346"/>
      <c r="G129" s="347"/>
      <c r="H129" s="142"/>
      <c r="I129" s="194">
        <f>979340874</f>
        <v>979340874</v>
      </c>
      <c r="J129" s="316">
        <f>1015501664.16</f>
        <v>1015501664.16</v>
      </c>
      <c r="K129" s="317"/>
      <c r="L129" s="344">
        <f>836691224.13</f>
        <v>836691224.13</v>
      </c>
      <c r="M129" s="345"/>
      <c r="N129" s="318">
        <f t="shared" si="10"/>
        <v>82.391910684074759</v>
      </c>
      <c r="O129" s="343"/>
    </row>
    <row r="130" spans="1:20" s="107" customFormat="1" ht="15.75" customHeight="1" x14ac:dyDescent="0.25">
      <c r="A130" s="346" t="s">
        <v>254</v>
      </c>
      <c r="B130" s="346"/>
      <c r="C130" s="346"/>
      <c r="D130" s="346"/>
      <c r="E130" s="346"/>
      <c r="F130" s="346"/>
      <c r="G130" s="347"/>
      <c r="H130" s="142"/>
      <c r="I130" s="237">
        <v>0</v>
      </c>
      <c r="J130" s="316">
        <v>0</v>
      </c>
      <c r="K130" s="317"/>
      <c r="L130" s="318">
        <v>0</v>
      </c>
      <c r="M130" s="319"/>
      <c r="N130" s="380">
        <v>0</v>
      </c>
      <c r="O130" s="380"/>
    </row>
    <row r="131" spans="1:20" s="107" customFormat="1" ht="15.75" customHeight="1" x14ac:dyDescent="0.25">
      <c r="A131" s="346" t="s">
        <v>255</v>
      </c>
      <c r="B131" s="346"/>
      <c r="C131" s="346"/>
      <c r="D131" s="346"/>
      <c r="E131" s="346"/>
      <c r="F131" s="346"/>
      <c r="G131" s="347"/>
      <c r="H131" s="142"/>
      <c r="I131" s="237">
        <v>0</v>
      </c>
      <c r="J131" s="316">
        <v>0</v>
      </c>
      <c r="K131" s="317"/>
      <c r="L131" s="318">
        <v>0</v>
      </c>
      <c r="M131" s="319"/>
      <c r="N131" s="380">
        <v>0</v>
      </c>
      <c r="O131" s="390"/>
    </row>
    <row r="132" spans="1:20" s="107" customFormat="1" ht="13.5" customHeight="1" x14ac:dyDescent="0.25">
      <c r="A132" s="346" t="s">
        <v>256</v>
      </c>
      <c r="B132" s="346"/>
      <c r="C132" s="346"/>
      <c r="D132" s="346"/>
      <c r="E132" s="346"/>
      <c r="F132" s="346"/>
      <c r="G132" s="347"/>
      <c r="H132" s="142"/>
      <c r="I132" s="237">
        <v>0</v>
      </c>
      <c r="J132" s="316">
        <v>0</v>
      </c>
      <c r="K132" s="317"/>
      <c r="L132" s="318">
        <v>0</v>
      </c>
      <c r="M132" s="319"/>
      <c r="N132" s="380">
        <v>0</v>
      </c>
      <c r="O132" s="380"/>
    </row>
    <row r="133" spans="1:20" s="107" customFormat="1" ht="16.5" x14ac:dyDescent="0.25">
      <c r="A133" s="328" t="s">
        <v>257</v>
      </c>
      <c r="B133" s="328"/>
      <c r="C133" s="328"/>
      <c r="D133" s="328"/>
      <c r="E133" s="328"/>
      <c r="F133" s="328"/>
      <c r="G133" s="391"/>
      <c r="H133" s="142"/>
      <c r="I133" s="194">
        <f>3136147204</f>
        <v>3136147204</v>
      </c>
      <c r="J133" s="348">
        <f>3051496792.16</f>
        <v>3051496792.1599998</v>
      </c>
      <c r="K133" s="349"/>
      <c r="L133" s="350">
        <f>2698050093.92</f>
        <v>2698050093.9200001</v>
      </c>
      <c r="M133" s="351"/>
      <c r="N133" s="318">
        <f>(L133/J133)*100</f>
        <v>88.417267907733475</v>
      </c>
      <c r="O133" s="343"/>
    </row>
    <row r="134" spans="1:20" s="107" customFormat="1" ht="21.75" customHeight="1" x14ac:dyDescent="0.25">
      <c r="A134" s="310" t="s">
        <v>258</v>
      </c>
      <c r="B134" s="310"/>
      <c r="C134" s="310"/>
      <c r="D134" s="310"/>
      <c r="E134" s="310"/>
      <c r="F134" s="310"/>
      <c r="G134" s="311"/>
      <c r="H134" s="146"/>
      <c r="I134" s="258">
        <f>I128+I132+I133</f>
        <v>4115488078</v>
      </c>
      <c r="J134" s="308">
        <f>J128+J132+J133</f>
        <v>4066998456.3199997</v>
      </c>
      <c r="K134" s="309">
        <f>K112+K124-K130</f>
        <v>0</v>
      </c>
      <c r="L134" s="308">
        <f>L128+L132+
L133</f>
        <v>3534741318.0500002</v>
      </c>
      <c r="M134" s="309">
        <f>M112+M124-M130</f>
        <v>0</v>
      </c>
      <c r="N134" s="308">
        <f t="shared" si="10"/>
        <v>86.912777470006489</v>
      </c>
      <c r="O134" s="379"/>
    </row>
    <row r="135" spans="1:20" s="107" customFormat="1" ht="10.5" customHeight="1" x14ac:dyDescent="0.25">
      <c r="A135" s="177"/>
      <c r="B135" s="177"/>
      <c r="C135" s="177"/>
      <c r="D135" s="177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</row>
    <row r="136" spans="1:20" s="107" customFormat="1" ht="16.5" customHeight="1" x14ac:dyDescent="0.25">
      <c r="A136" s="327" t="s">
        <v>259</v>
      </c>
      <c r="B136" s="327"/>
      <c r="C136" s="327"/>
      <c r="D136" s="327"/>
      <c r="E136" s="327"/>
      <c r="F136" s="327"/>
      <c r="G136" s="327"/>
      <c r="H136" s="326"/>
      <c r="I136" s="326"/>
      <c r="J136" s="326"/>
      <c r="K136" s="326"/>
      <c r="L136" s="326"/>
      <c r="M136" s="326"/>
      <c r="N136" s="326"/>
      <c r="O136" s="326"/>
      <c r="Q136"/>
      <c r="R136"/>
      <c r="S136"/>
      <c r="T136" s="225"/>
    </row>
    <row r="137" spans="1:20" s="107" customFormat="1" ht="17.25" customHeight="1" x14ac:dyDescent="0.25">
      <c r="A137" s="335" t="s">
        <v>260</v>
      </c>
      <c r="B137" s="335"/>
      <c r="C137" s="335"/>
      <c r="D137" s="335"/>
      <c r="E137" s="335"/>
      <c r="F137" s="335"/>
      <c r="G137" s="336"/>
      <c r="H137" s="148" t="s">
        <v>172</v>
      </c>
      <c r="I137" s="148" t="s">
        <v>173</v>
      </c>
      <c r="J137" s="320" t="s">
        <v>38</v>
      </c>
      <c r="K137" s="321"/>
      <c r="L137" s="320" t="s">
        <v>39</v>
      </c>
      <c r="M137" s="321"/>
      <c r="N137" s="320" t="s">
        <v>174</v>
      </c>
      <c r="O137" s="352"/>
      <c r="Q137"/>
      <c r="R137"/>
      <c r="S137"/>
    </row>
    <row r="138" spans="1:20" s="107" customFormat="1" ht="17.25" customHeight="1" x14ac:dyDescent="0.25">
      <c r="A138" s="337"/>
      <c r="B138" s="337"/>
      <c r="C138" s="337"/>
      <c r="D138" s="337"/>
      <c r="E138" s="337"/>
      <c r="F138" s="337"/>
      <c r="G138" s="338"/>
      <c r="H138" s="149" t="s">
        <v>43</v>
      </c>
      <c r="I138" s="150" t="s">
        <v>44</v>
      </c>
      <c r="J138" s="148" t="s">
        <v>175</v>
      </c>
      <c r="K138" s="148" t="s">
        <v>176</v>
      </c>
      <c r="L138" s="148" t="s">
        <v>177</v>
      </c>
      <c r="M138" s="152" t="s">
        <v>14</v>
      </c>
      <c r="N138" s="148" t="s">
        <v>177</v>
      </c>
      <c r="O138" s="153" t="s">
        <v>14</v>
      </c>
      <c r="Q138"/>
      <c r="R138"/>
      <c r="S138"/>
    </row>
    <row r="139" spans="1:20" s="107" customFormat="1" ht="17.25" customHeight="1" x14ac:dyDescent="0.25">
      <c r="A139" s="339"/>
      <c r="B139" s="339"/>
      <c r="C139" s="339"/>
      <c r="D139" s="339"/>
      <c r="E139" s="339"/>
      <c r="F139" s="339"/>
      <c r="G139" s="340"/>
      <c r="H139" s="154"/>
      <c r="I139" s="155" t="s">
        <v>19</v>
      </c>
      <c r="J139" s="155" t="s">
        <v>48</v>
      </c>
      <c r="K139" s="155" t="s">
        <v>178</v>
      </c>
      <c r="L139" s="155" t="s">
        <v>49</v>
      </c>
      <c r="M139" s="155" t="s">
        <v>179</v>
      </c>
      <c r="N139" s="155" t="s">
        <v>50</v>
      </c>
      <c r="O139" s="157" t="s">
        <v>180</v>
      </c>
      <c r="Q139"/>
      <c r="R139"/>
      <c r="S139"/>
    </row>
    <row r="140" spans="1:20" s="107" customFormat="1" ht="16.5" x14ac:dyDescent="0.25">
      <c r="A140" s="346" t="s">
        <v>261</v>
      </c>
      <c r="B140" s="346"/>
      <c r="C140" s="346"/>
      <c r="D140" s="346"/>
      <c r="E140" s="346"/>
      <c r="F140" s="346"/>
      <c r="G140" s="347"/>
      <c r="H140" s="230">
        <f>H141+H142</f>
        <v>40000</v>
      </c>
      <c r="I140" s="209">
        <f>I141+I142</f>
        <v>40000</v>
      </c>
      <c r="J140" s="209">
        <f>J141+J142</f>
        <v>7724.7</v>
      </c>
      <c r="K140" s="240">
        <f t="shared" ref="K140:K161" si="11">(J140/I140)*100</f>
        <v>19.31175</v>
      </c>
      <c r="L140" s="209">
        <f>L141+L142</f>
        <v>7724.7</v>
      </c>
      <c r="M140" s="240">
        <f t="shared" ref="M140" si="12">(L140/I140)*100</f>
        <v>19.31175</v>
      </c>
      <c r="N140" s="209">
        <f>N141+N142</f>
        <v>7724.7</v>
      </c>
      <c r="O140" s="240">
        <f t="shared" ref="O140" si="13">(N140/I140)*100</f>
        <v>19.31175</v>
      </c>
      <c r="Q140"/>
      <c r="R140"/>
      <c r="S140"/>
    </row>
    <row r="141" spans="1:20" s="107" customFormat="1" ht="15" customHeight="1" x14ac:dyDescent="0.25">
      <c r="A141" s="392" t="s">
        <v>182</v>
      </c>
      <c r="B141" s="392"/>
      <c r="C141" s="392"/>
      <c r="D141" s="392"/>
      <c r="E141" s="392"/>
      <c r="F141" s="392"/>
      <c r="G141" s="393"/>
      <c r="H141" s="213">
        <f>40000</f>
        <v>40000</v>
      </c>
      <c r="I141" s="179">
        <f>40000</f>
        <v>40000</v>
      </c>
      <c r="J141" s="179">
        <f>7724.7</f>
        <v>7724.7</v>
      </c>
      <c r="K141" s="240">
        <f t="shared" si="11"/>
        <v>19.31175</v>
      </c>
      <c r="L141" s="179">
        <f>7724.7</f>
        <v>7724.7</v>
      </c>
      <c r="M141" s="240">
        <f>(L141/I141)*100</f>
        <v>19.31175</v>
      </c>
      <c r="N141" s="179">
        <f>7724.7</f>
        <v>7724.7</v>
      </c>
      <c r="O141" s="240">
        <f>(N141/I141)*100</f>
        <v>19.31175</v>
      </c>
      <c r="Q141"/>
      <c r="R141"/>
      <c r="S141"/>
    </row>
    <row r="142" spans="1:20" s="107" customFormat="1" ht="16.5" x14ac:dyDescent="0.25">
      <c r="A142" s="392" t="s">
        <v>183</v>
      </c>
      <c r="B142" s="392"/>
      <c r="C142" s="392"/>
      <c r="D142" s="392"/>
      <c r="E142" s="392"/>
      <c r="F142" s="392"/>
      <c r="G142" s="393"/>
      <c r="H142" s="213">
        <v>0</v>
      </c>
      <c r="I142" s="213">
        <v>0</v>
      </c>
      <c r="J142" s="213">
        <v>0</v>
      </c>
      <c r="K142" s="240">
        <v>0</v>
      </c>
      <c r="L142" s="179">
        <v>0</v>
      </c>
      <c r="M142" s="240">
        <v>0</v>
      </c>
      <c r="N142" s="179">
        <v>0</v>
      </c>
      <c r="O142" s="240">
        <v>0</v>
      </c>
      <c r="Q142"/>
      <c r="R142"/>
      <c r="S142"/>
    </row>
    <row r="143" spans="1:20" ht="16.5" x14ac:dyDescent="0.25">
      <c r="A143" s="346" t="s">
        <v>262</v>
      </c>
      <c r="B143" s="346"/>
      <c r="C143" s="346"/>
      <c r="D143" s="346"/>
      <c r="E143" s="346"/>
      <c r="F143" s="346"/>
      <c r="G143" s="347"/>
      <c r="H143" s="213">
        <f>H144+H145</f>
        <v>3714151796</v>
      </c>
      <c r="I143" s="213">
        <f>I144+I145</f>
        <v>3965311494.4899998</v>
      </c>
      <c r="J143" s="213">
        <f>J144+J145</f>
        <v>3691183928.6399999</v>
      </c>
      <c r="K143" s="179">
        <f t="shared" si="11"/>
        <v>93.086859223268732</v>
      </c>
      <c r="L143" s="179">
        <f>L144+L145</f>
        <v>3289440738.21</v>
      </c>
      <c r="M143" s="242">
        <f t="shared" ref="M143:M160" si="14">(L143/I143)*100</f>
        <v>82.955418326677332</v>
      </c>
      <c r="N143" s="179">
        <f>N144+N145</f>
        <v>3267219245.75</v>
      </c>
      <c r="O143" s="238">
        <f t="shared" ref="O143:O160" si="15">(N143/I143)*100</f>
        <v>82.395021180302379</v>
      </c>
      <c r="Q143"/>
      <c r="R143"/>
      <c r="S143"/>
    </row>
    <row r="144" spans="1:20" ht="16.5" x14ac:dyDescent="0.25">
      <c r="A144" s="392" t="s">
        <v>182</v>
      </c>
      <c r="B144" s="392"/>
      <c r="C144" s="392"/>
      <c r="D144" s="392"/>
      <c r="E144" s="392"/>
      <c r="F144" s="392"/>
      <c r="G144" s="393"/>
      <c r="H144" s="159">
        <f>3603001451</f>
        <v>3603001451</v>
      </c>
      <c r="I144" s="159">
        <f>3804829091.18</f>
        <v>3804829091.1799998</v>
      </c>
      <c r="J144" s="159">
        <f>3614451903.52</f>
        <v>3614451903.52</v>
      </c>
      <c r="K144" s="159">
        <f t="shared" si="11"/>
        <v>94.996432609777017</v>
      </c>
      <c r="L144" s="159">
        <f>3252508965.62</f>
        <v>3252508965.6199999</v>
      </c>
      <c r="M144" s="198">
        <f t="shared" si="14"/>
        <v>85.483707353890424</v>
      </c>
      <c r="N144" s="159">
        <f>3230343073.18</f>
        <v>3230343073.1799998</v>
      </c>
      <c r="O144" s="245">
        <f t="shared" si="15"/>
        <v>84.901134736072109</v>
      </c>
      <c r="Q144"/>
      <c r="R144"/>
      <c r="S144"/>
    </row>
    <row r="145" spans="1:19" ht="16.5" x14ac:dyDescent="0.25">
      <c r="A145" s="392" t="s">
        <v>185</v>
      </c>
      <c r="B145" s="392"/>
      <c r="C145" s="392"/>
      <c r="D145" s="392"/>
      <c r="E145" s="392"/>
      <c r="F145" s="392"/>
      <c r="G145" s="393"/>
      <c r="H145" s="213">
        <f>111150345</f>
        <v>111150345</v>
      </c>
      <c r="I145" s="213">
        <f>160482403.31</f>
        <v>160482403.31</v>
      </c>
      <c r="J145" s="213">
        <f>76732025.12</f>
        <v>76732025.120000005</v>
      </c>
      <c r="K145" s="213">
        <f t="shared" si="11"/>
        <v>47.813357438185044</v>
      </c>
      <c r="L145" s="213">
        <f>36931772.59</f>
        <v>36931772.590000004</v>
      </c>
      <c r="M145" s="251">
        <f t="shared" si="14"/>
        <v>23.012973278235236</v>
      </c>
      <c r="N145" s="213">
        <f>36876172.57</f>
        <v>36876172.57</v>
      </c>
      <c r="O145" s="241">
        <f t="shared" si="15"/>
        <v>22.978327722801598</v>
      </c>
      <c r="Q145"/>
      <c r="R145"/>
      <c r="S145"/>
    </row>
    <row r="146" spans="1:19" ht="16.5" x14ac:dyDescent="0.25">
      <c r="A146" s="346" t="s">
        <v>263</v>
      </c>
      <c r="B146" s="346"/>
      <c r="C146" s="346"/>
      <c r="D146" s="346"/>
      <c r="E146" s="346"/>
      <c r="F146" s="346"/>
      <c r="G146" s="347"/>
      <c r="H146" s="213">
        <f>H147+H148</f>
        <v>125786490</v>
      </c>
      <c r="I146" s="213">
        <f>I147+I148</f>
        <v>110216490</v>
      </c>
      <c r="J146" s="213">
        <f>J147+J148</f>
        <v>65155923.650000006</v>
      </c>
      <c r="K146" s="213">
        <f t="shared" si="11"/>
        <v>59.116311588220604</v>
      </c>
      <c r="L146" s="213">
        <f>L147+L148</f>
        <v>59499218.960000001</v>
      </c>
      <c r="M146" s="251">
        <f t="shared" si="14"/>
        <v>53.98395372598057</v>
      </c>
      <c r="N146" s="213">
        <f>N147+N148</f>
        <v>57260633.040000007</v>
      </c>
      <c r="O146" s="241">
        <f t="shared" si="15"/>
        <v>51.952872968464156</v>
      </c>
      <c r="Q146"/>
      <c r="R146"/>
      <c r="S146"/>
    </row>
    <row r="147" spans="1:19" ht="16.5" x14ac:dyDescent="0.25">
      <c r="A147" s="392" t="s">
        <v>182</v>
      </c>
      <c r="B147" s="392"/>
      <c r="C147" s="392"/>
      <c r="D147" s="392"/>
      <c r="E147" s="392"/>
      <c r="F147" s="392"/>
      <c r="G147" s="393"/>
      <c r="H147" s="159">
        <f>117580744</f>
        <v>117580744</v>
      </c>
      <c r="I147" s="159">
        <f>103510744</f>
        <v>103510744</v>
      </c>
      <c r="J147" s="159">
        <f>63100910.02</f>
        <v>63100910.020000003</v>
      </c>
      <c r="K147" s="159">
        <f t="shared" si="11"/>
        <v>60.960734684700945</v>
      </c>
      <c r="L147" s="159">
        <f>57614946.99</f>
        <v>57614946.990000002</v>
      </c>
      <c r="M147" s="255">
        <f t="shared" si="14"/>
        <v>55.660837477895051</v>
      </c>
      <c r="N147" s="159">
        <f>55378180.02</f>
        <v>55378180.020000003</v>
      </c>
      <c r="O147" s="246">
        <f t="shared" si="15"/>
        <v>53.499934287014696</v>
      </c>
      <c r="Q147"/>
      <c r="R147"/>
      <c r="S147"/>
    </row>
    <row r="148" spans="1:19" ht="16.5" x14ac:dyDescent="0.25">
      <c r="A148" s="392" t="s">
        <v>185</v>
      </c>
      <c r="B148" s="392"/>
      <c r="C148" s="392"/>
      <c r="D148" s="392"/>
      <c r="E148" s="392"/>
      <c r="F148" s="392"/>
      <c r="G148" s="393"/>
      <c r="H148" s="213">
        <f>8205746</f>
        <v>8205746</v>
      </c>
      <c r="I148" s="213">
        <f>6705746</f>
        <v>6705746</v>
      </c>
      <c r="J148" s="213">
        <f>2055013.63</f>
        <v>2055013.63</v>
      </c>
      <c r="K148" s="252">
        <f t="shared" si="11"/>
        <v>30.64556322294343</v>
      </c>
      <c r="L148" s="213">
        <f>1884271.97</f>
        <v>1884271.97</v>
      </c>
      <c r="M148" s="252">
        <f t="shared" si="14"/>
        <v>28.099363888820122</v>
      </c>
      <c r="N148" s="213">
        <f>1882453.02</f>
        <v>1882453.02</v>
      </c>
      <c r="O148" s="240">
        <f t="shared" si="15"/>
        <v>28.07223864429103</v>
      </c>
      <c r="Q148"/>
      <c r="R148"/>
      <c r="S148"/>
    </row>
    <row r="149" spans="1:19" ht="16.5" x14ac:dyDescent="0.25">
      <c r="A149" s="346" t="s">
        <v>264</v>
      </c>
      <c r="B149" s="346"/>
      <c r="C149" s="346"/>
      <c r="D149" s="346"/>
      <c r="E149" s="346"/>
      <c r="F149" s="346"/>
      <c r="G149" s="347"/>
      <c r="H149" s="213">
        <f>H150+H151</f>
        <v>8384538</v>
      </c>
      <c r="I149" s="213">
        <f>I150+I151</f>
        <v>3833617.4</v>
      </c>
      <c r="J149" s="213">
        <f>J150+J151</f>
        <v>2661064.17</v>
      </c>
      <c r="K149" s="213">
        <f t="shared" si="11"/>
        <v>69.413921430970134</v>
      </c>
      <c r="L149" s="213">
        <f>L150+L151</f>
        <v>2033948.89</v>
      </c>
      <c r="M149" s="226">
        <f t="shared" si="14"/>
        <v>53.055604609891425</v>
      </c>
      <c r="N149" s="213">
        <f>N150+N151</f>
        <v>2030949.89</v>
      </c>
      <c r="O149" s="238">
        <f t="shared" si="15"/>
        <v>52.977375624390689</v>
      </c>
      <c r="Q149"/>
      <c r="R149"/>
      <c r="S149"/>
    </row>
    <row r="150" spans="1:19" ht="16.5" x14ac:dyDescent="0.25">
      <c r="A150" s="392" t="s">
        <v>182</v>
      </c>
      <c r="B150" s="392"/>
      <c r="C150" s="392"/>
      <c r="D150" s="392"/>
      <c r="E150" s="392"/>
      <c r="F150" s="392"/>
      <c r="G150" s="393"/>
      <c r="H150" s="213">
        <f>8384538</f>
        <v>8384538</v>
      </c>
      <c r="I150" s="213">
        <f>3821169.4</f>
        <v>3821169.4</v>
      </c>
      <c r="J150" s="213">
        <f>2648616.17</f>
        <v>2648616.17</v>
      </c>
      <c r="K150" s="213">
        <f t="shared" si="11"/>
        <v>69.314282952229235</v>
      </c>
      <c r="L150" s="213">
        <f>2021500.89</f>
        <v>2021500.89</v>
      </c>
      <c r="M150" s="226">
        <f t="shared" si="14"/>
        <v>52.9026765994724</v>
      </c>
      <c r="N150" s="213">
        <f>2018501.89</f>
        <v>2018501.89</v>
      </c>
      <c r="O150" s="238">
        <f t="shared" si="15"/>
        <v>52.824192771982311</v>
      </c>
      <c r="Q150"/>
      <c r="R150"/>
      <c r="S150"/>
    </row>
    <row r="151" spans="1:19" ht="16.5" x14ac:dyDescent="0.25">
      <c r="A151" s="392" t="s">
        <v>185</v>
      </c>
      <c r="B151" s="392"/>
      <c r="C151" s="392"/>
      <c r="D151" s="392"/>
      <c r="E151" s="392"/>
      <c r="F151" s="392"/>
      <c r="G151" s="393"/>
      <c r="H151" s="213">
        <v>0</v>
      </c>
      <c r="I151" s="213">
        <f>12448</f>
        <v>12448</v>
      </c>
      <c r="J151" s="213">
        <f>12448</f>
        <v>12448</v>
      </c>
      <c r="K151" s="252">
        <f t="shared" si="11"/>
        <v>100</v>
      </c>
      <c r="L151" s="213">
        <f>12448</f>
        <v>12448</v>
      </c>
      <c r="M151" s="252">
        <f t="shared" si="14"/>
        <v>100</v>
      </c>
      <c r="N151" s="213">
        <f>12448</f>
        <v>12448</v>
      </c>
      <c r="O151" s="240">
        <f t="shared" si="15"/>
        <v>100</v>
      </c>
      <c r="Q151"/>
      <c r="R151"/>
      <c r="S151"/>
    </row>
    <row r="152" spans="1:19" ht="16.5" x14ac:dyDescent="0.25">
      <c r="A152" s="346" t="s">
        <v>265</v>
      </c>
      <c r="B152" s="346"/>
      <c r="C152" s="346"/>
      <c r="D152" s="346"/>
      <c r="E152" s="346"/>
      <c r="F152" s="346"/>
      <c r="G152" s="347"/>
      <c r="H152" s="213">
        <f>H153+H154</f>
        <v>27524816</v>
      </c>
      <c r="I152" s="213">
        <f>I153+I154</f>
        <v>52091135.5</v>
      </c>
      <c r="J152" s="213">
        <f>J153+J154</f>
        <v>42760763.149999999</v>
      </c>
      <c r="K152" s="213">
        <f t="shared" si="11"/>
        <v>82.088368279090389</v>
      </c>
      <c r="L152" s="213">
        <f>L153+L154</f>
        <v>41356398.810000002</v>
      </c>
      <c r="M152" s="226">
        <f t="shared" si="14"/>
        <v>79.392392607759533</v>
      </c>
      <c r="N152" s="213">
        <f>N153+N154</f>
        <v>41351830.210000001</v>
      </c>
      <c r="O152" s="238">
        <f t="shared" si="15"/>
        <v>79.383622209579201</v>
      </c>
      <c r="Q152"/>
      <c r="R152"/>
      <c r="S152"/>
    </row>
    <row r="153" spans="1:19" ht="16.5" x14ac:dyDescent="0.25">
      <c r="A153" s="392" t="s">
        <v>182</v>
      </c>
      <c r="B153" s="392"/>
      <c r="C153" s="392"/>
      <c r="D153" s="392"/>
      <c r="E153" s="392"/>
      <c r="F153" s="392"/>
      <c r="G153" s="393"/>
      <c r="H153" s="213">
        <f>27524816</f>
        <v>27524816</v>
      </c>
      <c r="I153" s="213">
        <f>45050918.72</f>
        <v>45050918.719999999</v>
      </c>
      <c r="J153" s="213">
        <f>41412223.96</f>
        <v>41412223.960000001</v>
      </c>
      <c r="K153" s="213">
        <f t="shared" si="11"/>
        <v>91.923150818265938</v>
      </c>
      <c r="L153" s="213">
        <f>41356398.81</f>
        <v>41356398.810000002</v>
      </c>
      <c r="M153" s="226">
        <f t="shared" si="14"/>
        <v>91.799235143322747</v>
      </c>
      <c r="N153" s="213">
        <f>41351830.21</f>
        <v>41351830.210000001</v>
      </c>
      <c r="O153" s="238">
        <f t="shared" si="15"/>
        <v>91.789094173660402</v>
      </c>
      <c r="Q153"/>
      <c r="R153"/>
      <c r="S153"/>
    </row>
    <row r="154" spans="1:19" ht="16.5" x14ac:dyDescent="0.25">
      <c r="A154" s="392" t="s">
        <v>185</v>
      </c>
      <c r="B154" s="392"/>
      <c r="C154" s="392"/>
      <c r="D154" s="392"/>
      <c r="E154" s="392"/>
      <c r="F154" s="392"/>
      <c r="G154" s="393"/>
      <c r="H154" s="213">
        <v>0</v>
      </c>
      <c r="I154" s="213">
        <f>7040216.78</f>
        <v>7040216.7800000003</v>
      </c>
      <c r="J154" s="213">
        <f>1348539.19</f>
        <v>1348539.19</v>
      </c>
      <c r="K154" s="252">
        <f t="shared" si="11"/>
        <v>19.154796395346221</v>
      </c>
      <c r="L154" s="213">
        <v>0</v>
      </c>
      <c r="M154" s="252">
        <f t="shared" si="14"/>
        <v>0</v>
      </c>
      <c r="N154" s="213">
        <v>0</v>
      </c>
      <c r="O154" s="240">
        <f t="shared" si="15"/>
        <v>0</v>
      </c>
      <c r="Q154"/>
      <c r="R154"/>
      <c r="S154"/>
    </row>
    <row r="155" spans="1:19" ht="16.5" x14ac:dyDescent="0.25">
      <c r="A155" s="346" t="s">
        <v>266</v>
      </c>
      <c r="B155" s="346"/>
      <c r="C155" s="346"/>
      <c r="D155" s="346"/>
      <c r="E155" s="346"/>
      <c r="F155" s="346"/>
      <c r="G155" s="347"/>
      <c r="H155" s="213">
        <f>H156+H157</f>
        <v>150000</v>
      </c>
      <c r="I155" s="213">
        <f>I156+I157</f>
        <v>150000</v>
      </c>
      <c r="J155" s="213">
        <f>J156+J157</f>
        <v>0</v>
      </c>
      <c r="K155" s="252">
        <f t="shared" si="11"/>
        <v>0</v>
      </c>
      <c r="L155" s="213">
        <f>L156+L157</f>
        <v>0</v>
      </c>
      <c r="M155" s="252">
        <f t="shared" si="14"/>
        <v>0</v>
      </c>
      <c r="N155" s="213">
        <f>N156+N157</f>
        <v>0</v>
      </c>
      <c r="O155" s="240">
        <f t="shared" si="15"/>
        <v>0</v>
      </c>
      <c r="Q155"/>
      <c r="R155"/>
      <c r="S155"/>
    </row>
    <row r="156" spans="1:19" ht="16.5" x14ac:dyDescent="0.25">
      <c r="A156" s="392" t="s">
        <v>182</v>
      </c>
      <c r="B156" s="392"/>
      <c r="C156" s="392"/>
      <c r="D156" s="392"/>
      <c r="E156" s="392"/>
      <c r="F156" s="392"/>
      <c r="G156" s="393"/>
      <c r="H156" s="213">
        <f>150000</f>
        <v>150000</v>
      </c>
      <c r="I156" s="213">
        <f>150000</f>
        <v>150000</v>
      </c>
      <c r="J156" s="213">
        <v>0</v>
      </c>
      <c r="K156" s="252">
        <f t="shared" si="11"/>
        <v>0</v>
      </c>
      <c r="L156" s="213">
        <v>0</v>
      </c>
      <c r="M156" s="252">
        <f t="shared" si="14"/>
        <v>0</v>
      </c>
      <c r="N156" s="213">
        <v>0</v>
      </c>
      <c r="O156" s="240">
        <f t="shared" si="15"/>
        <v>0</v>
      </c>
      <c r="Q156"/>
      <c r="R156"/>
      <c r="S156"/>
    </row>
    <row r="157" spans="1:19" ht="16.5" x14ac:dyDescent="0.25">
      <c r="A157" s="392" t="s">
        <v>185</v>
      </c>
      <c r="B157" s="392"/>
      <c r="C157" s="392"/>
      <c r="D157" s="392"/>
      <c r="E157" s="392"/>
      <c r="F157" s="392"/>
      <c r="G157" s="393"/>
      <c r="H157" s="213">
        <v>0</v>
      </c>
      <c r="I157" s="213">
        <v>0</v>
      </c>
      <c r="J157" s="213">
        <v>0</v>
      </c>
      <c r="K157" s="252">
        <v>0</v>
      </c>
      <c r="L157" s="213">
        <v>0</v>
      </c>
      <c r="M157" s="252">
        <v>0</v>
      </c>
      <c r="N157" s="213">
        <v>0</v>
      </c>
      <c r="O157" s="240">
        <v>0</v>
      </c>
      <c r="Q157"/>
      <c r="R157"/>
      <c r="S157"/>
    </row>
    <row r="158" spans="1:19" ht="16.5" x14ac:dyDescent="0.25">
      <c r="A158" s="346" t="s">
        <v>267</v>
      </c>
      <c r="B158" s="346"/>
      <c r="C158" s="346"/>
      <c r="D158" s="346"/>
      <c r="E158" s="346"/>
      <c r="F158" s="346"/>
      <c r="G158" s="347"/>
      <c r="H158" s="213">
        <f>H159+H160</f>
        <v>360286273</v>
      </c>
      <c r="I158" s="213">
        <f>I159+I160</f>
        <v>368083367.75999999</v>
      </c>
      <c r="J158" s="213">
        <f>J159+J160</f>
        <v>309107583.25</v>
      </c>
      <c r="K158" s="213">
        <f t="shared" si="11"/>
        <v>83.977601360012073</v>
      </c>
      <c r="L158" s="213">
        <f>L159+L160</f>
        <v>302822451.63</v>
      </c>
      <c r="M158" s="226">
        <f t="shared" si="14"/>
        <v>82.270071987454813</v>
      </c>
      <c r="N158" s="213">
        <f>N159+N160</f>
        <v>298026149.73000002</v>
      </c>
      <c r="O158" s="238">
        <f t="shared" si="15"/>
        <v>80.967024275957201</v>
      </c>
      <c r="Q158"/>
      <c r="R158"/>
      <c r="S158"/>
    </row>
    <row r="159" spans="1:19" ht="16.5" x14ac:dyDescent="0.25">
      <c r="A159" s="392" t="s">
        <v>182</v>
      </c>
      <c r="B159" s="392"/>
      <c r="C159" s="392"/>
      <c r="D159" s="392"/>
      <c r="E159" s="392"/>
      <c r="F159" s="392"/>
      <c r="G159" s="393"/>
      <c r="H159" s="159">
        <f>359780122</f>
        <v>359780122</v>
      </c>
      <c r="I159" s="159">
        <f>367577516.76</f>
        <v>367577516.75999999</v>
      </c>
      <c r="J159" s="159">
        <f>309107583.25</f>
        <v>309107583.25</v>
      </c>
      <c r="K159" s="159">
        <f t="shared" si="11"/>
        <v>84.093169238047722</v>
      </c>
      <c r="L159" s="159">
        <f>302822451.63</f>
        <v>302822451.63</v>
      </c>
      <c r="M159" s="198">
        <f t="shared" si="14"/>
        <v>82.383290006205655</v>
      </c>
      <c r="N159" s="158">
        <f>298026149.73</f>
        <v>298026149.73000002</v>
      </c>
      <c r="O159" s="250">
        <f t="shared" si="15"/>
        <v>81.078449072985137</v>
      </c>
      <c r="Q159"/>
      <c r="R159"/>
      <c r="S159"/>
    </row>
    <row r="160" spans="1:19" ht="16.5" x14ac:dyDescent="0.25">
      <c r="A160" s="392" t="s">
        <v>185</v>
      </c>
      <c r="B160" s="392"/>
      <c r="C160" s="392"/>
      <c r="D160" s="392"/>
      <c r="E160" s="392"/>
      <c r="F160" s="392"/>
      <c r="G160" s="393"/>
      <c r="H160" s="214">
        <f>506151</f>
        <v>506151</v>
      </c>
      <c r="I160" s="214">
        <f>505851</f>
        <v>505851</v>
      </c>
      <c r="J160" s="214">
        <v>0</v>
      </c>
      <c r="K160" s="214">
        <f t="shared" si="11"/>
        <v>0</v>
      </c>
      <c r="L160" s="214">
        <v>0</v>
      </c>
      <c r="M160" s="254">
        <f t="shared" si="14"/>
        <v>0</v>
      </c>
      <c r="N160" s="253">
        <v>0</v>
      </c>
      <c r="O160" s="239">
        <f t="shared" si="15"/>
        <v>0</v>
      </c>
      <c r="Q160"/>
      <c r="R160"/>
      <c r="S160"/>
    </row>
    <row r="161" spans="1:19" ht="31.5" customHeight="1" x14ac:dyDescent="0.25">
      <c r="A161" s="310" t="s">
        <v>268</v>
      </c>
      <c r="B161" s="310"/>
      <c r="C161" s="310"/>
      <c r="D161" s="310"/>
      <c r="E161" s="310"/>
      <c r="F161" s="310"/>
      <c r="G161" s="311"/>
      <c r="H161" s="161">
        <f>H140+H143+H146+H149+H152+H155+H158</f>
        <v>4236323913</v>
      </c>
      <c r="I161" s="161">
        <f>I140+I143+I146+I149+I152+I155+I158</f>
        <v>4499726105.1499996</v>
      </c>
      <c r="J161" s="161">
        <f>J140+J143+J146+J149+J152+J155+J158</f>
        <v>4110876987.5599999</v>
      </c>
      <c r="K161" s="161">
        <f t="shared" si="11"/>
        <v>91.358382521439324</v>
      </c>
      <c r="L161" s="161">
        <f>L140+L143+L146+L149+L152+L155+L158</f>
        <v>3695160481.1999998</v>
      </c>
      <c r="M161" s="161">
        <f t="shared" ref="M161" si="16">(L161/I161)*100</f>
        <v>82.119675616941151</v>
      </c>
      <c r="N161" s="161">
        <f>N140+N143+N146+N149+N152+N155+N158</f>
        <v>3665896533.3199997</v>
      </c>
      <c r="O161" s="162">
        <f t="shared" ref="O161" si="17">(N161/I161)*100</f>
        <v>81.469326080188083</v>
      </c>
      <c r="Q161"/>
      <c r="R161"/>
      <c r="S161"/>
    </row>
    <row r="162" spans="1:19" customFormat="1" ht="16.5" x14ac:dyDescent="0.25">
      <c r="A162" s="147"/>
      <c r="B162" s="147"/>
      <c r="C162" s="147"/>
      <c r="D162" s="147"/>
      <c r="E162" s="147"/>
      <c r="F162" s="147"/>
      <c r="G162" s="147"/>
      <c r="H162" s="147"/>
      <c r="I162" s="185"/>
      <c r="J162" s="147"/>
      <c r="K162" s="147"/>
      <c r="L162" s="147"/>
      <c r="M162" s="147"/>
      <c r="N162" s="147"/>
      <c r="O162" s="163" t="s">
        <v>269</v>
      </c>
    </row>
    <row r="163" spans="1:19" customFormat="1" ht="15.75" customHeight="1" x14ac:dyDescent="0.25">
      <c r="A163" s="181"/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</row>
    <row r="164" spans="1:19" customFormat="1" ht="15.75" customHeight="1" x14ac:dyDescent="0.25">
      <c r="A164" s="181"/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</row>
    <row r="165" spans="1:19" customFormat="1" ht="15.75" customHeight="1" x14ac:dyDescent="0.25">
      <c r="A165" s="181"/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256"/>
      <c r="M165" s="181"/>
      <c r="N165" s="181"/>
      <c r="O165" s="181"/>
    </row>
    <row r="166" spans="1:19" customFormat="1" ht="15.75" customHeight="1" x14ac:dyDescent="0.25">
      <c r="A166" s="181"/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256"/>
      <c r="M166" s="181"/>
      <c r="N166" s="181"/>
      <c r="O166" s="181" t="str">
        <f>O82</f>
        <v xml:space="preserve">Continuação </v>
      </c>
    </row>
    <row r="167" spans="1:19" customFormat="1" ht="15.75" customHeight="1" x14ac:dyDescent="0.25">
      <c r="A167" s="365" t="str">
        <f>A83</f>
        <v>GOVERNO DO ESTADO DO RIO DE JANEIRO</v>
      </c>
      <c r="B167" s="365"/>
      <c r="C167" s="365"/>
      <c r="D167" s="365"/>
      <c r="E167" s="365"/>
      <c r="F167" s="365"/>
      <c r="G167" s="365"/>
      <c r="H167" s="365"/>
      <c r="I167" s="365"/>
      <c r="J167" s="365"/>
      <c r="K167" s="365"/>
      <c r="L167" s="365"/>
      <c r="M167" s="365"/>
      <c r="N167" s="365"/>
      <c r="O167" s="365"/>
    </row>
    <row r="168" spans="1:19" customFormat="1" ht="15.75" customHeight="1" x14ac:dyDescent="0.25">
      <c r="A168" s="365" t="str">
        <f>A84</f>
        <v>RELATÓRIO RESUMIDO DA EXECUÇÃO ORÇAMENTÁRIA</v>
      </c>
      <c r="B168" s="365"/>
      <c r="C168" s="365"/>
      <c r="D168" s="365"/>
      <c r="E168" s="365"/>
      <c r="F168" s="365"/>
      <c r="G168" s="365"/>
      <c r="H168" s="365"/>
      <c r="I168" s="365"/>
      <c r="J168" s="365"/>
      <c r="K168" s="365"/>
      <c r="L168" s="365"/>
      <c r="M168" s="365"/>
      <c r="N168" s="365"/>
      <c r="O168" s="365"/>
    </row>
    <row r="169" spans="1:19" customFormat="1" ht="15.75" customHeight="1" x14ac:dyDescent="0.25">
      <c r="A169" s="418" t="str">
        <f>A85</f>
        <v xml:space="preserve">DEMONSTRATIVO DAS RECEITAS E DESPESAS COM AÇÕES E SERVIÇOS PÚBLICOS DE SAÚDE </v>
      </c>
      <c r="B169" s="418"/>
      <c r="C169" s="418"/>
      <c r="D169" s="418"/>
      <c r="E169" s="418"/>
      <c r="F169" s="418"/>
      <c r="G169" s="418"/>
      <c r="H169" s="418"/>
      <c r="I169" s="418"/>
      <c r="J169" s="418"/>
      <c r="K169" s="418"/>
      <c r="L169" s="418"/>
      <c r="M169" s="418"/>
      <c r="N169" s="418"/>
      <c r="O169" s="418"/>
    </row>
    <row r="170" spans="1:19" customFormat="1" ht="15.75" customHeight="1" x14ac:dyDescent="0.25">
      <c r="A170" s="365" t="str">
        <f>A86</f>
        <v>ORÇAMENTOS FISCAL E DA SEGURIDADE SOCIAL</v>
      </c>
      <c r="B170" s="365"/>
      <c r="C170" s="365"/>
      <c r="D170" s="365"/>
      <c r="E170" s="365"/>
      <c r="F170" s="365"/>
      <c r="G170" s="365"/>
      <c r="H170" s="365"/>
      <c r="I170" s="365"/>
      <c r="J170" s="365"/>
      <c r="K170" s="365"/>
      <c r="L170" s="365"/>
      <c r="M170" s="365"/>
      <c r="N170" s="365"/>
      <c r="O170" s="365"/>
    </row>
    <row r="171" spans="1:19" customFormat="1" ht="15.75" customHeight="1" x14ac:dyDescent="0.25">
      <c r="A171" s="365" t="str">
        <f>A87</f>
        <v>JANEIRO A OUTUBRO 2025/BIMESTRE SETEMBRO - OUTUBRO</v>
      </c>
      <c r="B171" s="365"/>
      <c r="C171" s="365"/>
      <c r="D171" s="365"/>
      <c r="E171" s="365"/>
      <c r="F171" s="365"/>
      <c r="G171" s="365"/>
      <c r="H171" s="365"/>
      <c r="I171" s="365"/>
      <c r="J171" s="365"/>
      <c r="K171" s="365"/>
      <c r="L171" s="365"/>
      <c r="M171" s="365"/>
      <c r="N171" s="365"/>
      <c r="O171" s="365"/>
    </row>
    <row r="172" spans="1:19" customFormat="1" ht="15.75" customHeight="1" x14ac:dyDescent="0.25">
      <c r="A172" s="181"/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2" t="str">
        <f>O88</f>
        <v xml:space="preserve"> Emissão: 19/11/2025</v>
      </c>
    </row>
    <row r="173" spans="1:19" customFormat="1" ht="15.75" customHeight="1" x14ac:dyDescent="0.25">
      <c r="A173" s="181" t="str">
        <f>A89</f>
        <v>RREO – ANEXO 12  (LC n° 141/2012 art.35)</v>
      </c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3">
        <f>O89</f>
        <v>1</v>
      </c>
    </row>
    <row r="174" spans="1:19" ht="17.25" customHeight="1" x14ac:dyDescent="0.25">
      <c r="A174" s="335" t="s">
        <v>270</v>
      </c>
      <c r="B174" s="335"/>
      <c r="C174" s="335"/>
      <c r="D174" s="335"/>
      <c r="E174" s="335"/>
      <c r="F174" s="335"/>
      <c r="G174" s="336"/>
      <c r="H174" s="151" t="s">
        <v>172</v>
      </c>
      <c r="I174" s="148" t="s">
        <v>173</v>
      </c>
      <c r="J174" s="353" t="s">
        <v>38</v>
      </c>
      <c r="K174" s="354"/>
      <c r="L174" s="353" t="s">
        <v>39</v>
      </c>
      <c r="M174" s="354"/>
      <c r="N174" s="353" t="s">
        <v>174</v>
      </c>
      <c r="O174" s="326"/>
    </row>
    <row r="175" spans="1:19" ht="17.25" customHeight="1" x14ac:dyDescent="0.25">
      <c r="A175" s="337"/>
      <c r="B175" s="337"/>
      <c r="C175" s="337"/>
      <c r="D175" s="337"/>
      <c r="E175" s="337"/>
      <c r="F175" s="337"/>
      <c r="G175" s="338"/>
      <c r="H175" s="165" t="s">
        <v>43</v>
      </c>
      <c r="I175" s="150" t="s">
        <v>44</v>
      </c>
      <c r="J175" s="148" t="s">
        <v>175</v>
      </c>
      <c r="K175" s="148" t="s">
        <v>176</v>
      </c>
      <c r="L175" s="148" t="s">
        <v>177</v>
      </c>
      <c r="M175" s="152" t="s">
        <v>14</v>
      </c>
      <c r="N175" s="148" t="s">
        <v>177</v>
      </c>
      <c r="O175" s="153" t="s">
        <v>14</v>
      </c>
    </row>
    <row r="176" spans="1:19" ht="17.25" customHeight="1" x14ac:dyDescent="0.25">
      <c r="A176" s="339"/>
      <c r="B176" s="339"/>
      <c r="C176" s="339"/>
      <c r="D176" s="339"/>
      <c r="E176" s="339"/>
      <c r="F176" s="339"/>
      <c r="G176" s="340"/>
      <c r="H176" s="166"/>
      <c r="I176" s="155" t="s">
        <v>19</v>
      </c>
      <c r="J176" s="155" t="s">
        <v>48</v>
      </c>
      <c r="K176" s="155" t="s">
        <v>178</v>
      </c>
      <c r="L176" s="155" t="s">
        <v>49</v>
      </c>
      <c r="M176" s="155" t="s">
        <v>179</v>
      </c>
      <c r="N176" s="155" t="s">
        <v>50</v>
      </c>
      <c r="O176" s="157" t="s">
        <v>180</v>
      </c>
    </row>
    <row r="177" spans="1:20" ht="16.5" x14ac:dyDescent="0.25">
      <c r="A177" s="366" t="s">
        <v>271</v>
      </c>
      <c r="B177" s="366"/>
      <c r="C177" s="366"/>
      <c r="D177" s="366"/>
      <c r="E177" s="366"/>
      <c r="F177" s="366"/>
      <c r="G177" s="367"/>
      <c r="H177" s="208">
        <f>H43+H140</f>
        <v>52023713</v>
      </c>
      <c r="I177" s="209">
        <f>I43+I140</f>
        <v>18707335.73</v>
      </c>
      <c r="J177" s="209">
        <f>J43+J140</f>
        <v>17223845.329999998</v>
      </c>
      <c r="K177" s="208">
        <f>(J177/I177)*100</f>
        <v>92.070007074171428</v>
      </c>
      <c r="L177" s="208">
        <f>L43+L140</f>
        <v>17194095.329999998</v>
      </c>
      <c r="M177" s="244">
        <f>(L177/I177)*100</f>
        <v>91.91097854958953</v>
      </c>
      <c r="N177" s="208">
        <f>N43+N140</f>
        <v>17194095.329999998</v>
      </c>
      <c r="O177" s="178">
        <f t="shared" ref="O177:O186" si="18">(N177/I177)*100</f>
        <v>91.91097854958953</v>
      </c>
    </row>
    <row r="178" spans="1:20" ht="16.5" x14ac:dyDescent="0.25">
      <c r="A178" s="346" t="s">
        <v>272</v>
      </c>
      <c r="B178" s="346"/>
      <c r="C178" s="346"/>
      <c r="D178" s="346"/>
      <c r="E178" s="346"/>
      <c r="F178" s="346"/>
      <c r="G178" s="347"/>
      <c r="H178" s="210">
        <f>H46+H143</f>
        <v>10160332272</v>
      </c>
      <c r="I178" s="213">
        <f>I46+I143</f>
        <v>10846854095</v>
      </c>
      <c r="J178" s="179">
        <f>J46+J143</f>
        <v>9980588693.8500004</v>
      </c>
      <c r="K178" s="179">
        <f t="shared" ref="K178:K186" si="19">(J178/I178)*100</f>
        <v>92.013671488866848</v>
      </c>
      <c r="L178" s="189">
        <f>L46+L143</f>
        <v>9511437670.3800011</v>
      </c>
      <c r="M178" s="242">
        <f>(L178/I178)*100</f>
        <v>87.688444843785845</v>
      </c>
      <c r="N178" s="189">
        <f>N46+N143</f>
        <v>9207617099.6800003</v>
      </c>
      <c r="O178" s="178">
        <f t="shared" si="18"/>
        <v>84.887443115182791</v>
      </c>
      <c r="P178"/>
      <c r="Q178"/>
      <c r="R178"/>
      <c r="S178"/>
      <c r="T178"/>
    </row>
    <row r="179" spans="1:20" ht="16.5" x14ac:dyDescent="0.25">
      <c r="A179" s="346" t="s">
        <v>273</v>
      </c>
      <c r="B179" s="346"/>
      <c r="C179" s="346"/>
      <c r="D179" s="346"/>
      <c r="E179" s="346"/>
      <c r="F179" s="346"/>
      <c r="G179" s="347"/>
      <c r="H179" s="248">
        <f>H49+H146</f>
        <v>212268429</v>
      </c>
      <c r="I179" s="159">
        <f>I49+I146</f>
        <v>202653363.29000002</v>
      </c>
      <c r="J179" s="159">
        <f>J49+J146</f>
        <v>153177805.55000001</v>
      </c>
      <c r="K179" s="159">
        <f t="shared" si="19"/>
        <v>75.586115652470198</v>
      </c>
      <c r="L179" s="188">
        <f>L49+L146</f>
        <v>141479686.47</v>
      </c>
      <c r="M179" s="198">
        <f t="shared" ref="M179:M186" si="20">(L179/I179)*100</f>
        <v>69.813638507218073</v>
      </c>
      <c r="N179" s="188">
        <f>N49+N146</f>
        <v>138428392.28</v>
      </c>
      <c r="O179" s="158">
        <f t="shared" si="18"/>
        <v>68.307966881312936</v>
      </c>
      <c r="P179"/>
      <c r="Q179"/>
      <c r="R179"/>
      <c r="S179"/>
      <c r="T179"/>
    </row>
    <row r="180" spans="1:20" ht="16.5" x14ac:dyDescent="0.25">
      <c r="A180" s="346" t="s">
        <v>274</v>
      </c>
      <c r="B180" s="346"/>
      <c r="C180" s="346"/>
      <c r="D180" s="346"/>
      <c r="E180" s="346"/>
      <c r="F180" s="346"/>
      <c r="G180" s="347"/>
      <c r="H180" s="229">
        <f>H52+H149</f>
        <v>8484538</v>
      </c>
      <c r="I180" s="179">
        <f>I52+I149</f>
        <v>3877476.01</v>
      </c>
      <c r="J180" s="179">
        <f>J52+J149</f>
        <v>2661106.17</v>
      </c>
      <c r="K180" s="179">
        <f t="shared" si="19"/>
        <v>68.629855172205183</v>
      </c>
      <c r="L180" s="189">
        <f>L52+L149</f>
        <v>2033990.89</v>
      </c>
      <c r="M180" s="242">
        <f t="shared" si="20"/>
        <v>52.45656929286843</v>
      </c>
      <c r="N180" s="189">
        <f>N52+N149</f>
        <v>2030991.89</v>
      </c>
      <c r="O180" s="178">
        <f t="shared" si="18"/>
        <v>52.379225165083611</v>
      </c>
      <c r="P180"/>
      <c r="Q180"/>
      <c r="R180"/>
      <c r="S180"/>
      <c r="T180"/>
    </row>
    <row r="181" spans="1:20" ht="16.5" x14ac:dyDescent="0.25">
      <c r="A181" s="346" t="s">
        <v>275</v>
      </c>
      <c r="B181" s="346"/>
      <c r="C181" s="346"/>
      <c r="D181" s="346"/>
      <c r="E181" s="346"/>
      <c r="F181" s="346"/>
      <c r="G181" s="347"/>
      <c r="H181" s="229">
        <f>H55+H152</f>
        <v>49439020</v>
      </c>
      <c r="I181" s="179">
        <f>I55+I152</f>
        <v>58093115.670000002</v>
      </c>
      <c r="J181" s="179">
        <f>J55+J152</f>
        <v>47610050.239999995</v>
      </c>
      <c r="K181" s="179">
        <f t="shared" si="19"/>
        <v>81.954719919741564</v>
      </c>
      <c r="L181" s="189">
        <f>L55+L152</f>
        <v>45506120.620000005</v>
      </c>
      <c r="M181" s="242">
        <f t="shared" si="20"/>
        <v>78.333069409633893</v>
      </c>
      <c r="N181" s="189">
        <f>N55+N152</f>
        <v>45320272.030000001</v>
      </c>
      <c r="O181" s="178">
        <f t="shared" si="18"/>
        <v>78.013154411347827</v>
      </c>
      <c r="P181"/>
      <c r="Q181"/>
      <c r="R181"/>
      <c r="S181"/>
      <c r="T181"/>
    </row>
    <row r="182" spans="1:20" ht="16.5" x14ac:dyDescent="0.25">
      <c r="A182" s="346" t="s">
        <v>276</v>
      </c>
      <c r="B182" s="346"/>
      <c r="C182" s="346"/>
      <c r="D182" s="346"/>
      <c r="E182" s="346"/>
      <c r="F182" s="346"/>
      <c r="G182" s="347"/>
      <c r="H182" s="229">
        <f>H58+H155</f>
        <v>160000</v>
      </c>
      <c r="I182" s="179">
        <f>I58+I155</f>
        <v>250000</v>
      </c>
      <c r="J182" s="179">
        <f>J58+J155</f>
        <v>0</v>
      </c>
      <c r="K182" s="179">
        <f t="shared" si="19"/>
        <v>0</v>
      </c>
      <c r="L182" s="179">
        <f>L58+L155</f>
        <v>0</v>
      </c>
      <c r="M182" s="179">
        <f t="shared" si="20"/>
        <v>0</v>
      </c>
      <c r="N182" s="179">
        <f>N58+N155</f>
        <v>0</v>
      </c>
      <c r="O182" s="178">
        <f t="shared" si="18"/>
        <v>0</v>
      </c>
      <c r="P182"/>
      <c r="Q182"/>
      <c r="R182"/>
      <c r="S182"/>
      <c r="T182"/>
    </row>
    <row r="183" spans="1:20" ht="16.5" x14ac:dyDescent="0.25">
      <c r="A183" s="328" t="s">
        <v>277</v>
      </c>
      <c r="B183" s="328"/>
      <c r="C183" s="328"/>
      <c r="D183" s="328"/>
      <c r="E183" s="328"/>
      <c r="F183" s="328"/>
      <c r="G183" s="391"/>
      <c r="H183" s="211">
        <f>H61+H158</f>
        <v>1790900641</v>
      </c>
      <c r="I183" s="180">
        <f>I61+I158</f>
        <v>1780216976.72</v>
      </c>
      <c r="J183" s="180">
        <f>J61+J158</f>
        <v>1395294089.6900001</v>
      </c>
      <c r="K183" s="180">
        <f t="shared" si="19"/>
        <v>78.377754393781274</v>
      </c>
      <c r="L183" s="207">
        <f>L61+L158</f>
        <v>1326347776.0699999</v>
      </c>
      <c r="M183" s="243">
        <f t="shared" si="20"/>
        <v>74.504838085173105</v>
      </c>
      <c r="N183" s="207">
        <f>N61+N158</f>
        <v>1260272130.8899999</v>
      </c>
      <c r="O183" s="178">
        <f t="shared" si="18"/>
        <v>70.793175628063949</v>
      </c>
      <c r="P183"/>
      <c r="Q183"/>
      <c r="R183"/>
      <c r="S183"/>
      <c r="T183"/>
    </row>
    <row r="184" spans="1:20" ht="16.5" x14ac:dyDescent="0.25">
      <c r="A184" s="310" t="s">
        <v>278</v>
      </c>
      <c r="B184" s="310"/>
      <c r="C184" s="310"/>
      <c r="D184" s="310"/>
      <c r="E184" s="310"/>
      <c r="F184" s="310"/>
      <c r="G184" s="311"/>
      <c r="H184" s="212">
        <f>H177+H178+H179+H180+H181+H182+H183</f>
        <v>12273608613</v>
      </c>
      <c r="I184" s="161">
        <f>I177+I178+I179+I180+I181+I182+I183</f>
        <v>12910652362.42</v>
      </c>
      <c r="J184" s="161">
        <f>J177+J178+J179+J180+J181+J182+J183</f>
        <v>11596555590.83</v>
      </c>
      <c r="K184" s="161">
        <f t="shared" si="19"/>
        <v>89.821608275852583</v>
      </c>
      <c r="L184" s="200">
        <f>L177+L178+L179+L180+L181+L182+L183</f>
        <v>11043999339.76</v>
      </c>
      <c r="M184" s="161">
        <f t="shared" si="20"/>
        <v>85.541760630985578</v>
      </c>
      <c r="N184" s="200">
        <f>N177+N178+N179+N180+N181+N182+N183</f>
        <v>10670862982.1</v>
      </c>
      <c r="O184" s="146">
        <f t="shared" si="18"/>
        <v>82.651617304486308</v>
      </c>
      <c r="P184"/>
      <c r="Q184"/>
      <c r="R184"/>
      <c r="S184"/>
      <c r="T184"/>
    </row>
    <row r="185" spans="1:20" ht="16.5" hidden="1" x14ac:dyDescent="0.25">
      <c r="A185" s="395" t="s">
        <v>279</v>
      </c>
      <c r="B185" s="395"/>
      <c r="C185" s="395"/>
      <c r="D185" s="395"/>
      <c r="E185" s="395"/>
      <c r="F185" s="395"/>
      <c r="G185" s="396"/>
      <c r="H185" s="219">
        <v>1034205735</v>
      </c>
      <c r="I185" s="221">
        <v>1609194548.8399999</v>
      </c>
      <c r="J185" s="221">
        <v>1184202338.3600001</v>
      </c>
      <c r="K185" s="222">
        <f t="shared" si="19"/>
        <v>73.589755770279069</v>
      </c>
      <c r="L185" s="221">
        <v>1109677564.03</v>
      </c>
      <c r="M185" s="222">
        <f t="shared" si="20"/>
        <v>68.958570909273803</v>
      </c>
      <c r="N185" s="221">
        <v>994817354.03999996</v>
      </c>
      <c r="O185" s="223">
        <f t="shared" si="18"/>
        <v>61.820825502865496</v>
      </c>
    </row>
    <row r="186" spans="1:20" ht="16.5" hidden="1" x14ac:dyDescent="0.25">
      <c r="A186" s="416" t="s">
        <v>280</v>
      </c>
      <c r="B186" s="416"/>
      <c r="C186" s="416"/>
      <c r="D186" s="416"/>
      <c r="E186" s="416"/>
      <c r="F186" s="416"/>
      <c r="G186" s="417"/>
      <c r="H186" s="212">
        <f>H184-H185</f>
        <v>11239402878</v>
      </c>
      <c r="I186" s="161">
        <f>I184-I185</f>
        <v>11301457813.58</v>
      </c>
      <c r="J186" s="161">
        <f>J184-J185</f>
        <v>10412353252.469999</v>
      </c>
      <c r="K186" s="161">
        <f t="shared" si="19"/>
        <v>92.132832986894499</v>
      </c>
      <c r="L186" s="200">
        <f>L184-L185</f>
        <v>9934321775.7299995</v>
      </c>
      <c r="M186" s="161">
        <f t="shared" si="20"/>
        <v>87.903011625568965</v>
      </c>
      <c r="N186" s="200">
        <f>N184-N185</f>
        <v>9676045628.0600014</v>
      </c>
      <c r="O186" s="146">
        <f t="shared" si="18"/>
        <v>85.61767683132986</v>
      </c>
    </row>
    <row r="187" spans="1:20" ht="16.5" x14ac:dyDescent="0.25">
      <c r="A187" s="414" t="s">
        <v>281</v>
      </c>
      <c r="B187" s="414"/>
      <c r="C187" s="414"/>
      <c r="D187" s="414"/>
      <c r="E187" s="414"/>
      <c r="F187" s="414"/>
      <c r="G187" s="414"/>
      <c r="H187" s="414"/>
      <c r="I187" s="414"/>
      <c r="J187" s="414"/>
      <c r="K187" s="414"/>
      <c r="L187" s="160"/>
      <c r="M187" s="160"/>
      <c r="N187" s="160"/>
      <c r="O187" s="184" t="s">
        <v>282</v>
      </c>
    </row>
    <row r="188" spans="1:20" ht="16.5" x14ac:dyDescent="0.25">
      <c r="A188" s="160" t="s">
        <v>283</v>
      </c>
      <c r="B188" s="160"/>
      <c r="C188" s="160"/>
      <c r="D188" s="160"/>
      <c r="E188" s="160"/>
      <c r="F188" s="160"/>
      <c r="G188" s="160"/>
      <c r="H188" s="160"/>
      <c r="I188" s="215"/>
      <c r="J188" s="160"/>
      <c r="K188" s="160"/>
      <c r="L188" s="160"/>
      <c r="M188" s="160"/>
      <c r="N188" s="160"/>
      <c r="O188" s="160"/>
    </row>
    <row r="189" spans="1:20" ht="16.5" x14ac:dyDescent="0.25">
      <c r="A189" s="414" t="s">
        <v>284</v>
      </c>
      <c r="B189" s="414"/>
      <c r="C189" s="414"/>
      <c r="D189" s="414"/>
      <c r="E189" s="414"/>
      <c r="F189" s="414"/>
      <c r="G189" s="414"/>
      <c r="H189" s="414"/>
      <c r="I189" s="414"/>
      <c r="J189" s="414"/>
      <c r="K189" s="414"/>
      <c r="L189" s="160"/>
      <c r="M189" s="160"/>
      <c r="N189" s="160"/>
      <c r="O189" s="160"/>
    </row>
    <row r="190" spans="1:20" ht="16.5" x14ac:dyDescent="0.25">
      <c r="A190" s="413" t="s">
        <v>285</v>
      </c>
      <c r="B190" s="413"/>
      <c r="C190" s="413"/>
      <c r="D190" s="413"/>
      <c r="E190" s="413"/>
      <c r="F190" s="413"/>
      <c r="G190" s="413"/>
      <c r="H190" s="413"/>
      <c r="I190" s="413"/>
      <c r="J190" s="413"/>
      <c r="K190" s="413"/>
      <c r="L190" s="413"/>
      <c r="M190" s="413"/>
      <c r="N190" s="413"/>
      <c r="O190" s="413"/>
    </row>
    <row r="191" spans="1:20" ht="16.5" x14ac:dyDescent="0.25">
      <c r="A191" s="247"/>
      <c r="B191" s="247"/>
      <c r="C191" s="247"/>
      <c r="D191" s="247"/>
      <c r="E191" s="247"/>
      <c r="F191" s="247"/>
      <c r="G191" s="247"/>
      <c r="H191" s="247"/>
      <c r="I191" s="247"/>
      <c r="J191" s="247"/>
      <c r="K191" s="247"/>
      <c r="L191" s="134"/>
      <c r="M191" s="134"/>
      <c r="N191" s="134"/>
      <c r="O191" s="134"/>
    </row>
    <row r="192" spans="1:20" ht="16.5" x14ac:dyDescent="0.25">
      <c r="A192" s="134"/>
      <c r="B192" s="134"/>
      <c r="C192" s="134"/>
      <c r="D192" s="134"/>
      <c r="E192" s="134"/>
      <c r="F192" s="134"/>
      <c r="G192" s="134"/>
      <c r="H192" s="218"/>
      <c r="I192" s="218"/>
      <c r="J192" s="218"/>
      <c r="K192" s="218"/>
      <c r="L192" s="218"/>
      <c r="M192" s="218"/>
      <c r="N192" s="218"/>
      <c r="O192" s="218"/>
    </row>
    <row r="193" spans="1:16" ht="16.5" x14ac:dyDescent="0.25">
      <c r="A193" s="134"/>
      <c r="B193" s="134"/>
      <c r="C193" s="134"/>
      <c r="D193" s="134"/>
      <c r="E193" s="134"/>
      <c r="F193" s="134"/>
      <c r="G193" s="134"/>
      <c r="H193" s="218"/>
      <c r="I193" s="218"/>
      <c r="J193" s="218"/>
      <c r="K193" s="218"/>
      <c r="L193" s="218"/>
      <c r="M193" s="218"/>
      <c r="N193" s="218"/>
      <c r="O193" s="218"/>
      <c r="P193" s="218"/>
    </row>
    <row r="194" spans="1:16" ht="16.5" x14ac:dyDescent="0.25">
      <c r="A194" s="134"/>
      <c r="B194" s="134"/>
      <c r="C194" s="134"/>
      <c r="D194" s="134"/>
      <c r="E194" s="134"/>
      <c r="F194" s="134"/>
      <c r="G194" s="134"/>
      <c r="H194" s="218"/>
      <c r="I194" s="218"/>
      <c r="J194" s="218"/>
      <c r="K194" s="218"/>
      <c r="L194" s="218"/>
      <c r="M194" s="218"/>
      <c r="N194" s="218"/>
      <c r="O194" s="218"/>
    </row>
    <row r="195" spans="1:16" ht="16.5" x14ac:dyDescent="0.25">
      <c r="A195" s="134"/>
      <c r="B195" s="134"/>
      <c r="C195" s="134"/>
      <c r="D195" s="134"/>
      <c r="E195" s="134"/>
      <c r="F195" s="134"/>
      <c r="G195" s="134"/>
      <c r="H195" s="224"/>
      <c r="I195" s="224"/>
      <c r="J195" s="224"/>
      <c r="K195" s="224"/>
      <c r="L195" s="224"/>
      <c r="M195" s="224"/>
      <c r="N195" s="224"/>
      <c r="O195" s="224"/>
    </row>
    <row r="196" spans="1:16" ht="16.5" x14ac:dyDescent="0.25">
      <c r="A196" s="134"/>
      <c r="B196" s="134"/>
      <c r="C196" s="134"/>
      <c r="D196" s="134"/>
      <c r="E196" s="134"/>
      <c r="F196" s="134"/>
      <c r="G196" s="134"/>
      <c r="H196" s="224"/>
      <c r="I196" s="224"/>
      <c r="J196" s="224"/>
      <c r="K196" s="224"/>
      <c r="L196" s="224"/>
      <c r="M196" s="224"/>
      <c r="N196" s="224"/>
      <c r="O196" s="224"/>
    </row>
    <row r="197" spans="1:16" ht="16.5" x14ac:dyDescent="0.25">
      <c r="A197" s="134"/>
      <c r="B197" s="134"/>
      <c r="C197" s="134"/>
      <c r="D197" s="134"/>
      <c r="E197" s="134"/>
      <c r="F197" s="134"/>
      <c r="G197" s="134"/>
      <c r="H197" s="134"/>
      <c r="I197" s="224"/>
      <c r="J197" s="134"/>
      <c r="K197" s="134"/>
      <c r="L197" s="134"/>
      <c r="M197" s="134"/>
      <c r="N197" s="134"/>
      <c r="O197" s="134"/>
    </row>
    <row r="198" spans="1:16" ht="16.5" x14ac:dyDescent="0.25">
      <c r="A198" s="415" t="s">
        <v>286</v>
      </c>
      <c r="B198" s="415"/>
      <c r="C198" s="415"/>
      <c r="D198" s="134"/>
      <c r="E198" s="415" t="s">
        <v>287</v>
      </c>
      <c r="F198" s="415"/>
      <c r="G198" s="415"/>
      <c r="H198" s="415"/>
      <c r="I198" s="415"/>
      <c r="J198" s="134"/>
      <c r="K198" s="415" t="s">
        <v>288</v>
      </c>
      <c r="L198" s="415"/>
      <c r="M198" s="415"/>
      <c r="N198" s="415"/>
      <c r="O198" s="415"/>
    </row>
    <row r="199" spans="1:16" ht="16.5" x14ac:dyDescent="0.25">
      <c r="A199" s="415" t="s">
        <v>289</v>
      </c>
      <c r="B199" s="415"/>
      <c r="C199" s="415"/>
      <c r="D199" s="134"/>
      <c r="E199" s="415" t="s">
        <v>290</v>
      </c>
      <c r="F199" s="415"/>
      <c r="G199" s="415"/>
      <c r="H199" s="415"/>
      <c r="I199" s="415"/>
      <c r="J199" s="134"/>
      <c r="K199" s="415" t="s">
        <v>291</v>
      </c>
      <c r="L199" s="415"/>
      <c r="M199" s="415"/>
      <c r="N199" s="415"/>
      <c r="O199" s="415"/>
    </row>
    <row r="200" spans="1:16" ht="16.5" x14ac:dyDescent="0.25">
      <c r="A200" s="415" t="s">
        <v>292</v>
      </c>
      <c r="B200" s="415"/>
      <c r="C200" s="415"/>
      <c r="D200" s="134"/>
      <c r="E200" s="415" t="s">
        <v>293</v>
      </c>
      <c r="F200" s="415"/>
      <c r="G200" s="415"/>
      <c r="H200" s="415"/>
      <c r="I200" s="415"/>
      <c r="J200" s="134"/>
      <c r="K200" s="415" t="s">
        <v>294</v>
      </c>
      <c r="L200" s="415"/>
      <c r="M200" s="415"/>
      <c r="N200" s="415"/>
      <c r="O200" s="415"/>
    </row>
    <row r="201" spans="1:16" ht="16.5" x14ac:dyDescent="0.25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</row>
    <row r="202" spans="1:16" ht="16.5" x14ac:dyDescent="0.25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</row>
    <row r="203" spans="1:16" ht="16.5" x14ac:dyDescent="0.25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</row>
    <row r="204" spans="1:16" ht="16.5" x14ac:dyDescent="0.25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</row>
    <row r="205" spans="1:16" ht="16.5" x14ac:dyDescent="0.25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</row>
    <row r="206" spans="1:16" ht="16.5" x14ac:dyDescent="0.25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</row>
    <row r="207" spans="1:16" ht="16.5" x14ac:dyDescent="0.25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</row>
    <row r="208" spans="1:16" ht="16.5" x14ac:dyDescent="0.25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</row>
    <row r="209" spans="1:15" ht="16.5" x14ac:dyDescent="0.25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</row>
    <row r="210" spans="1:15" ht="16.5" x14ac:dyDescent="0.25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</row>
    <row r="211" spans="1:15" ht="16.5" x14ac:dyDescent="0.25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</row>
    <row r="212" spans="1:15" ht="16.5" x14ac:dyDescent="0.25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</row>
    <row r="213" spans="1:15" ht="16.5" x14ac:dyDescent="0.25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</row>
    <row r="214" spans="1:15" ht="16.5" x14ac:dyDescent="0.25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</row>
    <row r="215" spans="1:15" ht="16.5" x14ac:dyDescent="0.25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</row>
  </sheetData>
  <mergeCells count="382">
    <mergeCell ref="N40:O40"/>
    <mergeCell ref="N32:O32"/>
    <mergeCell ref="N33:O33"/>
    <mergeCell ref="J37:K37"/>
    <mergeCell ref="L37:M37"/>
    <mergeCell ref="P113:T115"/>
    <mergeCell ref="P99:R110"/>
    <mergeCell ref="P117:R123"/>
    <mergeCell ref="N34:O34"/>
    <mergeCell ref="N35:O35"/>
    <mergeCell ref="N36:O36"/>
    <mergeCell ref="N38:O38"/>
    <mergeCell ref="N75:O75"/>
    <mergeCell ref="A85:O85"/>
    <mergeCell ref="A86:O86"/>
    <mergeCell ref="A87:O87"/>
    <mergeCell ref="H101:H102"/>
    <mergeCell ref="I101:I102"/>
    <mergeCell ref="L101:M102"/>
    <mergeCell ref="N93:O93"/>
    <mergeCell ref="N109:O109"/>
    <mergeCell ref="N37:O37"/>
    <mergeCell ref="J32:K32"/>
    <mergeCell ref="A34:G34"/>
    <mergeCell ref="N31:O31"/>
    <mergeCell ref="L33:M33"/>
    <mergeCell ref="L34:M34"/>
    <mergeCell ref="L22:M22"/>
    <mergeCell ref="J21:K21"/>
    <mergeCell ref="J22:K22"/>
    <mergeCell ref="L14:M14"/>
    <mergeCell ref="N14:O14"/>
    <mergeCell ref="J31:K3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A15:G15"/>
    <mergeCell ref="A16:G16"/>
    <mergeCell ref="A17:G17"/>
    <mergeCell ref="L15:M15"/>
    <mergeCell ref="L16:M16"/>
    <mergeCell ref="L17:M17"/>
    <mergeCell ref="A18:G18"/>
    <mergeCell ref="A19:G19"/>
    <mergeCell ref="A12:G14"/>
    <mergeCell ref="H13:I13"/>
    <mergeCell ref="J13:K13"/>
    <mergeCell ref="L13:M13"/>
    <mergeCell ref="H14:I14"/>
    <mergeCell ref="J14:K14"/>
    <mergeCell ref="J19:K19"/>
    <mergeCell ref="H12:I12"/>
    <mergeCell ref="J12:K12"/>
    <mergeCell ref="L12:O12"/>
    <mergeCell ref="N13:O13"/>
    <mergeCell ref="A20:G20"/>
    <mergeCell ref="A21:G21"/>
    <mergeCell ref="A22:G22"/>
    <mergeCell ref="L18:M18"/>
    <mergeCell ref="L19:M19"/>
    <mergeCell ref="L20:M20"/>
    <mergeCell ref="L21:M21"/>
    <mergeCell ref="A5:O5"/>
    <mergeCell ref="A6:O6"/>
    <mergeCell ref="A7:O7"/>
    <mergeCell ref="A8:O8"/>
    <mergeCell ref="A9:O9"/>
    <mergeCell ref="J15:K15"/>
    <mergeCell ref="J16:K16"/>
    <mergeCell ref="J17:K17"/>
    <mergeCell ref="J18:K18"/>
    <mergeCell ref="J20:K20"/>
    <mergeCell ref="N15:O15"/>
    <mergeCell ref="N16:O16"/>
    <mergeCell ref="N17:O17"/>
    <mergeCell ref="N18:O18"/>
    <mergeCell ref="N19:O19"/>
    <mergeCell ref="N20:O20"/>
    <mergeCell ref="N21:O21"/>
    <mergeCell ref="A36:G36"/>
    <mergeCell ref="L28:M28"/>
    <mergeCell ref="L29:M29"/>
    <mergeCell ref="L30:M30"/>
    <mergeCell ref="L31:M31"/>
    <mergeCell ref="A46:G46"/>
    <mergeCell ref="A23:G23"/>
    <mergeCell ref="A24:G24"/>
    <mergeCell ref="A25:G25"/>
    <mergeCell ref="A26:G26"/>
    <mergeCell ref="A27:G27"/>
    <mergeCell ref="J26:K26"/>
    <mergeCell ref="J27:K27"/>
    <mergeCell ref="J23:K23"/>
    <mergeCell ref="J24:K24"/>
    <mergeCell ref="J25:K25"/>
    <mergeCell ref="L23:M23"/>
    <mergeCell ref="L38:M38"/>
    <mergeCell ref="L40:M40"/>
    <mergeCell ref="J38:K38"/>
    <mergeCell ref="A53:G53"/>
    <mergeCell ref="L24:M24"/>
    <mergeCell ref="L25:M25"/>
    <mergeCell ref="L26:M26"/>
    <mergeCell ref="L27:M27"/>
    <mergeCell ref="A38:G38"/>
    <mergeCell ref="J34:K34"/>
    <mergeCell ref="J35:K35"/>
    <mergeCell ref="J36:K36"/>
    <mergeCell ref="A37:G37"/>
    <mergeCell ref="L32:M32"/>
    <mergeCell ref="A28:G28"/>
    <mergeCell ref="A29:G29"/>
    <mergeCell ref="A30:G30"/>
    <mergeCell ref="A31:G31"/>
    <mergeCell ref="L35:M35"/>
    <mergeCell ref="L36:M36"/>
    <mergeCell ref="A32:G32"/>
    <mergeCell ref="A33:G33"/>
    <mergeCell ref="J28:K28"/>
    <mergeCell ref="J29:K29"/>
    <mergeCell ref="J30:K30"/>
    <mergeCell ref="J33:K33"/>
    <mergeCell ref="A35:G35"/>
    <mergeCell ref="A57:G57"/>
    <mergeCell ref="A58:G58"/>
    <mergeCell ref="A62:G62"/>
    <mergeCell ref="A59:G59"/>
    <mergeCell ref="A60:G60"/>
    <mergeCell ref="A61:G61"/>
    <mergeCell ref="J67:K67"/>
    <mergeCell ref="A40:G42"/>
    <mergeCell ref="J40:K40"/>
    <mergeCell ref="A63:G63"/>
    <mergeCell ref="A64:G64"/>
    <mergeCell ref="J65:K65"/>
    <mergeCell ref="A47:G47"/>
    <mergeCell ref="A48:G48"/>
    <mergeCell ref="A49:G49"/>
    <mergeCell ref="A50:G50"/>
    <mergeCell ref="A51:G51"/>
    <mergeCell ref="A52:G52"/>
    <mergeCell ref="A54:G54"/>
    <mergeCell ref="A55:G55"/>
    <mergeCell ref="A56:G56"/>
    <mergeCell ref="A43:G43"/>
    <mergeCell ref="A44:G44"/>
    <mergeCell ref="A45:G45"/>
    <mergeCell ref="L75:M75"/>
    <mergeCell ref="A73:I73"/>
    <mergeCell ref="J74:K74"/>
    <mergeCell ref="L74:M74"/>
    <mergeCell ref="A72:I72"/>
    <mergeCell ref="A71:I71"/>
    <mergeCell ref="L67:M67"/>
    <mergeCell ref="N67:O67"/>
    <mergeCell ref="N68:O68"/>
    <mergeCell ref="N69:O69"/>
    <mergeCell ref="N70:O70"/>
    <mergeCell ref="N71:O71"/>
    <mergeCell ref="A67:I67"/>
    <mergeCell ref="L68:M68"/>
    <mergeCell ref="L69:M69"/>
    <mergeCell ref="L70:M70"/>
    <mergeCell ref="L71:M71"/>
    <mergeCell ref="J68:K68"/>
    <mergeCell ref="J69:K69"/>
    <mergeCell ref="J70:K70"/>
    <mergeCell ref="J71:K71"/>
    <mergeCell ref="A68:I68"/>
    <mergeCell ref="A69:I69"/>
    <mergeCell ref="A70:I70"/>
    <mergeCell ref="N104:O104"/>
    <mergeCell ref="N105:O105"/>
    <mergeCell ref="N108:O108"/>
    <mergeCell ref="N91:O91"/>
    <mergeCell ref="N92:O92"/>
    <mergeCell ref="N97:O97"/>
    <mergeCell ref="L65:M65"/>
    <mergeCell ref="N65:O65"/>
    <mergeCell ref="A65:I66"/>
    <mergeCell ref="J66:K66"/>
    <mergeCell ref="L66:M66"/>
    <mergeCell ref="N66:O66"/>
    <mergeCell ref="A83:O83"/>
    <mergeCell ref="A84:O84"/>
    <mergeCell ref="A76:I76"/>
    <mergeCell ref="N76:O76"/>
    <mergeCell ref="A74:I74"/>
    <mergeCell ref="A75:I75"/>
    <mergeCell ref="N74:O74"/>
    <mergeCell ref="J75:K75"/>
    <mergeCell ref="J76:K76"/>
    <mergeCell ref="L76:M76"/>
    <mergeCell ref="J72:O72"/>
    <mergeCell ref="J73:O73"/>
    <mergeCell ref="N96:O96"/>
    <mergeCell ref="N95:O95"/>
    <mergeCell ref="I94:J94"/>
    <mergeCell ref="N94:O94"/>
    <mergeCell ref="A96:H96"/>
    <mergeCell ref="A97:H97"/>
    <mergeCell ref="A95:H95"/>
    <mergeCell ref="A94:H94"/>
    <mergeCell ref="I95:J95"/>
    <mergeCell ref="I96:J96"/>
    <mergeCell ref="I97:J97"/>
    <mergeCell ref="L174:M174"/>
    <mergeCell ref="N174:O174"/>
    <mergeCell ref="A142:G142"/>
    <mergeCell ref="A143:G143"/>
    <mergeCell ref="A90:H92"/>
    <mergeCell ref="I90:O90"/>
    <mergeCell ref="K91:M91"/>
    <mergeCell ref="J101:K102"/>
    <mergeCell ref="A113:M113"/>
    <mergeCell ref="A117:H119"/>
    <mergeCell ref="N106:O106"/>
    <mergeCell ref="N107:O107"/>
    <mergeCell ref="N120:O120"/>
    <mergeCell ref="J106:K106"/>
    <mergeCell ref="J107:K107"/>
    <mergeCell ref="N101:O102"/>
    <mergeCell ref="A99:O100"/>
    <mergeCell ref="B104:C104"/>
    <mergeCell ref="L107:M107"/>
    <mergeCell ref="J109:K109"/>
    <mergeCell ref="A120:H120"/>
    <mergeCell ref="I120:J120"/>
    <mergeCell ref="K118:M118"/>
    <mergeCell ref="L109:M109"/>
    <mergeCell ref="A186:G186"/>
    <mergeCell ref="A150:G150"/>
    <mergeCell ref="A151:G151"/>
    <mergeCell ref="A152:G152"/>
    <mergeCell ref="A153:G153"/>
    <mergeCell ref="A180:G180"/>
    <mergeCell ref="A181:G181"/>
    <mergeCell ref="A146:G146"/>
    <mergeCell ref="A147:G147"/>
    <mergeCell ref="A148:G148"/>
    <mergeCell ref="A149:G149"/>
    <mergeCell ref="A154:G154"/>
    <mergeCell ref="A155:G155"/>
    <mergeCell ref="A156:G156"/>
    <mergeCell ref="A157:G157"/>
    <mergeCell ref="A160:G160"/>
    <mergeCell ref="A161:G161"/>
    <mergeCell ref="A168:O168"/>
    <mergeCell ref="A169:O169"/>
    <mergeCell ref="A174:G176"/>
    <mergeCell ref="A177:G177"/>
    <mergeCell ref="A178:G178"/>
    <mergeCell ref="A170:O170"/>
    <mergeCell ref="A182:G182"/>
    <mergeCell ref="A190:O190"/>
    <mergeCell ref="A187:K187"/>
    <mergeCell ref="A200:C200"/>
    <mergeCell ref="E200:I200"/>
    <mergeCell ref="K200:O200"/>
    <mergeCell ref="A198:C198"/>
    <mergeCell ref="A199:C199"/>
    <mergeCell ref="E198:I198"/>
    <mergeCell ref="E199:I199"/>
    <mergeCell ref="K199:O199"/>
    <mergeCell ref="K198:O198"/>
    <mergeCell ref="A189:K189"/>
    <mergeCell ref="A183:G183"/>
    <mergeCell ref="A184:G184"/>
    <mergeCell ref="A185:G185"/>
    <mergeCell ref="G101:G102"/>
    <mergeCell ref="B106:C106"/>
    <mergeCell ref="J108:K108"/>
    <mergeCell ref="A123:H123"/>
    <mergeCell ref="I122:J122"/>
    <mergeCell ref="A144:G144"/>
    <mergeCell ref="A145:G145"/>
    <mergeCell ref="A158:G158"/>
    <mergeCell ref="A159:G159"/>
    <mergeCell ref="A136:O136"/>
    <mergeCell ref="A115:M115"/>
    <mergeCell ref="I119:J119"/>
    <mergeCell ref="N118:O119"/>
    <mergeCell ref="A101:A102"/>
    <mergeCell ref="N110:O110"/>
    <mergeCell ref="B107:C107"/>
    <mergeCell ref="B109:C109"/>
    <mergeCell ref="B110:C110"/>
    <mergeCell ref="B103:C103"/>
    <mergeCell ref="J103:K103"/>
    <mergeCell ref="L103:M103"/>
    <mergeCell ref="N103:O103"/>
    <mergeCell ref="D101:D102"/>
    <mergeCell ref="E101:E102"/>
    <mergeCell ref="A121:H121"/>
    <mergeCell ref="I121:J121"/>
    <mergeCell ref="N121:O121"/>
    <mergeCell ref="N123:O123"/>
    <mergeCell ref="I117:O117"/>
    <mergeCell ref="A171:O171"/>
    <mergeCell ref="N131:O131"/>
    <mergeCell ref="J132:K132"/>
    <mergeCell ref="N132:O132"/>
    <mergeCell ref="J134:K134"/>
    <mergeCell ref="A133:G133"/>
    <mergeCell ref="A140:G140"/>
    <mergeCell ref="A141:G141"/>
    <mergeCell ref="J137:K137"/>
    <mergeCell ref="L137:M137"/>
    <mergeCell ref="L127:M127"/>
    <mergeCell ref="I123:J123"/>
    <mergeCell ref="N128:O128"/>
    <mergeCell ref="N122:O122"/>
    <mergeCell ref="A129:G129"/>
    <mergeCell ref="N127:O127"/>
    <mergeCell ref="A179:G179"/>
    <mergeCell ref="J174:K174"/>
    <mergeCell ref="I91:J91"/>
    <mergeCell ref="I92:J92"/>
    <mergeCell ref="B111:C111"/>
    <mergeCell ref="J111:K111"/>
    <mergeCell ref="I118:J118"/>
    <mergeCell ref="A167:O167"/>
    <mergeCell ref="L106:M106"/>
    <mergeCell ref="A128:G128"/>
    <mergeCell ref="I93:J93"/>
    <mergeCell ref="A93:H93"/>
    <mergeCell ref="J110:K110"/>
    <mergeCell ref="L110:M110"/>
    <mergeCell ref="L111:M111"/>
    <mergeCell ref="B108:C108"/>
    <mergeCell ref="B101:C102"/>
    <mergeCell ref="F101:F102"/>
    <mergeCell ref="A137:G139"/>
    <mergeCell ref="N137:O137"/>
    <mergeCell ref="N134:O134"/>
    <mergeCell ref="N130:O130"/>
    <mergeCell ref="J131:K131"/>
    <mergeCell ref="L131:M131"/>
    <mergeCell ref="H125:I125"/>
    <mergeCell ref="J125:K125"/>
    <mergeCell ref="N129:O129"/>
    <mergeCell ref="N126:O126"/>
    <mergeCell ref="L129:M129"/>
    <mergeCell ref="A131:G131"/>
    <mergeCell ref="A132:G132"/>
    <mergeCell ref="N133:O133"/>
    <mergeCell ref="J133:K133"/>
    <mergeCell ref="L133:M133"/>
    <mergeCell ref="L132:M132"/>
    <mergeCell ref="A130:G130"/>
    <mergeCell ref="J130:K130"/>
    <mergeCell ref="H127:I127"/>
    <mergeCell ref="L134:M134"/>
    <mergeCell ref="A134:G134"/>
    <mergeCell ref="J128:K128"/>
    <mergeCell ref="L128:M128"/>
    <mergeCell ref="J129:K129"/>
    <mergeCell ref="L130:M130"/>
    <mergeCell ref="J127:K127"/>
    <mergeCell ref="J104:K104"/>
    <mergeCell ref="L104:M104"/>
    <mergeCell ref="B105:C105"/>
    <mergeCell ref="J105:K105"/>
    <mergeCell ref="L105:M105"/>
    <mergeCell ref="L108:M108"/>
    <mergeCell ref="L125:O125"/>
    <mergeCell ref="A122:H122"/>
    <mergeCell ref="A114:M114"/>
    <mergeCell ref="L126:M126"/>
    <mergeCell ref="N113:O113"/>
    <mergeCell ref="N114:O114"/>
    <mergeCell ref="N115:O115"/>
    <mergeCell ref="N111:O111"/>
    <mergeCell ref="H126:I126"/>
    <mergeCell ref="J126:K126"/>
    <mergeCell ref="A125:G127"/>
  </mergeCells>
  <printOptions horizontalCentered="1"/>
  <pageMargins left="0.39370078740157483" right="0.39370078740157483" top="0.39370078740157483" bottom="0.39370078740157483" header="0" footer="0"/>
  <pageSetup paperSize="9" scale="35" orientation="landscape" r:id="rId1"/>
  <rowBreaks count="2" manualBreakCount="2">
    <brk id="78" max="14" man="1"/>
    <brk id="162" max="14" man="1"/>
  </rowBreaks>
  <colBreaks count="1" manualBreakCount="1">
    <brk id="15" max="1048575" man="1"/>
  </colBreaks>
  <ignoredErrors>
    <ignoredError sqref="L43 N43 K43:K44 M43:M44 K177:O177 M178 N143 N158 L158 N149 N155 N152 N146 L149 L161:O161 L155 L152 L146 L143 K144:K145 K143 M143 K147:K148 K146 M146 K154:O154 K152 M152 K156:O157 K155 M155 K161 K150:K151 K149 M149 O146 O152 O155 O149 K160:O160 K158 M158 O158 O143 N61 L61 N46 L46 N64 N58 N55 N52 N49 L64 L58 L55 L52 L49 K47:K48 K51:N51 K49 M49 K54:N54 K52 M52 K56:K57 K55 M55 K59:N60 K58 M58 K64 M64 K46 M46 K62:K63 K61 M61 M47:M48 K50 M50 M56:M57 M62:M63 M144:M145 M147:M148 M150:M151 K153 M153 K159 M159 O159 O153 O150:O151 O147:O148 O144:O145 K53 M53" formula="1"/>
    <ignoredError sqref="N38:O38 J76:K76 K185 M185 O178:O186 N128:O132 N134:O134 O133 N15:O29 M76 O140 N31:O36" evalError="1"/>
    <ignoredError sqref="K178:K184 M179:M184 K186 M186 K140:K141 M140" evalError="1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ac820811c2f1464de440cdfdeb42b587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9cd5ca6b340aa55f125429437ea565f2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DF0375-9841-459E-BD9A-0461147BC5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D013E3-99F0-4A98-B17A-E45032254A04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bfcc7d6-e1dc-4701-b230-8bbb8f498e60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E8BDF13-E95E-4072-BFF2-F74F9547BC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1 - BO resumo</vt:lpstr>
      <vt:lpstr>Anexo 12 - Saúde (Estados)</vt:lpstr>
      <vt:lpstr>'Anexo 1 - BO resumo'!Area_de_impressao</vt:lpstr>
      <vt:lpstr>'Anexo 12 - Saúde (Estados)'!Area_de_impressao</vt:lpstr>
    </vt:vector>
  </TitlesOfParts>
  <Manager/>
  <Company>Ministério da Fazenda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cp:keywords/>
  <dc:description/>
  <cp:lastModifiedBy>Yago Barros Barbosa</cp:lastModifiedBy>
  <cp:revision/>
  <cp:lastPrinted>2025-11-17T16:22:40Z</cp:lastPrinted>
  <dcterms:created xsi:type="dcterms:W3CDTF">2004-08-09T19:29:24Z</dcterms:created>
  <dcterms:modified xsi:type="dcterms:W3CDTF">2025-11-28T15:23:01Z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