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F2B00205-562A-402C-A384-C44B80B51901}" xr6:coauthVersionLast="47" xr6:coauthVersionMax="47" xr10:uidLastSave="{00000000-0000-0000-0000-000000000000}"/>
  <bookViews>
    <workbookView xWindow="-120" yWindow="-120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7" i="1" l="1"/>
  <c r="H197" i="1"/>
  <c r="D197" i="1"/>
  <c r="C197" i="1"/>
  <c r="C177" i="1"/>
  <c r="D177" i="1"/>
  <c r="H177" i="1"/>
  <c r="K177" i="1"/>
  <c r="K153" i="1"/>
  <c r="H153" i="1"/>
  <c r="D153" i="1"/>
  <c r="C153" i="1"/>
  <c r="C112" i="1"/>
  <c r="D112" i="1"/>
  <c r="H112" i="1"/>
  <c r="K112" i="1"/>
  <c r="K53" i="1"/>
  <c r="H53" i="1"/>
  <c r="D53" i="1"/>
  <c r="C53" i="1"/>
  <c r="K194" i="1"/>
  <c r="H194" i="1"/>
  <c r="D194" i="1"/>
  <c r="C194" i="1"/>
  <c r="C193" i="1"/>
  <c r="D193" i="1"/>
  <c r="H193" i="1"/>
  <c r="K193" i="1"/>
  <c r="K192" i="1"/>
  <c r="H192" i="1"/>
  <c r="D192" i="1"/>
  <c r="C192" i="1"/>
  <c r="C186" i="1"/>
  <c r="K186" i="1"/>
  <c r="K185" i="1"/>
  <c r="C185" i="1"/>
  <c r="C184" i="1"/>
  <c r="K184" i="1"/>
  <c r="K183" i="1"/>
  <c r="C183" i="1"/>
  <c r="K174" i="1"/>
  <c r="H174" i="1"/>
  <c r="D174" i="1"/>
  <c r="C174" i="1"/>
  <c r="C173" i="1"/>
  <c r="D173" i="1"/>
  <c r="H173" i="1"/>
  <c r="K173" i="1"/>
  <c r="K172" i="1"/>
  <c r="H172" i="1"/>
  <c r="D172" i="1"/>
  <c r="C172" i="1"/>
  <c r="K159" i="1"/>
  <c r="K158" i="1"/>
  <c r="K157" i="1"/>
  <c r="K150" i="1"/>
  <c r="H150" i="1"/>
  <c r="D150" i="1"/>
  <c r="C150" i="1"/>
  <c r="C149" i="1"/>
  <c r="D149" i="1"/>
  <c r="H149" i="1"/>
  <c r="K149" i="1"/>
  <c r="K148" i="1"/>
  <c r="H148" i="1"/>
  <c r="D148" i="1"/>
  <c r="C148" i="1"/>
  <c r="K141" i="1"/>
  <c r="C141" i="1"/>
  <c r="K135" i="1"/>
  <c r="K134" i="1"/>
  <c r="K133" i="1"/>
  <c r="K128" i="1" l="1"/>
  <c r="K109" i="1"/>
  <c r="H109" i="1"/>
  <c r="D109" i="1"/>
  <c r="C109" i="1"/>
  <c r="C106" i="1"/>
  <c r="D106" i="1"/>
  <c r="H106" i="1"/>
  <c r="K106" i="1"/>
  <c r="K105" i="1"/>
  <c r="H105" i="1"/>
  <c r="D105" i="1"/>
  <c r="C105" i="1"/>
  <c r="C94" i="1"/>
  <c r="K94" i="1"/>
  <c r="K93" i="1"/>
  <c r="C93" i="1"/>
  <c r="C89" i="1"/>
  <c r="K89" i="1"/>
  <c r="K88" i="1"/>
  <c r="C88" i="1"/>
  <c r="C84" i="1"/>
  <c r="K84" i="1"/>
  <c r="K82" i="1"/>
  <c r="C82" i="1"/>
  <c r="C81" i="1"/>
  <c r="K81" i="1"/>
  <c r="K80" i="1"/>
  <c r="C80" i="1"/>
  <c r="K72" i="1"/>
  <c r="K71" i="1"/>
  <c r="K70" i="1"/>
  <c r="K59" i="1"/>
  <c r="C50" i="1"/>
  <c r="C47" i="1"/>
  <c r="D47" i="1"/>
  <c r="H47" i="1"/>
  <c r="K47" i="1"/>
  <c r="K46" i="1"/>
  <c r="H46" i="1"/>
  <c r="D46" i="1"/>
  <c r="C46" i="1"/>
  <c r="C29" i="1"/>
  <c r="K29" i="1"/>
  <c r="K24" i="1"/>
  <c r="C24" i="1"/>
  <c r="K20" i="1"/>
  <c r="C20" i="1"/>
  <c r="K79" i="1" l="1"/>
  <c r="K32" i="1" l="1"/>
  <c r="C104" i="1"/>
  <c r="C147" i="1"/>
  <c r="C151" i="1" s="1"/>
  <c r="H175" i="1"/>
  <c r="D175" i="1"/>
  <c r="C175" i="1"/>
  <c r="K142" i="1"/>
  <c r="D104" i="1"/>
  <c r="K45" i="1"/>
  <c r="K51" i="1" s="1"/>
  <c r="H45" i="1"/>
  <c r="H51" i="1" s="1"/>
  <c r="D45" i="1"/>
  <c r="D51" i="1" s="1"/>
  <c r="K27" i="1"/>
  <c r="D107" i="1"/>
  <c r="K175" i="1"/>
  <c r="H104" i="1"/>
  <c r="C195" i="1"/>
  <c r="C187" i="1"/>
  <c r="D181" i="1"/>
  <c r="J195" i="1"/>
  <c r="I195" i="1"/>
  <c r="G195" i="1"/>
  <c r="F195" i="1"/>
  <c r="E195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K107" i="1"/>
  <c r="J107" i="1"/>
  <c r="I107" i="1"/>
  <c r="H107" i="1"/>
  <c r="G107" i="1"/>
  <c r="F107" i="1"/>
  <c r="E107" i="1"/>
  <c r="E110" i="1" s="1"/>
  <c r="J104" i="1"/>
  <c r="I104" i="1"/>
  <c r="G104" i="1"/>
  <c r="F104" i="1"/>
  <c r="E104" i="1"/>
  <c r="C95" i="1"/>
  <c r="C92" i="1"/>
  <c r="C87" i="1"/>
  <c r="C83" i="1"/>
  <c r="C79" i="1"/>
  <c r="K83" i="1"/>
  <c r="K87" i="1"/>
  <c r="K92" i="1"/>
  <c r="K95" i="1"/>
  <c r="D76" i="1"/>
  <c r="H48" i="1"/>
  <c r="K48" i="1"/>
  <c r="J48" i="1"/>
  <c r="I48" i="1"/>
  <c r="J45" i="1"/>
  <c r="J51" i="1" s="1"/>
  <c r="I45" i="1"/>
  <c r="I51" i="1"/>
  <c r="D48" i="1"/>
  <c r="G48" i="1"/>
  <c r="F48" i="1"/>
  <c r="E48" i="1"/>
  <c r="G45" i="1"/>
  <c r="G51" i="1" s="1"/>
  <c r="F45" i="1"/>
  <c r="F51" i="1" s="1"/>
  <c r="E45" i="1"/>
  <c r="E51" i="1" s="1"/>
  <c r="C45" i="1"/>
  <c r="K43" i="1"/>
  <c r="K190" i="1" s="1"/>
  <c r="H43" i="1"/>
  <c r="H190" i="1" s="1"/>
  <c r="H145" i="1"/>
  <c r="D43" i="1"/>
  <c r="D145" i="1" s="1"/>
  <c r="K36" i="1"/>
  <c r="K23" i="1"/>
  <c r="K19" i="1"/>
  <c r="C19" i="1"/>
  <c r="C36" i="1"/>
  <c r="C32" i="1"/>
  <c r="C27" i="1"/>
  <c r="C23" i="1"/>
  <c r="C48" i="1"/>
  <c r="E27" i="5"/>
  <c r="E28" i="5"/>
  <c r="K195" i="1"/>
  <c r="K187" i="1"/>
  <c r="H195" i="1"/>
  <c r="D195" i="1"/>
  <c r="K104" i="1"/>
  <c r="K147" i="1"/>
  <c r="K151" i="1" s="1"/>
  <c r="H147" i="1"/>
  <c r="H151" i="1" s="1"/>
  <c r="D147" i="1"/>
  <c r="D151" i="1" s="1"/>
  <c r="H170" i="1"/>
  <c r="D190" i="1" l="1"/>
  <c r="D170" i="1"/>
  <c r="D102" i="1"/>
  <c r="G110" i="1"/>
  <c r="C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</calcChain>
</file>

<file path=xl/sharedStrings.xml><?xml version="1.0" encoding="utf-8"?>
<sst xmlns="http://schemas.openxmlformats.org/spreadsheetml/2006/main" count="309" uniqueCount="159">
  <si>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</si>
  <si>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</si>
  <si>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</si>
  <si>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</si>
  <si>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</si>
  <si>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</si>
  <si>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</si>
  <si>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</si>
  <si>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</si>
  <si>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</si>
  <si>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</si>
  <si>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</si>
  <si>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</si>
  <si>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</si>
  <si>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</si>
  <si>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</si>
  <si>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</si>
  <si>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</si>
  <si>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</si>
  <si>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</si>
  <si>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</si>
  <si>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</si>
  <si>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</si>
  <si>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</si>
  <si>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</si>
  <si>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</si>
  <si>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</si>
  <si>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</si>
  <si>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</si>
  <si>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</si>
  <si>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</si>
  <si>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</si>
  <si>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</si>
  <si>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</si>
  <si>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</si>
  <si>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</si>
  <si>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</si>
  <si>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</si>
  <si>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</si>
  <si>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</si>
  <si>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</si>
  <si>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</si>
  <si>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</si>
  <si>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</si>
  <si>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</si>
  <si>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</si>
  <si>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</si>
  <si>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</si>
  <si>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</si>
  <si>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</si>
  <si>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</si>
  <si>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</si>
  <si>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</si>
  <si>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</si>
  <si>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</si>
  <si>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</si>
  <si>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</si>
  <si>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</si>
  <si>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</si>
  <si>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</si>
  <si>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</si>
  <si>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</si>
  <si>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</si>
  <si>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</si>
  <si>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</si>
  <si>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</si>
  <si>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</si>
  <si>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</si>
  <si>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</si>
  <si>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</si>
  <si>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</si>
  <si>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</si>
  <si>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</si>
  <si>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</si>
  <si>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</si>
  <si>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</si>
  <si>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</si>
  <si>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</si>
  <si>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</si>
  <si>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</si>
  <si>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</si>
  <si>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</si>
  <si>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</si>
  <si>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</si>
  <si>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</si>
  <si>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</si>
  <si>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</si>
  <si>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</si>
  <si>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</si>
  <si>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</si>
  <si>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</si>
  <si>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</si>
  <si>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</si>
  <si>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</si>
  <si>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</si>
  <si>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</si>
  <si>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</si>
  <si>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</si>
  <si>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</si>
  <si>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</si>
  <si>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</si>
  <si>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</si>
  <si>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</si>
  <si>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</si>
  <si>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</si>
  <si>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</si>
  <si>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</si>
  <si>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</si>
  <si>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</si>
  <si>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</si>
  <si>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</si>
  <si>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</si>
  <si>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</si>
  <si>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</si>
  <si>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</si>
  <si>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</si>
  <si>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</si>
  <si>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</si>
  <si>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</si>
  <si>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</si>
  <si>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</si>
  <si>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</si>
  <si>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</si>
  <si>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</si>
  <si>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</si>
  <si>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</si>
  <si>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</si>
  <si>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</si>
  <si>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</si>
  <si>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</si>
  <si>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</si>
  <si>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</si>
  <si>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</si>
  <si>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</si>
  <si>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</si>
  <si>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</si>
  <si>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</si>
  <si>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</si>
  <si>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</si>
  <si>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</si>
  <si>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</si>
  <si>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</si>
  <si>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</si>
  <si>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</si>
  <si>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</si>
  <si>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</si>
  <si>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</si>
  <si>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</si>
  <si>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</si>
  <si>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</si>
  <si>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</si>
  <si>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</si>
  <si>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</si>
  <si>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</si>
  <si>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</si>
  <si>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DESPESAS LIQUIDADAS</t>
  </si>
  <si>
    <t>JANEIRO A OUTUBRO 2025/BIMESTRE SETEMBRO - OUTUBRO</t>
  </si>
  <si>
    <t>Jan a Out 2025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</si>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</sst>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166" fontId="3" fillId="2" borderId="0" xfId="3" applyNumberFormat="1" applyFont="1" applyFill="1" applyBorder="1" applyAlignment="1">
      <alignment wrapText="1"/>
    </xf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0" fontId="15" fillId="2" borderId="0" xfId="0" applyFont="1" applyFill="1"/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164" fontId="6" fillId="0" borderId="0" xfId="3" applyFont="1" applyBorder="1"/>
    <xf numFmtId="43" fontId="6" fillId="0" borderId="0" xfId="1" applyNumberFormat="1" applyFont="1"/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3" xfId="3" applyFont="1" applyFill="1" applyBorder="1" applyAlignment="1">
      <alignment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/>
    <xf numFmtId="43" fontId="6" fillId="2" borderId="0" xfId="0" applyNumberFormat="1" applyFont="1" applyFill="1"/>
    <xf numFmtId="0" fontId="7" fillId="0" borderId="8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164" fontId="7" fillId="0" borderId="8" xfId="3" applyFont="1" applyFill="1" applyBorder="1" applyAlignment="1">
      <alignment vertical="center" wrapText="1"/>
    </xf>
    <xf numFmtId="164" fontId="6" fillId="2" borderId="8" xfId="3" applyFont="1" applyFill="1" applyBorder="1" applyAlignment="1">
      <alignment vertical="center"/>
    </xf>
    <xf numFmtId="164" fontId="7" fillId="0" borderId="8" xfId="3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6" fontId="15" fillId="2" borderId="0" xfId="3" applyNumberFormat="1" applyFont="1" applyFill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164" fontId="6" fillId="0" borderId="17" xfId="3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/>
    <xf numFmtId="0" fontId="3" fillId="0" borderId="0" xfId="0" applyFont="1" applyFill="1"/>
    <xf numFmtId="0" fontId="5" fillId="0" borderId="0" xfId="0" applyFont="1" applyFill="1"/>
    <xf numFmtId="166" fontId="4" fillId="0" borderId="0" xfId="0" applyNumberFormat="1" applyFont="1" applyFill="1"/>
    <xf numFmtId="166" fontId="4" fillId="0" borderId="0" xfId="3" applyNumberFormat="1" applyFont="1" applyFill="1"/>
    <xf numFmtId="164" fontId="3" fillId="0" borderId="0" xfId="3" applyFont="1" applyFill="1"/>
    <xf numFmtId="0" fontId="4" fillId="0" borderId="0" xfId="0" applyFont="1" applyFill="1"/>
    <xf numFmtId="164" fontId="3" fillId="0" borderId="0" xfId="3" applyFont="1" applyFill="1" applyAlignment="1"/>
    <xf numFmtId="166" fontId="15" fillId="0" borderId="0" xfId="3" applyNumberFormat="1" applyFont="1" applyFill="1" applyAlignment="1"/>
    <xf numFmtId="0" fontId="13" fillId="0" borderId="0" xfId="0" applyFont="1" applyFill="1"/>
    <xf numFmtId="164" fontId="13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166" fontId="3" fillId="0" borderId="0" xfId="3" applyNumberFormat="1" applyFont="1" applyFill="1"/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5" fillId="0" borderId="0" xfId="3" applyFont="1" applyFill="1"/>
    <xf numFmtId="43" fontId="18" fillId="0" borderId="0" xfId="0" applyNumberFormat="1" applyFont="1" applyFill="1"/>
    <xf numFmtId="0" fontId="18" fillId="0" borderId="0" xfId="0" applyFont="1" applyFill="1"/>
    <xf numFmtId="0" fontId="17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166" fontId="15" fillId="0" borderId="0" xfId="3" applyNumberFormat="1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1" applyFont="1" applyFill="1"/>
    <xf numFmtId="164" fontId="6" fillId="0" borderId="0" xfId="3" applyFont="1" applyFill="1" applyBorder="1"/>
    <xf numFmtId="0" fontId="15" fillId="0" borderId="0" xfId="0" applyFont="1" applyFill="1" applyAlignment="1">
      <alignment horizontal="center"/>
    </xf>
    <xf numFmtId="164" fontId="3" fillId="0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185209</xdr:colOff>
      <xdr:row>0</xdr:row>
      <xdr:rowOff>84666</xdr:rowOff>
    </xdr:from>
    <xdr:to>
      <xdr:col>2</xdr:col>
      <xdr:colOff>709084</xdr:colOff>
      <xdr:row>3</xdr:row>
      <xdr:rowOff>176035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6" y="84666"/>
          <a:ext cx="523875" cy="6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17095</xdr:colOff>
      <xdr:row>113</xdr:row>
      <xdr:rowOff>69198</xdr:rowOff>
    </xdr:from>
    <xdr:to>
      <xdr:col>2</xdr:col>
      <xdr:colOff>540970</xdr:colOff>
      <xdr:row>116</xdr:row>
      <xdr:rowOff>163824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826" y="20313486"/>
          <a:ext cx="523875" cy="64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Z250"/>
  <sheetViews>
    <sheetView showGridLines="0" tabSelected="1" topLeftCell="A170" zoomScale="90" zoomScaleNormal="90" workbookViewId="0">
      <selection activeCell="N16" sqref="N16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21.42578125" style="8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20.28515625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20"/>
    </row>
    <row r="2" spans="1:16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6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6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</row>
    <row r="6" spans="1:16">
      <c r="A6" s="200" t="s">
        <v>1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</row>
    <row r="7" spans="1:16">
      <c r="A7" s="201" t="s">
        <v>2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6">
      <c r="A8" s="200" t="s">
        <v>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</row>
    <row r="9" spans="1:16">
      <c r="A9" s="200" t="s">
        <v>156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M9" s="18"/>
    </row>
    <row r="10" spans="1:1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3"/>
    </row>
    <row r="11" spans="1:16">
      <c r="A11" s="22"/>
      <c r="B11" s="22"/>
      <c r="C11" s="22"/>
      <c r="D11" s="22"/>
      <c r="E11" s="22"/>
      <c r="F11" s="22"/>
      <c r="G11" s="230" t="s">
        <v>158</v>
      </c>
      <c r="H11" s="230"/>
      <c r="I11" s="230"/>
      <c r="J11" s="230"/>
      <c r="K11" s="230"/>
    </row>
    <row r="12" spans="1:16" ht="18">
      <c r="A12" s="23" t="s">
        <v>4</v>
      </c>
      <c r="B12" s="23"/>
      <c r="C12" s="23"/>
      <c r="D12" s="23"/>
      <c r="E12" s="23"/>
      <c r="F12" s="61"/>
      <c r="G12" s="23"/>
      <c r="H12" s="136"/>
      <c r="I12" s="228">
        <v>1</v>
      </c>
      <c r="J12" s="228"/>
      <c r="K12" s="228"/>
      <c r="N12" s="44"/>
    </row>
    <row r="13" spans="1:16" ht="14.25" customHeight="1">
      <c r="A13" s="231" t="s">
        <v>5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N13" s="44"/>
    </row>
    <row r="14" spans="1:16">
      <c r="A14" s="199" t="s">
        <v>6</v>
      </c>
      <c r="B14" s="199"/>
      <c r="C14" s="199"/>
      <c r="D14" s="229"/>
      <c r="E14" s="229"/>
      <c r="F14" s="229"/>
      <c r="G14" s="229"/>
      <c r="H14" s="229"/>
      <c r="I14" s="229"/>
      <c r="J14" s="229"/>
      <c r="K14" s="229"/>
    </row>
    <row r="15" spans="1:16">
      <c r="A15" s="209" t="s">
        <v>7</v>
      </c>
      <c r="B15" s="210"/>
      <c r="C15" s="214" t="s">
        <v>8</v>
      </c>
      <c r="D15" s="169" t="s">
        <v>9</v>
      </c>
      <c r="E15" s="169"/>
      <c r="F15" s="169"/>
      <c r="G15" s="169"/>
      <c r="H15" s="169"/>
      <c r="I15" s="169"/>
      <c r="J15" s="169"/>
      <c r="K15" s="169"/>
    </row>
    <row r="16" spans="1:16">
      <c r="A16" s="211"/>
      <c r="B16" s="212"/>
      <c r="C16" s="215"/>
      <c r="D16" s="216" t="s">
        <v>157</v>
      </c>
      <c r="E16" s="217"/>
      <c r="F16" s="217"/>
      <c r="G16" s="217"/>
      <c r="H16" s="217"/>
      <c r="I16" s="217"/>
      <c r="J16" s="217"/>
      <c r="K16" s="217"/>
    </row>
    <row r="17" spans="1:14">
      <c r="A17" s="171"/>
      <c r="B17" s="213"/>
      <c r="C17" s="43" t="s">
        <v>10</v>
      </c>
      <c r="D17" s="171" t="s">
        <v>11</v>
      </c>
      <c r="E17" s="171"/>
      <c r="F17" s="171"/>
      <c r="G17" s="171"/>
      <c r="H17" s="171"/>
      <c r="I17" s="171"/>
      <c r="J17" s="171"/>
      <c r="K17" s="171"/>
      <c r="L17" s="14"/>
    </row>
    <row r="18" spans="1:14">
      <c r="A18" s="50" t="s">
        <v>12</v>
      </c>
      <c r="B18" s="50"/>
      <c r="C18" s="88">
        <f>C19+C23+C27+C31+C32</f>
        <v>1165156057.6300001</v>
      </c>
      <c r="D18" s="205"/>
      <c r="E18" s="176"/>
      <c r="F18" s="176"/>
      <c r="G18" s="176"/>
      <c r="H18" s="176"/>
      <c r="I18" s="54"/>
      <c r="J18" s="54"/>
      <c r="K18" s="54">
        <f>K19+K23+K27+K31+K32</f>
        <v>873921500.49000001</v>
      </c>
    </row>
    <row r="19" spans="1:14">
      <c r="A19" s="62" t="s">
        <v>13</v>
      </c>
      <c r="B19" s="62"/>
      <c r="C19" s="88">
        <f>C20+C21+C22</f>
        <v>267631058.90000001</v>
      </c>
      <c r="D19" s="205"/>
      <c r="E19" s="176"/>
      <c r="F19" s="176"/>
      <c r="G19" s="176"/>
      <c r="H19" s="176"/>
      <c r="I19" s="54"/>
      <c r="J19" s="54"/>
      <c r="K19" s="54">
        <f>K20+K21+K22</f>
        <v>207129941.59</v>
      </c>
    </row>
    <row r="20" spans="1:14" ht="14.25" customHeight="1">
      <c r="A20" s="64" t="s">
        <v>14</v>
      </c>
      <c r="B20" s="63"/>
      <c r="C20" s="88">
        <f>267631058.9</f>
        <v>267631058.90000001</v>
      </c>
      <c r="D20" s="205"/>
      <c r="E20" s="176"/>
      <c r="F20" s="176"/>
      <c r="G20" s="176"/>
      <c r="H20" s="176"/>
      <c r="I20" s="66"/>
      <c r="J20" s="66"/>
      <c r="K20" s="66">
        <f>207129941.59</f>
        <v>207129941.59</v>
      </c>
    </row>
    <row r="21" spans="1:14">
      <c r="A21" s="64" t="s">
        <v>15</v>
      </c>
      <c r="B21" s="63"/>
      <c r="C21" s="88">
        <v>0</v>
      </c>
      <c r="D21" s="205"/>
      <c r="E21" s="176"/>
      <c r="F21" s="176"/>
      <c r="G21" s="176"/>
      <c r="H21" s="176"/>
      <c r="I21" s="54"/>
      <c r="J21" s="54"/>
      <c r="K21" s="54">
        <v>0</v>
      </c>
      <c r="M21" s="15"/>
    </row>
    <row r="22" spans="1:14">
      <c r="A22" s="64" t="s">
        <v>16</v>
      </c>
      <c r="B22" s="63"/>
      <c r="C22" s="88">
        <v>0</v>
      </c>
      <c r="D22" s="130"/>
      <c r="E22" s="123"/>
      <c r="F22" s="123"/>
      <c r="G22" s="123"/>
      <c r="H22" s="123"/>
      <c r="I22" s="132"/>
      <c r="J22" s="132"/>
      <c r="K22" s="132">
        <v>0</v>
      </c>
    </row>
    <row r="23" spans="1:14">
      <c r="A23" s="62" t="s">
        <v>17</v>
      </c>
      <c r="B23" s="50"/>
      <c r="C23" s="88">
        <f>C24+C25+C26</f>
        <v>425343059.08999997</v>
      </c>
      <c r="D23" s="205"/>
      <c r="E23" s="176"/>
      <c r="F23" s="176"/>
      <c r="G23" s="176"/>
      <c r="H23" s="176"/>
      <c r="I23" s="54"/>
      <c r="J23" s="54"/>
      <c r="K23" s="54">
        <f>K24+K25+K26</f>
        <v>328506085.44999999</v>
      </c>
    </row>
    <row r="24" spans="1:14">
      <c r="A24" s="64" t="s">
        <v>18</v>
      </c>
      <c r="B24" s="63"/>
      <c r="C24" s="88">
        <f>425343059.09</f>
        <v>425343059.08999997</v>
      </c>
      <c r="D24" s="205"/>
      <c r="E24" s="176"/>
      <c r="F24" s="176"/>
      <c r="G24" s="176"/>
      <c r="H24" s="176"/>
      <c r="I24" s="54"/>
      <c r="J24" s="54"/>
      <c r="K24" s="54">
        <f>328506085.45</f>
        <v>328506085.44999999</v>
      </c>
    </row>
    <row r="25" spans="1:14">
      <c r="A25" s="64" t="s">
        <v>15</v>
      </c>
      <c r="B25" s="63"/>
      <c r="C25" s="88">
        <v>0</v>
      </c>
      <c r="D25" s="205"/>
      <c r="E25" s="176"/>
      <c r="F25" s="176"/>
      <c r="G25" s="176"/>
      <c r="H25" s="176"/>
      <c r="I25" s="54"/>
      <c r="J25" s="54"/>
      <c r="K25" s="54">
        <v>0</v>
      </c>
    </row>
    <row r="26" spans="1:14" ht="14.25" customHeight="1">
      <c r="A26" s="64" t="s">
        <v>16</v>
      </c>
      <c r="B26" s="63"/>
      <c r="C26" s="88">
        <v>0</v>
      </c>
      <c r="D26" s="205"/>
      <c r="E26" s="176"/>
      <c r="F26" s="176"/>
      <c r="G26" s="176"/>
      <c r="H26" s="176"/>
      <c r="I26" s="54"/>
      <c r="J26" s="54"/>
      <c r="K26" s="54">
        <v>0</v>
      </c>
      <c r="L26"/>
      <c r="M26"/>
      <c r="N26" s="21"/>
    </row>
    <row r="27" spans="1:14" ht="15">
      <c r="A27" s="62" t="s">
        <v>19</v>
      </c>
      <c r="B27" s="62"/>
      <c r="C27" s="88">
        <f>C28+C29+C30</f>
        <v>472181939.63999999</v>
      </c>
      <c r="D27" s="205"/>
      <c r="E27" s="176"/>
      <c r="F27" s="176"/>
      <c r="G27" s="176"/>
      <c r="H27" s="176"/>
      <c r="I27" s="54"/>
      <c r="J27" s="54"/>
      <c r="K27" s="54">
        <f>K28+K29+K30</f>
        <v>338285473.44999999</v>
      </c>
      <c r="L27"/>
      <c r="M27"/>
    </row>
    <row r="28" spans="1:14" ht="15">
      <c r="A28" s="64" t="s">
        <v>20</v>
      </c>
      <c r="B28" s="64"/>
      <c r="C28" s="88">
        <v>0</v>
      </c>
      <c r="D28" s="205"/>
      <c r="E28" s="176"/>
      <c r="F28" s="176"/>
      <c r="G28" s="176"/>
      <c r="H28" s="176"/>
      <c r="I28" s="54"/>
      <c r="J28" s="54"/>
      <c r="K28" s="54">
        <v>0</v>
      </c>
      <c r="L28"/>
      <c r="M28"/>
    </row>
    <row r="29" spans="1:14" ht="15">
      <c r="A29" s="64" t="s">
        <v>21</v>
      </c>
      <c r="B29" s="64"/>
      <c r="C29" s="88">
        <f>472181939.64</f>
        <v>472181939.63999999</v>
      </c>
      <c r="D29" s="205"/>
      <c r="E29" s="176"/>
      <c r="F29" s="176"/>
      <c r="G29" s="176"/>
      <c r="H29" s="176"/>
      <c r="I29" s="54"/>
      <c r="J29" s="54"/>
      <c r="K29" s="54">
        <f>338285473.45</f>
        <v>338285473.44999999</v>
      </c>
      <c r="L29"/>
      <c r="M29"/>
    </row>
    <row r="30" spans="1:14" ht="15">
      <c r="A30" s="64" t="s">
        <v>22</v>
      </c>
      <c r="B30" s="64"/>
      <c r="C30" s="88">
        <v>0</v>
      </c>
      <c r="D30" s="205"/>
      <c r="E30" s="176"/>
      <c r="F30" s="176"/>
      <c r="G30" s="176"/>
      <c r="H30" s="176"/>
      <c r="I30" s="54"/>
      <c r="J30" s="54"/>
      <c r="K30" s="54">
        <v>0</v>
      </c>
      <c r="L30"/>
      <c r="M30"/>
    </row>
    <row r="31" spans="1:14" ht="15">
      <c r="A31" s="62" t="s">
        <v>23</v>
      </c>
      <c r="B31" s="62"/>
      <c r="C31" s="88">
        <v>0</v>
      </c>
      <c r="D31" s="205"/>
      <c r="E31" s="176"/>
      <c r="F31" s="176"/>
      <c r="G31" s="176"/>
      <c r="H31" s="176"/>
      <c r="I31" s="54"/>
      <c r="J31" s="54"/>
      <c r="K31" s="54">
        <v>0</v>
      </c>
      <c r="L31"/>
      <c r="M31"/>
    </row>
    <row r="32" spans="1:14">
      <c r="A32" s="62" t="s">
        <v>24</v>
      </c>
      <c r="B32" s="62"/>
      <c r="C32" s="88">
        <f>SUM(C33:C35)</f>
        <v>0</v>
      </c>
      <c r="D32" s="205"/>
      <c r="E32" s="176"/>
      <c r="F32" s="176"/>
      <c r="G32" s="176"/>
      <c r="H32" s="176"/>
      <c r="I32" s="54"/>
      <c r="J32" s="54"/>
      <c r="K32" s="54">
        <f>K33+K34+K35</f>
        <v>0</v>
      </c>
    </row>
    <row r="33" spans="1:19">
      <c r="A33" s="64" t="s">
        <v>25</v>
      </c>
      <c r="B33" s="64"/>
      <c r="C33" s="88">
        <v>0</v>
      </c>
      <c r="D33" s="205"/>
      <c r="E33" s="176"/>
      <c r="F33" s="176"/>
      <c r="G33" s="176"/>
      <c r="H33" s="176"/>
      <c r="I33" s="54"/>
      <c r="J33" s="54"/>
      <c r="K33" s="54">
        <v>0</v>
      </c>
    </row>
    <row r="34" spans="1:19" ht="15.75">
      <c r="A34" s="64" t="s">
        <v>26</v>
      </c>
      <c r="B34" s="65"/>
      <c r="C34" s="88">
        <v>0</v>
      </c>
      <c r="D34" s="205"/>
      <c r="E34" s="176"/>
      <c r="F34" s="176"/>
      <c r="G34" s="176"/>
      <c r="H34" s="176"/>
      <c r="I34" s="54"/>
      <c r="J34" s="54"/>
      <c r="K34" s="54">
        <v>0</v>
      </c>
    </row>
    <row r="35" spans="1:19" ht="14.25" customHeight="1">
      <c r="A35" s="64" t="s">
        <v>27</v>
      </c>
      <c r="B35" s="64"/>
      <c r="C35" s="88">
        <v>0</v>
      </c>
      <c r="D35" s="130"/>
      <c r="E35" s="123"/>
      <c r="F35" s="123"/>
      <c r="G35" s="123"/>
      <c r="H35" s="123"/>
      <c r="I35" s="54"/>
      <c r="J35" s="66"/>
      <c r="K35" s="66">
        <v>0</v>
      </c>
      <c r="L35" s="15"/>
    </row>
    <row r="36" spans="1:19">
      <c r="A36" s="50" t="s">
        <v>28</v>
      </c>
      <c r="B36" s="50"/>
      <c r="C36" s="88">
        <f>C37+C38+C39</f>
        <v>0</v>
      </c>
      <c r="D36" s="205"/>
      <c r="E36" s="176"/>
      <c r="F36" s="176"/>
      <c r="G36" s="176"/>
      <c r="H36" s="176"/>
      <c r="I36" s="54"/>
      <c r="J36" s="54"/>
      <c r="K36" s="54">
        <f>K37+K38+K39</f>
        <v>0</v>
      </c>
    </row>
    <row r="37" spans="1:19">
      <c r="A37" s="62" t="s">
        <v>29</v>
      </c>
      <c r="B37" s="62"/>
      <c r="C37" s="88">
        <v>0</v>
      </c>
      <c r="D37" s="205"/>
      <c r="E37" s="176"/>
      <c r="F37" s="176"/>
      <c r="G37" s="176"/>
      <c r="H37" s="176"/>
      <c r="I37" s="54"/>
      <c r="J37" s="54"/>
      <c r="K37" s="54">
        <v>0</v>
      </c>
    </row>
    <row r="38" spans="1:19">
      <c r="A38" s="62" t="s">
        <v>30</v>
      </c>
      <c r="B38" s="62"/>
      <c r="C38" s="88">
        <v>0</v>
      </c>
      <c r="D38" s="205"/>
      <c r="E38" s="176"/>
      <c r="F38" s="176"/>
      <c r="G38" s="176"/>
      <c r="H38" s="176"/>
      <c r="I38" s="54"/>
      <c r="J38" s="54"/>
      <c r="K38" s="54">
        <v>0</v>
      </c>
    </row>
    <row r="39" spans="1:19">
      <c r="A39" s="62" t="s">
        <v>31</v>
      </c>
      <c r="B39" s="62"/>
      <c r="C39" s="88">
        <v>0</v>
      </c>
      <c r="D39" s="205"/>
      <c r="E39" s="176"/>
      <c r="F39" s="176"/>
      <c r="G39" s="176"/>
      <c r="H39" s="176"/>
      <c r="I39" s="54"/>
      <c r="J39" s="54"/>
      <c r="K39" s="54">
        <v>0</v>
      </c>
      <c r="M39" s="11"/>
      <c r="N39" s="11"/>
    </row>
    <row r="40" spans="1:19">
      <c r="A40" s="137" t="s">
        <v>32</v>
      </c>
      <c r="B40" s="51"/>
      <c r="C40" s="89">
        <f>C18+C36-C34</f>
        <v>1165156057.6300001</v>
      </c>
      <c r="D40" s="204"/>
      <c r="E40" s="204"/>
      <c r="F40" s="204"/>
      <c r="G40" s="204"/>
      <c r="H40" s="204"/>
      <c r="I40" s="56"/>
      <c r="J40" s="56"/>
      <c r="K40" s="159">
        <f>K18+K36-K34</f>
        <v>873921500.49000001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5"/>
      <c r="B41" s="25"/>
      <c r="C41" s="25"/>
      <c r="D41" s="25"/>
      <c r="E41" s="25"/>
      <c r="F41" s="25"/>
      <c r="G41" s="25"/>
      <c r="H41" s="42"/>
      <c r="I41" s="25"/>
      <c r="J41" s="25"/>
      <c r="K41" s="23"/>
    </row>
    <row r="42" spans="1:19" ht="28.5" customHeight="1">
      <c r="A42" s="180" t="s">
        <v>33</v>
      </c>
      <c r="B42" s="181"/>
      <c r="C42" s="73" t="s">
        <v>34</v>
      </c>
      <c r="D42" s="218" t="s">
        <v>35</v>
      </c>
      <c r="E42" s="219"/>
      <c r="F42" s="219"/>
      <c r="G42" s="220"/>
      <c r="H42" s="218" t="s">
        <v>155</v>
      </c>
      <c r="I42" s="219"/>
      <c r="J42" s="220"/>
      <c r="K42" s="131" t="s">
        <v>37</v>
      </c>
      <c r="L42" s="17"/>
      <c r="M42" s="11"/>
      <c r="N42" s="18"/>
    </row>
    <row r="43" spans="1:19" ht="14.25" customHeight="1">
      <c r="A43" s="182"/>
      <c r="B43" s="183"/>
      <c r="C43" s="74" t="s">
        <v>38</v>
      </c>
      <c r="D43" s="173" t="str">
        <f>D16</f>
        <v>Jan a Out 2025</v>
      </c>
      <c r="E43" s="174"/>
      <c r="F43" s="174"/>
      <c r="G43" s="175"/>
      <c r="H43" s="173" t="str">
        <f>D16</f>
        <v>Jan a Out 2025</v>
      </c>
      <c r="I43" s="174"/>
      <c r="J43" s="175"/>
      <c r="K43" s="128" t="str">
        <f>D16</f>
        <v>Jan a Out 2025</v>
      </c>
      <c r="L43" s="10"/>
      <c r="M43" s="10"/>
      <c r="N43" s="10"/>
    </row>
    <row r="44" spans="1:19">
      <c r="A44" s="184"/>
      <c r="B44" s="185"/>
      <c r="C44" s="75" t="s">
        <v>39</v>
      </c>
      <c r="D44" s="189" t="s">
        <v>40</v>
      </c>
      <c r="E44" s="190"/>
      <c r="F44" s="190"/>
      <c r="G44" s="191"/>
      <c r="H44" s="189" t="s">
        <v>41</v>
      </c>
      <c r="I44" s="190"/>
      <c r="J44" s="191"/>
      <c r="K44" s="129" t="s">
        <v>42</v>
      </c>
      <c r="L44" s="1"/>
    </row>
    <row r="45" spans="1:19">
      <c r="A45" s="138" t="s">
        <v>43</v>
      </c>
      <c r="B45" s="114"/>
      <c r="C45" s="114">
        <f t="shared" ref="C45:K45" si="0">C46+C47</f>
        <v>21460252</v>
      </c>
      <c r="D45" s="186">
        <f t="shared" si="0"/>
        <v>16859730.030000001</v>
      </c>
      <c r="E45" s="187">
        <f t="shared" si="0"/>
        <v>0</v>
      </c>
      <c r="F45" s="187">
        <f t="shared" si="0"/>
        <v>0</v>
      </c>
      <c r="G45" s="188">
        <f t="shared" si="0"/>
        <v>0</v>
      </c>
      <c r="H45" s="186">
        <f t="shared" si="0"/>
        <v>16859730.030000001</v>
      </c>
      <c r="I45" s="187">
        <f t="shared" si="0"/>
        <v>0</v>
      </c>
      <c r="J45" s="188">
        <f t="shared" si="0"/>
        <v>0</v>
      </c>
      <c r="K45" s="96">
        <f t="shared" si="0"/>
        <v>15212314.629999999</v>
      </c>
      <c r="L45" s="16"/>
      <c r="M45" s="16"/>
    </row>
    <row r="46" spans="1:19">
      <c r="A46" s="139" t="s">
        <v>44</v>
      </c>
      <c r="B46" s="114"/>
      <c r="C46" s="140">
        <f>9441972</f>
        <v>9441972</v>
      </c>
      <c r="D46" s="186">
        <f>7669023.25</f>
        <v>7669023.25</v>
      </c>
      <c r="E46" s="187"/>
      <c r="F46" s="187"/>
      <c r="G46" s="188"/>
      <c r="H46" s="186">
        <f>7669023.25</f>
        <v>7669023.25</v>
      </c>
      <c r="I46" s="187"/>
      <c r="J46" s="188"/>
      <c r="K46" s="140">
        <f>7010694.06</f>
        <v>7010694.0599999996</v>
      </c>
      <c r="L46" s="16"/>
      <c r="M46" s="16"/>
    </row>
    <row r="47" spans="1:19">
      <c r="A47" s="139" t="s">
        <v>45</v>
      </c>
      <c r="B47" s="114"/>
      <c r="C47" s="140">
        <f>12018280</f>
        <v>12018280</v>
      </c>
      <c r="D47" s="186">
        <f>9190706.78</f>
        <v>9190706.7799999993</v>
      </c>
      <c r="E47" s="187"/>
      <c r="F47" s="187"/>
      <c r="G47" s="188"/>
      <c r="H47" s="186">
        <f>9190706.78</f>
        <v>9190706.7799999993</v>
      </c>
      <c r="I47" s="187"/>
      <c r="J47" s="232"/>
      <c r="K47" s="140">
        <f>8201620.57</f>
        <v>8201620.5700000003</v>
      </c>
      <c r="L47" s="16"/>
      <c r="M47" s="16"/>
    </row>
    <row r="48" spans="1:19">
      <c r="A48" s="141" t="s">
        <v>46</v>
      </c>
      <c r="B48" s="114"/>
      <c r="C48" s="114">
        <f t="shared" ref="C48:K48" si="1">C49+C50</f>
        <v>20000000</v>
      </c>
      <c r="D48" s="186">
        <f t="shared" si="1"/>
        <v>0</v>
      </c>
      <c r="E48" s="187">
        <f t="shared" si="1"/>
        <v>0</v>
      </c>
      <c r="F48" s="187">
        <f t="shared" si="1"/>
        <v>0</v>
      </c>
      <c r="G48" s="188">
        <f t="shared" si="1"/>
        <v>0</v>
      </c>
      <c r="H48" s="186">
        <f t="shared" si="1"/>
        <v>0</v>
      </c>
      <c r="I48" s="187">
        <f t="shared" si="1"/>
        <v>0</v>
      </c>
      <c r="J48" s="188">
        <f t="shared" si="1"/>
        <v>0</v>
      </c>
      <c r="K48" s="96">
        <f t="shared" si="1"/>
        <v>0</v>
      </c>
      <c r="L48" s="16"/>
      <c r="M48" s="16"/>
    </row>
    <row r="49" spans="1:17">
      <c r="A49" s="139" t="s">
        <v>25</v>
      </c>
      <c r="B49" s="114"/>
      <c r="C49" s="142">
        <v>0</v>
      </c>
      <c r="D49" s="186">
        <v>0</v>
      </c>
      <c r="E49" s="187"/>
      <c r="F49" s="187"/>
      <c r="G49" s="188"/>
      <c r="H49" s="186">
        <v>0</v>
      </c>
      <c r="I49" s="187"/>
      <c r="J49" s="188"/>
      <c r="K49" s="96">
        <v>0</v>
      </c>
      <c r="L49" s="16"/>
      <c r="M49" s="16"/>
    </row>
    <row r="50" spans="1:17">
      <c r="A50" s="139" t="s">
        <v>47</v>
      </c>
      <c r="B50" s="114"/>
      <c r="C50" s="142">
        <f>20000000</f>
        <v>20000000</v>
      </c>
      <c r="D50" s="196">
        <v>0</v>
      </c>
      <c r="E50" s="197"/>
      <c r="F50" s="197"/>
      <c r="G50" s="198"/>
      <c r="H50" s="196">
        <v>0</v>
      </c>
      <c r="I50" s="197"/>
      <c r="J50" s="198"/>
      <c r="K50" s="96">
        <v>0</v>
      </c>
      <c r="L50" s="16"/>
      <c r="M50" s="16"/>
    </row>
    <row r="51" spans="1:17">
      <c r="A51" s="143" t="s">
        <v>48</v>
      </c>
      <c r="B51" s="118"/>
      <c r="C51" s="144">
        <f>C45+C48</f>
        <v>41460252</v>
      </c>
      <c r="D51" s="164">
        <f t="shared" ref="D51:K51" si="2">D45+D48</f>
        <v>16859730.030000001</v>
      </c>
      <c r="E51" s="165">
        <f t="shared" si="2"/>
        <v>0</v>
      </c>
      <c r="F51" s="165">
        <f t="shared" si="2"/>
        <v>0</v>
      </c>
      <c r="G51" s="166">
        <f t="shared" si="2"/>
        <v>0</v>
      </c>
      <c r="H51" s="164">
        <f t="shared" si="2"/>
        <v>16859730.030000001</v>
      </c>
      <c r="I51" s="165">
        <f t="shared" si="2"/>
        <v>0</v>
      </c>
      <c r="J51" s="166">
        <f t="shared" si="2"/>
        <v>0</v>
      </c>
      <c r="K51" s="145">
        <f t="shared" si="2"/>
        <v>15212314.629999999</v>
      </c>
      <c r="L51" s="16"/>
      <c r="M51" s="11"/>
      <c r="N51" s="11"/>
      <c r="O51" s="11"/>
      <c r="P51" s="11"/>
      <c r="Q51" s="11"/>
    </row>
    <row r="52" spans="1:17" ht="6" customHeight="1">
      <c r="A52" s="206"/>
      <c r="B52" s="207"/>
      <c r="C52" s="208"/>
      <c r="D52" s="208"/>
      <c r="E52" s="208"/>
      <c r="F52" s="208"/>
      <c r="G52" s="208"/>
      <c r="H52" s="208"/>
      <c r="I52" s="208"/>
      <c r="J52" s="208"/>
      <c r="K52" s="208"/>
      <c r="L52" s="16"/>
      <c r="M52" s="11"/>
      <c r="N52" s="11"/>
      <c r="O52" s="11"/>
      <c r="P52" s="11"/>
      <c r="Q52" s="11"/>
    </row>
    <row r="53" spans="1:17" ht="15.75">
      <c r="A53" s="143" t="s">
        <v>49</v>
      </c>
      <c r="B53" s="115"/>
      <c r="C53" s="146">
        <f>C40-C51</f>
        <v>1123695805.6300001</v>
      </c>
      <c r="D53" s="177">
        <f>K40-D51</f>
        <v>857061770.46000004</v>
      </c>
      <c r="E53" s="178"/>
      <c r="F53" s="178"/>
      <c r="G53" s="179"/>
      <c r="H53" s="177">
        <f>K40-H51</f>
        <v>857061770.46000004</v>
      </c>
      <c r="I53" s="178"/>
      <c r="J53" s="179"/>
      <c r="K53" s="146">
        <f>K40-K51</f>
        <v>858709185.86000001</v>
      </c>
      <c r="L53" s="15"/>
      <c r="M53" s="11"/>
      <c r="N53" s="11"/>
      <c r="O53" s="11"/>
      <c r="P53" s="11"/>
      <c r="Q53" s="11"/>
    </row>
    <row r="54" spans="1:17" ht="6" customHeight="1">
      <c r="A54" s="116"/>
      <c r="B54" s="117"/>
      <c r="C54" s="26"/>
      <c r="D54" s="27"/>
      <c r="E54" s="27"/>
      <c r="F54" s="27"/>
      <c r="G54" s="27"/>
      <c r="H54" s="27"/>
      <c r="I54" s="27"/>
      <c r="J54" s="27"/>
      <c r="K54" s="28"/>
      <c r="L54" s="15"/>
      <c r="M54" s="15"/>
      <c r="N54" s="15"/>
    </row>
    <row r="55" spans="1:17">
      <c r="A55" s="251" t="s">
        <v>50</v>
      </c>
      <c r="B55" s="252"/>
      <c r="C55" s="249" t="s">
        <v>51</v>
      </c>
      <c r="D55" s="199"/>
      <c r="E55" s="199"/>
      <c r="F55" s="199"/>
      <c r="G55" s="199"/>
      <c r="H55" s="199"/>
      <c r="I55" s="199"/>
      <c r="J55" s="199"/>
      <c r="K55" s="199"/>
      <c r="L55" s="15"/>
      <c r="M55" s="15"/>
      <c r="N55" s="15"/>
    </row>
    <row r="56" spans="1:17" ht="15" customHeight="1">
      <c r="A56" s="120" t="s">
        <v>52</v>
      </c>
      <c r="B56" s="120"/>
      <c r="C56" s="78"/>
      <c r="D56" s="77"/>
      <c r="E56" s="77"/>
      <c r="F56" s="77"/>
      <c r="G56" s="77"/>
      <c r="H56" s="77"/>
      <c r="I56" s="77"/>
      <c r="J56" s="77"/>
      <c r="K56" s="77">
        <v>0</v>
      </c>
      <c r="L56" s="15"/>
      <c r="M56" s="15"/>
      <c r="N56" s="15"/>
    </row>
    <row r="57" spans="1:17" ht="6" customHeight="1">
      <c r="A57" s="116"/>
      <c r="B57" s="117"/>
      <c r="C57" s="26"/>
      <c r="D57" s="27"/>
      <c r="E57" s="27"/>
      <c r="F57" s="27"/>
      <c r="G57" s="27"/>
      <c r="H57" s="27"/>
      <c r="I57" s="27"/>
      <c r="J57" s="27"/>
      <c r="K57" s="28"/>
      <c r="L57" s="15"/>
      <c r="M57" s="15"/>
      <c r="N57" s="15"/>
    </row>
    <row r="58" spans="1:17">
      <c r="A58" s="251" t="s">
        <v>53</v>
      </c>
      <c r="B58" s="251"/>
      <c r="C58" s="250" t="s">
        <v>51</v>
      </c>
      <c r="D58" s="199"/>
      <c r="E58" s="199"/>
      <c r="F58" s="199"/>
      <c r="G58" s="199"/>
      <c r="H58" s="199"/>
      <c r="I58" s="199"/>
      <c r="J58" s="199"/>
      <c r="K58" s="199"/>
      <c r="L58" s="15"/>
      <c r="M58" s="15"/>
      <c r="N58" s="15"/>
    </row>
    <row r="59" spans="1:17" ht="15" customHeight="1">
      <c r="A59" s="120" t="s">
        <v>52</v>
      </c>
      <c r="B59" s="120"/>
      <c r="C59" s="76"/>
      <c r="D59" s="77"/>
      <c r="E59" s="77"/>
      <c r="F59" s="77"/>
      <c r="G59" s="77"/>
      <c r="H59" s="77"/>
      <c r="I59" s="77"/>
      <c r="J59" s="77"/>
      <c r="K59" s="160">
        <f>777506156</f>
        <v>777506156</v>
      </c>
      <c r="L59" s="15"/>
      <c r="M59" s="15"/>
      <c r="N59" s="15"/>
    </row>
    <row r="60" spans="1:17" ht="6" customHeight="1">
      <c r="A60" s="25"/>
      <c r="B60" s="29"/>
      <c r="C60" s="29"/>
      <c r="D60" s="29"/>
      <c r="E60" s="29"/>
      <c r="F60" s="29"/>
      <c r="G60" s="29"/>
      <c r="H60" s="29"/>
      <c r="I60" s="29"/>
      <c r="J60" s="29"/>
      <c r="K60" s="23"/>
    </row>
    <row r="61" spans="1:17" ht="14.25" customHeight="1">
      <c r="A61" s="219" t="s">
        <v>54</v>
      </c>
      <c r="B61" s="219"/>
      <c r="C61" s="218" t="s">
        <v>55</v>
      </c>
      <c r="D61" s="219"/>
      <c r="E61" s="219"/>
      <c r="F61" s="219"/>
      <c r="G61" s="219"/>
      <c r="H61" s="219"/>
      <c r="I61" s="219"/>
      <c r="J61" s="219"/>
      <c r="K61" s="219"/>
    </row>
    <row r="62" spans="1:17">
      <c r="A62" s="190"/>
      <c r="B62" s="190"/>
      <c r="C62" s="173"/>
      <c r="D62" s="190"/>
      <c r="E62" s="190"/>
      <c r="F62" s="190"/>
      <c r="G62" s="190"/>
      <c r="H62" s="190"/>
      <c r="I62" s="190"/>
      <c r="J62" s="190"/>
      <c r="K62" s="190"/>
      <c r="L62" s="11"/>
    </row>
    <row r="63" spans="1:17">
      <c r="A63" s="147" t="s">
        <v>56</v>
      </c>
      <c r="B63" s="38"/>
      <c r="C63" s="37"/>
      <c r="D63" s="30"/>
      <c r="E63" s="30"/>
      <c r="F63" s="30"/>
      <c r="G63" s="30"/>
      <c r="H63" s="30"/>
      <c r="I63" s="30"/>
      <c r="J63" s="30"/>
      <c r="K63" s="31">
        <v>0</v>
      </c>
      <c r="L63" s="18"/>
    </row>
    <row r="64" spans="1:17">
      <c r="A64" s="148" t="s">
        <v>57</v>
      </c>
      <c r="B64" s="45"/>
      <c r="C64" s="79"/>
      <c r="D64" s="32"/>
      <c r="E64" s="32"/>
      <c r="F64" s="32"/>
      <c r="G64" s="32"/>
      <c r="H64" s="32"/>
      <c r="I64" s="32"/>
      <c r="J64" s="32"/>
      <c r="K64" s="33">
        <v>0</v>
      </c>
    </row>
    <row r="65" spans="1:26">
      <c r="A65" s="148" t="s">
        <v>58</v>
      </c>
      <c r="B65" s="45"/>
      <c r="C65" s="79"/>
      <c r="D65" s="32"/>
      <c r="E65" s="32"/>
      <c r="F65" s="32"/>
      <c r="G65" s="32"/>
      <c r="H65" s="32"/>
      <c r="I65" s="32"/>
      <c r="J65" s="32"/>
      <c r="K65" s="33">
        <v>0</v>
      </c>
    </row>
    <row r="66" spans="1:26">
      <c r="A66" s="41" t="s">
        <v>59</v>
      </c>
      <c r="B66" s="41"/>
      <c r="C66" s="40"/>
      <c r="D66" s="34"/>
      <c r="E66" s="34"/>
      <c r="F66" s="34"/>
      <c r="G66" s="34"/>
      <c r="H66" s="34"/>
      <c r="I66" s="34"/>
      <c r="J66" s="34"/>
      <c r="K66" s="94">
        <v>5403.76</v>
      </c>
      <c r="L66" s="255"/>
      <c r="M66" s="255"/>
      <c r="N66" s="255"/>
      <c r="O66" s="255"/>
      <c r="P66" s="255"/>
      <c r="Q66" s="255"/>
      <c r="R66" s="256"/>
      <c r="S66" s="256"/>
      <c r="T66" s="257"/>
      <c r="U66" s="257"/>
      <c r="V66" s="257"/>
      <c r="W66" s="257"/>
      <c r="X66" s="257"/>
      <c r="Y66" s="257"/>
      <c r="Z66" s="257"/>
    </row>
    <row r="67" spans="1:26" ht="6" customHeight="1">
      <c r="A67" s="25"/>
      <c r="B67" s="29"/>
      <c r="C67" s="29"/>
      <c r="D67" s="29"/>
      <c r="E67" s="29"/>
      <c r="F67" s="29"/>
      <c r="G67" s="29"/>
      <c r="H67" s="29"/>
      <c r="I67" s="29"/>
      <c r="J67" s="29"/>
      <c r="K67" s="23"/>
    </row>
    <row r="68" spans="1:26" ht="15" customHeight="1">
      <c r="A68" s="192" t="s">
        <v>60</v>
      </c>
      <c r="B68" s="193"/>
      <c r="C68" s="233" t="s">
        <v>61</v>
      </c>
      <c r="D68" s="234"/>
      <c r="E68" s="234"/>
      <c r="F68" s="234"/>
      <c r="G68" s="234"/>
      <c r="H68" s="234"/>
      <c r="I68" s="234"/>
      <c r="J68" s="234"/>
      <c r="K68" s="234"/>
    </row>
    <row r="69" spans="1:26" ht="14.25" customHeight="1">
      <c r="A69" s="194"/>
      <c r="B69" s="195"/>
      <c r="C69" s="235"/>
      <c r="D69" s="236"/>
      <c r="E69" s="236"/>
      <c r="F69" s="236"/>
      <c r="G69" s="236"/>
      <c r="H69" s="236"/>
      <c r="I69" s="236"/>
      <c r="J69" s="236"/>
      <c r="K69" s="236"/>
      <c r="L69" s="14"/>
    </row>
    <row r="70" spans="1:26">
      <c r="A70" s="150" t="s">
        <v>62</v>
      </c>
      <c r="B70" s="133"/>
      <c r="C70" s="59"/>
      <c r="D70" s="60"/>
      <c r="E70" s="60"/>
      <c r="F70" s="60"/>
      <c r="G70" s="80"/>
      <c r="H70" s="80"/>
      <c r="I70" s="80"/>
      <c r="J70" s="80"/>
      <c r="K70" s="80">
        <f>97673506.84</f>
        <v>97673506.840000004</v>
      </c>
      <c r="L70" s="16"/>
      <c r="M70" s="16"/>
      <c r="N70" s="16"/>
      <c r="O70" s="16"/>
    </row>
    <row r="71" spans="1:26">
      <c r="A71" s="150" t="s">
        <v>63</v>
      </c>
      <c r="B71" s="72"/>
      <c r="C71" s="53"/>
      <c r="D71" s="54"/>
      <c r="E71" s="54"/>
      <c r="F71" s="54"/>
      <c r="G71" s="66"/>
      <c r="H71" s="66"/>
      <c r="I71" s="66"/>
      <c r="J71" s="66"/>
      <c r="K71" s="66">
        <f>5309310554.31</f>
        <v>5309310554.3100004</v>
      </c>
      <c r="L71" s="172"/>
      <c r="M71" s="172"/>
      <c r="N71" s="16"/>
      <c r="O71" s="16"/>
    </row>
    <row r="72" spans="1:26">
      <c r="A72" s="151" t="s">
        <v>64</v>
      </c>
      <c r="B72" s="126"/>
      <c r="C72" s="124"/>
      <c r="D72" s="125"/>
      <c r="E72" s="125"/>
      <c r="F72" s="125"/>
      <c r="G72" s="81"/>
      <c r="H72" s="81"/>
      <c r="I72" s="81"/>
      <c r="J72" s="81"/>
      <c r="K72" s="81">
        <f>70707676.14</f>
        <v>70707676.140000001</v>
      </c>
      <c r="L72" s="258"/>
      <c r="M72" s="259"/>
      <c r="N72" s="16"/>
      <c r="O72" s="16"/>
    </row>
    <row r="73" spans="1:26" ht="6" customHeight="1">
      <c r="A73" s="134"/>
      <c r="B73" s="25"/>
      <c r="C73" s="25"/>
      <c r="D73" s="176"/>
      <c r="E73" s="176"/>
      <c r="F73" s="176"/>
      <c r="G73" s="25"/>
      <c r="H73" s="25"/>
      <c r="I73" s="167"/>
      <c r="J73" s="167"/>
      <c r="K73" s="167"/>
    </row>
    <row r="74" spans="1:26" s="13" customFormat="1">
      <c r="A74" s="199" t="s">
        <v>65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2"/>
      <c r="M74" s="2"/>
      <c r="N74" s="2"/>
      <c r="O74" s="2"/>
      <c r="P74" s="2"/>
      <c r="Q74" s="2"/>
      <c r="R74" s="2"/>
      <c r="S74" s="2"/>
    </row>
    <row r="75" spans="1:26" ht="14.25" customHeight="1">
      <c r="A75" s="209" t="s">
        <v>66</v>
      </c>
      <c r="B75" s="210"/>
      <c r="C75" s="214" t="s">
        <v>8</v>
      </c>
      <c r="D75" s="168" t="s">
        <v>9</v>
      </c>
      <c r="E75" s="169"/>
      <c r="F75" s="169"/>
      <c r="G75" s="169"/>
      <c r="H75" s="169"/>
      <c r="I75" s="169"/>
      <c r="J75" s="169"/>
      <c r="K75" s="169"/>
    </row>
    <row r="76" spans="1:26">
      <c r="A76" s="211"/>
      <c r="B76" s="212"/>
      <c r="C76" s="215"/>
      <c r="D76" s="216" t="str">
        <f>D16</f>
        <v>Jan a Out 2025</v>
      </c>
      <c r="E76" s="217"/>
      <c r="F76" s="217"/>
      <c r="G76" s="217"/>
      <c r="H76" s="217"/>
      <c r="I76" s="217"/>
      <c r="J76" s="217"/>
      <c r="K76" s="217"/>
      <c r="L76" s="14"/>
    </row>
    <row r="77" spans="1:26">
      <c r="A77" s="171"/>
      <c r="B77" s="213"/>
      <c r="C77" s="43" t="s">
        <v>10</v>
      </c>
      <c r="D77" s="170" t="s">
        <v>11</v>
      </c>
      <c r="E77" s="171"/>
      <c r="F77" s="171"/>
      <c r="G77" s="171"/>
      <c r="H77" s="171"/>
      <c r="I77" s="171"/>
      <c r="J77" s="171"/>
      <c r="K77" s="171"/>
    </row>
    <row r="78" spans="1:26">
      <c r="A78" s="152" t="s">
        <v>67</v>
      </c>
      <c r="B78" s="103"/>
      <c r="C78" s="121">
        <f>C79+C83+C87+C91+C92</f>
        <v>6946227249.9700012</v>
      </c>
      <c r="D78" s="103"/>
      <c r="E78" s="103"/>
      <c r="F78" s="103"/>
      <c r="G78" s="103"/>
      <c r="H78" s="103"/>
      <c r="I78" s="103"/>
      <c r="J78" s="103"/>
      <c r="K78" s="122">
        <f>K79+K83+K87+K91+K92</f>
        <v>5720305104.2799997</v>
      </c>
    </row>
    <row r="79" spans="1:26">
      <c r="A79" s="62" t="s">
        <v>13</v>
      </c>
      <c r="B79" s="62"/>
      <c r="C79" s="112">
        <f>C80+C81+C82</f>
        <v>2526633774.5700002</v>
      </c>
      <c r="D79" s="176"/>
      <c r="E79" s="176"/>
      <c r="F79" s="176"/>
      <c r="G79" s="176"/>
      <c r="H79" s="176"/>
      <c r="I79" s="54"/>
      <c r="J79" s="54"/>
      <c r="K79" s="54">
        <f>K80+K81+K82</f>
        <v>1890421990.3600001</v>
      </c>
    </row>
    <row r="80" spans="1:26" ht="15" customHeight="1">
      <c r="A80" s="64" t="s">
        <v>14</v>
      </c>
      <c r="B80" s="63"/>
      <c r="C80" s="112">
        <f>1543413281.22</f>
        <v>1543413281.22</v>
      </c>
      <c r="D80" s="176"/>
      <c r="E80" s="176"/>
      <c r="F80" s="176"/>
      <c r="G80" s="176"/>
      <c r="H80" s="176"/>
      <c r="I80" s="66"/>
      <c r="J80" s="66"/>
      <c r="K80" s="66">
        <f>1134862430.41</f>
        <v>1134862430.4100001</v>
      </c>
      <c r="L80" s="52"/>
      <c r="M80" s="52"/>
      <c r="N80" s="52"/>
      <c r="O80" s="52"/>
      <c r="P80" s="52"/>
      <c r="Q80" s="52"/>
      <c r="R80" s="52"/>
    </row>
    <row r="81" spans="1:18" ht="15" customHeight="1">
      <c r="A81" s="64" t="s">
        <v>15</v>
      </c>
      <c r="B81" s="63"/>
      <c r="C81" s="112">
        <f>748381779.21</f>
        <v>748381779.21000004</v>
      </c>
      <c r="D81" s="176"/>
      <c r="E81" s="176"/>
      <c r="F81" s="176"/>
      <c r="G81" s="176"/>
      <c r="H81" s="176"/>
      <c r="I81" s="54"/>
      <c r="J81" s="54"/>
      <c r="K81" s="54">
        <f>586720281.05</f>
        <v>586720281.04999995</v>
      </c>
    </row>
    <row r="82" spans="1:18" ht="15" customHeight="1">
      <c r="A82" s="64" t="s">
        <v>16</v>
      </c>
      <c r="B82" s="63"/>
      <c r="C82" s="112">
        <f>234838714.14</f>
        <v>234838714.13999999</v>
      </c>
      <c r="D82" s="123"/>
      <c r="E82" s="123"/>
      <c r="F82" s="123"/>
      <c r="G82" s="123"/>
      <c r="H82" s="123"/>
      <c r="I82" s="132"/>
      <c r="J82" s="132"/>
      <c r="K82" s="132">
        <f>168839278.9</f>
        <v>168839278.90000001</v>
      </c>
    </row>
    <row r="83" spans="1:18">
      <c r="A83" s="62" t="s">
        <v>17</v>
      </c>
      <c r="B83" s="50"/>
      <c r="C83" s="112">
        <f>C84+C85+C86</f>
        <v>3200112742.6999998</v>
      </c>
      <c r="D83" s="176"/>
      <c r="E83" s="176"/>
      <c r="F83" s="176"/>
      <c r="G83" s="176"/>
      <c r="H83" s="176"/>
      <c r="I83" s="54"/>
      <c r="J83" s="54"/>
      <c r="K83" s="54">
        <f>K84+K85+K86</f>
        <v>2474716807.71</v>
      </c>
    </row>
    <row r="84" spans="1:18">
      <c r="A84" s="64" t="s">
        <v>18</v>
      </c>
      <c r="B84" s="63"/>
      <c r="C84" s="112">
        <f>3200112742.7</f>
        <v>3200112742.6999998</v>
      </c>
      <c r="D84" s="176"/>
      <c r="E84" s="176"/>
      <c r="F84" s="176"/>
      <c r="G84" s="176"/>
      <c r="H84" s="176"/>
      <c r="I84" s="54"/>
      <c r="J84" s="54"/>
      <c r="K84" s="54">
        <f>2474716807.71</f>
        <v>2474716807.71</v>
      </c>
    </row>
    <row r="85" spans="1:18">
      <c r="A85" s="64" t="s">
        <v>15</v>
      </c>
      <c r="B85" s="63"/>
      <c r="C85" s="112">
        <v>0</v>
      </c>
      <c r="D85" s="176"/>
      <c r="E85" s="176"/>
      <c r="F85" s="176"/>
      <c r="G85" s="176"/>
      <c r="H85" s="176"/>
      <c r="I85" s="54"/>
      <c r="J85" s="54"/>
      <c r="K85" s="54">
        <v>0</v>
      </c>
    </row>
    <row r="86" spans="1:18">
      <c r="A86" s="64" t="s">
        <v>16</v>
      </c>
      <c r="B86" s="63"/>
      <c r="C86" s="112">
        <v>0</v>
      </c>
      <c r="D86" s="176"/>
      <c r="E86" s="176"/>
      <c r="F86" s="176"/>
      <c r="G86" s="176"/>
      <c r="H86" s="176"/>
      <c r="I86" s="54"/>
      <c r="J86" s="54"/>
      <c r="K86" s="54">
        <v>0</v>
      </c>
    </row>
    <row r="87" spans="1:18">
      <c r="A87" s="62" t="s">
        <v>19</v>
      </c>
      <c r="B87" s="62"/>
      <c r="C87" s="112">
        <f>C88+C89+C90</f>
        <v>425790530.96999997</v>
      </c>
      <c r="D87" s="176"/>
      <c r="E87" s="176"/>
      <c r="F87" s="176"/>
      <c r="G87" s="176"/>
      <c r="H87" s="176"/>
      <c r="I87" s="54"/>
      <c r="J87" s="54"/>
      <c r="K87" s="54">
        <f>K88+K89+K90</f>
        <v>596801207.07000005</v>
      </c>
      <c r="L87" s="163"/>
      <c r="M87" s="163"/>
      <c r="N87" s="163"/>
    </row>
    <row r="88" spans="1:18">
      <c r="A88" s="64" t="s">
        <v>20</v>
      </c>
      <c r="B88" s="64"/>
      <c r="C88" s="112">
        <f>9031482.82</f>
        <v>9031482.8200000003</v>
      </c>
      <c r="D88" s="176"/>
      <c r="E88" s="176"/>
      <c r="F88" s="176"/>
      <c r="G88" s="176"/>
      <c r="H88" s="176"/>
      <c r="I88" s="54"/>
      <c r="J88" s="54"/>
      <c r="K88" s="54">
        <f>7960603.47</f>
        <v>7960603.4699999997</v>
      </c>
      <c r="L88" s="163"/>
      <c r="M88" s="163"/>
      <c r="N88" s="163"/>
    </row>
    <row r="89" spans="1:18">
      <c r="A89" s="64" t="s">
        <v>21</v>
      </c>
      <c r="B89" s="64"/>
      <c r="C89" s="112">
        <f>416759048.15</f>
        <v>416759048.14999998</v>
      </c>
      <c r="D89" s="176"/>
      <c r="E89" s="176"/>
      <c r="F89" s="176"/>
      <c r="G89" s="176"/>
      <c r="H89" s="176"/>
      <c r="I89" s="54"/>
      <c r="J89" s="54"/>
      <c r="K89" s="54">
        <f>588840603.6</f>
        <v>588840603.60000002</v>
      </c>
      <c r="L89" s="163"/>
      <c r="M89" s="163"/>
      <c r="N89" s="163"/>
    </row>
    <row r="90" spans="1:18">
      <c r="A90" s="64" t="s">
        <v>22</v>
      </c>
      <c r="B90" s="64"/>
      <c r="C90" s="112">
        <v>0</v>
      </c>
      <c r="D90" s="176"/>
      <c r="E90" s="176"/>
      <c r="F90" s="176"/>
      <c r="G90" s="176"/>
      <c r="H90" s="176"/>
      <c r="I90" s="54"/>
      <c r="J90" s="54"/>
      <c r="K90" s="54">
        <v>0</v>
      </c>
      <c r="M90" s="256"/>
      <c r="N90" s="256"/>
      <c r="O90" s="256"/>
      <c r="P90" s="256"/>
      <c r="Q90" s="256"/>
      <c r="R90" s="256"/>
    </row>
    <row r="91" spans="1:18">
      <c r="A91" s="62" t="s">
        <v>23</v>
      </c>
      <c r="B91" s="62"/>
      <c r="C91" s="112">
        <v>0</v>
      </c>
      <c r="D91" s="176"/>
      <c r="E91" s="176"/>
      <c r="F91" s="176"/>
      <c r="G91" s="176"/>
      <c r="H91" s="176"/>
      <c r="I91" s="54"/>
      <c r="J91" s="54"/>
      <c r="K91" s="54">
        <v>0</v>
      </c>
      <c r="M91" s="256"/>
      <c r="N91" s="256"/>
      <c r="O91" s="256"/>
      <c r="P91" s="256"/>
      <c r="Q91" s="256"/>
      <c r="R91" s="256"/>
    </row>
    <row r="92" spans="1:18">
      <c r="A92" s="62" t="s">
        <v>24</v>
      </c>
      <c r="B92" s="62"/>
      <c r="C92" s="112">
        <f>SUM(C93:C94)</f>
        <v>793690201.73000002</v>
      </c>
      <c r="D92" s="176"/>
      <c r="E92" s="176"/>
      <c r="F92" s="176"/>
      <c r="G92" s="176"/>
      <c r="H92" s="176"/>
      <c r="I92" s="54"/>
      <c r="J92" s="54"/>
      <c r="K92" s="54">
        <f>K93+K94</f>
        <v>758365099.13999999</v>
      </c>
      <c r="M92" s="256"/>
      <c r="N92" s="256"/>
      <c r="O92" s="256"/>
      <c r="P92" s="256"/>
      <c r="Q92" s="256"/>
      <c r="R92" s="256"/>
    </row>
    <row r="93" spans="1:18">
      <c r="A93" s="64" t="s">
        <v>25</v>
      </c>
      <c r="B93" s="64"/>
      <c r="C93" s="112">
        <f>176657435.47</f>
        <v>176657435.47</v>
      </c>
      <c r="D93" s="176"/>
      <c r="E93" s="176"/>
      <c r="F93" s="176"/>
      <c r="G93" s="176"/>
      <c r="H93" s="176"/>
      <c r="I93" s="54"/>
      <c r="J93" s="54"/>
      <c r="K93" s="54">
        <f>154904035.6</f>
        <v>154904035.59999999</v>
      </c>
      <c r="M93" s="256"/>
      <c r="N93" s="256"/>
      <c r="O93" s="256"/>
      <c r="P93" s="256"/>
      <c r="Q93" s="256"/>
      <c r="R93" s="256"/>
    </row>
    <row r="94" spans="1:18">
      <c r="A94" s="64" t="s">
        <v>27</v>
      </c>
      <c r="B94" s="64"/>
      <c r="C94" s="112">
        <f>617032766.26</f>
        <v>617032766.25999999</v>
      </c>
      <c r="D94" s="123"/>
      <c r="E94" s="123"/>
      <c r="F94" s="123"/>
      <c r="G94" s="123"/>
      <c r="H94" s="123"/>
      <c r="I94" s="54"/>
      <c r="J94" s="66"/>
      <c r="K94" s="66">
        <f>603461063.54</f>
        <v>603461063.53999996</v>
      </c>
      <c r="M94" s="260"/>
      <c r="N94" s="260"/>
      <c r="O94" s="256"/>
      <c r="P94" s="256"/>
      <c r="Q94" s="256"/>
      <c r="R94" s="256"/>
    </row>
    <row r="95" spans="1:18">
      <c r="A95" s="50" t="s">
        <v>68</v>
      </c>
      <c r="B95" s="50"/>
      <c r="C95" s="112">
        <f>C96+C97+C98</f>
        <v>0</v>
      </c>
      <c r="D95" s="176"/>
      <c r="E95" s="176"/>
      <c r="F95" s="176"/>
      <c r="G95" s="176"/>
      <c r="H95" s="176"/>
      <c r="I95" s="54"/>
      <c r="J95" s="54"/>
      <c r="K95" s="54">
        <f>K96+K97+K98</f>
        <v>0</v>
      </c>
      <c r="M95" s="260"/>
      <c r="N95" s="260"/>
      <c r="O95" s="256"/>
      <c r="P95" s="256"/>
      <c r="Q95" s="256"/>
      <c r="R95" s="256"/>
    </row>
    <row r="96" spans="1:18">
      <c r="A96" s="62" t="s">
        <v>29</v>
      </c>
      <c r="B96" s="62"/>
      <c r="C96" s="112">
        <v>0</v>
      </c>
      <c r="D96" s="176"/>
      <c r="E96" s="176"/>
      <c r="F96" s="176"/>
      <c r="G96" s="176"/>
      <c r="H96" s="176"/>
      <c r="I96" s="54"/>
      <c r="J96" s="54"/>
      <c r="K96" s="54">
        <v>0</v>
      </c>
      <c r="M96" s="256"/>
      <c r="N96" s="256"/>
      <c r="O96" s="256"/>
      <c r="P96" s="256"/>
      <c r="Q96" s="256"/>
      <c r="R96" s="256"/>
    </row>
    <row r="97" spans="1:18">
      <c r="A97" s="62" t="s">
        <v>30</v>
      </c>
      <c r="B97" s="62"/>
      <c r="C97" s="112">
        <v>0</v>
      </c>
      <c r="D97" s="176"/>
      <c r="E97" s="176"/>
      <c r="F97" s="176"/>
      <c r="G97" s="176"/>
      <c r="H97" s="176"/>
      <c r="I97" s="54"/>
      <c r="J97" s="54"/>
      <c r="K97" s="54">
        <v>0</v>
      </c>
      <c r="M97" s="256"/>
      <c r="N97" s="256"/>
      <c r="O97" s="256"/>
      <c r="P97" s="256"/>
      <c r="Q97" s="256"/>
      <c r="R97" s="256"/>
    </row>
    <row r="98" spans="1:18">
      <c r="A98" s="62" t="s">
        <v>31</v>
      </c>
      <c r="B98" s="62"/>
      <c r="C98" s="113">
        <v>0</v>
      </c>
      <c r="D98" s="176"/>
      <c r="E98" s="176"/>
      <c r="F98" s="176"/>
      <c r="G98" s="176"/>
      <c r="H98" s="176"/>
      <c r="I98" s="54"/>
      <c r="J98" s="54"/>
      <c r="K98" s="54">
        <v>0</v>
      </c>
      <c r="M98" s="256"/>
      <c r="N98" s="256"/>
      <c r="O98" s="256"/>
      <c r="P98" s="256"/>
      <c r="Q98" s="256"/>
      <c r="R98" s="256"/>
    </row>
    <row r="99" spans="1:18">
      <c r="A99" s="137" t="s">
        <v>69</v>
      </c>
      <c r="B99" s="51"/>
      <c r="C99" s="89">
        <f>C79+C83+C87+C91+C92+C95</f>
        <v>6946227249.9700012</v>
      </c>
      <c r="D99" s="204"/>
      <c r="E99" s="204"/>
      <c r="F99" s="204"/>
      <c r="G99" s="204"/>
      <c r="H99" s="204"/>
      <c r="I99" s="56"/>
      <c r="J99" s="56"/>
      <c r="K99" s="159">
        <f>K79+K83+K87+K91+K92+K95</f>
        <v>5720305104.2799997</v>
      </c>
      <c r="M99" s="260"/>
      <c r="N99" s="260"/>
      <c r="O99" s="256"/>
      <c r="P99" s="256"/>
      <c r="Q99" s="256"/>
      <c r="R99" s="256"/>
    </row>
    <row r="100" spans="1:18" ht="6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3"/>
      <c r="M100" s="260"/>
      <c r="N100" s="260"/>
      <c r="O100" s="256"/>
      <c r="P100" s="256"/>
      <c r="Q100" s="256"/>
      <c r="R100" s="256"/>
    </row>
    <row r="101" spans="1:18" ht="28.5" customHeight="1">
      <c r="A101" s="180" t="s">
        <v>70</v>
      </c>
      <c r="B101" s="181"/>
      <c r="C101" s="73" t="s">
        <v>34</v>
      </c>
      <c r="D101" s="218" t="s">
        <v>35</v>
      </c>
      <c r="E101" s="219"/>
      <c r="F101" s="219"/>
      <c r="G101" s="220"/>
      <c r="H101" s="218" t="s">
        <v>36</v>
      </c>
      <c r="I101" s="219"/>
      <c r="J101" s="220"/>
      <c r="K101" s="131" t="s">
        <v>37</v>
      </c>
      <c r="L101" s="16"/>
      <c r="M101" s="260"/>
      <c r="N101" s="260"/>
      <c r="O101" s="261"/>
      <c r="P101" s="256"/>
      <c r="Q101" s="256"/>
      <c r="R101" s="256"/>
    </row>
    <row r="102" spans="1:18">
      <c r="A102" s="182"/>
      <c r="B102" s="183"/>
      <c r="C102" s="74" t="s">
        <v>38</v>
      </c>
      <c r="D102" s="173" t="str">
        <f>D43</f>
        <v>Jan a Out 2025</v>
      </c>
      <c r="E102" s="174"/>
      <c r="F102" s="174"/>
      <c r="G102" s="175"/>
      <c r="H102" s="173" t="str">
        <f>H43</f>
        <v>Jan a Out 2025</v>
      </c>
      <c r="I102" s="174"/>
      <c r="J102" s="175"/>
      <c r="K102" s="128" t="str">
        <f>K43</f>
        <v>Jan a Out 2025</v>
      </c>
      <c r="L102" s="19"/>
      <c r="M102" s="262"/>
      <c r="N102" s="262"/>
      <c r="O102" s="263"/>
      <c r="P102" s="256"/>
      <c r="Q102" s="256"/>
      <c r="R102" s="256"/>
    </row>
    <row r="103" spans="1:18">
      <c r="A103" s="184"/>
      <c r="B103" s="185"/>
      <c r="C103" s="75" t="s">
        <v>39</v>
      </c>
      <c r="D103" s="189" t="s">
        <v>40</v>
      </c>
      <c r="E103" s="190"/>
      <c r="F103" s="190"/>
      <c r="G103" s="191"/>
      <c r="H103" s="189" t="s">
        <v>41</v>
      </c>
      <c r="I103" s="190"/>
      <c r="J103" s="191"/>
      <c r="K103" s="129" t="s">
        <v>42</v>
      </c>
      <c r="L103" s="1"/>
      <c r="M103" s="256"/>
      <c r="N103" s="256"/>
      <c r="O103" s="256"/>
      <c r="P103" s="256"/>
      <c r="Q103" s="256"/>
      <c r="R103" s="256"/>
    </row>
    <row r="104" spans="1:18">
      <c r="A104" s="138" t="s">
        <v>43</v>
      </c>
      <c r="B104" s="67"/>
      <c r="C104" s="67">
        <f t="shared" ref="C104:K104" si="3">C105+C106</f>
        <v>18686959291</v>
      </c>
      <c r="D104" s="222">
        <f t="shared" si="3"/>
        <v>14679548433.900002</v>
      </c>
      <c r="E104" s="223">
        <f t="shared" si="3"/>
        <v>0</v>
      </c>
      <c r="F104" s="223">
        <f t="shared" si="3"/>
        <v>0</v>
      </c>
      <c r="G104" s="224">
        <f t="shared" si="3"/>
        <v>0</v>
      </c>
      <c r="H104" s="222">
        <f t="shared" si="3"/>
        <v>14675915034.26</v>
      </c>
      <c r="I104" s="223">
        <f t="shared" si="3"/>
        <v>0</v>
      </c>
      <c r="J104" s="224">
        <f t="shared" si="3"/>
        <v>0</v>
      </c>
      <c r="K104" s="53">
        <f t="shared" si="3"/>
        <v>13741514173.309999</v>
      </c>
      <c r="L104" s="264"/>
      <c r="M104" s="264"/>
      <c r="N104" s="264"/>
      <c r="O104" s="256"/>
      <c r="P104" s="256"/>
      <c r="Q104" s="256"/>
      <c r="R104" s="256"/>
    </row>
    <row r="105" spans="1:18">
      <c r="A105" s="139" t="s">
        <v>44</v>
      </c>
      <c r="B105" s="67"/>
      <c r="C105" s="114">
        <f>13888595995</f>
        <v>13888595995</v>
      </c>
      <c r="D105" s="222">
        <f>10951357947.03</f>
        <v>10951357947.030001</v>
      </c>
      <c r="E105" s="223"/>
      <c r="F105" s="223"/>
      <c r="G105" s="224"/>
      <c r="H105" s="186">
        <f>10951331308.03</f>
        <v>10951331308.030001</v>
      </c>
      <c r="I105" s="187"/>
      <c r="J105" s="188"/>
      <c r="K105" s="96">
        <f>10317994999.73</f>
        <v>10317994999.73</v>
      </c>
      <c r="L105" s="264"/>
      <c r="M105" s="264"/>
      <c r="N105" s="264"/>
      <c r="O105" s="256"/>
      <c r="P105" s="256"/>
      <c r="Q105" s="256"/>
      <c r="R105" s="256"/>
    </row>
    <row r="106" spans="1:18">
      <c r="A106" s="139" t="s">
        <v>45</v>
      </c>
      <c r="B106" s="67"/>
      <c r="C106" s="67">
        <f>4798363296</f>
        <v>4798363296</v>
      </c>
      <c r="D106" s="222">
        <f>3728190486.87</f>
        <v>3728190486.8699999</v>
      </c>
      <c r="E106" s="223"/>
      <c r="F106" s="223"/>
      <c r="G106" s="224"/>
      <c r="H106" s="186">
        <f>3724583726.23</f>
        <v>3724583726.23</v>
      </c>
      <c r="I106" s="187"/>
      <c r="J106" s="232"/>
      <c r="K106" s="97">
        <f>3423519173.58</f>
        <v>3423519173.5799999</v>
      </c>
      <c r="L106" s="265"/>
      <c r="M106" s="265"/>
      <c r="N106" s="265"/>
      <c r="O106" s="260"/>
      <c r="P106" s="256"/>
      <c r="Q106" s="256"/>
      <c r="R106" s="256"/>
    </row>
    <row r="107" spans="1:18">
      <c r="A107" s="141" t="s">
        <v>46</v>
      </c>
      <c r="B107" s="67"/>
      <c r="C107" s="67">
        <f t="shared" ref="C107:K107" si="4">C108+C109</f>
        <v>3268387538.4299998</v>
      </c>
      <c r="D107" s="222">
        <f t="shared" si="4"/>
        <v>1844972.13</v>
      </c>
      <c r="E107" s="223">
        <f t="shared" si="4"/>
        <v>0</v>
      </c>
      <c r="F107" s="223">
        <f t="shared" si="4"/>
        <v>0</v>
      </c>
      <c r="G107" s="224">
        <f t="shared" si="4"/>
        <v>0</v>
      </c>
      <c r="H107" s="222">
        <f t="shared" si="4"/>
        <v>1595922.85</v>
      </c>
      <c r="I107" s="223">
        <f t="shared" si="4"/>
        <v>0</v>
      </c>
      <c r="J107" s="224">
        <f t="shared" si="4"/>
        <v>0</v>
      </c>
      <c r="K107" s="53">
        <f t="shared" si="4"/>
        <v>1291658.1299999999</v>
      </c>
      <c r="L107" s="266"/>
      <c r="M107" s="260"/>
      <c r="N107" s="260"/>
      <c r="O107" s="260"/>
      <c r="P107" s="256"/>
      <c r="Q107" s="256"/>
      <c r="R107" s="256"/>
    </row>
    <row r="108" spans="1:18">
      <c r="A108" s="139" t="s">
        <v>25</v>
      </c>
      <c r="B108" s="67"/>
      <c r="C108" s="66">
        <v>0</v>
      </c>
      <c r="D108" s="186">
        <v>0</v>
      </c>
      <c r="E108" s="187"/>
      <c r="F108" s="187"/>
      <c r="G108" s="188"/>
      <c r="H108" s="186">
        <v>0</v>
      </c>
      <c r="I108" s="187"/>
      <c r="J108" s="188"/>
      <c r="K108" s="96">
        <v>0</v>
      </c>
      <c r="L108" s="267"/>
      <c r="M108" s="256"/>
      <c r="N108" s="268"/>
      <c r="O108" s="256"/>
      <c r="P108" s="256"/>
      <c r="Q108" s="256"/>
      <c r="R108" s="256"/>
    </row>
    <row r="109" spans="1:18">
      <c r="A109" s="139" t="s">
        <v>47</v>
      </c>
      <c r="B109" s="67"/>
      <c r="C109" s="66">
        <f>3268387538.43</f>
        <v>3268387538.4299998</v>
      </c>
      <c r="D109" s="196">
        <f>1844972.13</f>
        <v>1844972.13</v>
      </c>
      <c r="E109" s="197"/>
      <c r="F109" s="197"/>
      <c r="G109" s="198"/>
      <c r="H109" s="196">
        <f>1595922.85</f>
        <v>1595922.85</v>
      </c>
      <c r="I109" s="197"/>
      <c r="J109" s="198"/>
      <c r="K109" s="96">
        <f>1291658.13</f>
        <v>1291658.1299999999</v>
      </c>
      <c r="L109" s="269"/>
      <c r="M109" s="269"/>
      <c r="N109" s="269"/>
      <c r="O109" s="269"/>
      <c r="P109" s="269"/>
      <c r="Q109" s="269"/>
      <c r="R109" s="256"/>
    </row>
    <row r="110" spans="1:18">
      <c r="A110" s="143" t="s">
        <v>71</v>
      </c>
      <c r="B110" s="71"/>
      <c r="C110" s="68">
        <f t="shared" ref="C110:J110" si="5">C104+C107</f>
        <v>21955346829.43</v>
      </c>
      <c r="D110" s="164">
        <f t="shared" si="5"/>
        <v>14681393406.030001</v>
      </c>
      <c r="E110" s="165">
        <f t="shared" si="5"/>
        <v>0</v>
      </c>
      <c r="F110" s="165">
        <f t="shared" si="5"/>
        <v>0</v>
      </c>
      <c r="G110" s="166">
        <f t="shared" si="5"/>
        <v>0</v>
      </c>
      <c r="H110" s="164">
        <f t="shared" si="5"/>
        <v>14677510957.110001</v>
      </c>
      <c r="I110" s="165">
        <f t="shared" si="5"/>
        <v>0</v>
      </c>
      <c r="J110" s="166">
        <f t="shared" si="5"/>
        <v>0</v>
      </c>
      <c r="K110" s="145">
        <f>K104+K107</f>
        <v>13742805831.439999</v>
      </c>
      <c r="L110" s="268"/>
      <c r="M110" s="268"/>
      <c r="N110" s="268"/>
      <c r="O110" s="268"/>
      <c r="P110" s="256"/>
      <c r="Q110" s="256"/>
      <c r="R110" s="256"/>
    </row>
    <row r="111" spans="1:18" ht="6" customHeight="1">
      <c r="A111" s="153"/>
      <c r="B111" s="95"/>
      <c r="C111" s="87"/>
      <c r="D111" s="161"/>
      <c r="E111" s="161"/>
      <c r="F111" s="161"/>
      <c r="G111" s="161"/>
      <c r="H111" s="161"/>
      <c r="I111" s="161"/>
      <c r="J111" s="161"/>
      <c r="K111" s="161"/>
      <c r="L111" s="256"/>
      <c r="M111" s="256"/>
      <c r="N111" s="255"/>
      <c r="O111" s="255"/>
      <c r="P111" s="256"/>
      <c r="Q111" s="256"/>
      <c r="R111" s="256"/>
    </row>
    <row r="112" spans="1:18" ht="15.75">
      <c r="A112" s="143" t="s">
        <v>72</v>
      </c>
      <c r="B112" s="70"/>
      <c r="C112" s="55">
        <f>C99-C110</f>
        <v>-15009119579.459999</v>
      </c>
      <c r="D112" s="177">
        <f>K99-D110</f>
        <v>-8961088301.75</v>
      </c>
      <c r="E112" s="178"/>
      <c r="F112" s="178"/>
      <c r="G112" s="179"/>
      <c r="H112" s="177">
        <f>K99-H110</f>
        <v>-8957205852.8300018</v>
      </c>
      <c r="I112" s="178"/>
      <c r="J112" s="179"/>
      <c r="K112" s="146">
        <f>K99-K110</f>
        <v>-8022500727.1599989</v>
      </c>
      <c r="L112" s="268"/>
      <c r="M112" s="268"/>
      <c r="N112" s="268"/>
      <c r="O112" s="268"/>
      <c r="P112" s="270"/>
      <c r="Q112" s="271"/>
      <c r="R112" s="256"/>
    </row>
    <row r="113" spans="1:18" ht="15.75" customHeight="1">
      <c r="A113" s="98"/>
      <c r="B113" s="69"/>
      <c r="C113" s="69"/>
      <c r="D113" s="99"/>
      <c r="E113" s="99"/>
      <c r="F113" s="99"/>
      <c r="G113" s="99"/>
      <c r="H113" s="99"/>
      <c r="I113" s="99"/>
      <c r="J113" s="99"/>
      <c r="K113" s="100" t="s">
        <v>73</v>
      </c>
      <c r="L113" s="268"/>
      <c r="M113" s="268"/>
      <c r="N113" s="268"/>
      <c r="O113" s="268"/>
      <c r="P113" s="271"/>
      <c r="Q113" s="271"/>
      <c r="R113" s="256"/>
    </row>
    <row r="114" spans="1:18">
      <c r="A114" s="25"/>
      <c r="B114" s="25"/>
      <c r="C114" s="35"/>
      <c r="D114" s="202"/>
      <c r="E114" s="203"/>
      <c r="F114" s="203"/>
      <c r="G114" s="25"/>
      <c r="H114" s="203"/>
      <c r="I114" s="203"/>
      <c r="J114" s="202"/>
      <c r="K114" s="203"/>
      <c r="L114" s="272"/>
      <c r="M114" s="271"/>
      <c r="N114" s="271"/>
      <c r="O114" s="271"/>
      <c r="P114" s="271"/>
      <c r="Q114" s="271"/>
      <c r="R114" s="256"/>
    </row>
    <row r="11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71"/>
      <c r="M115" s="271"/>
      <c r="N115" s="271"/>
      <c r="O115" s="271"/>
      <c r="P115" s="271"/>
      <c r="Q115" s="271"/>
      <c r="R115" s="256"/>
    </row>
    <row r="116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71"/>
      <c r="M116" s="271"/>
      <c r="N116" s="271"/>
      <c r="O116" s="271"/>
      <c r="P116" s="271"/>
      <c r="Q116" s="271"/>
      <c r="R116" s="256"/>
    </row>
    <row r="117" spans="1:18">
      <c r="A117" s="23"/>
      <c r="B117" s="23"/>
      <c r="C117" s="23"/>
      <c r="D117" s="23"/>
      <c r="E117" s="23"/>
      <c r="F117" s="23"/>
      <c r="G117" s="23"/>
      <c r="H117" s="23"/>
      <c r="I117" s="167" t="s">
        <v>74</v>
      </c>
      <c r="J117" s="167"/>
      <c r="K117" s="167"/>
      <c r="L117" s="58"/>
      <c r="M117" s="58"/>
      <c r="N117" s="58"/>
      <c r="O117" s="58"/>
      <c r="P117" s="58"/>
      <c r="Q117" s="58"/>
    </row>
    <row r="118" spans="1:18">
      <c r="A118" s="200" t="s">
        <v>0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58"/>
      <c r="M118" s="58"/>
      <c r="N118" s="58"/>
      <c r="O118" s="58"/>
      <c r="P118" s="58"/>
      <c r="Q118" s="58"/>
    </row>
    <row r="119" spans="1:18">
      <c r="A119" s="200" t="s">
        <v>1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58"/>
      <c r="M119" s="58"/>
      <c r="N119" s="58"/>
      <c r="O119" s="58"/>
      <c r="P119" s="58"/>
      <c r="Q119" s="58"/>
    </row>
    <row r="120" spans="1:18">
      <c r="A120" s="201" t="s">
        <v>2</v>
      </c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58"/>
      <c r="M120" s="58"/>
      <c r="N120" s="58"/>
      <c r="O120" s="58"/>
      <c r="P120" s="58"/>
      <c r="Q120" s="58"/>
    </row>
    <row r="121" spans="1:18">
      <c r="A121" s="200" t="s">
        <v>3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58"/>
      <c r="M121" s="58"/>
      <c r="N121" s="58"/>
      <c r="O121" s="58"/>
      <c r="P121" s="58"/>
      <c r="Q121" s="58"/>
    </row>
    <row r="122" spans="1:18">
      <c r="A122" s="200" t="str">
        <f>A9</f>
        <v>JANEIRO A OUTUBRO 2025/BIMESTRE SETEMBRO - OUTUBRO</v>
      </c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58"/>
      <c r="M122" s="58"/>
      <c r="N122" s="58"/>
      <c r="O122" s="58"/>
      <c r="P122" s="58"/>
      <c r="Q122" s="58"/>
    </row>
    <row r="123" spans="1:18">
      <c r="A123" s="22"/>
      <c r="B123" s="22"/>
      <c r="C123" s="22"/>
      <c r="D123" s="22"/>
      <c r="E123" s="22"/>
      <c r="F123" s="22"/>
      <c r="G123" s="61"/>
      <c r="H123" s="61"/>
      <c r="I123" s="61"/>
      <c r="J123" s="61"/>
      <c r="K123" s="61"/>
      <c r="L123" s="58"/>
      <c r="M123" s="58"/>
      <c r="N123" s="58"/>
      <c r="O123" s="58"/>
      <c r="P123" s="58"/>
      <c r="Q123" s="58"/>
    </row>
    <row r="124" spans="1:18">
      <c r="A124" s="22"/>
      <c r="B124" s="22"/>
      <c r="C124" s="22"/>
      <c r="D124" s="22"/>
      <c r="E124" s="22"/>
      <c r="F124" s="22"/>
      <c r="G124" s="61"/>
      <c r="H124" s="61"/>
      <c r="I124" s="61"/>
      <c r="J124" s="61"/>
      <c r="K124" s="61" t="str">
        <f>G11</f>
        <v>Emissão: 19/11/2025</v>
      </c>
      <c r="L124" s="58"/>
      <c r="M124" s="58"/>
      <c r="N124" s="58"/>
      <c r="O124" s="58"/>
      <c r="P124" s="58"/>
      <c r="Q124" s="58"/>
    </row>
    <row r="125" spans="1:18">
      <c r="A125" s="23" t="s">
        <v>4</v>
      </c>
      <c r="B125" s="23"/>
      <c r="C125" s="23"/>
      <c r="D125" s="23"/>
      <c r="E125" s="23"/>
      <c r="F125" s="61"/>
      <c r="G125" s="23"/>
      <c r="H125" s="23"/>
      <c r="I125" s="228">
        <v>1</v>
      </c>
      <c r="J125" s="228"/>
      <c r="K125" s="228"/>
      <c r="L125" s="58"/>
      <c r="M125" s="58"/>
      <c r="N125" s="58"/>
      <c r="O125" s="58"/>
      <c r="P125" s="58"/>
      <c r="Q125" s="58"/>
    </row>
    <row r="126" spans="1:18" ht="14.25" customHeight="1">
      <c r="A126" s="219" t="s">
        <v>75</v>
      </c>
      <c r="B126" s="220"/>
      <c r="C126" s="219" t="s">
        <v>55</v>
      </c>
      <c r="D126" s="219"/>
      <c r="E126" s="219"/>
      <c r="F126" s="219"/>
      <c r="G126" s="219"/>
      <c r="H126" s="219"/>
      <c r="I126" s="219"/>
      <c r="J126" s="219"/>
      <c r="K126" s="219"/>
      <c r="L126" s="8"/>
      <c r="M126" s="8"/>
      <c r="N126" s="8"/>
      <c r="O126" s="8"/>
      <c r="P126" s="8"/>
      <c r="Q126" s="8"/>
    </row>
    <row r="127" spans="1:18">
      <c r="A127" s="174"/>
      <c r="B127" s="175"/>
      <c r="C127" s="190"/>
      <c r="D127" s="190"/>
      <c r="E127" s="190"/>
      <c r="F127" s="190"/>
      <c r="G127" s="190"/>
      <c r="H127" s="190"/>
      <c r="I127" s="190"/>
      <c r="J127" s="190"/>
      <c r="K127" s="190"/>
      <c r="L127" s="273"/>
      <c r="M127" s="274"/>
      <c r="N127" s="257"/>
      <c r="O127" s="8"/>
      <c r="P127" s="8"/>
      <c r="Q127" s="8"/>
    </row>
    <row r="128" spans="1:18" ht="15" customHeight="1">
      <c r="A128" s="147" t="s">
        <v>76</v>
      </c>
      <c r="B128" s="36"/>
      <c r="C128" s="38"/>
      <c r="D128" s="30"/>
      <c r="E128" s="30"/>
      <c r="F128" s="30"/>
      <c r="G128" s="30"/>
      <c r="H128" s="30"/>
      <c r="I128" s="30"/>
      <c r="J128" s="30"/>
      <c r="K128" s="93">
        <f>16175792463.16</f>
        <v>16175792463.16</v>
      </c>
      <c r="L128" s="275"/>
      <c r="M128" s="276"/>
      <c r="N128" s="277"/>
      <c r="O128" s="135"/>
      <c r="P128" s="135"/>
      <c r="Q128" s="8"/>
    </row>
    <row r="129" spans="1:19">
      <c r="A129" s="149" t="s">
        <v>77</v>
      </c>
      <c r="B129" s="39"/>
      <c r="C129" s="41"/>
      <c r="D129" s="34"/>
      <c r="E129" s="34"/>
      <c r="F129" s="34"/>
      <c r="G129" s="34"/>
      <c r="H129" s="34"/>
      <c r="I129" s="34"/>
      <c r="J129" s="34"/>
      <c r="K129" s="94">
        <v>0</v>
      </c>
      <c r="L129" s="268"/>
      <c r="M129" s="268"/>
      <c r="N129" s="268"/>
      <c r="O129" s="18"/>
    </row>
    <row r="130" spans="1:19">
      <c r="A130" s="45"/>
      <c r="B130" s="45"/>
      <c r="C130" s="45"/>
      <c r="D130" s="32"/>
      <c r="E130" s="32"/>
      <c r="F130" s="32"/>
      <c r="G130" s="32"/>
      <c r="H130" s="32"/>
      <c r="I130" s="32"/>
      <c r="J130" s="32"/>
      <c r="K130" s="54"/>
      <c r="L130" s="256"/>
      <c r="M130" s="256"/>
      <c r="N130" s="256"/>
    </row>
    <row r="131" spans="1:19">
      <c r="A131" s="243" t="s">
        <v>78</v>
      </c>
      <c r="B131" s="244"/>
      <c r="C131" s="243" t="s">
        <v>61</v>
      </c>
      <c r="D131" s="247"/>
      <c r="E131" s="247"/>
      <c r="F131" s="247"/>
      <c r="G131" s="247"/>
      <c r="H131" s="247"/>
      <c r="I131" s="247"/>
      <c r="J131" s="247"/>
      <c r="K131" s="247"/>
      <c r="L131" s="278"/>
      <c r="M131" s="256"/>
      <c r="N131" s="256"/>
      <c r="O131" s="256"/>
      <c r="P131" s="256"/>
      <c r="Q131" s="256"/>
    </row>
    <row r="132" spans="1:19">
      <c r="A132" s="245"/>
      <c r="B132" s="246"/>
      <c r="C132" s="245"/>
      <c r="D132" s="248"/>
      <c r="E132" s="248"/>
      <c r="F132" s="248"/>
      <c r="G132" s="248"/>
      <c r="H132" s="248"/>
      <c r="I132" s="248"/>
      <c r="J132" s="248"/>
      <c r="K132" s="248"/>
      <c r="L132" s="278"/>
      <c r="M132" s="256"/>
      <c r="N132" s="256"/>
      <c r="O132" s="256"/>
      <c r="P132" s="256"/>
      <c r="Q132" s="256"/>
    </row>
    <row r="133" spans="1:19">
      <c r="A133" s="147" t="s">
        <v>62</v>
      </c>
      <c r="B133" s="36"/>
      <c r="C133" s="37"/>
      <c r="D133" s="30"/>
      <c r="E133" s="30"/>
      <c r="F133" s="30"/>
      <c r="G133" s="30"/>
      <c r="H133" s="30"/>
      <c r="I133" s="30"/>
      <c r="J133" s="30"/>
      <c r="K133" s="105">
        <f>105975745.14</f>
        <v>105975745.14</v>
      </c>
      <c r="L133" s="256"/>
      <c r="M133" s="256"/>
      <c r="N133" s="256"/>
      <c r="O133" s="256"/>
      <c r="P133" s="256"/>
      <c r="Q133" s="256"/>
    </row>
    <row r="134" spans="1:19">
      <c r="A134" s="148" t="s">
        <v>63</v>
      </c>
      <c r="B134" s="104"/>
      <c r="C134" s="79"/>
      <c r="D134" s="32"/>
      <c r="E134" s="32"/>
      <c r="F134" s="32"/>
      <c r="G134" s="32"/>
      <c r="H134" s="32"/>
      <c r="I134" s="32"/>
      <c r="J134" s="32"/>
      <c r="K134" s="54">
        <f>4806827023.11</f>
        <v>4806827023.1099997</v>
      </c>
      <c r="L134" s="279"/>
      <c r="M134" s="279"/>
      <c r="N134" s="256"/>
      <c r="O134" s="256"/>
      <c r="P134" s="256"/>
      <c r="Q134" s="256"/>
    </row>
    <row r="135" spans="1:19">
      <c r="A135" s="149" t="s">
        <v>64</v>
      </c>
      <c r="B135" s="39"/>
      <c r="C135" s="40"/>
      <c r="D135" s="34"/>
      <c r="E135" s="34"/>
      <c r="F135" s="34"/>
      <c r="G135" s="34"/>
      <c r="H135" s="34"/>
      <c r="I135" s="34"/>
      <c r="J135" s="34"/>
      <c r="K135" s="94">
        <f>5770380939.57</f>
        <v>5770380939.5699997</v>
      </c>
      <c r="L135" s="258"/>
      <c r="M135" s="259"/>
      <c r="N135" s="274"/>
      <c r="O135" s="256"/>
      <c r="P135" s="256"/>
      <c r="Q135" s="256"/>
    </row>
    <row r="136" spans="1:19" ht="6" customHeight="1">
      <c r="A136" s="45"/>
      <c r="B136" s="45"/>
      <c r="C136" s="45"/>
      <c r="D136" s="32"/>
      <c r="E136" s="32"/>
      <c r="F136" s="32"/>
      <c r="G136" s="32"/>
      <c r="H136" s="32"/>
      <c r="I136" s="167"/>
      <c r="J136" s="167"/>
      <c r="K136" s="167"/>
      <c r="L136" s="256"/>
      <c r="M136" s="280"/>
      <c r="N136" s="256"/>
      <c r="O136" s="256"/>
      <c r="P136" s="256"/>
      <c r="Q136" s="256"/>
    </row>
    <row r="137" spans="1:19" ht="14.45" customHeight="1">
      <c r="A137" s="199" t="s">
        <v>79</v>
      </c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281"/>
      <c r="M137" s="281"/>
      <c r="N137" s="256"/>
      <c r="O137" s="256"/>
      <c r="P137" s="256"/>
      <c r="Q137" s="256"/>
    </row>
    <row r="138" spans="1:19" ht="14.25" customHeight="1">
      <c r="A138" s="209" t="s">
        <v>80</v>
      </c>
      <c r="B138" s="210"/>
      <c r="C138" s="214" t="s">
        <v>8</v>
      </c>
      <c r="D138" s="169" t="s">
        <v>9</v>
      </c>
      <c r="E138" s="169"/>
      <c r="F138" s="169"/>
      <c r="G138" s="169"/>
      <c r="H138" s="169"/>
      <c r="I138" s="169"/>
      <c r="J138" s="169"/>
      <c r="K138" s="169"/>
      <c r="L138" s="281"/>
      <c r="M138" s="281"/>
      <c r="N138" s="256"/>
      <c r="O138" s="256"/>
      <c r="P138" s="256"/>
      <c r="Q138" s="256"/>
    </row>
    <row r="139" spans="1:19" ht="14.25" customHeight="1">
      <c r="A139" s="211"/>
      <c r="B139" s="212"/>
      <c r="C139" s="215"/>
      <c r="D139" s="216" t="str">
        <f>D16</f>
        <v>Jan a Out 2025</v>
      </c>
      <c r="E139" s="217"/>
      <c r="F139" s="217"/>
      <c r="G139" s="217"/>
      <c r="H139" s="217"/>
      <c r="I139" s="217"/>
      <c r="J139" s="217"/>
      <c r="K139" s="217"/>
      <c r="L139" s="281"/>
      <c r="M139" s="281"/>
      <c r="N139" s="256"/>
      <c r="O139" s="256"/>
      <c r="P139" s="256"/>
      <c r="Q139" s="256"/>
    </row>
    <row r="140" spans="1:19" ht="14.25" customHeight="1">
      <c r="A140" s="171"/>
      <c r="B140" s="213"/>
      <c r="C140" s="43" t="s">
        <v>10</v>
      </c>
      <c r="D140" s="171" t="s">
        <v>11</v>
      </c>
      <c r="E140" s="171"/>
      <c r="F140" s="171"/>
      <c r="G140" s="171"/>
      <c r="H140" s="171"/>
      <c r="I140" s="171"/>
      <c r="J140" s="171"/>
      <c r="K140" s="171"/>
      <c r="L140" s="281"/>
      <c r="M140" s="281"/>
      <c r="N140" s="256"/>
      <c r="O140" s="260"/>
      <c r="P140" s="260"/>
      <c r="Q140" s="256"/>
    </row>
    <row r="141" spans="1:19" ht="14.25" customHeight="1">
      <c r="A141" s="154" t="s">
        <v>81</v>
      </c>
      <c r="B141" s="83"/>
      <c r="C141" s="92">
        <f>451314588.22</f>
        <v>451314588.22000003</v>
      </c>
      <c r="D141" s="205"/>
      <c r="E141" s="176"/>
      <c r="F141" s="176"/>
      <c r="G141" s="176"/>
      <c r="H141" s="176"/>
      <c r="I141" s="54"/>
      <c r="J141" s="54"/>
      <c r="K141" s="54">
        <f>375895243.29</f>
        <v>375895243.29000002</v>
      </c>
      <c r="L141" s="281"/>
      <c r="M141" s="281"/>
      <c r="N141" s="256"/>
      <c r="O141" s="260"/>
      <c r="P141" s="260"/>
      <c r="Q141" s="260"/>
      <c r="R141" s="11"/>
      <c r="S141" s="11"/>
    </row>
    <row r="142" spans="1:19" ht="15" customHeight="1">
      <c r="A142" s="137" t="s">
        <v>82</v>
      </c>
      <c r="B142" s="82"/>
      <c r="C142" s="89">
        <f>C141</f>
        <v>451314588.22000003</v>
      </c>
      <c r="D142" s="204"/>
      <c r="E142" s="204"/>
      <c r="F142" s="204"/>
      <c r="G142" s="204"/>
      <c r="H142" s="204"/>
      <c r="I142" s="56"/>
      <c r="J142" s="56"/>
      <c r="K142" s="56">
        <f>K141</f>
        <v>375895243.29000002</v>
      </c>
      <c r="L142" s="281"/>
      <c r="M142" s="281"/>
      <c r="N142" s="256"/>
      <c r="O142" s="268"/>
      <c r="P142" s="268"/>
      <c r="Q142" s="260"/>
      <c r="R142" s="11"/>
      <c r="S142" s="11"/>
    </row>
    <row r="143" spans="1:19" ht="6" customHeight="1">
      <c r="A143" s="49"/>
      <c r="B143" s="46"/>
      <c r="C143" s="46"/>
      <c r="D143" s="47"/>
      <c r="E143" s="47"/>
      <c r="F143" s="48"/>
      <c r="G143" s="48"/>
      <c r="H143" s="48"/>
      <c r="I143" s="48"/>
      <c r="J143" s="46"/>
      <c r="K143" s="46"/>
      <c r="L143" s="282"/>
      <c r="M143" s="282"/>
      <c r="N143" s="256"/>
      <c r="O143" s="260"/>
      <c r="P143" s="260"/>
      <c r="Q143" s="260"/>
      <c r="R143" s="11"/>
      <c r="S143" s="11"/>
    </row>
    <row r="144" spans="1:19" ht="28.5" customHeight="1">
      <c r="A144" s="180" t="s">
        <v>83</v>
      </c>
      <c r="B144" s="181"/>
      <c r="C144" s="73" t="s">
        <v>34</v>
      </c>
      <c r="D144" s="218" t="s">
        <v>35</v>
      </c>
      <c r="E144" s="219"/>
      <c r="F144" s="219"/>
      <c r="G144" s="220"/>
      <c r="H144" s="218" t="s">
        <v>36</v>
      </c>
      <c r="I144" s="219"/>
      <c r="J144" s="220"/>
      <c r="K144" s="131" t="s">
        <v>37</v>
      </c>
      <c r="L144" s="281"/>
      <c r="M144" s="281"/>
      <c r="N144" s="256"/>
      <c r="O144" s="260"/>
      <c r="P144" s="260"/>
      <c r="Q144" s="260"/>
      <c r="R144" s="11"/>
      <c r="S144" s="11"/>
    </row>
    <row r="145" spans="1:19">
      <c r="A145" s="182"/>
      <c r="B145" s="183"/>
      <c r="C145" s="74" t="s">
        <v>38</v>
      </c>
      <c r="D145" s="173" t="str">
        <f>D43</f>
        <v>Jan a Out 2025</v>
      </c>
      <c r="E145" s="174"/>
      <c r="F145" s="174"/>
      <c r="G145" s="175"/>
      <c r="H145" s="173" t="str">
        <f>H43</f>
        <v>Jan a Out 2025</v>
      </c>
      <c r="I145" s="174"/>
      <c r="J145" s="175"/>
      <c r="K145" s="128" t="str">
        <f>K43</f>
        <v>Jan a Out 2025</v>
      </c>
      <c r="L145" s="281"/>
      <c r="M145" s="281"/>
      <c r="N145" s="256"/>
      <c r="O145" s="260"/>
      <c r="P145" s="260"/>
      <c r="Q145" s="260"/>
      <c r="R145" s="11"/>
      <c r="S145" s="11"/>
    </row>
    <row r="146" spans="1:19" ht="14.25" customHeight="1">
      <c r="A146" s="184"/>
      <c r="B146" s="185"/>
      <c r="C146" s="75" t="s">
        <v>39</v>
      </c>
      <c r="D146" s="189" t="s">
        <v>40</v>
      </c>
      <c r="E146" s="190"/>
      <c r="F146" s="190"/>
      <c r="G146" s="191"/>
      <c r="H146" s="189" t="s">
        <v>41</v>
      </c>
      <c r="I146" s="190"/>
      <c r="J146" s="191"/>
      <c r="K146" s="129" t="s">
        <v>42</v>
      </c>
      <c r="L146" s="281"/>
      <c r="M146" s="281"/>
      <c r="N146" s="256"/>
      <c r="O146" s="260"/>
      <c r="P146" s="260"/>
      <c r="Q146" s="260"/>
      <c r="R146" s="11"/>
      <c r="S146" s="11"/>
    </row>
    <row r="147" spans="1:19">
      <c r="A147" s="138" t="s">
        <v>84</v>
      </c>
      <c r="B147" s="67"/>
      <c r="C147" s="67">
        <f>C148+C149</f>
        <v>2696676600.6599998</v>
      </c>
      <c r="D147" s="222">
        <f t="shared" ref="D147:K147" si="6">D148+D149</f>
        <v>1081872060.3499999</v>
      </c>
      <c r="E147" s="223">
        <f t="shared" si="6"/>
        <v>0</v>
      </c>
      <c r="F147" s="223">
        <f t="shared" si="6"/>
        <v>0</v>
      </c>
      <c r="G147" s="224">
        <f t="shared" si="6"/>
        <v>0</v>
      </c>
      <c r="H147" s="222">
        <f>H148+H149</f>
        <v>959012472.46000004</v>
      </c>
      <c r="I147" s="223">
        <f t="shared" si="6"/>
        <v>0</v>
      </c>
      <c r="J147" s="224">
        <f t="shared" si="6"/>
        <v>0</v>
      </c>
      <c r="K147" s="53">
        <f t="shared" si="6"/>
        <v>957232644.56000006</v>
      </c>
      <c r="L147" s="281"/>
      <c r="M147" s="281"/>
      <c r="N147" s="256"/>
      <c r="O147" s="260"/>
      <c r="P147" s="260"/>
      <c r="Q147" s="260"/>
      <c r="R147" s="11"/>
      <c r="S147" s="11"/>
    </row>
    <row r="148" spans="1:19" ht="14.25" customHeight="1">
      <c r="A148" s="139" t="s">
        <v>85</v>
      </c>
      <c r="B148" s="67"/>
      <c r="C148" s="114">
        <f>211102219</f>
        <v>211102219</v>
      </c>
      <c r="D148" s="186">
        <f>71177130.43</f>
        <v>71177130.430000007</v>
      </c>
      <c r="E148" s="187"/>
      <c r="F148" s="187"/>
      <c r="G148" s="188"/>
      <c r="H148" s="186">
        <f>66172907.61</f>
        <v>66172907.609999999</v>
      </c>
      <c r="I148" s="187"/>
      <c r="J148" s="188"/>
      <c r="K148" s="96">
        <f>65877502.59</f>
        <v>65877502.590000004</v>
      </c>
      <c r="L148" s="281"/>
      <c r="M148" s="281"/>
      <c r="N148" s="256"/>
      <c r="O148" s="260"/>
      <c r="P148" s="260"/>
      <c r="Q148" s="260"/>
      <c r="R148" s="11"/>
      <c r="S148" s="11"/>
    </row>
    <row r="149" spans="1:19" ht="14.25" customHeight="1">
      <c r="A149" s="139" t="s">
        <v>86</v>
      </c>
      <c r="B149" s="67"/>
      <c r="C149" s="114">
        <f>2485574381.66</f>
        <v>2485574381.6599998</v>
      </c>
      <c r="D149" s="186">
        <f>1010694929.92</f>
        <v>1010694929.92</v>
      </c>
      <c r="E149" s="187"/>
      <c r="F149" s="187"/>
      <c r="G149" s="188"/>
      <c r="H149" s="186">
        <f>892839564.85</f>
        <v>892839564.85000002</v>
      </c>
      <c r="I149" s="187"/>
      <c r="J149" s="232"/>
      <c r="K149" s="97">
        <f>891355141.97</f>
        <v>891355141.97000003</v>
      </c>
      <c r="L149" s="281"/>
      <c r="M149" s="281"/>
      <c r="N149" s="256"/>
      <c r="O149" s="260"/>
      <c r="P149" s="260"/>
      <c r="Q149" s="260"/>
      <c r="R149" s="11"/>
      <c r="S149" s="11"/>
    </row>
    <row r="150" spans="1:19">
      <c r="A150" s="141" t="s">
        <v>87</v>
      </c>
      <c r="B150" s="67"/>
      <c r="C150" s="67">
        <f>78500000</f>
        <v>78500000</v>
      </c>
      <c r="D150" s="222">
        <f>10626179.31</f>
        <v>10626179.310000001</v>
      </c>
      <c r="E150" s="223"/>
      <c r="F150" s="223"/>
      <c r="G150" s="224"/>
      <c r="H150" s="222">
        <f>9281936.65</f>
        <v>9281936.6500000004</v>
      </c>
      <c r="I150" s="223"/>
      <c r="J150" s="224"/>
      <c r="K150" s="53">
        <f>9281936.65</f>
        <v>9281936.6500000004</v>
      </c>
      <c r="L150" s="281"/>
      <c r="M150" s="281"/>
      <c r="N150" s="260"/>
      <c r="O150" s="260"/>
      <c r="P150" s="260"/>
      <c r="Q150" s="260"/>
      <c r="R150" s="11"/>
      <c r="S150" s="11"/>
    </row>
    <row r="151" spans="1:19" ht="15" customHeight="1">
      <c r="A151" s="143" t="s">
        <v>88</v>
      </c>
      <c r="B151" s="71"/>
      <c r="C151" s="89">
        <f>C147+C150</f>
        <v>2775176600.6599998</v>
      </c>
      <c r="D151" s="237">
        <f>D147+D150</f>
        <v>1092498239.6599998</v>
      </c>
      <c r="E151" s="238">
        <f>E145+E148</f>
        <v>0</v>
      </c>
      <c r="F151" s="238">
        <f>F145+F148</f>
        <v>0</v>
      </c>
      <c r="G151" s="239">
        <f>G145+G148</f>
        <v>0</v>
      </c>
      <c r="H151" s="237">
        <f>H147+H150</f>
        <v>968294409.11000001</v>
      </c>
      <c r="I151" s="238">
        <f>I145+I148</f>
        <v>0</v>
      </c>
      <c r="J151" s="238">
        <f>J145+J148</f>
        <v>0</v>
      </c>
      <c r="K151" s="90">
        <f>K147+K150</f>
        <v>966514581.21000004</v>
      </c>
      <c r="L151" s="281"/>
      <c r="M151" s="281"/>
      <c r="N151" s="260"/>
      <c r="O151" s="260"/>
      <c r="P151" s="260"/>
      <c r="Q151" s="260"/>
      <c r="R151" s="11"/>
      <c r="S151" s="11"/>
    </row>
    <row r="152" spans="1:19" ht="6" customHeight="1">
      <c r="A152" s="155"/>
      <c r="B152" s="87"/>
      <c r="C152" s="87"/>
      <c r="D152" s="85"/>
      <c r="E152" s="85"/>
      <c r="F152" s="85"/>
      <c r="G152" s="85"/>
      <c r="H152" s="85"/>
      <c r="I152" s="85"/>
      <c r="J152" s="85"/>
      <c r="K152" s="91"/>
      <c r="L152" s="281"/>
      <c r="M152" s="281"/>
      <c r="N152" s="260"/>
      <c r="O152" s="260"/>
      <c r="P152" s="260"/>
      <c r="Q152" s="260"/>
      <c r="R152" s="11"/>
      <c r="S152" s="11"/>
    </row>
    <row r="153" spans="1:19" ht="15" customHeight="1">
      <c r="A153" s="143" t="s">
        <v>89</v>
      </c>
      <c r="B153" s="70"/>
      <c r="C153" s="55">
        <f>C142-C151</f>
        <v>-2323862012.4399996</v>
      </c>
      <c r="D153" s="241">
        <f>K142-D151</f>
        <v>-716602996.36999989</v>
      </c>
      <c r="E153" s="204"/>
      <c r="F153" s="204"/>
      <c r="G153" s="242"/>
      <c r="H153" s="241">
        <f>K142-H151</f>
        <v>-592399165.81999993</v>
      </c>
      <c r="I153" s="204"/>
      <c r="J153" s="242"/>
      <c r="K153" s="55">
        <f>K142-K151</f>
        <v>-590619337.92000008</v>
      </c>
      <c r="L153" s="281"/>
      <c r="M153" s="281"/>
      <c r="N153" s="260"/>
      <c r="O153" s="260"/>
      <c r="P153" s="260"/>
      <c r="Q153" s="260"/>
      <c r="R153" s="11"/>
      <c r="S153" s="11"/>
    </row>
    <row r="154" spans="1:19" ht="15" customHeight="1">
      <c r="A154" s="84"/>
      <c r="B154" s="69"/>
      <c r="C154" s="69"/>
      <c r="D154" s="106"/>
      <c r="E154" s="106"/>
      <c r="F154" s="106"/>
      <c r="G154" s="106"/>
      <c r="H154" s="106"/>
      <c r="I154" s="106"/>
      <c r="J154" s="106"/>
      <c r="K154" s="69"/>
      <c r="L154" s="282"/>
      <c r="M154" s="282"/>
      <c r="N154" s="260"/>
      <c r="O154" s="260"/>
      <c r="P154" s="260"/>
      <c r="Q154" s="260"/>
      <c r="R154" s="11"/>
      <c r="S154" s="11"/>
    </row>
    <row r="155" spans="1:19" ht="15" customHeight="1">
      <c r="A155" s="243" t="s">
        <v>90</v>
      </c>
      <c r="B155" s="244"/>
      <c r="C155" s="243" t="s">
        <v>61</v>
      </c>
      <c r="D155" s="247"/>
      <c r="E155" s="247"/>
      <c r="F155" s="247"/>
      <c r="G155" s="247"/>
      <c r="H155" s="247"/>
      <c r="I155" s="247"/>
      <c r="J155" s="247"/>
      <c r="K155" s="247"/>
      <c r="L155" s="281"/>
      <c r="M155" s="281"/>
      <c r="N155" s="260"/>
      <c r="O155" s="260"/>
      <c r="P155" s="260"/>
      <c r="Q155" s="260"/>
      <c r="R155" s="11"/>
      <c r="S155" s="11"/>
    </row>
    <row r="156" spans="1:19" ht="15" customHeight="1">
      <c r="A156" s="245"/>
      <c r="B156" s="246"/>
      <c r="C156" s="245"/>
      <c r="D156" s="248"/>
      <c r="E156" s="248"/>
      <c r="F156" s="248"/>
      <c r="G156" s="248"/>
      <c r="H156" s="248"/>
      <c r="I156" s="248"/>
      <c r="J156" s="248"/>
      <c r="K156" s="248"/>
      <c r="L156" s="281"/>
      <c r="M156" s="281"/>
      <c r="N156" s="260"/>
      <c r="O156" s="260"/>
      <c r="P156" s="260"/>
      <c r="Q156" s="260"/>
      <c r="R156" s="11"/>
      <c r="S156" s="11"/>
    </row>
    <row r="157" spans="1:19" ht="15" customHeight="1">
      <c r="A157" s="156" t="s">
        <v>62</v>
      </c>
      <c r="B157" s="107"/>
      <c r="C157" s="109"/>
      <c r="D157" s="99"/>
      <c r="E157" s="99"/>
      <c r="F157" s="99"/>
      <c r="G157" s="99"/>
      <c r="H157" s="99"/>
      <c r="I157" s="99"/>
      <c r="J157" s="99"/>
      <c r="K157" s="80">
        <f>3889666.92</f>
        <v>3889666.92</v>
      </c>
      <c r="L157" s="281"/>
      <c r="M157" s="281"/>
      <c r="N157" s="256"/>
      <c r="O157" s="260"/>
      <c r="P157" s="260"/>
      <c r="Q157" s="260"/>
      <c r="R157" s="11"/>
      <c r="S157" s="11"/>
    </row>
    <row r="158" spans="1:19" ht="15" customHeight="1">
      <c r="A158" s="157" t="s">
        <v>63</v>
      </c>
      <c r="B158" s="108"/>
      <c r="C158" s="110"/>
      <c r="D158" s="106"/>
      <c r="E158" s="106"/>
      <c r="F158" s="106"/>
      <c r="G158" s="106"/>
      <c r="H158" s="106"/>
      <c r="I158" s="106"/>
      <c r="J158" s="106"/>
      <c r="K158" s="66">
        <f>776150722.85</f>
        <v>776150722.85000002</v>
      </c>
      <c r="L158" s="281"/>
      <c r="M158" s="281"/>
      <c r="N158" s="256"/>
      <c r="O158" s="260"/>
      <c r="P158" s="260"/>
      <c r="Q158" s="260"/>
      <c r="R158" s="11"/>
      <c r="S158" s="11"/>
    </row>
    <row r="159" spans="1:19" ht="15" customHeight="1">
      <c r="A159" s="158" t="s">
        <v>64</v>
      </c>
      <c r="B159" s="70"/>
      <c r="C159" s="55"/>
      <c r="D159" s="111"/>
      <c r="E159" s="111"/>
      <c r="F159" s="111"/>
      <c r="G159" s="111"/>
      <c r="H159" s="111"/>
      <c r="I159" s="111"/>
      <c r="J159" s="111"/>
      <c r="K159" s="81">
        <f>124996248.86</f>
        <v>124996248.86</v>
      </c>
      <c r="L159" s="281"/>
      <c r="M159" s="281"/>
      <c r="N159" s="258"/>
      <c r="O159" s="259"/>
      <c r="P159" s="256"/>
      <c r="Q159" s="256"/>
    </row>
    <row r="160" spans="1:19" ht="6" customHeight="1">
      <c r="A160" s="84"/>
      <c r="B160" s="69"/>
      <c r="C160" s="69"/>
      <c r="D160" s="85"/>
      <c r="E160" s="85"/>
      <c r="F160" s="85"/>
      <c r="G160" s="85"/>
      <c r="H160" s="85"/>
      <c r="I160" s="85"/>
      <c r="J160" s="85"/>
      <c r="K160" s="86"/>
      <c r="L160" s="283"/>
      <c r="M160" s="256"/>
      <c r="N160" s="256"/>
      <c r="O160" s="256"/>
      <c r="P160" s="256"/>
      <c r="Q160" s="256"/>
    </row>
    <row r="161" spans="1:17" ht="15" customHeight="1">
      <c r="A161" s="199" t="s">
        <v>91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283"/>
      <c r="M161" s="256"/>
      <c r="N161" s="256"/>
      <c r="O161" s="256"/>
      <c r="P161" s="256"/>
      <c r="Q161" s="256"/>
    </row>
    <row r="162" spans="1:17" ht="15" customHeight="1">
      <c r="A162" s="209" t="s">
        <v>92</v>
      </c>
      <c r="B162" s="210"/>
      <c r="C162" s="214" t="s">
        <v>8</v>
      </c>
      <c r="D162" s="169" t="s">
        <v>9</v>
      </c>
      <c r="E162" s="169"/>
      <c r="F162" s="169"/>
      <c r="G162" s="169"/>
      <c r="H162" s="169"/>
      <c r="I162" s="169"/>
      <c r="J162" s="169"/>
      <c r="K162" s="169"/>
      <c r="L162" s="50"/>
    </row>
    <row r="163" spans="1:17" ht="15" customHeight="1">
      <c r="A163" s="211"/>
      <c r="B163" s="212"/>
      <c r="C163" s="215"/>
      <c r="D163" s="216" t="str">
        <f>D16</f>
        <v>Jan a Out 2025</v>
      </c>
      <c r="E163" s="217"/>
      <c r="F163" s="217"/>
      <c r="G163" s="217"/>
      <c r="H163" s="217"/>
      <c r="I163" s="217"/>
      <c r="J163" s="217"/>
      <c r="K163" s="217"/>
      <c r="L163" s="50"/>
    </row>
    <row r="164" spans="1:17" ht="15" customHeight="1">
      <c r="A164" s="171"/>
      <c r="B164" s="213"/>
      <c r="C164" s="43" t="s">
        <v>10</v>
      </c>
      <c r="D164" s="171" t="s">
        <v>11</v>
      </c>
      <c r="E164" s="171"/>
      <c r="F164" s="171"/>
      <c r="G164" s="171"/>
      <c r="H164" s="171"/>
      <c r="I164" s="171"/>
      <c r="J164" s="171"/>
      <c r="K164" s="171"/>
      <c r="L164" s="50"/>
    </row>
    <row r="165" spans="1:17" ht="15" customHeight="1">
      <c r="A165" s="138" t="s">
        <v>93</v>
      </c>
      <c r="B165" s="62"/>
      <c r="C165" s="88">
        <v>0</v>
      </c>
      <c r="D165" s="205"/>
      <c r="E165" s="176"/>
      <c r="F165" s="176"/>
      <c r="G165" s="176"/>
      <c r="H165" s="176"/>
      <c r="I165" s="54"/>
      <c r="J165" s="54"/>
      <c r="K165" s="54">
        <v>0</v>
      </c>
      <c r="L165" s="50"/>
    </row>
    <row r="166" spans="1:17" ht="15" customHeight="1">
      <c r="A166" s="138" t="s">
        <v>94</v>
      </c>
      <c r="B166" s="62"/>
      <c r="C166" s="88">
        <v>0</v>
      </c>
      <c r="D166" s="205"/>
      <c r="E166" s="176"/>
      <c r="F166" s="176"/>
      <c r="G166" s="176"/>
      <c r="H166" s="176"/>
      <c r="I166" s="54"/>
      <c r="J166" s="54"/>
      <c r="K166" s="54">
        <v>0</v>
      </c>
      <c r="L166" s="50"/>
    </row>
    <row r="167" spans="1:17" ht="15" customHeight="1">
      <c r="A167" s="137" t="s">
        <v>95</v>
      </c>
      <c r="B167" s="51"/>
      <c r="C167" s="89">
        <f>C165+C166</f>
        <v>0</v>
      </c>
      <c r="D167" s="204"/>
      <c r="E167" s="204"/>
      <c r="F167" s="204"/>
      <c r="G167" s="204"/>
      <c r="H167" s="204"/>
      <c r="I167" s="56"/>
      <c r="J167" s="56"/>
      <c r="K167" s="56">
        <f>K165+K166</f>
        <v>0</v>
      </c>
      <c r="L167" s="50"/>
    </row>
    <row r="168" spans="1:17" ht="6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3"/>
      <c r="L168" s="50"/>
    </row>
    <row r="169" spans="1:17" ht="28.5" customHeight="1">
      <c r="A169" s="180" t="s">
        <v>96</v>
      </c>
      <c r="B169" s="181"/>
      <c r="C169" s="73" t="s">
        <v>34</v>
      </c>
      <c r="D169" s="218" t="s">
        <v>35</v>
      </c>
      <c r="E169" s="219"/>
      <c r="F169" s="219"/>
      <c r="G169" s="220"/>
      <c r="H169" s="218" t="s">
        <v>155</v>
      </c>
      <c r="I169" s="219"/>
      <c r="J169" s="220"/>
      <c r="K169" s="131" t="s">
        <v>37</v>
      </c>
      <c r="L169" s="50"/>
    </row>
    <row r="170" spans="1:17">
      <c r="A170" s="182"/>
      <c r="B170" s="183"/>
      <c r="C170" s="74" t="s">
        <v>38</v>
      </c>
      <c r="D170" s="173" t="str">
        <f>D43</f>
        <v>Jan a Out 2025</v>
      </c>
      <c r="E170" s="174"/>
      <c r="F170" s="174"/>
      <c r="G170" s="175"/>
      <c r="H170" s="173" t="str">
        <f>H43</f>
        <v>Jan a Out 2025</v>
      </c>
      <c r="I170" s="174"/>
      <c r="J170" s="175"/>
      <c r="K170" s="128" t="str">
        <f>K43</f>
        <v>Jan a Out 2025</v>
      </c>
      <c r="L170" s="50"/>
    </row>
    <row r="171" spans="1:17" ht="15" customHeight="1">
      <c r="A171" s="184"/>
      <c r="B171" s="185"/>
      <c r="C171" s="75" t="s">
        <v>39</v>
      </c>
      <c r="D171" s="189" t="s">
        <v>40</v>
      </c>
      <c r="E171" s="190"/>
      <c r="F171" s="190"/>
      <c r="G171" s="191"/>
      <c r="H171" s="189" t="s">
        <v>41</v>
      </c>
      <c r="I171" s="190"/>
      <c r="J171" s="191"/>
      <c r="K171" s="129" t="s">
        <v>42</v>
      </c>
      <c r="L171" s="50"/>
    </row>
    <row r="172" spans="1:17" ht="15" customHeight="1">
      <c r="A172" s="141" t="s">
        <v>44</v>
      </c>
      <c r="B172" s="114"/>
      <c r="C172" s="114">
        <f>1746033188</f>
        <v>1746033188</v>
      </c>
      <c r="D172" s="186">
        <f>1292862224.19</f>
        <v>1292862224.1900001</v>
      </c>
      <c r="E172" s="187"/>
      <c r="F172" s="187"/>
      <c r="G172" s="188"/>
      <c r="H172" s="186">
        <f>1292862224.19</f>
        <v>1292862224.1900001</v>
      </c>
      <c r="I172" s="187"/>
      <c r="J172" s="188"/>
      <c r="K172" s="96">
        <f>1292853360.15</f>
        <v>1292853360.1500001</v>
      </c>
      <c r="L172" s="50"/>
    </row>
    <row r="173" spans="1:17" ht="15" customHeight="1">
      <c r="A173" s="141" t="s">
        <v>97</v>
      </c>
      <c r="B173" s="114"/>
      <c r="C173" s="142">
        <f>19748912</f>
        <v>19748912</v>
      </c>
      <c r="D173" s="186">
        <f>15043185.29</f>
        <v>15043185.289999999</v>
      </c>
      <c r="E173" s="187"/>
      <c r="F173" s="187"/>
      <c r="G173" s="188"/>
      <c r="H173" s="186">
        <f>15043134.7</f>
        <v>15043134.699999999</v>
      </c>
      <c r="I173" s="187"/>
      <c r="J173" s="188"/>
      <c r="K173" s="96">
        <f>13835012.57</f>
        <v>13835012.57</v>
      </c>
      <c r="L173" s="50"/>
    </row>
    <row r="174" spans="1:17" ht="15" customHeight="1">
      <c r="A174" s="141" t="s">
        <v>46</v>
      </c>
      <c r="B174" s="114"/>
      <c r="C174" s="142">
        <f>380605694.93</f>
        <v>380605694.93000001</v>
      </c>
      <c r="D174" s="196">
        <f>1590417.1</f>
        <v>1590417.1</v>
      </c>
      <c r="E174" s="197"/>
      <c r="F174" s="197"/>
      <c r="G174" s="198"/>
      <c r="H174" s="196">
        <f>1590417.1</f>
        <v>1590417.1</v>
      </c>
      <c r="I174" s="197"/>
      <c r="J174" s="198"/>
      <c r="K174" s="96">
        <f>1434034.52</f>
        <v>1434034.52</v>
      </c>
      <c r="L174" s="50"/>
    </row>
    <row r="175" spans="1:17" ht="15" customHeight="1">
      <c r="A175" s="143" t="s">
        <v>98</v>
      </c>
      <c r="B175" s="118"/>
      <c r="C175" s="144">
        <f>C172+C173+C174</f>
        <v>2146387794.9300001</v>
      </c>
      <c r="D175" s="164">
        <f>D172+D173+D174</f>
        <v>1309495826.5799999</v>
      </c>
      <c r="E175" s="165">
        <f t="shared" ref="E175:J175" si="7">E172+E173+E174</f>
        <v>0</v>
      </c>
      <c r="F175" s="165">
        <f t="shared" si="7"/>
        <v>0</v>
      </c>
      <c r="G175" s="166">
        <f t="shared" si="7"/>
        <v>0</v>
      </c>
      <c r="H175" s="164">
        <f>H172+H173+H174</f>
        <v>1309495775.99</v>
      </c>
      <c r="I175" s="165">
        <f t="shared" si="7"/>
        <v>0</v>
      </c>
      <c r="J175" s="166">
        <f t="shared" si="7"/>
        <v>0</v>
      </c>
      <c r="K175" s="145">
        <f>K172+K173+K174</f>
        <v>1308122407.24</v>
      </c>
      <c r="L175" s="101"/>
      <c r="M175" s="11"/>
      <c r="N175" s="11"/>
      <c r="O175" s="11"/>
    </row>
    <row r="176" spans="1:17" ht="6" customHeight="1">
      <c r="A176" s="206"/>
      <c r="B176" s="207"/>
      <c r="C176" s="208"/>
      <c r="D176" s="208"/>
      <c r="E176" s="208"/>
      <c r="F176" s="208"/>
      <c r="G176" s="208"/>
      <c r="H176" s="208"/>
      <c r="I176" s="208"/>
      <c r="J176" s="208"/>
      <c r="K176" s="208"/>
    </row>
    <row r="177" spans="1:16" ht="15" customHeight="1">
      <c r="A177" s="143" t="s">
        <v>99</v>
      </c>
      <c r="B177" s="115"/>
      <c r="C177" s="146">
        <f>C167-C175</f>
        <v>-2146387794.9300001</v>
      </c>
      <c r="D177" s="177">
        <f>K167-D175</f>
        <v>-1309495826.5799999</v>
      </c>
      <c r="E177" s="178"/>
      <c r="F177" s="178"/>
      <c r="G177" s="179"/>
      <c r="H177" s="177">
        <f>K167-H175</f>
        <v>-1309495775.99</v>
      </c>
      <c r="I177" s="178"/>
      <c r="J177" s="179"/>
      <c r="K177" s="146">
        <f>K167-K175</f>
        <v>-1308122407.24</v>
      </c>
      <c r="L177" s="102"/>
      <c r="M177" s="18"/>
      <c r="N177" s="18"/>
      <c r="O177" s="18"/>
    </row>
    <row r="178" spans="1:16" ht="6" customHeight="1">
      <c r="A178" s="84"/>
      <c r="B178" s="69"/>
      <c r="C178" s="69"/>
      <c r="D178" s="85"/>
      <c r="E178" s="85"/>
      <c r="F178" s="85"/>
      <c r="G178" s="85"/>
      <c r="H178" s="85"/>
      <c r="I178" s="85"/>
      <c r="J178" s="85"/>
      <c r="K178" s="86"/>
      <c r="L178" s="50"/>
    </row>
    <row r="179" spans="1:16" ht="15" customHeight="1">
      <c r="A179" s="199" t="s">
        <v>100</v>
      </c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50"/>
    </row>
    <row r="180" spans="1:16" ht="15" customHeight="1">
      <c r="A180" s="209" t="s">
        <v>101</v>
      </c>
      <c r="B180" s="210"/>
      <c r="C180" s="214" t="s">
        <v>8</v>
      </c>
      <c r="D180" s="169" t="s">
        <v>9</v>
      </c>
      <c r="E180" s="169"/>
      <c r="F180" s="169"/>
      <c r="G180" s="169"/>
      <c r="H180" s="169"/>
      <c r="I180" s="169"/>
      <c r="J180" s="169"/>
      <c r="K180" s="169"/>
      <c r="L180" s="50"/>
    </row>
    <row r="181" spans="1:16" ht="15" customHeight="1">
      <c r="A181" s="211"/>
      <c r="B181" s="212"/>
      <c r="C181" s="215"/>
      <c r="D181" s="216" t="str">
        <f>D16</f>
        <v>Jan a Out 2025</v>
      </c>
      <c r="E181" s="217"/>
      <c r="F181" s="217"/>
      <c r="G181" s="217"/>
      <c r="H181" s="217"/>
      <c r="I181" s="217"/>
      <c r="J181" s="217"/>
      <c r="K181" s="217"/>
      <c r="L181" s="50"/>
    </row>
    <row r="182" spans="1:16" ht="15" customHeight="1">
      <c r="A182" s="171"/>
      <c r="B182" s="213"/>
      <c r="C182" s="43" t="s">
        <v>10</v>
      </c>
      <c r="D182" s="171" t="s">
        <v>11</v>
      </c>
      <c r="E182" s="171"/>
      <c r="F182" s="171"/>
      <c r="G182" s="171"/>
      <c r="H182" s="171"/>
      <c r="I182" s="171"/>
      <c r="J182" s="171"/>
      <c r="K182" s="171"/>
      <c r="L182" s="50"/>
    </row>
    <row r="183" spans="1:16" ht="15" customHeight="1">
      <c r="A183" s="138" t="s">
        <v>102</v>
      </c>
      <c r="B183" s="62"/>
      <c r="C183" s="88">
        <f>900818386.78</f>
        <v>900818386.77999997</v>
      </c>
      <c r="D183" s="205"/>
      <c r="E183" s="176"/>
      <c r="F183" s="176"/>
      <c r="G183" s="176"/>
      <c r="H183" s="176"/>
      <c r="I183" s="54"/>
      <c r="J183" s="54"/>
      <c r="K183" s="54">
        <f>722753272.72</f>
        <v>722753272.72000003</v>
      </c>
      <c r="L183" s="50"/>
    </row>
    <row r="184" spans="1:16" ht="15" customHeight="1">
      <c r="A184" s="138" t="s">
        <v>103</v>
      </c>
      <c r="B184" s="62"/>
      <c r="C184" s="88">
        <f>616248613.14</f>
        <v>616248613.13999999</v>
      </c>
      <c r="D184" s="130"/>
      <c r="E184" s="123"/>
      <c r="F184" s="123"/>
      <c r="G184" s="123"/>
      <c r="H184" s="123"/>
      <c r="I184" s="54"/>
      <c r="J184" s="54"/>
      <c r="K184" s="54">
        <f>474628861.17</f>
        <v>474628861.17000002</v>
      </c>
      <c r="L184" s="283"/>
      <c r="M184" s="256"/>
      <c r="N184" s="256"/>
      <c r="O184" s="256"/>
      <c r="P184" s="256"/>
    </row>
    <row r="185" spans="1:16" ht="15" customHeight="1">
      <c r="A185" s="138" t="s">
        <v>104</v>
      </c>
      <c r="B185" s="62"/>
      <c r="C185" s="88">
        <f>28696582.3</f>
        <v>28696582.300000001</v>
      </c>
      <c r="D185" s="130"/>
      <c r="E185" s="123"/>
      <c r="F185" s="123"/>
      <c r="G185" s="123"/>
      <c r="H185" s="123"/>
      <c r="I185" s="54"/>
      <c r="J185" s="54"/>
      <c r="K185" s="54">
        <f>22351337.67</f>
        <v>22351337.670000002</v>
      </c>
      <c r="L185" s="283"/>
      <c r="M185" s="256"/>
      <c r="N185" s="256"/>
      <c r="O185" s="256"/>
      <c r="P185" s="256"/>
    </row>
    <row r="186" spans="1:16" ht="15" customHeight="1">
      <c r="A186" s="138" t="s">
        <v>105</v>
      </c>
      <c r="B186" s="62"/>
      <c r="C186" s="88">
        <f>49560030.78</f>
        <v>49560030.780000001</v>
      </c>
      <c r="D186" s="205"/>
      <c r="E186" s="176"/>
      <c r="F186" s="176"/>
      <c r="G186" s="176"/>
      <c r="H186" s="176"/>
      <c r="I186" s="54"/>
      <c r="J186" s="54"/>
      <c r="K186" s="54">
        <f>42621977.55</f>
        <v>42621977.549999997</v>
      </c>
      <c r="L186" s="283"/>
      <c r="M186" s="256"/>
      <c r="N186" s="256"/>
      <c r="O186" s="256"/>
      <c r="P186" s="256"/>
    </row>
    <row r="187" spans="1:16" ht="15" customHeight="1">
      <c r="A187" s="137" t="s">
        <v>106</v>
      </c>
      <c r="B187" s="137"/>
      <c r="C187" s="89">
        <f>C183+C184+C185+C186</f>
        <v>1595323613</v>
      </c>
      <c r="D187" s="204"/>
      <c r="E187" s="204"/>
      <c r="F187" s="204"/>
      <c r="G187" s="204"/>
      <c r="H187" s="204"/>
      <c r="I187" s="56"/>
      <c r="J187" s="56"/>
      <c r="K187" s="159">
        <f>K183+K184+K185+K186</f>
        <v>1262355449.1100001</v>
      </c>
      <c r="L187" s="283"/>
      <c r="M187" s="260"/>
      <c r="N187" s="260"/>
      <c r="O187" s="256"/>
      <c r="P187" s="256"/>
    </row>
    <row r="188" spans="1:16" ht="6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3"/>
      <c r="L188" s="283"/>
      <c r="M188" s="260"/>
      <c r="N188" s="260"/>
      <c r="O188" s="256"/>
      <c r="P188" s="256"/>
    </row>
    <row r="189" spans="1:16" ht="28.5" customHeight="1">
      <c r="A189" s="180" t="s">
        <v>107</v>
      </c>
      <c r="B189" s="181"/>
      <c r="C189" s="73" t="s">
        <v>34</v>
      </c>
      <c r="D189" s="218" t="s">
        <v>35</v>
      </c>
      <c r="E189" s="219"/>
      <c r="F189" s="219"/>
      <c r="G189" s="220"/>
      <c r="H189" s="218" t="s">
        <v>155</v>
      </c>
      <c r="I189" s="219"/>
      <c r="J189" s="220"/>
      <c r="K189" s="131" t="s">
        <v>37</v>
      </c>
      <c r="L189" s="283"/>
      <c r="M189" s="260"/>
      <c r="N189" s="260"/>
      <c r="O189" s="256"/>
      <c r="P189" s="256"/>
    </row>
    <row r="190" spans="1:16" ht="15" customHeight="1">
      <c r="A190" s="182"/>
      <c r="B190" s="183"/>
      <c r="C190" s="74" t="s">
        <v>38</v>
      </c>
      <c r="D190" s="173" t="str">
        <f>D43</f>
        <v>Jan a Out 2025</v>
      </c>
      <c r="E190" s="174"/>
      <c r="F190" s="174"/>
      <c r="G190" s="175"/>
      <c r="H190" s="173" t="str">
        <f>H43</f>
        <v>Jan a Out 2025</v>
      </c>
      <c r="I190" s="174"/>
      <c r="J190" s="175"/>
      <c r="K190" s="128" t="str">
        <f>K43</f>
        <v>Jan a Out 2025</v>
      </c>
      <c r="L190" s="283"/>
      <c r="M190" s="256"/>
      <c r="N190" s="256"/>
      <c r="O190" s="256"/>
      <c r="P190" s="256"/>
    </row>
    <row r="191" spans="1:16" ht="15" customHeight="1">
      <c r="A191" s="184"/>
      <c r="B191" s="185"/>
      <c r="C191" s="75" t="s">
        <v>39</v>
      </c>
      <c r="D191" s="189" t="s">
        <v>40</v>
      </c>
      <c r="E191" s="190"/>
      <c r="F191" s="190"/>
      <c r="G191" s="191"/>
      <c r="H191" s="189" t="s">
        <v>41</v>
      </c>
      <c r="I191" s="190"/>
      <c r="J191" s="191"/>
      <c r="K191" s="129" t="s">
        <v>42</v>
      </c>
      <c r="L191" s="283"/>
      <c r="M191" s="256"/>
      <c r="N191" s="256"/>
      <c r="O191" s="256"/>
      <c r="P191" s="256"/>
    </row>
    <row r="192" spans="1:16" ht="15" customHeight="1">
      <c r="A192" s="141" t="s">
        <v>108</v>
      </c>
      <c r="B192" s="114"/>
      <c r="C192" s="67">
        <f>7650284762</f>
        <v>7650284762</v>
      </c>
      <c r="D192" s="222">
        <f>5438032710.91</f>
        <v>5438032710.9099998</v>
      </c>
      <c r="E192" s="223"/>
      <c r="F192" s="223"/>
      <c r="G192" s="224"/>
      <c r="H192" s="222">
        <f>5438032710.91</f>
        <v>5438032710.9099998</v>
      </c>
      <c r="I192" s="223"/>
      <c r="J192" s="224"/>
      <c r="K192" s="53">
        <f>5102931091.92</f>
        <v>5102931091.9200001</v>
      </c>
      <c r="L192" s="283"/>
      <c r="M192" s="256"/>
      <c r="N192" s="256"/>
      <c r="O192" s="256"/>
      <c r="P192" s="256"/>
    </row>
    <row r="193" spans="1:16" ht="15" customHeight="1">
      <c r="A193" s="141" t="s">
        <v>97</v>
      </c>
      <c r="B193" s="114"/>
      <c r="C193" s="66">
        <f>1783992720</f>
        <v>1783992720</v>
      </c>
      <c r="D193" s="222">
        <f>1345267375.6</f>
        <v>1345267375.5999999</v>
      </c>
      <c r="E193" s="223"/>
      <c r="F193" s="223"/>
      <c r="G193" s="224"/>
      <c r="H193" s="222">
        <f>1345267375.6</f>
        <v>1345267375.5999999</v>
      </c>
      <c r="I193" s="223"/>
      <c r="J193" s="224"/>
      <c r="K193" s="53">
        <f>1250474749.39</f>
        <v>1250474749.3900001</v>
      </c>
      <c r="L193" s="283"/>
      <c r="M193" s="256"/>
      <c r="N193" s="256"/>
      <c r="O193" s="256"/>
      <c r="P193" s="256"/>
    </row>
    <row r="194" spans="1:16" ht="15" customHeight="1">
      <c r="A194" s="141" t="s">
        <v>109</v>
      </c>
      <c r="B194" s="114"/>
      <c r="C194" s="66">
        <f>441594988.94</f>
        <v>441594988.94</v>
      </c>
      <c r="D194" s="225">
        <f>178023501.23</f>
        <v>178023501.22999999</v>
      </c>
      <c r="E194" s="226"/>
      <c r="F194" s="226"/>
      <c r="G194" s="227"/>
      <c r="H194" s="225">
        <f>149149953.54</f>
        <v>149149953.53999999</v>
      </c>
      <c r="I194" s="226"/>
      <c r="J194" s="227"/>
      <c r="K194" s="53">
        <f>148859140.26</f>
        <v>148859140.25999999</v>
      </c>
      <c r="L194" s="283"/>
      <c r="M194" s="283"/>
      <c r="N194" s="256"/>
      <c r="O194" s="256"/>
      <c r="P194" s="256"/>
    </row>
    <row r="195" spans="1:16" ht="15" customHeight="1">
      <c r="A195" s="143" t="s">
        <v>110</v>
      </c>
      <c r="B195" s="118"/>
      <c r="C195" s="68">
        <f t="shared" ref="C195:K195" si="8">C192+C193+C194</f>
        <v>9875872470.9400005</v>
      </c>
      <c r="D195" s="164">
        <f t="shared" si="8"/>
        <v>6961323587.7399998</v>
      </c>
      <c r="E195" s="165">
        <f t="shared" si="8"/>
        <v>0</v>
      </c>
      <c r="F195" s="165">
        <f t="shared" si="8"/>
        <v>0</v>
      </c>
      <c r="G195" s="166">
        <f t="shared" si="8"/>
        <v>0</v>
      </c>
      <c r="H195" s="164">
        <f t="shared" si="8"/>
        <v>6932450040.0500002</v>
      </c>
      <c r="I195" s="165">
        <f t="shared" si="8"/>
        <v>0</v>
      </c>
      <c r="J195" s="166">
        <f t="shared" si="8"/>
        <v>0</v>
      </c>
      <c r="K195" s="145">
        <f t="shared" si="8"/>
        <v>6502264981.5700006</v>
      </c>
      <c r="L195" s="284"/>
      <c r="M195" s="260"/>
      <c r="N195" s="260"/>
      <c r="O195" s="260"/>
      <c r="P195" s="285"/>
    </row>
    <row r="196" spans="1:16" ht="6" customHeight="1">
      <c r="A196" s="153"/>
      <c r="B196" s="119"/>
      <c r="C196" s="87"/>
      <c r="D196" s="161"/>
      <c r="E196" s="161"/>
      <c r="F196" s="161"/>
      <c r="G196" s="161"/>
      <c r="H196" s="161"/>
      <c r="I196" s="161"/>
      <c r="J196" s="161"/>
      <c r="K196" s="161"/>
      <c r="L196" s="284"/>
      <c r="M196" s="260"/>
      <c r="N196" s="260"/>
      <c r="O196" s="260"/>
      <c r="P196" s="256"/>
    </row>
    <row r="197" spans="1:16" ht="15" customHeight="1">
      <c r="A197" s="143" t="s">
        <v>111</v>
      </c>
      <c r="B197" s="115"/>
      <c r="C197" s="55">
        <f>C187-C195</f>
        <v>-8280548857.9400005</v>
      </c>
      <c r="D197" s="177">
        <f>K187-D195</f>
        <v>-5698968138.6299992</v>
      </c>
      <c r="E197" s="178"/>
      <c r="F197" s="178"/>
      <c r="G197" s="179"/>
      <c r="H197" s="177">
        <f>K187-H195</f>
        <v>-5670094590.9400005</v>
      </c>
      <c r="I197" s="178"/>
      <c r="J197" s="179"/>
      <c r="K197" s="146">
        <f>K187-K195</f>
        <v>-5239909532.460001</v>
      </c>
      <c r="L197" s="284"/>
      <c r="M197" s="260"/>
      <c r="N197" s="260"/>
      <c r="O197" s="260"/>
      <c r="P197" s="256"/>
    </row>
    <row r="198" spans="1:16">
      <c r="A198" s="25" t="s">
        <v>112</v>
      </c>
      <c r="B198" s="42"/>
      <c r="C198" s="25"/>
      <c r="D198" s="25"/>
      <c r="E198" s="25"/>
      <c r="F198" s="25"/>
      <c r="G198" s="25"/>
      <c r="H198" s="25"/>
      <c r="I198" s="25"/>
      <c r="J198" s="25"/>
      <c r="K198" s="61" t="s">
        <v>113</v>
      </c>
      <c r="L198" s="286"/>
      <c r="M198" s="260"/>
      <c r="N198" s="260"/>
      <c r="O198" s="260"/>
      <c r="P198" s="256"/>
    </row>
    <row r="199" spans="1:16">
      <c r="A199" s="221" t="s">
        <v>114</v>
      </c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86"/>
      <c r="M199" s="260"/>
      <c r="N199" s="260"/>
      <c r="O199" s="260"/>
      <c r="P199" s="256"/>
    </row>
    <row r="200" spans="1:16" ht="14.25" customHeight="1">
      <c r="A200" s="162" t="s">
        <v>115</v>
      </c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256"/>
      <c r="M200" s="256"/>
      <c r="N200" s="256"/>
      <c r="O200" s="256"/>
      <c r="P200" s="256"/>
    </row>
    <row r="201" spans="1:16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256"/>
      <c r="M201" s="256"/>
      <c r="N201" s="256"/>
      <c r="O201" s="256"/>
      <c r="P201" s="256"/>
    </row>
    <row r="202" spans="1:16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3"/>
    </row>
    <row r="203" spans="1:16">
      <c r="A203" s="25"/>
      <c r="B203" s="25"/>
      <c r="C203" s="57"/>
      <c r="D203" s="25"/>
      <c r="E203" s="25"/>
      <c r="F203" s="25"/>
      <c r="G203" s="25"/>
      <c r="H203" s="25"/>
      <c r="I203" s="25"/>
      <c r="J203" s="25"/>
      <c r="K203" s="23"/>
    </row>
    <row r="204" spans="1:16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3"/>
    </row>
    <row r="205" spans="1:16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3"/>
    </row>
    <row r="206" spans="1:1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3"/>
    </row>
    <row r="207" spans="1:16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3"/>
    </row>
    <row r="208" spans="1:16">
      <c r="A208" s="127" t="s">
        <v>116</v>
      </c>
      <c r="B208" s="203" t="s">
        <v>117</v>
      </c>
      <c r="C208" s="203"/>
      <c r="D208" s="203"/>
      <c r="E208" s="203"/>
      <c r="F208" s="25"/>
      <c r="G208" s="240" t="s">
        <v>118</v>
      </c>
      <c r="H208" s="240"/>
      <c r="I208" s="240"/>
      <c r="J208" s="240"/>
      <c r="K208" s="240"/>
    </row>
    <row r="209" spans="1:11">
      <c r="A209" s="127" t="s">
        <v>119</v>
      </c>
      <c r="B209" s="203" t="s">
        <v>120</v>
      </c>
      <c r="C209" s="203"/>
      <c r="D209" s="203"/>
      <c r="E209" s="203"/>
      <c r="F209" s="25"/>
      <c r="G209" s="240" t="s">
        <v>121</v>
      </c>
      <c r="H209" s="240"/>
      <c r="I209" s="240"/>
      <c r="J209" s="240"/>
      <c r="K209" s="240"/>
    </row>
    <row r="210" spans="1:11">
      <c r="A210" s="127" t="s">
        <v>122</v>
      </c>
      <c r="B210" s="203" t="s">
        <v>123</v>
      </c>
      <c r="C210" s="203"/>
      <c r="D210" s="203"/>
      <c r="E210" s="203"/>
      <c r="F210" s="25"/>
      <c r="G210" s="240" t="s">
        <v>124</v>
      </c>
      <c r="H210" s="240"/>
      <c r="I210" s="240"/>
      <c r="J210" s="240"/>
      <c r="K210" s="240"/>
    </row>
    <row r="211" spans="1: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3"/>
    </row>
    <row r="212" spans="1:1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3"/>
    </row>
    <row r="213" spans="1:1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3"/>
    </row>
    <row r="214" spans="1:1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3"/>
    </row>
    <row r="215" spans="1:1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3"/>
    </row>
    <row r="216" spans="1:1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3"/>
    </row>
    <row r="217" spans="1:1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3"/>
    </row>
    <row r="218" spans="1:1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</sheetData>
  <mergeCells count="228"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G208:K208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B210:E210"/>
    <mergeCell ref="G210:K210"/>
    <mergeCell ref="G209:K209"/>
    <mergeCell ref="B208:E208"/>
    <mergeCell ref="B209:E209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A199:K199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D197:G197"/>
    <mergeCell ref="H197:J197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A200:K200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0" orientation="portrait" r:id="rId1"/>
  <rowBreaks count="1" manualBreakCount="1">
    <brk id="113" max="10" man="1"/>
  </rowBreaks>
  <ignoredErrors>
    <ignoredError sqref="A52:K52 R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53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54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53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54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D5143-2468-4475-8787-B58496AE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E4F9DB-2B33-443A-9C0D-E2F716BA3B27}">
  <ds:schemaRefs>
    <ds:schemaRef ds:uri="http://purl.org/dc/dcmitype/"/>
    <ds:schemaRef ds:uri="ebfcc7d6-e1dc-4701-b230-8bbb8f498e60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2025-11-18T15:38:32Z</cp:lastPrinted>
  <dcterms:created xsi:type="dcterms:W3CDTF">2011-09-16T14:41:22Z</dcterms:created>
  <dcterms:modified xsi:type="dcterms:W3CDTF">2025-11-28T15:11:35Z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