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SITE 4 BIM 2025\"/>
    </mc:Choice>
  </mc:AlternateContent>
  <xr:revisionPtr revIDLastSave="0" documentId="13_ncr:1_{1412A646-4C9A-435C-B34C-AAA64104853C}" xr6:coauthVersionLast="47" xr6:coauthVersionMax="47" xr10:uidLastSave="{00000000-0000-0000-0000-000000000000}"/>
  <bookViews>
    <workbookView xWindow="-120" yWindow="-120" windowWidth="29040" windowHeight="15720" xr2:uid="{104F4C16-10C8-42A2-AB95-74E34E87F8C0}"/>
  </bookViews>
  <sheets>
    <sheet name="Anexo II - 4º BIM" sheetId="5" r:id="rId1"/>
  </sheets>
  <definedNames>
    <definedName name="_xlnm.Print_Area" localSheetId="0">'Anexo II - 4º BIM'!$A$1:$L$472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1" i="5" l="1"/>
  <c r="L423" i="5"/>
  <c r="E423" i="5"/>
  <c r="E422" i="5"/>
  <c r="E126" i="5" l="1"/>
  <c r="I421" i="5" l="1"/>
  <c r="I419" i="5"/>
  <c r="I418" i="5"/>
  <c r="I414" i="5"/>
  <c r="I408" i="5"/>
  <c r="I405" i="5"/>
  <c r="I403" i="5"/>
  <c r="I401" i="5"/>
  <c r="I398" i="5"/>
  <c r="I394" i="5"/>
  <c r="I392" i="5"/>
  <c r="I390" i="5"/>
  <c r="I388" i="5"/>
  <c r="I384" i="5"/>
  <c r="I381" i="5"/>
  <c r="I378" i="5"/>
  <c r="I377" i="5"/>
  <c r="I374" i="5"/>
  <c r="I370" i="5"/>
  <c r="I369" i="5"/>
  <c r="I367" i="5"/>
  <c r="I366" i="5"/>
  <c r="I363" i="5"/>
  <c r="I360" i="5"/>
  <c r="I359" i="5"/>
  <c r="I357" i="5"/>
  <c r="I354" i="5"/>
  <c r="I353" i="5"/>
  <c r="I350" i="5"/>
  <c r="I347" i="5"/>
  <c r="I342" i="5"/>
  <c r="I339" i="5"/>
  <c r="I337" i="5"/>
  <c r="I336" i="5"/>
  <c r="I335" i="5"/>
  <c r="I331" i="5"/>
  <c r="I330" i="5"/>
  <c r="I326" i="5"/>
  <c r="E421" i="5"/>
  <c r="E419" i="5"/>
  <c r="E418" i="5"/>
  <c r="E414" i="5"/>
  <c r="E411" i="5"/>
  <c r="E408" i="5"/>
  <c r="E405" i="5"/>
  <c r="E403" i="5"/>
  <c r="E398" i="5"/>
  <c r="E394" i="5"/>
  <c r="E392" i="5"/>
  <c r="E390" i="5"/>
  <c r="E388" i="5"/>
  <c r="E384" i="5"/>
  <c r="E381" i="5"/>
  <c r="E378" i="5"/>
  <c r="E377" i="5"/>
  <c r="E374" i="5"/>
  <c r="E370" i="5"/>
  <c r="E369" i="5"/>
  <c r="E366" i="5"/>
  <c r="E363" i="5"/>
  <c r="E360" i="5"/>
  <c r="E359" i="5"/>
  <c r="E357" i="5"/>
  <c r="E354" i="5"/>
  <c r="E353" i="5"/>
  <c r="E350" i="5"/>
  <c r="E347" i="5"/>
  <c r="E339" i="5"/>
  <c r="E336" i="5"/>
  <c r="E335" i="5"/>
  <c r="E331" i="5"/>
  <c r="E326" i="5"/>
  <c r="I301" i="5"/>
  <c r="I299" i="5"/>
  <c r="I298" i="5"/>
  <c r="I297" i="5"/>
  <c r="I294" i="5"/>
  <c r="I293" i="5"/>
  <c r="I292" i="5"/>
  <c r="I290" i="5"/>
  <c r="I288" i="5"/>
  <c r="I286" i="5"/>
  <c r="I285" i="5"/>
  <c r="I281" i="5"/>
  <c r="I278" i="5"/>
  <c r="I276" i="5"/>
  <c r="I270" i="5"/>
  <c r="I268" i="5"/>
  <c r="I267" i="5"/>
  <c r="I265" i="5"/>
  <c r="I262" i="5"/>
  <c r="I260" i="5"/>
  <c r="I256" i="5"/>
  <c r="I254" i="5"/>
  <c r="I253" i="5"/>
  <c r="I247" i="5"/>
  <c r="I245" i="5"/>
  <c r="I244" i="5"/>
  <c r="I243" i="5"/>
  <c r="I241" i="5"/>
  <c r="I239" i="5"/>
  <c r="I238" i="5"/>
  <c r="I237" i="5"/>
  <c r="I236" i="5"/>
  <c r="I229" i="5"/>
  <c r="I224" i="5"/>
  <c r="I221" i="5"/>
  <c r="I215" i="5"/>
  <c r="I213" i="5"/>
  <c r="I212" i="5"/>
  <c r="I211" i="5"/>
  <c r="I208" i="5"/>
  <c r="I207" i="5"/>
  <c r="I206" i="5"/>
  <c r="I205" i="5"/>
  <c r="I204" i="5"/>
  <c r="I203" i="5"/>
  <c r="I200" i="5"/>
  <c r="I195" i="5"/>
  <c r="I191" i="5"/>
  <c r="I190" i="5"/>
  <c r="I187" i="5"/>
  <c r="I182" i="5"/>
  <c r="I178" i="5"/>
  <c r="I176" i="5"/>
  <c r="I170" i="5"/>
  <c r="I169" i="5"/>
  <c r="E301" i="5"/>
  <c r="E299" i="5"/>
  <c r="E298" i="5"/>
  <c r="E297" i="5"/>
  <c r="E294" i="5"/>
  <c r="E293" i="5"/>
  <c r="E292" i="5"/>
  <c r="E290" i="5"/>
  <c r="E288" i="5"/>
  <c r="E286" i="5"/>
  <c r="E285" i="5"/>
  <c r="E281" i="5"/>
  <c r="E278" i="5"/>
  <c r="E276" i="5"/>
  <c r="E270" i="5"/>
  <c r="E268" i="5"/>
  <c r="E267" i="5"/>
  <c r="E265" i="5"/>
  <c r="E262" i="5"/>
  <c r="E260" i="5"/>
  <c r="E256" i="5"/>
  <c r="E254" i="5"/>
  <c r="E253" i="5"/>
  <c r="E249" i="5"/>
  <c r="E247" i="5"/>
  <c r="E245" i="5"/>
  <c r="E244" i="5"/>
  <c r="E243" i="5"/>
  <c r="E241" i="5"/>
  <c r="E239" i="5"/>
  <c r="E238" i="5"/>
  <c r="E237" i="5"/>
  <c r="E236" i="5"/>
  <c r="E229" i="5"/>
  <c r="E224" i="5"/>
  <c r="E221" i="5"/>
  <c r="E215" i="5"/>
  <c r="E213" i="5"/>
  <c r="E212" i="5"/>
  <c r="E211" i="5"/>
  <c r="E208" i="5"/>
  <c r="E207" i="5"/>
  <c r="E206" i="5"/>
  <c r="E205" i="5"/>
  <c r="E204" i="5"/>
  <c r="E203" i="5"/>
  <c r="E200" i="5"/>
  <c r="E195" i="5"/>
  <c r="E191" i="5"/>
  <c r="E190" i="5"/>
  <c r="E187" i="5"/>
  <c r="E182" i="5"/>
  <c r="E178" i="5"/>
  <c r="E176" i="5"/>
  <c r="E170" i="5"/>
  <c r="E169" i="5"/>
  <c r="I150" i="5"/>
  <c r="I149" i="5"/>
  <c r="I148" i="5"/>
  <c r="I145" i="5"/>
  <c r="I144" i="5"/>
  <c r="I140" i="5"/>
  <c r="I139" i="5"/>
  <c r="I138" i="5"/>
  <c r="I137" i="5"/>
  <c r="I136" i="5"/>
  <c r="I135" i="5"/>
  <c r="I134" i="5"/>
  <c r="I132" i="5"/>
  <c r="I131" i="5"/>
  <c r="I130" i="5"/>
  <c r="I129" i="5"/>
  <c r="I128" i="5"/>
  <c r="I127" i="5"/>
  <c r="I123" i="5"/>
  <c r="I121" i="5"/>
  <c r="I119" i="5"/>
  <c r="I114" i="5"/>
  <c r="I113" i="5"/>
  <c r="I112" i="5"/>
  <c r="I111" i="5"/>
  <c r="I110" i="5"/>
  <c r="I109" i="5"/>
  <c r="I108" i="5"/>
  <c r="I107" i="5"/>
  <c r="I104" i="5"/>
  <c r="I103" i="5"/>
  <c r="I102" i="5"/>
  <c r="I99" i="5"/>
  <c r="I98" i="5"/>
  <c r="I95" i="5"/>
  <c r="I94" i="5"/>
  <c r="I92" i="5"/>
  <c r="I91" i="5"/>
  <c r="I88" i="5"/>
  <c r="I83" i="5"/>
  <c r="I82" i="5"/>
  <c r="I81" i="5"/>
  <c r="I77" i="5"/>
  <c r="I76" i="5"/>
  <c r="I71" i="5"/>
  <c r="I70" i="5"/>
  <c r="I69" i="5"/>
  <c r="I68" i="5"/>
  <c r="I67" i="5"/>
  <c r="I66" i="5"/>
  <c r="I65" i="5"/>
  <c r="I59" i="5"/>
  <c r="I55" i="5"/>
  <c r="I50" i="5"/>
  <c r="I46" i="5"/>
  <c r="I45" i="5"/>
  <c r="I43" i="5"/>
  <c r="I42" i="5"/>
  <c r="I41" i="5"/>
  <c r="I40" i="5"/>
  <c r="I39" i="5"/>
  <c r="I38" i="5"/>
  <c r="I37" i="5"/>
  <c r="I34" i="5"/>
  <c r="I33" i="5"/>
  <c r="I32" i="5"/>
  <c r="I31" i="5"/>
  <c r="I30" i="5"/>
  <c r="I27" i="5"/>
  <c r="I26" i="5"/>
  <c r="I22" i="5"/>
  <c r="I19" i="5"/>
  <c r="I18" i="5"/>
  <c r="I17" i="5"/>
  <c r="I16" i="5"/>
  <c r="E150" i="5"/>
  <c r="E149" i="5"/>
  <c r="E148" i="5"/>
  <c r="E145" i="5"/>
  <c r="E144" i="5"/>
  <c r="E140" i="5"/>
  <c r="E139" i="5"/>
  <c r="E138" i="5"/>
  <c r="E137" i="5"/>
  <c r="E136" i="5"/>
  <c r="E135" i="5"/>
  <c r="E134" i="5"/>
  <c r="E132" i="5"/>
  <c r="E131" i="5"/>
  <c r="E130" i="5"/>
  <c r="E129" i="5"/>
  <c r="E128" i="5"/>
  <c r="E127" i="5"/>
  <c r="E123" i="5"/>
  <c r="E119" i="5"/>
  <c r="E114" i="5"/>
  <c r="E113" i="5"/>
  <c r="E112" i="5"/>
  <c r="E111" i="5"/>
  <c r="E110" i="5"/>
  <c r="E109" i="5"/>
  <c r="E108" i="5"/>
  <c r="E107" i="5"/>
  <c r="E104" i="5"/>
  <c r="E102" i="5"/>
  <c r="E99" i="5"/>
  <c r="E98" i="5"/>
  <c r="E95" i="5"/>
  <c r="E94" i="5"/>
  <c r="E92" i="5"/>
  <c r="E91" i="5"/>
  <c r="E88" i="5"/>
  <c r="E83" i="5"/>
  <c r="E82" i="5"/>
  <c r="E81" i="5"/>
  <c r="E77" i="5"/>
  <c r="E76" i="5"/>
  <c r="E70" i="5"/>
  <c r="E69" i="5"/>
  <c r="E68" i="5"/>
  <c r="E67" i="5"/>
  <c r="E66" i="5"/>
  <c r="E65" i="5"/>
  <c r="E59" i="5"/>
  <c r="E55" i="5"/>
  <c r="E50" i="5"/>
  <c r="E46" i="5"/>
  <c r="E45" i="5"/>
  <c r="E43" i="5"/>
  <c r="E42" i="5"/>
  <c r="E41" i="5"/>
  <c r="E40" i="5"/>
  <c r="E39" i="5"/>
  <c r="E38" i="5"/>
  <c r="E37" i="5"/>
  <c r="E34" i="5"/>
  <c r="E33" i="5"/>
  <c r="E32" i="5"/>
  <c r="E31" i="5"/>
  <c r="E30" i="5"/>
  <c r="E27" i="5"/>
  <c r="E26" i="5"/>
  <c r="E24" i="5"/>
  <c r="E22" i="5"/>
  <c r="E19" i="5"/>
  <c r="E18" i="5"/>
  <c r="E17" i="5"/>
  <c r="E16" i="5"/>
  <c r="E401" i="5"/>
  <c r="E367" i="5"/>
  <c r="E355" i="5"/>
  <c r="E342" i="5"/>
  <c r="E337" i="5"/>
  <c r="I249" i="5"/>
  <c r="I233" i="5"/>
  <c r="E233" i="5"/>
  <c r="E121" i="5"/>
  <c r="E103" i="5"/>
  <c r="E71" i="5"/>
  <c r="E302" i="5"/>
  <c r="E371" i="5" l="1"/>
  <c r="E361" i="5"/>
  <c r="E330" i="5"/>
  <c r="I269" i="5"/>
  <c r="I24" i="5"/>
  <c r="E269" i="5"/>
  <c r="I396" i="5"/>
  <c r="E396" i="5"/>
  <c r="I371" i="5"/>
  <c r="I348" i="5"/>
  <c r="E348" i="5"/>
  <c r="I328" i="5"/>
  <c r="E328" i="5"/>
  <c r="E287" i="5"/>
  <c r="I287" i="5"/>
  <c r="I214" i="5"/>
  <c r="E214" i="5"/>
  <c r="I198" i="5"/>
  <c r="E198" i="5"/>
  <c r="I74" i="5"/>
  <c r="E74" i="5"/>
  <c r="I23" i="5"/>
  <c r="E23" i="5" l="1"/>
  <c r="E36" i="5"/>
  <c r="E44" i="5"/>
  <c r="E47" i="5"/>
  <c r="E48" i="5"/>
  <c r="E49" i="5"/>
  <c r="E51" i="5"/>
  <c r="E52" i="5"/>
  <c r="E53" i="5"/>
  <c r="E54" i="5"/>
  <c r="E56" i="5"/>
  <c r="E57" i="5"/>
  <c r="E58" i="5"/>
  <c r="E60" i="5"/>
  <c r="E61" i="5"/>
  <c r="E62" i="5"/>
  <c r="I417" i="5"/>
  <c r="E402" i="5"/>
  <c r="I387" i="5"/>
  <c r="E387" i="5"/>
  <c r="I356" i="5"/>
  <c r="E29" i="5"/>
  <c r="E25" i="5"/>
  <c r="J324" i="5"/>
  <c r="I383" i="5"/>
  <c r="E356" i="5"/>
  <c r="F338" i="5"/>
  <c r="C389" i="5"/>
  <c r="J389" i="5"/>
  <c r="F389" i="5"/>
  <c r="D389" i="5"/>
  <c r="L396" i="5"/>
  <c r="L392" i="5"/>
  <c r="H396" i="5"/>
  <c r="H392" i="5"/>
  <c r="D329" i="5"/>
  <c r="J420" i="5"/>
  <c r="I402" i="5"/>
  <c r="E383" i="5"/>
  <c r="I361" i="5"/>
  <c r="I358" i="5" s="1"/>
  <c r="E395" i="5"/>
  <c r="L395" i="5"/>
  <c r="I395" i="5"/>
  <c r="H395" i="5"/>
  <c r="L378" i="5"/>
  <c r="L276" i="5"/>
  <c r="L279" i="5"/>
  <c r="L278" i="5"/>
  <c r="L198" i="5"/>
  <c r="E329" i="5"/>
  <c r="E279" i="5"/>
  <c r="E277" i="5"/>
  <c r="H198" i="5"/>
  <c r="E193" i="5"/>
  <c r="E168" i="5"/>
  <c r="I20" i="5"/>
  <c r="H378" i="5"/>
  <c r="L143" i="5"/>
  <c r="I143" i="5"/>
  <c r="H143" i="5"/>
  <c r="E143" i="5"/>
  <c r="L142" i="5"/>
  <c r="I142" i="5"/>
  <c r="H142" i="5"/>
  <c r="E142" i="5"/>
  <c r="J126" i="5"/>
  <c r="F126" i="5"/>
  <c r="D126" i="5"/>
  <c r="C126" i="5"/>
  <c r="J376" i="5"/>
  <c r="F376" i="5"/>
  <c r="D376" i="5"/>
  <c r="C376" i="5"/>
  <c r="C373" i="5"/>
  <c r="H412" i="5"/>
  <c r="H411" i="5"/>
  <c r="F410" i="5"/>
  <c r="D410" i="5"/>
  <c r="C410" i="5"/>
  <c r="E412" i="5"/>
  <c r="J275" i="5"/>
  <c r="F275" i="5"/>
  <c r="I279" i="5"/>
  <c r="H276" i="5"/>
  <c r="H279" i="5"/>
  <c r="H278" i="5"/>
  <c r="D275" i="5"/>
  <c r="C275" i="5"/>
  <c r="I216" i="5"/>
  <c r="L216" i="5"/>
  <c r="L215" i="5"/>
  <c r="H215" i="5"/>
  <c r="L213" i="5"/>
  <c r="H213" i="5"/>
  <c r="E216" i="5"/>
  <c r="H216" i="5"/>
  <c r="J192" i="5"/>
  <c r="F192" i="5"/>
  <c r="D192" i="5"/>
  <c r="C192" i="5"/>
  <c r="J167" i="5"/>
  <c r="F167" i="5"/>
  <c r="D167" i="5"/>
  <c r="C167" i="5"/>
  <c r="L168" i="5"/>
  <c r="H168" i="5"/>
  <c r="I146" i="5"/>
  <c r="L146" i="5"/>
  <c r="E146" i="5"/>
  <c r="H146" i="5"/>
  <c r="L55" i="5"/>
  <c r="H55" i="5"/>
  <c r="E15" i="5"/>
  <c r="L422" i="5"/>
  <c r="L419" i="5"/>
  <c r="L418" i="5"/>
  <c r="L416" i="5"/>
  <c r="L415" i="5"/>
  <c r="L414" i="5"/>
  <c r="L409" i="5"/>
  <c r="L408" i="5"/>
  <c r="L406" i="5"/>
  <c r="L405" i="5"/>
  <c r="L403" i="5"/>
  <c r="L401" i="5"/>
  <c r="L400" i="5"/>
  <c r="L399" i="5"/>
  <c r="L398" i="5"/>
  <c r="L394" i="5"/>
  <c r="L393" i="5"/>
  <c r="L391" i="5"/>
  <c r="L390" i="5"/>
  <c r="L388" i="5"/>
  <c r="L386" i="5"/>
  <c r="L384" i="5"/>
  <c r="L382" i="5"/>
  <c r="L381" i="5"/>
  <c r="L379" i="5"/>
  <c r="L377" i="5"/>
  <c r="L375" i="5"/>
  <c r="L374" i="5"/>
  <c r="L372" i="5"/>
  <c r="L371" i="5"/>
  <c r="L370" i="5"/>
  <c r="L369" i="5"/>
  <c r="L368" i="5"/>
  <c r="L367" i="5"/>
  <c r="L366" i="5"/>
  <c r="L364" i="5"/>
  <c r="L363" i="5"/>
  <c r="L361" i="5"/>
  <c r="L360" i="5"/>
  <c r="L359" i="5"/>
  <c r="L357" i="5"/>
  <c r="L355" i="5"/>
  <c r="L354" i="5"/>
  <c r="L353" i="5"/>
  <c r="L351" i="5"/>
  <c r="L350" i="5"/>
  <c r="L349" i="5"/>
  <c r="L348" i="5"/>
  <c r="L347" i="5"/>
  <c r="L345" i="5"/>
  <c r="L344" i="5"/>
  <c r="L343" i="5"/>
  <c r="L342" i="5"/>
  <c r="L341" i="5"/>
  <c r="L340" i="5"/>
  <c r="L339" i="5"/>
  <c r="L337" i="5"/>
  <c r="L336" i="5"/>
  <c r="L335" i="5"/>
  <c r="L334" i="5"/>
  <c r="L333" i="5"/>
  <c r="L331" i="5"/>
  <c r="L330" i="5"/>
  <c r="L328" i="5"/>
  <c r="L327" i="5"/>
  <c r="L326" i="5"/>
  <c r="L325" i="5"/>
  <c r="H423" i="5"/>
  <c r="H422" i="5"/>
  <c r="H421" i="5"/>
  <c r="H419" i="5"/>
  <c r="H418" i="5"/>
  <c r="H416" i="5"/>
  <c r="H415" i="5"/>
  <c r="H414" i="5"/>
  <c r="H409" i="5"/>
  <c r="H408" i="5"/>
  <c r="H406" i="5"/>
  <c r="H405" i="5"/>
  <c r="H403" i="5"/>
  <c r="H401" i="5"/>
  <c r="H400" i="5"/>
  <c r="H399" i="5"/>
  <c r="H398" i="5"/>
  <c r="H394" i="5"/>
  <c r="H393" i="5"/>
  <c r="H391" i="5"/>
  <c r="H390" i="5"/>
  <c r="H388" i="5"/>
  <c r="H386" i="5"/>
  <c r="H384" i="5"/>
  <c r="H382" i="5"/>
  <c r="H381" i="5"/>
  <c r="H379" i="5"/>
  <c r="H377" i="5"/>
  <c r="H375" i="5"/>
  <c r="H374" i="5"/>
  <c r="H372" i="5"/>
  <c r="H371" i="5"/>
  <c r="H370" i="5"/>
  <c r="H369" i="5"/>
  <c r="H368" i="5"/>
  <c r="H367" i="5"/>
  <c r="H366" i="5"/>
  <c r="H364" i="5"/>
  <c r="H363" i="5"/>
  <c r="H361" i="5"/>
  <c r="H360" i="5"/>
  <c r="H359" i="5"/>
  <c r="H357" i="5"/>
  <c r="H355" i="5"/>
  <c r="H354" i="5"/>
  <c r="H353" i="5"/>
  <c r="H351" i="5"/>
  <c r="H350" i="5"/>
  <c r="H349" i="5"/>
  <c r="H348" i="5"/>
  <c r="H347" i="5"/>
  <c r="H345" i="5"/>
  <c r="H344" i="5"/>
  <c r="H343" i="5"/>
  <c r="H342" i="5"/>
  <c r="H341" i="5"/>
  <c r="H340" i="5"/>
  <c r="H339" i="5"/>
  <c r="H337" i="5"/>
  <c r="H336" i="5"/>
  <c r="H335" i="5"/>
  <c r="H334" i="5"/>
  <c r="H333" i="5"/>
  <c r="H331" i="5"/>
  <c r="H330" i="5"/>
  <c r="H328" i="5"/>
  <c r="H327" i="5"/>
  <c r="H326" i="5"/>
  <c r="H325" i="5"/>
  <c r="L305" i="5"/>
  <c r="L304" i="5"/>
  <c r="L303" i="5"/>
  <c r="L301" i="5"/>
  <c r="L300" i="5"/>
  <c r="L299" i="5"/>
  <c r="L298" i="5"/>
  <c r="L297" i="5"/>
  <c r="L295" i="5"/>
  <c r="L294" i="5"/>
  <c r="L293" i="5"/>
  <c r="L292" i="5"/>
  <c r="L290" i="5"/>
  <c r="L289" i="5"/>
  <c r="L288" i="5"/>
  <c r="L287" i="5"/>
  <c r="L286" i="5"/>
  <c r="L285" i="5"/>
  <c r="L284" i="5"/>
  <c r="L283" i="5"/>
  <c r="L282" i="5"/>
  <c r="L281" i="5"/>
  <c r="L277" i="5"/>
  <c r="L274" i="5"/>
  <c r="L273" i="5"/>
  <c r="L272" i="5"/>
  <c r="L270" i="5"/>
  <c r="L269" i="5"/>
  <c r="L268" i="5"/>
  <c r="L267" i="5"/>
  <c r="L266" i="5"/>
  <c r="L265" i="5"/>
  <c r="L264" i="5"/>
  <c r="L263" i="5"/>
  <c r="L262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2" i="5"/>
  <c r="L221" i="5"/>
  <c r="L220" i="5"/>
  <c r="L219" i="5"/>
  <c r="L218" i="5"/>
  <c r="L217" i="5"/>
  <c r="L214" i="5"/>
  <c r="L212" i="5"/>
  <c r="L211" i="5"/>
  <c r="L209" i="5"/>
  <c r="L208" i="5"/>
  <c r="L207" i="5"/>
  <c r="L206" i="5"/>
  <c r="L205" i="5"/>
  <c r="L204" i="5"/>
  <c r="L203" i="5"/>
  <c r="L202" i="5"/>
  <c r="L201" i="5"/>
  <c r="L200" i="5"/>
  <c r="L197" i="5"/>
  <c r="L196" i="5"/>
  <c r="L195" i="5"/>
  <c r="L194" i="5"/>
  <c r="L191" i="5"/>
  <c r="L190" i="5"/>
  <c r="L189" i="5"/>
  <c r="L188" i="5"/>
  <c r="L187" i="5"/>
  <c r="L185" i="5"/>
  <c r="L184" i="5"/>
  <c r="L183" i="5"/>
  <c r="L182" i="5"/>
  <c r="L181" i="5"/>
  <c r="L180" i="5"/>
  <c r="L179" i="5"/>
  <c r="L178" i="5"/>
  <c r="L176" i="5"/>
  <c r="L175" i="5"/>
  <c r="L174" i="5"/>
  <c r="L173" i="5"/>
  <c r="L172" i="5"/>
  <c r="L171" i="5"/>
  <c r="L170" i="5"/>
  <c r="L169" i="5"/>
  <c r="H305" i="5"/>
  <c r="H304" i="5"/>
  <c r="H303" i="5"/>
  <c r="H301" i="5"/>
  <c r="H300" i="5"/>
  <c r="H299" i="5"/>
  <c r="H298" i="5"/>
  <c r="H297" i="5"/>
  <c r="H295" i="5"/>
  <c r="H294" i="5"/>
  <c r="H293" i="5"/>
  <c r="H292" i="5"/>
  <c r="H290" i="5"/>
  <c r="H289" i="5"/>
  <c r="H288" i="5"/>
  <c r="H287" i="5"/>
  <c r="H286" i="5"/>
  <c r="H285" i="5"/>
  <c r="H284" i="5"/>
  <c r="H283" i="5"/>
  <c r="H282" i="5"/>
  <c r="H281" i="5"/>
  <c r="H277" i="5"/>
  <c r="H274" i="5"/>
  <c r="H273" i="5"/>
  <c r="H272" i="5"/>
  <c r="H270" i="5"/>
  <c r="H269" i="5"/>
  <c r="H268" i="5"/>
  <c r="H267" i="5"/>
  <c r="H266" i="5"/>
  <c r="H265" i="5"/>
  <c r="H264" i="5"/>
  <c r="H263" i="5"/>
  <c r="H262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5" i="5"/>
  <c r="H244" i="5"/>
  <c r="H243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2" i="5"/>
  <c r="H221" i="5"/>
  <c r="H220" i="5"/>
  <c r="H219" i="5"/>
  <c r="H218" i="5"/>
  <c r="H217" i="5"/>
  <c r="H214" i="5"/>
  <c r="H212" i="5"/>
  <c r="H211" i="5"/>
  <c r="H209" i="5"/>
  <c r="H208" i="5"/>
  <c r="H207" i="5"/>
  <c r="H206" i="5"/>
  <c r="H205" i="5"/>
  <c r="H204" i="5"/>
  <c r="H203" i="5"/>
  <c r="H202" i="5"/>
  <c r="H201" i="5"/>
  <c r="H200" i="5"/>
  <c r="H197" i="5"/>
  <c r="H196" i="5"/>
  <c r="H195" i="5"/>
  <c r="H194" i="5"/>
  <c r="H191" i="5"/>
  <c r="H190" i="5"/>
  <c r="H189" i="5"/>
  <c r="H188" i="5"/>
  <c r="H187" i="5"/>
  <c r="H185" i="5"/>
  <c r="H184" i="5"/>
  <c r="H183" i="5"/>
  <c r="H182" i="5"/>
  <c r="H181" i="5"/>
  <c r="H180" i="5"/>
  <c r="H179" i="5"/>
  <c r="H178" i="5"/>
  <c r="H176" i="5"/>
  <c r="H175" i="5"/>
  <c r="H174" i="5"/>
  <c r="H173" i="5"/>
  <c r="H172" i="5"/>
  <c r="H171" i="5"/>
  <c r="H170" i="5"/>
  <c r="H169" i="5"/>
  <c r="H151" i="5"/>
  <c r="H150" i="5"/>
  <c r="H149" i="5"/>
  <c r="H148" i="5"/>
  <c r="H145" i="5"/>
  <c r="H144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5" i="5"/>
  <c r="H124" i="5"/>
  <c r="H123" i="5"/>
  <c r="H122" i="5"/>
  <c r="H121" i="5"/>
  <c r="H120" i="5"/>
  <c r="H119" i="5"/>
  <c r="H118" i="5"/>
  <c r="H116" i="5"/>
  <c r="H115" i="5"/>
  <c r="H114" i="5"/>
  <c r="H113" i="5"/>
  <c r="H112" i="5"/>
  <c r="H111" i="5"/>
  <c r="H110" i="5"/>
  <c r="H109" i="5"/>
  <c r="H108" i="5"/>
  <c r="H107" i="5"/>
  <c r="H105" i="5"/>
  <c r="H104" i="5"/>
  <c r="H103" i="5"/>
  <c r="H102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2" i="5"/>
  <c r="H61" i="5"/>
  <c r="H60" i="5"/>
  <c r="H59" i="5"/>
  <c r="H58" i="5"/>
  <c r="H57" i="5"/>
  <c r="H56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4" i="5"/>
  <c r="H33" i="5"/>
  <c r="H32" i="5"/>
  <c r="H31" i="5"/>
  <c r="H30" i="5"/>
  <c r="H28" i="5"/>
  <c r="H27" i="5"/>
  <c r="H26" i="5"/>
  <c r="H24" i="5"/>
  <c r="H23" i="5"/>
  <c r="H22" i="5"/>
  <c r="H21" i="5"/>
  <c r="H20" i="5"/>
  <c r="H19" i="5"/>
  <c r="H18" i="5"/>
  <c r="H17" i="5"/>
  <c r="H16" i="5"/>
  <c r="H15" i="5"/>
  <c r="L151" i="5"/>
  <c r="L150" i="5"/>
  <c r="L149" i="5"/>
  <c r="L148" i="5"/>
  <c r="L145" i="5"/>
  <c r="L144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5" i="5"/>
  <c r="L124" i="5"/>
  <c r="L123" i="5"/>
  <c r="L122" i="5"/>
  <c r="L121" i="5"/>
  <c r="L120" i="5"/>
  <c r="L119" i="5"/>
  <c r="L118" i="5"/>
  <c r="L116" i="5"/>
  <c r="L115" i="5"/>
  <c r="L114" i="5"/>
  <c r="L113" i="5"/>
  <c r="L112" i="5"/>
  <c r="L111" i="5"/>
  <c r="L110" i="5"/>
  <c r="L109" i="5"/>
  <c r="L108" i="5"/>
  <c r="L107" i="5"/>
  <c r="L105" i="5"/>
  <c r="L104" i="5"/>
  <c r="L103" i="5"/>
  <c r="L102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2" i="5"/>
  <c r="L61" i="5"/>
  <c r="L60" i="5"/>
  <c r="L59" i="5"/>
  <c r="L58" i="5"/>
  <c r="L57" i="5"/>
  <c r="L56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4" i="5"/>
  <c r="L33" i="5"/>
  <c r="L32" i="5"/>
  <c r="L31" i="5"/>
  <c r="L30" i="5"/>
  <c r="L28" i="5"/>
  <c r="L27" i="5"/>
  <c r="L26" i="5"/>
  <c r="L24" i="5"/>
  <c r="L23" i="5"/>
  <c r="L22" i="5"/>
  <c r="L21" i="5"/>
  <c r="L20" i="5"/>
  <c r="L19" i="5"/>
  <c r="L18" i="5"/>
  <c r="L17" i="5"/>
  <c r="L16" i="5"/>
  <c r="L15" i="5"/>
  <c r="I183" i="5"/>
  <c r="E183" i="5"/>
  <c r="I175" i="5"/>
  <c r="E175" i="5"/>
  <c r="E105" i="5"/>
  <c r="I105" i="5"/>
  <c r="J101" i="5"/>
  <c r="F101" i="5"/>
  <c r="D101" i="5"/>
  <c r="C101" i="5"/>
  <c r="I61" i="5"/>
  <c r="I49" i="5"/>
  <c r="I48" i="5"/>
  <c r="I28" i="5"/>
  <c r="I25" i="5" s="1"/>
  <c r="J25" i="5"/>
  <c r="F25" i="5"/>
  <c r="D25" i="5"/>
  <c r="C25" i="5"/>
  <c r="E28" i="5"/>
  <c r="I368" i="5"/>
  <c r="I349" i="5"/>
  <c r="I343" i="5"/>
  <c r="E415" i="5"/>
  <c r="E368" i="5"/>
  <c r="E349" i="5"/>
  <c r="E343" i="5"/>
  <c r="E325" i="5"/>
  <c r="I289" i="5"/>
  <c r="I277" i="5"/>
  <c r="I232" i="5"/>
  <c r="I225" i="5"/>
  <c r="I219" i="5"/>
  <c r="I217" i="5"/>
  <c r="I181" i="5"/>
  <c r="I141" i="5"/>
  <c r="I124" i="5"/>
  <c r="I84" i="5"/>
  <c r="I56" i="5"/>
  <c r="I54" i="5"/>
  <c r="I21" i="5"/>
  <c r="I15" i="5"/>
  <c r="E289" i="5"/>
  <c r="E255" i="5"/>
  <c r="E250" i="5"/>
  <c r="E242" i="5"/>
  <c r="E232" i="5"/>
  <c r="E225" i="5"/>
  <c r="E219" i="5"/>
  <c r="E217" i="5"/>
  <c r="E181" i="5"/>
  <c r="E141" i="5"/>
  <c r="E124" i="5"/>
  <c r="E84" i="5"/>
  <c r="E21" i="5"/>
  <c r="J332" i="5"/>
  <c r="I422" i="5"/>
  <c r="I420" i="5" s="1"/>
  <c r="E420" i="5"/>
  <c r="E345" i="5"/>
  <c r="I345" i="5"/>
  <c r="J338" i="5"/>
  <c r="D338" i="5"/>
  <c r="C338" i="5"/>
  <c r="I406" i="5"/>
  <c r="I404" i="5" s="1"/>
  <c r="E406" i="5"/>
  <c r="E404" i="5" s="1"/>
  <c r="J404" i="5"/>
  <c r="F404" i="5"/>
  <c r="D404" i="5"/>
  <c r="C404" i="5"/>
  <c r="I180" i="5"/>
  <c r="D420" i="5"/>
  <c r="F420" i="5"/>
  <c r="C420" i="5"/>
  <c r="D417" i="5"/>
  <c r="F417" i="5"/>
  <c r="C417" i="5"/>
  <c r="J413" i="5"/>
  <c r="D413" i="5"/>
  <c r="F413" i="5"/>
  <c r="C413" i="5"/>
  <c r="J407" i="5"/>
  <c r="D407" i="5"/>
  <c r="F407" i="5"/>
  <c r="C407" i="5"/>
  <c r="J373" i="5"/>
  <c r="D373" i="5"/>
  <c r="F373" i="5"/>
  <c r="D302" i="5"/>
  <c r="L302" i="5" s="1"/>
  <c r="C302" i="5"/>
  <c r="I416" i="5"/>
  <c r="E416" i="5"/>
  <c r="I409" i="5"/>
  <c r="I407" i="5" s="1"/>
  <c r="E409" i="5"/>
  <c r="E407" i="5" s="1"/>
  <c r="I400" i="5"/>
  <c r="E400" i="5"/>
  <c r="I375" i="5"/>
  <c r="I373" i="5" s="1"/>
  <c r="E375" i="5"/>
  <c r="E373" i="5" s="1"/>
  <c r="I196" i="5"/>
  <c r="E196" i="5"/>
  <c r="J177" i="5"/>
  <c r="F177" i="5"/>
  <c r="D177" i="5"/>
  <c r="C177" i="5"/>
  <c r="I185" i="5"/>
  <c r="E185" i="5"/>
  <c r="E180" i="5"/>
  <c r="I89" i="5"/>
  <c r="E89" i="5"/>
  <c r="J63" i="5"/>
  <c r="F63" i="5"/>
  <c r="D63" i="5"/>
  <c r="C63" i="5"/>
  <c r="I86" i="5"/>
  <c r="E86" i="5"/>
  <c r="I75" i="5"/>
  <c r="E75" i="5"/>
  <c r="I72" i="5"/>
  <c r="E72" i="5"/>
  <c r="I364" i="5"/>
  <c r="I362" i="5" s="1"/>
  <c r="E364" i="5"/>
  <c r="E362" i="5" s="1"/>
  <c r="I220" i="5"/>
  <c r="E220" i="5"/>
  <c r="I93" i="5"/>
  <c r="I78" i="5"/>
  <c r="I64" i="5"/>
  <c r="I36" i="5"/>
  <c r="E93" i="5"/>
  <c r="E78" i="5"/>
  <c r="E64" i="5"/>
  <c r="J417" i="5"/>
  <c r="J117" i="5"/>
  <c r="F117" i="5"/>
  <c r="J380" i="5"/>
  <c r="I382" i="5"/>
  <c r="I380" i="5" s="1"/>
  <c r="C380" i="5"/>
  <c r="D380" i="5"/>
  <c r="F380" i="5"/>
  <c r="E382" i="5"/>
  <c r="E380" i="5" s="1"/>
  <c r="I379" i="5"/>
  <c r="E379" i="5"/>
  <c r="E376" i="5" s="1"/>
  <c r="J362" i="5"/>
  <c r="F362" i="5"/>
  <c r="I415" i="5"/>
  <c r="F402" i="5"/>
  <c r="I341" i="5"/>
  <c r="E341" i="5"/>
  <c r="F324" i="5"/>
  <c r="C324" i="5"/>
  <c r="D324" i="5"/>
  <c r="I96" i="5"/>
  <c r="I391" i="5"/>
  <c r="J365" i="5"/>
  <c r="F365" i="5"/>
  <c r="D365" i="5"/>
  <c r="C365" i="5"/>
  <c r="I372" i="5"/>
  <c r="E372" i="5"/>
  <c r="D362" i="5"/>
  <c r="C362" i="5"/>
  <c r="E344" i="5"/>
  <c r="I344" i="5"/>
  <c r="I284" i="5"/>
  <c r="I282" i="5"/>
  <c r="E284" i="5"/>
  <c r="E282" i="5"/>
  <c r="J246" i="5"/>
  <c r="F246" i="5"/>
  <c r="D246" i="5"/>
  <c r="C246" i="5"/>
  <c r="I248" i="5"/>
  <c r="E248" i="5"/>
  <c r="J223" i="5"/>
  <c r="F223" i="5"/>
  <c r="D223" i="5"/>
  <c r="C223" i="5"/>
  <c r="I230" i="5"/>
  <c r="E230" i="5"/>
  <c r="J210" i="5"/>
  <c r="F210" i="5"/>
  <c r="D210" i="5"/>
  <c r="C210" i="5"/>
  <c r="E222" i="5"/>
  <c r="I179" i="5"/>
  <c r="E179" i="5"/>
  <c r="I118" i="5"/>
  <c r="I120" i="5"/>
  <c r="E120" i="5"/>
  <c r="D117" i="5"/>
  <c r="C117" i="5"/>
  <c r="E118" i="5"/>
  <c r="I90" i="5"/>
  <c r="E96" i="5"/>
  <c r="E90" i="5"/>
  <c r="I53" i="5"/>
  <c r="I52" i="5"/>
  <c r="E20" i="5"/>
  <c r="I351" i="5"/>
  <c r="I325" i="5"/>
  <c r="E351" i="5"/>
  <c r="I295" i="5"/>
  <c r="I274" i="5"/>
  <c r="I273" i="5"/>
  <c r="I272" i="5"/>
  <c r="I264" i="5"/>
  <c r="I255" i="5"/>
  <c r="I252" i="5"/>
  <c r="I73" i="5"/>
  <c r="I60" i="5"/>
  <c r="I57" i="5"/>
  <c r="E295" i="5"/>
  <c r="E274" i="5"/>
  <c r="E273" i="5"/>
  <c r="E272" i="5"/>
  <c r="E264" i="5"/>
  <c r="E252" i="5"/>
  <c r="E151" i="5"/>
  <c r="E147" i="5" s="1"/>
  <c r="E133" i="5"/>
  <c r="E73" i="5"/>
  <c r="J271" i="5"/>
  <c r="I218" i="5"/>
  <c r="E218" i="5"/>
  <c r="I333" i="5"/>
  <c r="E333" i="5"/>
  <c r="F332" i="5"/>
  <c r="C332" i="5"/>
  <c r="D332" i="5"/>
  <c r="J14" i="5"/>
  <c r="F14" i="5"/>
  <c r="C14" i="5"/>
  <c r="D14" i="5"/>
  <c r="D261" i="5"/>
  <c r="I174" i="5"/>
  <c r="I100" i="5"/>
  <c r="I97" i="5"/>
  <c r="I85" i="5"/>
  <c r="I80" i="5"/>
  <c r="I79" i="5"/>
  <c r="E189" i="5"/>
  <c r="I399" i="5"/>
  <c r="E399" i="5"/>
  <c r="J397" i="5"/>
  <c r="D397" i="5"/>
  <c r="F397" i="5"/>
  <c r="C397" i="5"/>
  <c r="I393" i="5"/>
  <c r="E393" i="5"/>
  <c r="E386" i="5"/>
  <c r="E385" i="5" s="1"/>
  <c r="I355" i="5"/>
  <c r="I352" i="5" s="1"/>
  <c r="E352" i="5"/>
  <c r="I340" i="5"/>
  <c r="E340" i="5"/>
  <c r="E338" i="5" s="1"/>
  <c r="E334" i="5"/>
  <c r="I334" i="5"/>
  <c r="E327" i="5"/>
  <c r="I300" i="5"/>
  <c r="E300" i="5"/>
  <c r="E296" i="5" s="1"/>
  <c r="I283" i="5"/>
  <c r="E283" i="5"/>
  <c r="D271" i="5"/>
  <c r="L271" i="5" s="1"/>
  <c r="F271" i="5"/>
  <c r="C271" i="5"/>
  <c r="I266" i="5"/>
  <c r="E266" i="5"/>
  <c r="E263" i="5"/>
  <c r="E259" i="5"/>
  <c r="E258" i="5"/>
  <c r="E257" i="5"/>
  <c r="E251" i="5"/>
  <c r="I250" i="5"/>
  <c r="I259" i="5"/>
  <c r="I258" i="5"/>
  <c r="E240" i="5"/>
  <c r="E231" i="5"/>
  <c r="E234" i="5"/>
  <c r="E235" i="5"/>
  <c r="E226" i="5"/>
  <c r="E227" i="5"/>
  <c r="E228" i="5"/>
  <c r="I235" i="5"/>
  <c r="I234" i="5"/>
  <c r="I228" i="5"/>
  <c r="I227" i="5"/>
  <c r="I201" i="5"/>
  <c r="I202" i="5"/>
  <c r="I209" i="5"/>
  <c r="E201" i="5"/>
  <c r="E202" i="5"/>
  <c r="E209" i="5"/>
  <c r="D199" i="5"/>
  <c r="F199" i="5"/>
  <c r="C199" i="5"/>
  <c r="E197" i="5"/>
  <c r="E194" i="5"/>
  <c r="I194" i="5"/>
  <c r="I188" i="5"/>
  <c r="E188" i="5"/>
  <c r="E184" i="5"/>
  <c r="I171" i="5"/>
  <c r="E174" i="5"/>
  <c r="E173" i="5"/>
  <c r="E172" i="5"/>
  <c r="E171" i="5"/>
  <c r="I151" i="5"/>
  <c r="I147" i="5" s="1"/>
  <c r="I133" i="5"/>
  <c r="J87" i="5"/>
  <c r="D87" i="5"/>
  <c r="F87" i="5"/>
  <c r="C87" i="5"/>
  <c r="I122" i="5"/>
  <c r="I125" i="5"/>
  <c r="I115" i="5"/>
  <c r="I116" i="5"/>
  <c r="E122" i="5"/>
  <c r="E125" i="5"/>
  <c r="E115" i="5"/>
  <c r="E116" i="5"/>
  <c r="E97" i="5"/>
  <c r="E100" i="5"/>
  <c r="E85" i="5"/>
  <c r="E80" i="5"/>
  <c r="E79" i="5"/>
  <c r="I47" i="5"/>
  <c r="I44" i="5"/>
  <c r="J358" i="5"/>
  <c r="I386" i="5"/>
  <c r="I385" i="5" s="1"/>
  <c r="J385" i="5"/>
  <c r="F385" i="5"/>
  <c r="D385" i="5"/>
  <c r="C385" i="5"/>
  <c r="A161" i="5"/>
  <c r="A317" i="5" s="1"/>
  <c r="L162" i="5"/>
  <c r="L318" i="5" s="1"/>
  <c r="J402" i="5"/>
  <c r="D402" i="5"/>
  <c r="C402" i="5"/>
  <c r="J387" i="5"/>
  <c r="F387" i="5"/>
  <c r="D387" i="5"/>
  <c r="C387" i="5"/>
  <c r="J383" i="5"/>
  <c r="F383" i="5"/>
  <c r="D383" i="5"/>
  <c r="C383" i="5"/>
  <c r="F358" i="5"/>
  <c r="D358" i="5"/>
  <c r="C358" i="5"/>
  <c r="J356" i="5"/>
  <c r="F356" i="5"/>
  <c r="D356" i="5"/>
  <c r="C356" i="5"/>
  <c r="J352" i="5"/>
  <c r="F352" i="5"/>
  <c r="D352" i="5"/>
  <c r="C352" i="5"/>
  <c r="J346" i="5"/>
  <c r="F346" i="5"/>
  <c r="D346" i="5"/>
  <c r="C346" i="5"/>
  <c r="J329" i="5"/>
  <c r="F329" i="5"/>
  <c r="C329" i="5"/>
  <c r="I327" i="5"/>
  <c r="J296" i="5"/>
  <c r="F296" i="5"/>
  <c r="D296" i="5"/>
  <c r="C296" i="5"/>
  <c r="J291" i="5"/>
  <c r="F291" i="5"/>
  <c r="D291" i="5"/>
  <c r="C291" i="5"/>
  <c r="J280" i="5"/>
  <c r="F280" i="5"/>
  <c r="D280" i="5"/>
  <c r="C280" i="5"/>
  <c r="I263" i="5"/>
  <c r="J261" i="5"/>
  <c r="F261" i="5"/>
  <c r="C261" i="5"/>
  <c r="I257" i="5"/>
  <c r="I251" i="5"/>
  <c r="J242" i="5"/>
  <c r="F242" i="5"/>
  <c r="D242" i="5"/>
  <c r="C242" i="5"/>
  <c r="I240" i="5"/>
  <c r="I231" i="5"/>
  <c r="I226" i="5"/>
  <c r="J199" i="5"/>
  <c r="I197" i="5"/>
  <c r="I189" i="5"/>
  <c r="J186" i="5"/>
  <c r="F186" i="5"/>
  <c r="D186" i="5"/>
  <c r="C186" i="5"/>
  <c r="I184" i="5"/>
  <c r="I173" i="5"/>
  <c r="I172" i="5"/>
  <c r="J147" i="5"/>
  <c r="F147" i="5"/>
  <c r="D147" i="5"/>
  <c r="C147" i="5"/>
  <c r="J106" i="5"/>
  <c r="F106" i="5"/>
  <c r="D106" i="5"/>
  <c r="C106" i="5"/>
  <c r="I62" i="5"/>
  <c r="I51" i="5"/>
  <c r="J35" i="5"/>
  <c r="F35" i="5"/>
  <c r="D35" i="5"/>
  <c r="C35" i="5"/>
  <c r="J29" i="5"/>
  <c r="F29" i="5"/>
  <c r="D29" i="5"/>
  <c r="C29" i="5"/>
  <c r="I412" i="5"/>
  <c r="L412" i="5"/>
  <c r="J410" i="5"/>
  <c r="I410" i="5" s="1"/>
  <c r="I411" i="5"/>
  <c r="L411" i="5"/>
  <c r="I329" i="5"/>
  <c r="E358" i="5"/>
  <c r="H362" i="5" l="1"/>
  <c r="H275" i="5"/>
  <c r="L324" i="5"/>
  <c r="E101" i="5"/>
  <c r="L352" i="5"/>
  <c r="I397" i="5"/>
  <c r="E365" i="5"/>
  <c r="E346" i="5"/>
  <c r="H192" i="5"/>
  <c r="I271" i="5"/>
  <c r="I210" i="5"/>
  <c r="I413" i="5"/>
  <c r="E410" i="5"/>
  <c r="H302" i="5"/>
  <c r="E271" i="5"/>
  <c r="E413" i="5"/>
  <c r="L385" i="5"/>
  <c r="I167" i="5"/>
  <c r="I177" i="5"/>
  <c r="E177" i="5"/>
  <c r="I192" i="5"/>
  <c r="I365" i="5"/>
  <c r="H271" i="5"/>
  <c r="I332" i="5"/>
  <c r="I117" i="5"/>
  <c r="H101" i="5"/>
  <c r="I186" i="5"/>
  <c r="E167" i="5"/>
  <c r="E261" i="5"/>
  <c r="L362" i="5"/>
  <c r="I275" i="5"/>
  <c r="H338" i="5"/>
  <c r="I346" i="5"/>
  <c r="I324" i="5"/>
  <c r="H373" i="5"/>
  <c r="L410" i="5"/>
  <c r="H14" i="5"/>
  <c r="H383" i="5"/>
  <c r="L373" i="5"/>
  <c r="L358" i="5"/>
  <c r="H356" i="5"/>
  <c r="H352" i="5"/>
  <c r="L338" i="5"/>
  <c r="L332" i="5"/>
  <c r="E332" i="5"/>
  <c r="E324" i="5"/>
  <c r="L404" i="5"/>
  <c r="H404" i="5"/>
  <c r="H380" i="5"/>
  <c r="H358" i="5"/>
  <c r="C323" i="5"/>
  <c r="C306" i="5" s="1"/>
  <c r="I242" i="5"/>
  <c r="H223" i="5"/>
  <c r="E210" i="5"/>
  <c r="E199" i="5"/>
  <c r="L199" i="5"/>
  <c r="E186" i="5"/>
  <c r="L117" i="5"/>
  <c r="E117" i="5"/>
  <c r="I101" i="5"/>
  <c r="I87" i="5"/>
  <c r="E87" i="5"/>
  <c r="I63" i="5"/>
  <c r="E63" i="5"/>
  <c r="E14" i="5"/>
  <c r="I29" i="5"/>
  <c r="L29" i="5"/>
  <c r="C13" i="5"/>
  <c r="H420" i="5"/>
  <c r="H410" i="5"/>
  <c r="L402" i="5"/>
  <c r="L397" i="5"/>
  <c r="E397" i="5"/>
  <c r="H397" i="5"/>
  <c r="E389" i="5"/>
  <c r="H389" i="5"/>
  <c r="H387" i="5"/>
  <c r="L346" i="5"/>
  <c r="H346" i="5"/>
  <c r="H332" i="5"/>
  <c r="H324" i="5"/>
  <c r="I291" i="5"/>
  <c r="E291" i="5"/>
  <c r="H291" i="5"/>
  <c r="L275" i="5"/>
  <c r="E275" i="5"/>
  <c r="I223" i="5"/>
  <c r="E223" i="5"/>
  <c r="H210" i="5"/>
  <c r="I199" i="5"/>
  <c r="H199" i="5"/>
  <c r="E192" i="5"/>
  <c r="H186" i="5"/>
  <c r="L177" i="5"/>
  <c r="L147" i="5"/>
  <c r="I126" i="5"/>
  <c r="H126" i="5"/>
  <c r="I106" i="5"/>
  <c r="E106" i="5"/>
  <c r="H87" i="5"/>
  <c r="H63" i="5"/>
  <c r="I14" i="5"/>
  <c r="L420" i="5"/>
  <c r="H417" i="5"/>
  <c r="E417" i="5"/>
  <c r="H413" i="5"/>
  <c r="H407" i="5"/>
  <c r="L389" i="5"/>
  <c r="L387" i="5"/>
  <c r="L383" i="5"/>
  <c r="H376" i="5"/>
  <c r="L376" i="5"/>
  <c r="H365" i="5"/>
  <c r="L365" i="5"/>
  <c r="L356" i="5"/>
  <c r="L296" i="5"/>
  <c r="L291" i="5"/>
  <c r="L280" i="5"/>
  <c r="H261" i="5"/>
  <c r="E246" i="5"/>
  <c r="L223" i="5"/>
  <c r="L192" i="5"/>
  <c r="H177" i="5"/>
  <c r="H117" i="5"/>
  <c r="H106" i="5"/>
  <c r="L63" i="5"/>
  <c r="H29" i="5"/>
  <c r="L417" i="5"/>
  <c r="L413" i="5"/>
  <c r="L407" i="5"/>
  <c r="H402" i="5"/>
  <c r="D323" i="5"/>
  <c r="D306" i="5" s="1"/>
  <c r="I389" i="5"/>
  <c r="H385" i="5"/>
  <c r="L380" i="5"/>
  <c r="I376" i="5"/>
  <c r="F323" i="5"/>
  <c r="F306" i="5" s="1"/>
  <c r="I338" i="5"/>
  <c r="H329" i="5"/>
  <c r="I296" i="5"/>
  <c r="H296" i="5"/>
  <c r="I280" i="5"/>
  <c r="E280" i="5"/>
  <c r="H280" i="5"/>
  <c r="I261" i="5"/>
  <c r="L261" i="5"/>
  <c r="I246" i="5"/>
  <c r="H246" i="5"/>
  <c r="L246" i="5"/>
  <c r="H242" i="5"/>
  <c r="L242" i="5"/>
  <c r="L210" i="5"/>
  <c r="L186" i="5"/>
  <c r="H167" i="5"/>
  <c r="L167" i="5"/>
  <c r="H147" i="5"/>
  <c r="L126" i="5"/>
  <c r="L106" i="5"/>
  <c r="L101" i="5"/>
  <c r="L87" i="5"/>
  <c r="E35" i="5"/>
  <c r="H35" i="5"/>
  <c r="J323" i="5"/>
  <c r="L329" i="5"/>
  <c r="J13" i="5"/>
  <c r="I35" i="5"/>
  <c r="L35" i="5"/>
  <c r="F13" i="5"/>
  <c r="H25" i="5"/>
  <c r="L25" i="5"/>
  <c r="D13" i="5"/>
  <c r="L14" i="5"/>
  <c r="E323" i="5" l="1"/>
  <c r="E306" i="5" s="1"/>
  <c r="C307" i="5"/>
  <c r="I13" i="5"/>
  <c r="E13" i="5"/>
  <c r="D307" i="5"/>
  <c r="L323" i="5"/>
  <c r="H306" i="5"/>
  <c r="H323" i="5"/>
  <c r="F307" i="5"/>
  <c r="J306" i="5"/>
  <c r="L306" i="5" s="1"/>
  <c r="L13" i="5"/>
  <c r="H13" i="5"/>
  <c r="G113" i="5" l="1"/>
  <c r="G168" i="5"/>
  <c r="E307" i="5"/>
  <c r="G147" i="5"/>
  <c r="G51" i="5"/>
  <c r="G109" i="5"/>
  <c r="G13" i="5"/>
  <c r="G249" i="5"/>
  <c r="G134" i="5"/>
  <c r="G119" i="5"/>
  <c r="G281" i="5"/>
  <c r="G288" i="5"/>
  <c r="G193" i="5"/>
  <c r="G96" i="5"/>
  <c r="H307" i="5"/>
  <c r="G266" i="5"/>
  <c r="G173" i="5"/>
  <c r="G341" i="5"/>
  <c r="G273" i="5"/>
  <c r="G393" i="5"/>
  <c r="G224" i="5"/>
  <c r="G258" i="5"/>
  <c r="G122" i="5"/>
  <c r="G47" i="5"/>
  <c r="G397" i="5"/>
  <c r="G252" i="5"/>
  <c r="G137" i="5"/>
  <c r="G200" i="5"/>
  <c r="G199" i="5"/>
  <c r="G406" i="5"/>
  <c r="G337" i="5"/>
  <c r="G82" i="5"/>
  <c r="G347" i="5"/>
  <c r="G20" i="5"/>
  <c r="G342" i="5"/>
  <c r="G291" i="5"/>
  <c r="G297" i="5"/>
  <c r="G94" i="5"/>
  <c r="G403" i="5"/>
  <c r="G34" i="5"/>
  <c r="G211" i="5"/>
  <c r="G188" i="5"/>
  <c r="G360" i="5"/>
  <c r="G128" i="5"/>
  <c r="G38" i="5"/>
  <c r="G370" i="5"/>
  <c r="G14" i="5"/>
  <c r="G388" i="5"/>
  <c r="G185" i="5"/>
  <c r="G181" i="5"/>
  <c r="G143" i="5"/>
  <c r="G248" i="5"/>
  <c r="G176" i="5"/>
  <c r="G338" i="5"/>
  <c r="G419" i="5"/>
  <c r="G138" i="5"/>
  <c r="G73" i="5"/>
  <c r="G378" i="5"/>
  <c r="G416" i="5"/>
  <c r="G274" i="5"/>
  <c r="G55" i="5"/>
  <c r="G377" i="5"/>
  <c r="G306" i="5"/>
  <c r="G150" i="5"/>
  <c r="G167" i="5"/>
  <c r="G33" i="5"/>
  <c r="G402" i="5"/>
  <c r="G359" i="5"/>
  <c r="G39" i="5"/>
  <c r="G81" i="5"/>
  <c r="G409" i="5"/>
  <c r="G64" i="5"/>
  <c r="G203" i="5"/>
  <c r="G367" i="5"/>
  <c r="G333" i="5"/>
  <c r="G334" i="5"/>
  <c r="G120" i="5"/>
  <c r="G240" i="5"/>
  <c r="G53" i="5"/>
  <c r="G90" i="5"/>
  <c r="G242" i="5"/>
  <c r="G62" i="5"/>
  <c r="G40" i="5"/>
  <c r="G107" i="5"/>
  <c r="G413" i="5"/>
  <c r="G227" i="5"/>
  <c r="G345" i="5"/>
  <c r="G74" i="5"/>
  <c r="G231" i="5"/>
  <c r="G189" i="5"/>
  <c r="G43" i="5"/>
  <c r="G184" i="5"/>
  <c r="G376" i="5"/>
  <c r="G369" i="5"/>
  <c r="G387" i="5"/>
  <c r="G340" i="5"/>
  <c r="G131" i="5"/>
  <c r="G346" i="5"/>
  <c r="G351" i="5"/>
  <c r="G368" i="5"/>
  <c r="G358" i="5"/>
  <c r="G414" i="5"/>
  <c r="G255" i="5"/>
  <c r="G108" i="5"/>
  <c r="G323" i="5"/>
  <c r="G379" i="5"/>
  <c r="G92" i="5"/>
  <c r="G382" i="5"/>
  <c r="G222" i="5"/>
  <c r="G67" i="5"/>
  <c r="G269" i="5"/>
  <c r="G336" i="5"/>
  <c r="G204" i="5"/>
  <c r="G26" i="5"/>
  <c r="G296" i="5"/>
  <c r="G135" i="5"/>
  <c r="G68" i="5"/>
  <c r="G363" i="5"/>
  <c r="G115" i="5"/>
  <c r="G327" i="5"/>
  <c r="G46" i="5"/>
  <c r="G344" i="5"/>
  <c r="G244" i="5"/>
  <c r="G383" i="5"/>
  <c r="G93" i="5"/>
  <c r="G235" i="5"/>
  <c r="G52" i="5"/>
  <c r="G352" i="5"/>
  <c r="G29" i="5"/>
  <c r="G98" i="5"/>
  <c r="G141" i="5"/>
  <c r="G149" i="5"/>
  <c r="G170" i="5"/>
  <c r="G66" i="5"/>
  <c r="G332" i="5"/>
  <c r="G145" i="5"/>
  <c r="G103" i="5"/>
  <c r="G324" i="5"/>
  <c r="G177" i="5"/>
  <c r="G355" i="5"/>
  <c r="G398" i="5"/>
  <c r="G299" i="5"/>
  <c r="G207" i="5"/>
  <c r="G276" i="5"/>
  <c r="G84" i="5"/>
  <c r="G223" i="5"/>
  <c r="G407" i="5"/>
  <c r="G35" i="5"/>
  <c r="G206" i="5"/>
  <c r="G21" i="5"/>
  <c r="G275" i="5"/>
  <c r="G400" i="5"/>
  <c r="G374" i="5"/>
  <c r="G186" i="5"/>
  <c r="G132" i="5"/>
  <c r="G48" i="5"/>
  <c r="G220" i="5"/>
  <c r="G37" i="5"/>
  <c r="G172" i="5"/>
  <c r="G125" i="5"/>
  <c r="G139" i="5"/>
  <c r="G408" i="5"/>
  <c r="G233" i="5"/>
  <c r="G335" i="5"/>
  <c r="G243" i="5"/>
  <c r="G191" i="5"/>
  <c r="G129" i="5"/>
  <c r="G180" i="5"/>
  <c r="G284" i="5"/>
  <c r="G70" i="5"/>
  <c r="G83" i="5"/>
  <c r="G217" i="5"/>
  <c r="G404" i="5"/>
  <c r="G127" i="5"/>
  <c r="G365" i="5"/>
  <c r="G357" i="5"/>
  <c r="G106" i="5"/>
  <c r="G88" i="5"/>
  <c r="G190" i="5"/>
  <c r="G63" i="5"/>
  <c r="G212" i="5"/>
  <c r="G395" i="5"/>
  <c r="G229" i="5"/>
  <c r="G228" i="5"/>
  <c r="G298" i="5"/>
  <c r="G27" i="5"/>
  <c r="G105" i="5"/>
  <c r="G50" i="5"/>
  <c r="G187" i="5"/>
  <c r="G91" i="5"/>
  <c r="G293" i="5"/>
  <c r="G198" i="5"/>
  <c r="G142" i="5"/>
  <c r="G196" i="5"/>
  <c r="G245" i="5"/>
  <c r="G195" i="5"/>
  <c r="G101" i="5"/>
  <c r="G238" i="5"/>
  <c r="G415" i="5"/>
  <c r="G282" i="5"/>
  <c r="G391" i="5"/>
  <c r="G372" i="5"/>
  <c r="G197" i="5"/>
  <c r="G232" i="5"/>
  <c r="G262" i="5"/>
  <c r="G247" i="5"/>
  <c r="G271" i="5"/>
  <c r="G421" i="5"/>
  <c r="G213" i="5"/>
  <c r="G356" i="5"/>
  <c r="G86" i="5"/>
  <c r="G116" i="5"/>
  <c r="G28" i="5"/>
  <c r="G201" i="5"/>
  <c r="G354" i="5"/>
  <c r="G112" i="5"/>
  <c r="G192" i="5"/>
  <c r="G410" i="5"/>
  <c r="I323" i="5" s="1"/>
  <c r="I306" i="5" s="1"/>
  <c r="I307" i="5" s="1"/>
  <c r="G392" i="5"/>
  <c r="G399" i="5"/>
  <c r="G31" i="5"/>
  <c r="G326" i="5"/>
  <c r="G366" i="5"/>
  <c r="G80" i="5"/>
  <c r="G44" i="5"/>
  <c r="G348" i="5"/>
  <c r="G144" i="5"/>
  <c r="G385" i="5"/>
  <c r="G71" i="5"/>
  <c r="G78" i="5"/>
  <c r="G126" i="5"/>
  <c r="G259" i="5"/>
  <c r="G97" i="5"/>
  <c r="G285" i="5"/>
  <c r="G277" i="5"/>
  <c r="G45" i="5"/>
  <c r="G339" i="5"/>
  <c r="G230" i="5"/>
  <c r="G59" i="5"/>
  <c r="G136" i="5"/>
  <c r="G87" i="5"/>
  <c r="G362" i="5"/>
  <c r="G394" i="5"/>
  <c r="G75" i="5"/>
  <c r="G17" i="5"/>
  <c r="G361" i="5"/>
  <c r="G218" i="5"/>
  <c r="G69" i="5"/>
  <c r="G270" i="5"/>
  <c r="G169" i="5"/>
  <c r="G60" i="5"/>
  <c r="G179" i="5"/>
  <c r="G151" i="5"/>
  <c r="G289" i="5"/>
  <c r="G263" i="5"/>
  <c r="G405" i="5"/>
  <c r="G130" i="5"/>
  <c r="G99" i="5"/>
  <c r="G41" i="5"/>
  <c r="G257" i="5"/>
  <c r="G178" i="5"/>
  <c r="G117" i="5"/>
  <c r="G290" i="5"/>
  <c r="G104" i="5"/>
  <c r="G286" i="5"/>
  <c r="G18" i="5"/>
  <c r="G329" i="5"/>
  <c r="G353" i="5"/>
  <c r="G417" i="5"/>
  <c r="G140" i="5"/>
  <c r="G210" i="5"/>
  <c r="G124" i="5"/>
  <c r="G221" i="5"/>
  <c r="G36" i="5"/>
  <c r="G241" i="5"/>
  <c r="G261" i="5"/>
  <c r="G72" i="5"/>
  <c r="G343" i="5"/>
  <c r="G85" i="5"/>
  <c r="G237" i="5"/>
  <c r="G264" i="5"/>
  <c r="G111" i="5"/>
  <c r="G272" i="5"/>
  <c r="G118" i="5"/>
  <c r="G253" i="5"/>
  <c r="G325" i="5"/>
  <c r="G364" i="5"/>
  <c r="G61" i="5"/>
  <c r="G294" i="5"/>
  <c r="G280" i="5"/>
  <c r="G396" i="5"/>
  <c r="G300" i="5"/>
  <c r="G174" i="5"/>
  <c r="G148" i="5"/>
  <c r="G175" i="5"/>
  <c r="G215" i="5"/>
  <c r="G384" i="5"/>
  <c r="G205" i="5"/>
  <c r="G260" i="5"/>
  <c r="G19" i="5"/>
  <c r="G420" i="5"/>
  <c r="G422" i="5"/>
  <c r="G208" i="5"/>
  <c r="G287" i="5"/>
  <c r="G411" i="5"/>
  <c r="G77" i="5"/>
  <c r="G219" i="5"/>
  <c r="G234" i="5"/>
  <c r="G42" i="5"/>
  <c r="G389" i="5"/>
  <c r="G133" i="5"/>
  <c r="G110" i="5"/>
  <c r="G23" i="5"/>
  <c r="G418" i="5"/>
  <c r="G254" i="5"/>
  <c r="G32" i="5"/>
  <c r="G390" i="5"/>
  <c r="G412" i="5"/>
  <c r="G57" i="5"/>
  <c r="G89" i="5"/>
  <c r="G301" i="5"/>
  <c r="G380" i="5"/>
  <c r="G15" i="5"/>
  <c r="G373" i="5"/>
  <c r="G183" i="5"/>
  <c r="G216" i="5"/>
  <c r="G202" i="5"/>
  <c r="G65" i="5"/>
  <c r="G225" i="5"/>
  <c r="G267" i="5"/>
  <c r="G330" i="5"/>
  <c r="G265" i="5"/>
  <c r="G49" i="5"/>
  <c r="G16" i="5"/>
  <c r="G381" i="5"/>
  <c r="G279" i="5"/>
  <c r="G30" i="5"/>
  <c r="G268" i="5"/>
  <c r="G182" i="5"/>
  <c r="G194" i="5"/>
  <c r="G24" i="5"/>
  <c r="G295" i="5"/>
  <c r="G58" i="5"/>
  <c r="G292" i="5"/>
  <c r="G350" i="5"/>
  <c r="G54" i="5"/>
  <c r="G56" i="5"/>
  <c r="G401" i="5"/>
  <c r="G250" i="5"/>
  <c r="G283" i="5"/>
  <c r="G209" i="5"/>
  <c r="G239" i="5"/>
  <c r="G375" i="5"/>
  <c r="G22" i="5"/>
  <c r="G114" i="5"/>
  <c r="G386" i="5"/>
  <c r="G328" i="5"/>
  <c r="G214" i="5"/>
  <c r="G246" i="5"/>
  <c r="G278" i="5"/>
  <c r="G256" i="5"/>
  <c r="G236" i="5"/>
  <c r="G146" i="5"/>
  <c r="G371" i="5"/>
  <c r="G121" i="5"/>
  <c r="G226" i="5"/>
  <c r="G331" i="5"/>
  <c r="G95" i="5"/>
  <c r="G100" i="5"/>
  <c r="G171" i="5"/>
  <c r="G123" i="5"/>
  <c r="G76" i="5"/>
  <c r="G79" i="5"/>
  <c r="G102" i="5"/>
  <c r="G251" i="5"/>
  <c r="G349" i="5"/>
  <c r="G25" i="5"/>
  <c r="L307" i="5"/>
  <c r="J307" i="5"/>
  <c r="K92" i="5" l="1"/>
  <c r="K207" i="5"/>
  <c r="K198" i="5"/>
  <c r="K193" i="5"/>
  <c r="K324" i="5"/>
  <c r="K392" i="5"/>
  <c r="G307" i="5"/>
  <c r="K169" i="5"/>
  <c r="K336" i="5"/>
  <c r="K56" i="5"/>
  <c r="K367" i="5"/>
  <c r="K407" i="5"/>
  <c r="K137" i="5"/>
  <c r="K134" i="5"/>
  <c r="K25" i="5"/>
  <c r="K402" i="5"/>
  <c r="K288" i="5"/>
  <c r="K139" i="5"/>
  <c r="K170" i="5"/>
  <c r="K233" i="5"/>
  <c r="K185" i="5"/>
  <c r="K262" i="5"/>
  <c r="K216" i="5"/>
  <c r="K81" i="5"/>
  <c r="K76" i="5"/>
  <c r="K114" i="5"/>
  <c r="K228" i="5"/>
  <c r="K343" i="5"/>
  <c r="K72" i="5"/>
  <c r="K186" i="5"/>
  <c r="K30" i="5"/>
  <c r="K232" i="5"/>
  <c r="K195" i="5"/>
  <c r="K85" i="5"/>
  <c r="K375" i="5"/>
  <c r="K363" i="5"/>
  <c r="K111" i="5"/>
  <c r="K271" i="5"/>
  <c r="K209" i="5"/>
  <c r="K246" i="5"/>
  <c r="K329" i="5"/>
  <c r="K256" i="5"/>
  <c r="K244" i="5"/>
  <c r="K419" i="5"/>
  <c r="K95" i="5"/>
  <c r="K354" i="5"/>
  <c r="K177" i="5"/>
  <c r="K386" i="5"/>
  <c r="K66" i="5"/>
  <c r="K306" i="5"/>
  <c r="K416" i="5"/>
  <c r="K123" i="5"/>
  <c r="K59" i="5"/>
  <c r="K339" i="5"/>
  <c r="K73" i="5"/>
  <c r="K131" i="5"/>
  <c r="K278" i="5"/>
  <c r="K421" i="5"/>
  <c r="K199" i="5"/>
  <c r="K253" i="5"/>
  <c r="K334" i="5"/>
  <c r="K16" i="5"/>
  <c r="K379" i="5"/>
  <c r="K290" i="5"/>
  <c r="K147" i="5"/>
  <c r="K225" i="5"/>
  <c r="K388" i="5"/>
  <c r="K396" i="5"/>
  <c r="K393" i="5"/>
  <c r="K136" i="5"/>
  <c r="K130" i="5"/>
  <c r="K37" i="5"/>
  <c r="K179" i="5"/>
  <c r="K97" i="5"/>
  <c r="K340" i="5"/>
  <c r="K151" i="5"/>
  <c r="K390" i="5"/>
  <c r="K213" i="5"/>
  <c r="K269" i="5"/>
  <c r="K176" i="5"/>
  <c r="K229" i="5"/>
  <c r="K205" i="5"/>
  <c r="K96" i="5"/>
  <c r="K63" i="5"/>
  <c r="K100" i="5"/>
  <c r="K87" i="5"/>
  <c r="K71" i="5"/>
  <c r="K74" i="5"/>
  <c r="K361" i="5"/>
  <c r="K243" i="5"/>
  <c r="K86" i="5"/>
  <c r="K142" i="5"/>
  <c r="K257" i="5"/>
  <c r="K138" i="5"/>
  <c r="K125" i="5"/>
  <c r="K332" i="5"/>
  <c r="K236" i="5"/>
  <c r="K173" i="5"/>
  <c r="K341" i="5"/>
  <c r="K204" i="5"/>
  <c r="K289" i="5"/>
  <c r="K346" i="5"/>
  <c r="K39" i="5"/>
  <c r="K79" i="5"/>
  <c r="K328" i="5"/>
  <c r="K404" i="5"/>
  <c r="K172" i="5"/>
  <c r="K220" i="5"/>
  <c r="K175" i="5"/>
  <c r="K275" i="5"/>
  <c r="K351" i="5"/>
  <c r="K124" i="5"/>
  <c r="K360" i="5"/>
  <c r="K382" i="5"/>
  <c r="K50" i="5"/>
  <c r="K280" i="5"/>
  <c r="K258" i="5"/>
  <c r="K31" i="5"/>
  <c r="K42" i="5"/>
  <c r="K129" i="5"/>
  <c r="K344" i="5"/>
  <c r="K121" i="5"/>
  <c r="K358" i="5"/>
  <c r="K32" i="5"/>
  <c r="K148" i="5"/>
  <c r="K57" i="5"/>
  <c r="K183" i="5"/>
  <c r="K132" i="5"/>
  <c r="K126" i="5"/>
  <c r="K377" i="5"/>
  <c r="K338" i="5"/>
  <c r="K221" i="5"/>
  <c r="K397" i="5"/>
  <c r="K84" i="5"/>
  <c r="K349" i="5"/>
  <c r="K238" i="5"/>
  <c r="K401" i="5"/>
  <c r="K249" i="5"/>
  <c r="K265" i="5"/>
  <c r="K17" i="5"/>
  <c r="K53" i="5"/>
  <c r="K75" i="5"/>
  <c r="K226" i="5"/>
  <c r="K287" i="5"/>
  <c r="K104" i="5"/>
  <c r="K194" i="5"/>
  <c r="K112" i="5"/>
  <c r="K122" i="5"/>
  <c r="K399" i="5"/>
  <c r="K99" i="5"/>
  <c r="K27" i="5"/>
  <c r="K167" i="5"/>
  <c r="K405" i="5"/>
  <c r="K20" i="5"/>
  <c r="K90" i="5"/>
  <c r="K398" i="5"/>
  <c r="K109" i="5"/>
  <c r="K120" i="5"/>
  <c r="K406" i="5"/>
  <c r="K364" i="5"/>
  <c r="K203" i="5"/>
  <c r="K327" i="5"/>
  <c r="K108" i="5"/>
  <c r="K413" i="5"/>
  <c r="K251" i="5"/>
  <c r="K333" i="5"/>
  <c r="K411" i="5"/>
  <c r="K348" i="5"/>
  <c r="K422" i="5"/>
  <c r="K184" i="5"/>
  <c r="K283" i="5"/>
  <c r="K98" i="5"/>
  <c r="K192" i="5"/>
  <c r="K299" i="5"/>
  <c r="K300" i="5"/>
  <c r="K145" i="5"/>
  <c r="K51" i="5"/>
  <c r="K282" i="5"/>
  <c r="K384" i="5"/>
  <c r="K52" i="5"/>
  <c r="K35" i="5"/>
  <c r="K295" i="5"/>
  <c r="K189" i="5"/>
  <c r="K268" i="5"/>
  <c r="K187" i="5"/>
  <c r="K418" i="5"/>
  <c r="K82" i="5"/>
  <c r="K266" i="5"/>
  <c r="K254" i="5"/>
  <c r="K274" i="5"/>
  <c r="K43" i="5"/>
  <c r="K150" i="5"/>
  <c r="K36" i="5"/>
  <c r="K350" i="5"/>
  <c r="K102" i="5"/>
  <c r="K359" i="5"/>
  <c r="K231" i="5"/>
  <c r="K374" i="5"/>
  <c r="K103" i="5"/>
  <c r="K107" i="5"/>
  <c r="K353" i="5"/>
  <c r="K378" i="5"/>
  <c r="K26" i="5"/>
  <c r="K146" i="5"/>
  <c r="K48" i="5"/>
  <c r="K94" i="5"/>
  <c r="K325" i="5"/>
  <c r="K415" i="5"/>
  <c r="K281" i="5"/>
  <c r="K357" i="5"/>
  <c r="K219" i="5"/>
  <c r="K201" i="5"/>
  <c r="K33" i="5"/>
  <c r="K285" i="5"/>
  <c r="K118" i="5"/>
  <c r="K365" i="5"/>
  <c r="K116" i="5"/>
  <c r="K83" i="5"/>
  <c r="K241" i="5"/>
  <c r="K119" i="5"/>
  <c r="K45" i="5"/>
  <c r="K168" i="5"/>
  <c r="K190" i="5"/>
  <c r="K385" i="5"/>
  <c r="K292" i="5"/>
  <c r="K77" i="5"/>
  <c r="K409" i="5"/>
  <c r="K206" i="5"/>
  <c r="K78" i="5"/>
  <c r="K224" i="5"/>
  <c r="K171" i="5"/>
  <c r="K259" i="5"/>
  <c r="K235" i="5"/>
  <c r="K64" i="5"/>
  <c r="K272" i="5"/>
  <c r="K408" i="5"/>
  <c r="K261" i="5"/>
  <c r="K420" i="5"/>
  <c r="K46" i="5"/>
  <c r="K298" i="5"/>
  <c r="K240" i="5"/>
  <c r="K181" i="5"/>
  <c r="K28" i="5"/>
  <c r="K414" i="5"/>
  <c r="K270" i="5"/>
  <c r="K115" i="5"/>
  <c r="K44" i="5"/>
  <c r="K227" i="5"/>
  <c r="K245" i="5"/>
  <c r="K376" i="5"/>
  <c r="K255" i="5"/>
  <c r="K273" i="5"/>
  <c r="K331" i="5"/>
  <c r="K279" i="5"/>
  <c r="K69" i="5"/>
  <c r="K67" i="5"/>
  <c r="K330" i="5"/>
  <c r="K89" i="5"/>
  <c r="K387" i="5"/>
  <c r="K133" i="5"/>
  <c r="K68" i="5"/>
  <c r="K174" i="5"/>
  <c r="K296" i="5"/>
  <c r="K267" i="5"/>
  <c r="K368" i="5"/>
  <c r="K223" i="5"/>
  <c r="K200" i="5"/>
  <c r="K294" i="5"/>
  <c r="K291" i="5"/>
  <c r="K18" i="5"/>
  <c r="K22" i="5"/>
  <c r="K196" i="5"/>
  <c r="K15" i="5"/>
  <c r="K352" i="5"/>
  <c r="K101" i="5"/>
  <c r="K182" i="5"/>
  <c r="K276" i="5"/>
  <c r="K202" i="5"/>
  <c r="K277" i="5"/>
  <c r="K264" i="5"/>
  <c r="K395" i="5"/>
  <c r="K373" i="5"/>
  <c r="K143" i="5"/>
  <c r="K24" i="5"/>
  <c r="K362" i="5"/>
  <c r="K230" i="5"/>
  <c r="K215" i="5"/>
  <c r="K140" i="5"/>
  <c r="K54" i="5"/>
  <c r="K412" i="5"/>
  <c r="K23" i="5"/>
  <c r="K65" i="5"/>
  <c r="K117" i="5"/>
  <c r="K248" i="5"/>
  <c r="K208" i="5"/>
  <c r="K93" i="5"/>
  <c r="K372" i="5"/>
  <c r="K400" i="5"/>
  <c r="K252" i="5"/>
  <c r="K345" i="5"/>
  <c r="K335" i="5"/>
  <c r="K383" i="5"/>
  <c r="K403" i="5"/>
  <c r="K284" i="5"/>
  <c r="K38" i="5"/>
  <c r="K417" i="5"/>
  <c r="K342" i="5"/>
  <c r="K347" i="5"/>
  <c r="K105" i="5"/>
  <c r="K389" i="5"/>
  <c r="K180" i="5"/>
  <c r="K91" i="5"/>
  <c r="K210" i="5"/>
  <c r="K237" i="5"/>
  <c r="K34" i="5"/>
  <c r="K212" i="5"/>
  <c r="K239" i="5"/>
  <c r="K61" i="5"/>
  <c r="K250" i="5"/>
  <c r="K337" i="5"/>
  <c r="K49" i="5"/>
  <c r="K113" i="5"/>
  <c r="K260" i="5"/>
  <c r="K40" i="5"/>
  <c r="K128" i="5"/>
  <c r="K21" i="5"/>
  <c r="K218" i="5"/>
  <c r="K297" i="5"/>
  <c r="K286" i="5"/>
  <c r="K394" i="5"/>
  <c r="K14" i="5"/>
  <c r="K366" i="5"/>
  <c r="K247" i="5"/>
  <c r="K29" i="5"/>
  <c r="K144" i="5"/>
  <c r="K381" i="5"/>
  <c r="K301" i="5"/>
  <c r="K371" i="5"/>
  <c r="K355" i="5"/>
  <c r="K263" i="5"/>
  <c r="K55" i="5"/>
  <c r="K369" i="5"/>
  <c r="K242" i="5"/>
  <c r="K211" i="5"/>
  <c r="K47" i="5"/>
  <c r="K356" i="5"/>
  <c r="K80" i="5"/>
  <c r="K214" i="5"/>
  <c r="K41" i="5"/>
  <c r="K88" i="5"/>
  <c r="K178" i="5"/>
  <c r="K197" i="5"/>
  <c r="K191" i="5"/>
  <c r="K326" i="5"/>
  <c r="K188" i="5"/>
  <c r="K58" i="5"/>
  <c r="K149" i="5"/>
  <c r="K234" i="5"/>
  <c r="K410" i="5"/>
  <c r="K222" i="5"/>
  <c r="K135" i="5"/>
  <c r="K391" i="5"/>
  <c r="K19" i="5"/>
  <c r="K70" i="5"/>
  <c r="K127" i="5"/>
  <c r="K217" i="5"/>
  <c r="K106" i="5"/>
  <c r="K293" i="5"/>
  <c r="K13" i="5"/>
  <c r="K323" i="5"/>
  <c r="K380" i="5"/>
  <c r="K110" i="5"/>
  <c r="K60" i="5"/>
  <c r="K62" i="5"/>
  <c r="K370" i="5"/>
  <c r="K141" i="5"/>
  <c r="K307" i="5" l="1"/>
</calcChain>
</file>

<file path=xl/sharedStrings.xml><?xml version="1.0" encoding="utf-8"?>
<sst xmlns="http://schemas.openxmlformats.org/spreadsheetml/2006/main" count="861" uniqueCount="292">
  <si>
    <t>GOVERNO DO ESTADO DO RIO DE JANEIRO</t>
  </si>
  <si>
    <t>RELATÓRIO RESUMIDO DA EXECUÇÃO ORÇAMENTÁRIA</t>
  </si>
  <si>
    <t>DEMONSTRATIVO DA EXECUÇÃO DAS DESPESAS POR FUNÇÃO/SUBFUNÇÃO</t>
  </si>
  <si>
    <t>ORÇAMENTOS FISCAL E DA SEGURIDADE SOCIAL</t>
  </si>
  <si>
    <t>RREO - Anexo 2 (LRF, Art 52, inciso II, alínea "c")</t>
  </si>
  <si>
    <t>DOTAÇÃO</t>
  </si>
  <si>
    <t>DESPESAS EMPENHADAS</t>
  </si>
  <si>
    <t>SALDO</t>
  </si>
  <si>
    <t>DESPESAS LIQUIDADAS</t>
  </si>
  <si>
    <t>COD</t>
  </si>
  <si>
    <t>FUNÇÃO/SUBFUNÇÃO</t>
  </si>
  <si>
    <t>INICIAL</t>
  </si>
  <si>
    <t>ATUALIZADA</t>
  </si>
  <si>
    <t>No Bimestre</t>
  </si>
  <si>
    <t>Até o Bimestre</t>
  </si>
  <si>
    <t>%</t>
  </si>
  <si>
    <t>(a)</t>
  </si>
  <si>
    <t>(b)</t>
  </si>
  <si>
    <t>(b/total b)</t>
  </si>
  <si>
    <t>(c) = (a - b)</t>
  </si>
  <si>
    <t>(d)</t>
  </si>
  <si>
    <t>(d/total d)</t>
  </si>
  <si>
    <t>(e) = (a - d)</t>
  </si>
  <si>
    <t>DESPESAS (EXCETO INTRA-ORÇAMENTÁRIAS) (I)</t>
  </si>
  <si>
    <t>01</t>
  </si>
  <si>
    <t>Legislativa</t>
  </si>
  <si>
    <t>031</t>
  </si>
  <si>
    <t>Ação Legislativa</t>
  </si>
  <si>
    <t>032</t>
  </si>
  <si>
    <t>Controle Externo</t>
  </si>
  <si>
    <t>122</t>
  </si>
  <si>
    <t>Administração Geral</t>
  </si>
  <si>
    <t>126</t>
  </si>
  <si>
    <t>Tecnologia da Informação</t>
  </si>
  <si>
    <t>128</t>
  </si>
  <si>
    <t>Formação de Recursos Humanos</t>
  </si>
  <si>
    <t>131</t>
  </si>
  <si>
    <t>Comunicação Social</t>
  </si>
  <si>
    <t>392</t>
  </si>
  <si>
    <t>Difusão Cultural</t>
  </si>
  <si>
    <t>422</t>
  </si>
  <si>
    <t>Direitos Individuais, Coletivos e Difusos</t>
  </si>
  <si>
    <t>542</t>
  </si>
  <si>
    <t>Controle Ambiental</t>
  </si>
  <si>
    <t>572</t>
  </si>
  <si>
    <t>Desenvolvimento Tecnológico e Engenharia</t>
  </si>
  <si>
    <t>02</t>
  </si>
  <si>
    <t>Judiciária</t>
  </si>
  <si>
    <t>061</t>
  </si>
  <si>
    <t>Ação Judiciária</t>
  </si>
  <si>
    <t>03</t>
  </si>
  <si>
    <t>Essencial à Justiça</t>
  </si>
  <si>
    <t>091</t>
  </si>
  <si>
    <t>Defesa da Ordem Jurídica</t>
  </si>
  <si>
    <t>092</t>
  </si>
  <si>
    <t>Representação Judicial e Extrajudicial</t>
  </si>
  <si>
    <t xml:space="preserve"> Tecnologia da Informação</t>
  </si>
  <si>
    <t>04</t>
  </si>
  <si>
    <t>Administração</t>
  </si>
  <si>
    <t>121</t>
  </si>
  <si>
    <t>Planejamento e Orçamento</t>
  </si>
  <si>
    <t>123</t>
  </si>
  <si>
    <t>Administração Financeira</t>
  </si>
  <si>
    <t>124</t>
  </si>
  <si>
    <t>Controle Interno</t>
  </si>
  <si>
    <t>125</t>
  </si>
  <si>
    <t>Normatização e Fiscalização</t>
  </si>
  <si>
    <t>127</t>
  </si>
  <si>
    <t>Ordenamento Territorial</t>
  </si>
  <si>
    <t>129</t>
  </si>
  <si>
    <t>Administração de Receitas</t>
  </si>
  <si>
    <t>130</t>
  </si>
  <si>
    <t>Administração de Concessões</t>
  </si>
  <si>
    <t>183</t>
  </si>
  <si>
    <t>Informação e Inteligência</t>
  </si>
  <si>
    <t>421</t>
  </si>
  <si>
    <t>Custódia e Reintegração Social</t>
  </si>
  <si>
    <t>451</t>
  </si>
  <si>
    <t>Infraestrutura Urbana</t>
  </si>
  <si>
    <t>453</t>
  </si>
  <si>
    <t>Transportes Coletivos Urbanos</t>
  </si>
  <si>
    <t>482</t>
  </si>
  <si>
    <t>Habitação Urbana</t>
  </si>
  <si>
    <t>512</t>
  </si>
  <si>
    <t>Saneamento Básico Urbano</t>
  </si>
  <si>
    <t>541</t>
  </si>
  <si>
    <t>Preservação e Conservação Ambiental</t>
  </si>
  <si>
    <t>571</t>
  </si>
  <si>
    <t>Desenvolvimento Científico</t>
  </si>
  <si>
    <t>573</t>
  </si>
  <si>
    <t>Difusão do Conhecimento Científico e Tecnológico</t>
  </si>
  <si>
    <t>661</t>
  </si>
  <si>
    <t>Promoção Industrial</t>
  </si>
  <si>
    <t>694</t>
  </si>
  <si>
    <t>Serviços Financeiros</t>
  </si>
  <si>
    <t>695</t>
  </si>
  <si>
    <t>Turismo</t>
  </si>
  <si>
    <t>783</t>
  </si>
  <si>
    <t>Transporte Ferroviário</t>
  </si>
  <si>
    <t>845</t>
  </si>
  <si>
    <t>Outras Transferências</t>
  </si>
  <si>
    <t>06</t>
  </si>
  <si>
    <t>Segurança Pública</t>
  </si>
  <si>
    <t>Ação judiciária</t>
  </si>
  <si>
    <t>181</t>
  </si>
  <si>
    <t>Policiamento</t>
  </si>
  <si>
    <t>182</t>
  </si>
  <si>
    <t>Defesa Civil</t>
  </si>
  <si>
    <t>242</t>
  </si>
  <si>
    <t>Assistência ao Portador de Deficiência</t>
  </si>
  <si>
    <t>243</t>
  </si>
  <si>
    <t>Assistência à Criança e ao Adolescente</t>
  </si>
  <si>
    <t>244</t>
  </si>
  <si>
    <t>Assistência Comunitária</t>
  </si>
  <si>
    <t>301</t>
  </si>
  <si>
    <t>Atenção Básica</t>
  </si>
  <si>
    <t>302</t>
  </si>
  <si>
    <t>Assistência Hospitalar e Ambulatorial</t>
  </si>
  <si>
    <t>306</t>
  </si>
  <si>
    <t>Alimentação e Nutrição</t>
  </si>
  <si>
    <t>332</t>
  </si>
  <si>
    <t>Relações de Trabalho</t>
  </si>
  <si>
    <t>334</t>
  </si>
  <si>
    <t>Fomento ao Trabalho</t>
  </si>
  <si>
    <t>366</t>
  </si>
  <si>
    <t>Educação de Jovens e Adultos</t>
  </si>
  <si>
    <t>781</t>
  </si>
  <si>
    <t>Transporte Aéreo</t>
  </si>
  <si>
    <t>782</t>
  </si>
  <si>
    <t>Transporte Rodoviário</t>
  </si>
  <si>
    <t>784</t>
  </si>
  <si>
    <t>Transporte Hidroviário</t>
  </si>
  <si>
    <t>812</t>
  </si>
  <si>
    <t>Desporto Comunitário</t>
  </si>
  <si>
    <t>08</t>
  </si>
  <si>
    <t>Assistência Social</t>
  </si>
  <si>
    <t>241</t>
  </si>
  <si>
    <t>Assistência ao Idoso</t>
  </si>
  <si>
    <t>303</t>
  </si>
  <si>
    <t>Suporte Profilático e Terapêutico</t>
  </si>
  <si>
    <t>09</t>
  </si>
  <si>
    <t>Previdência Social</t>
  </si>
  <si>
    <t>272</t>
  </si>
  <si>
    <t>Previdência do Regime Estatutário</t>
  </si>
  <si>
    <t>273</t>
  </si>
  <si>
    <t>Previdência Complementar</t>
  </si>
  <si>
    <t>10</t>
  </si>
  <si>
    <t>Saúde</t>
  </si>
  <si>
    <t>304</t>
  </si>
  <si>
    <t>Vigilância Sanitária</t>
  </si>
  <si>
    <t>305</t>
  </si>
  <si>
    <t>Vigilância Epidemiológica</t>
  </si>
  <si>
    <t>Difusão do Conhecimento Científ e Tecnológ</t>
  </si>
  <si>
    <t>11</t>
  </si>
  <si>
    <t>Trabalho</t>
  </si>
  <si>
    <t>Serviços Socioassistenciais</t>
  </si>
  <si>
    <t>245</t>
  </si>
  <si>
    <t>Proteção e Benefícios ao Trabalhador</t>
  </si>
  <si>
    <t>333</t>
  </si>
  <si>
    <t>Empregabilidade</t>
  </si>
  <si>
    <t>12</t>
  </si>
  <si>
    <t>Educação</t>
  </si>
  <si>
    <t>361</t>
  </si>
  <si>
    <t>Ensino Fundamental</t>
  </si>
  <si>
    <t>362</t>
  </si>
  <si>
    <t>Ensino Médio</t>
  </si>
  <si>
    <t>363</t>
  </si>
  <si>
    <t>Ensino Profissional</t>
  </si>
  <si>
    <t>364</t>
  </si>
  <si>
    <t>Ensino Superior</t>
  </si>
  <si>
    <t>367</t>
  </si>
  <si>
    <t>Educação Especial</t>
  </si>
  <si>
    <t>368</t>
  </si>
  <si>
    <t>Educação Básica</t>
  </si>
  <si>
    <t>13</t>
  </si>
  <si>
    <t>Cultura</t>
  </si>
  <si>
    <t>391</t>
  </si>
  <si>
    <t>Patrimônio Histór, Artístico e Arqueológico</t>
  </si>
  <si>
    <t>Continua (1/3)</t>
  </si>
  <si>
    <t>Continuação</t>
  </si>
  <si>
    <t>14</t>
  </si>
  <si>
    <t>Direitos da Cidadania</t>
  </si>
  <si>
    <t>Patrimônio Histórico, Artístico e Arqueológico</t>
  </si>
  <si>
    <t>15</t>
  </si>
  <si>
    <t>Urbanismo</t>
  </si>
  <si>
    <t>452</t>
  </si>
  <si>
    <t>Serviços Urbanos</t>
  </si>
  <si>
    <t>481</t>
  </si>
  <si>
    <t>Habitação Rural</t>
  </si>
  <si>
    <t>16</t>
  </si>
  <si>
    <t>Habitação</t>
  </si>
  <si>
    <t>17</t>
  </si>
  <si>
    <t>Saneamento</t>
  </si>
  <si>
    <t>544</t>
  </si>
  <si>
    <t>Recursos Hídricos</t>
  </si>
  <si>
    <t>18</t>
  </si>
  <si>
    <t>Gestão Ambiental</t>
  </si>
  <si>
    <t>543</t>
  </si>
  <si>
    <t>Recuperação de Áreas Degradadas</t>
  </si>
  <si>
    <t>785</t>
  </si>
  <si>
    <t>Transportes Especiais</t>
  </si>
  <si>
    <t>19</t>
  </si>
  <si>
    <t>Ciência e Tecnologia</t>
  </si>
  <si>
    <t>751</t>
  </si>
  <si>
    <t>Conservação de Energia</t>
  </si>
  <si>
    <t>20</t>
  </si>
  <si>
    <t>Agricultura</t>
  </si>
  <si>
    <t xml:space="preserve"> Formação de Recursos Humanos</t>
  </si>
  <si>
    <t>602</t>
  </si>
  <si>
    <t>Promoção da Produção Animal</t>
  </si>
  <si>
    <t>604</t>
  </si>
  <si>
    <t>Defesa Sanitária Animal</t>
  </si>
  <si>
    <t>605</t>
  </si>
  <si>
    <t>Abastecimento</t>
  </si>
  <si>
    <t>606</t>
  </si>
  <si>
    <t>Extensão Rural</t>
  </si>
  <si>
    <t>608</t>
  </si>
  <si>
    <t>Promoção da Produção Agropecuária</t>
  </si>
  <si>
    <t>609</t>
  </si>
  <si>
    <t>Defesa Agropecuária</t>
  </si>
  <si>
    <t>692</t>
  </si>
  <si>
    <t>Comercialização</t>
  </si>
  <si>
    <t>21</t>
  </si>
  <si>
    <t>Organização Agrária</t>
  </si>
  <si>
    <t>631</t>
  </si>
  <si>
    <t>Reforma Agrária</t>
  </si>
  <si>
    <t>22</t>
  </si>
  <si>
    <t>Indústria</t>
  </si>
  <si>
    <t>663</t>
  </si>
  <si>
    <t>Mineração</t>
  </si>
  <si>
    <t>665</t>
  </si>
  <si>
    <t>Normalização e Qualidade</t>
  </si>
  <si>
    <t>691</t>
  </si>
  <si>
    <t>Promoção Comercial</t>
  </si>
  <si>
    <t>752</t>
  </si>
  <si>
    <t>Energia Elétrica</t>
  </si>
  <si>
    <t>753</t>
  </si>
  <si>
    <t>Combustíveis Minerais</t>
  </si>
  <si>
    <t>23</t>
  </si>
  <si>
    <t>Comércio e Serviços</t>
  </si>
  <si>
    <t>693</t>
  </si>
  <si>
    <t>Comércio Exterior</t>
  </si>
  <si>
    <t>24</t>
  </si>
  <si>
    <t>Comunicações</t>
  </si>
  <si>
    <t>25</t>
  </si>
  <si>
    <t>Energia</t>
  </si>
  <si>
    <t>26</t>
  </si>
  <si>
    <t>Transporte</t>
  </si>
  <si>
    <t>27</t>
  </si>
  <si>
    <t>Desporto e Lazer</t>
  </si>
  <si>
    <t>811</t>
  </si>
  <si>
    <t>Desporto de Rendimento</t>
  </si>
  <si>
    <t>813</t>
  </si>
  <si>
    <t>Lazer</t>
  </si>
  <si>
    <t>28</t>
  </si>
  <si>
    <t>Encargos Especiais</t>
  </si>
  <si>
    <t>841</t>
  </si>
  <si>
    <t>Refinanciamento da Dívida Interna</t>
  </si>
  <si>
    <t>843</t>
  </si>
  <si>
    <t>Serviço da Dívida Interna</t>
  </si>
  <si>
    <t>844</t>
  </si>
  <si>
    <t>Serviço da Dívida Externa</t>
  </si>
  <si>
    <t>846</t>
  </si>
  <si>
    <t>Outros Encargos Especiais</t>
  </si>
  <si>
    <t>99</t>
  </si>
  <si>
    <t>Reserva de Contingência</t>
  </si>
  <si>
    <t>997</t>
  </si>
  <si>
    <t>Reserva do Regime Próprio de Previdência do Servidor - RPPS</t>
  </si>
  <si>
    <t>999</t>
  </si>
  <si>
    <t>Reserva de Contingência do RPPS</t>
  </si>
  <si>
    <t>DESPESAS (INTRA-ORÇAMENTÁRIAS) (II)</t>
  </si>
  <si>
    <t>TOTAL (III) = (I) + (II)</t>
  </si>
  <si>
    <t>Continua (2/3)</t>
  </si>
  <si>
    <t>FUNÇÃO/SUBFUNÇÃO - INTRA-ORÇAMENTÁRIAS</t>
  </si>
  <si>
    <t>(b/III b)</t>
  </si>
  <si>
    <t>(d/III d)</t>
  </si>
  <si>
    <t xml:space="preserve"> Assistência Comunitária</t>
  </si>
  <si>
    <t>FONTE: Siafe-Rio - Secretaria de Estado de Fazenda.</t>
  </si>
  <si>
    <t>(3/3)</t>
  </si>
  <si>
    <t>Obs.:  1 - Excluídas a Imprensa Oficial, a CEDAE e a AGERIO por não se enquadrarem no conceito de Empresa Dependente.</t>
  </si>
  <si>
    <t xml:space="preserve">          2 - Imprensa Oficial, CEDAE e AGERIO não constam nos Orçamentos Fiscal e da Seguridade Social no exercício de 2025.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</si>
  <si>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</si>
  <si>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</si>
  <si>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</si>
  <si>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</si>
  <si>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</si>
  <si>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</si>
  <si>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 xml:space="preserve">     Contador - CRC-RJ-097281/O-6</t>
  </si>
  <si>
    <t xml:space="preserve">Contador - CRC-RJ-079208/O-8 </t>
  </si>
  <si>
    <t>Contadora - CRC-RJ-114428/O-0</t>
  </si>
  <si>
    <t>JANEIRO A AGOSTO  2025/BIMESTRE JULHO - AGOSTO</t>
  </si>
  <si>
    <t>Emissão: 18/09/2025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</si>
</sst>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rgb="FF000000"/>
        <bgColor rgb="FFFFFFFF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67" fontId="3" fillId="0" borderId="0" xfId="2" applyNumberFormat="1" applyFont="1" applyFill="1"/>
    <xf numFmtId="167" fontId="3" fillId="0" borderId="0" xfId="0" applyNumberFormat="1" applyFo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5" fillId="4" borderId="0" xfId="0" applyFont="1" applyFill="1"/>
    <xf numFmtId="49" fontId="5" fillId="4" borderId="0" xfId="0" applyNumberFormat="1" applyFont="1" applyFill="1"/>
    <xf numFmtId="166" fontId="5" fillId="4" borderId="0" xfId="0" applyNumberFormat="1" applyFont="1" applyFill="1"/>
    <xf numFmtId="165" fontId="5" fillId="4" borderId="0" xfId="0" applyNumberFormat="1" applyFont="1" applyFill="1" applyAlignment="1">
      <alignment horizontal="right"/>
    </xf>
    <xf numFmtId="49" fontId="5" fillId="4" borderId="0" xfId="0" applyNumberFormat="1" applyFont="1" applyFill="1" applyAlignment="1">
      <alignment horizontal="center"/>
    </xf>
    <xf numFmtId="167" fontId="5" fillId="4" borderId="0" xfId="2" applyNumberFormat="1" applyFont="1" applyFill="1" applyBorder="1"/>
    <xf numFmtId="164" fontId="5" fillId="4" borderId="0" xfId="2" applyFont="1" applyFill="1" applyBorder="1"/>
    <xf numFmtId="49" fontId="3" fillId="4" borderId="0" xfId="0" applyNumberFormat="1" applyFont="1" applyFill="1" applyAlignment="1">
      <alignment horizontal="left"/>
    </xf>
    <xf numFmtId="0" fontId="3" fillId="4" borderId="0" xfId="0" applyFont="1" applyFill="1"/>
    <xf numFmtId="0" fontId="4" fillId="4" borderId="0" xfId="0" applyFont="1" applyFill="1"/>
    <xf numFmtId="167" fontId="6" fillId="4" borderId="0" xfId="2" applyNumberFormat="1" applyFont="1" applyFill="1" applyBorder="1"/>
    <xf numFmtId="164" fontId="6" fillId="4" borderId="0" xfId="2" applyFont="1" applyFill="1" applyBorder="1"/>
    <xf numFmtId="49" fontId="2" fillId="4" borderId="0" xfId="0" applyNumberFormat="1" applyFont="1" applyFill="1" applyAlignment="1">
      <alignment horizontal="center"/>
    </xf>
    <xf numFmtId="164" fontId="5" fillId="4" borderId="0" xfId="2" applyFont="1" applyFill="1" applyAlignment="1">
      <alignment horizontal="center"/>
    </xf>
    <xf numFmtId="167" fontId="5" fillId="4" borderId="0" xfId="0" applyNumberFormat="1" applyFont="1" applyFill="1"/>
    <xf numFmtId="167" fontId="5" fillId="4" borderId="0" xfId="0" applyNumberFormat="1" applyFont="1" applyFill="1" applyAlignment="1">
      <alignment horizontal="right"/>
    </xf>
    <xf numFmtId="49" fontId="3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center"/>
    </xf>
    <xf numFmtId="0" fontId="7" fillId="4" borderId="2" xfId="0" applyFont="1" applyFill="1" applyBorder="1"/>
    <xf numFmtId="164" fontId="7" fillId="4" borderId="5" xfId="2" applyFont="1" applyFill="1" applyBorder="1"/>
    <xf numFmtId="49" fontId="8" fillId="4" borderId="0" xfId="0" applyNumberFormat="1" applyFont="1" applyFill="1" applyAlignment="1">
      <alignment horizontal="center"/>
    </xf>
    <xf numFmtId="0" fontId="8" fillId="4" borderId="5" xfId="0" applyFont="1" applyFill="1" applyBorder="1"/>
    <xf numFmtId="164" fontId="8" fillId="4" borderId="5" xfId="2" applyFont="1" applyFill="1" applyBorder="1"/>
    <xf numFmtId="49" fontId="8" fillId="4" borderId="10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0" xfId="0" applyFont="1" applyFill="1"/>
    <xf numFmtId="167" fontId="8" fillId="4" borderId="0" xfId="2" applyNumberFormat="1" applyFont="1" applyFill="1" applyBorder="1"/>
    <xf numFmtId="164" fontId="8" fillId="4" borderId="0" xfId="2" applyFont="1" applyFill="1" applyBorder="1"/>
    <xf numFmtId="167" fontId="8" fillId="4" borderId="0" xfId="2" applyNumberFormat="1" applyFont="1" applyFill="1" applyBorder="1" applyAlignment="1">
      <alignment horizontal="right"/>
    </xf>
    <xf numFmtId="0" fontId="8" fillId="4" borderId="6" xfId="0" applyFont="1" applyFill="1" applyBorder="1"/>
    <xf numFmtId="164" fontId="8" fillId="4" borderId="6" xfId="2" applyFont="1" applyFill="1" applyBorder="1"/>
    <xf numFmtId="49" fontId="8" fillId="4" borderId="4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164" fontId="8" fillId="4" borderId="8" xfId="2" applyFont="1" applyFill="1" applyBorder="1"/>
    <xf numFmtId="164" fontId="7" fillId="4" borderId="6" xfId="2" applyFont="1" applyFill="1" applyBorder="1"/>
    <xf numFmtId="164" fontId="8" fillId="4" borderId="4" xfId="2" applyFont="1" applyFill="1" applyBorder="1"/>
    <xf numFmtId="164" fontId="7" fillId="4" borderId="11" xfId="2" applyFont="1" applyFill="1" applyBorder="1"/>
    <xf numFmtId="164" fontId="7" fillId="4" borderId="12" xfId="2" applyFont="1" applyFill="1" applyBorder="1"/>
    <xf numFmtId="164" fontId="8" fillId="0" borderId="5" xfId="2" applyFont="1" applyFill="1" applyBorder="1"/>
    <xf numFmtId="43" fontId="8" fillId="4" borderId="0" xfId="0" applyNumberFormat="1" applyFont="1" applyFill="1"/>
    <xf numFmtId="43" fontId="4" fillId="4" borderId="0" xfId="0" applyNumberFormat="1" applyFont="1" applyFill="1"/>
    <xf numFmtId="49" fontId="8" fillId="0" borderId="0" xfId="0" applyNumberFormat="1" applyFont="1" applyAlignment="1">
      <alignment horizontal="center"/>
    </xf>
    <xf numFmtId="0" fontId="8" fillId="0" borderId="5" xfId="0" applyFont="1" applyBorder="1"/>
    <xf numFmtId="49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3" fontId="5" fillId="4" borderId="0" xfId="0" applyNumberFormat="1" applyFont="1" applyFill="1"/>
    <xf numFmtId="0" fontId="4" fillId="0" borderId="0" xfId="0" applyFont="1" applyAlignment="1">
      <alignment horizontal="center"/>
    </xf>
    <xf numFmtId="0" fontId="7" fillId="0" borderId="5" xfId="0" applyFont="1" applyBorder="1"/>
    <xf numFmtId="0" fontId="7" fillId="4" borderId="5" xfId="0" applyFont="1" applyFill="1" applyBorder="1"/>
    <xf numFmtId="164" fontId="7" fillId="4" borderId="5" xfId="2" applyFont="1" applyFill="1" applyBorder="1" applyAlignment="1"/>
    <xf numFmtId="164" fontId="7" fillId="4" borderId="5" xfId="2" applyFont="1" applyFill="1" applyBorder="1" applyAlignment="1">
      <alignment horizontal="center"/>
    </xf>
    <xf numFmtId="164" fontId="7" fillId="4" borderId="6" xfId="2" applyFont="1" applyFill="1" applyBorder="1" applyAlignment="1">
      <alignment horizontal="center"/>
    </xf>
    <xf numFmtId="164" fontId="8" fillId="4" borderId="5" xfId="2" applyFont="1" applyFill="1" applyBorder="1" applyAlignment="1">
      <alignment horizontal="center"/>
    </xf>
    <xf numFmtId="164" fontId="8" fillId="4" borderId="9" xfId="2" applyFont="1" applyFill="1" applyBorder="1"/>
    <xf numFmtId="164" fontId="8" fillId="5" borderId="5" xfId="2" applyFont="1" applyFill="1" applyBorder="1" applyAlignment="1"/>
    <xf numFmtId="0" fontId="7" fillId="4" borderId="6" xfId="0" applyFont="1" applyFill="1" applyBorder="1"/>
    <xf numFmtId="164" fontId="7" fillId="4" borderId="2" xfId="2" applyFont="1" applyFill="1" applyBorder="1"/>
    <xf numFmtId="164" fontId="7" fillId="4" borderId="0" xfId="2" applyFont="1" applyFill="1" applyBorder="1"/>
    <xf numFmtId="0" fontId="7" fillId="0" borderId="6" xfId="0" applyFont="1" applyBorder="1"/>
    <xf numFmtId="0" fontId="8" fillId="0" borderId="6" xfId="0" applyFont="1" applyBorder="1"/>
    <xf numFmtId="49" fontId="7" fillId="4" borderId="4" xfId="0" applyNumberFormat="1" applyFont="1" applyFill="1" applyBorder="1" applyAlignment="1">
      <alignment horizontal="center"/>
    </xf>
    <xf numFmtId="0" fontId="7" fillId="0" borderId="0" xfId="0" applyFont="1"/>
    <xf numFmtId="0" fontId="7" fillId="4" borderId="0" xfId="0" applyFont="1" applyFill="1"/>
    <xf numFmtId="49" fontId="7" fillId="4" borderId="10" xfId="0" applyNumberFormat="1" applyFont="1" applyFill="1" applyBorder="1" applyAlignment="1">
      <alignment horizontal="center"/>
    </xf>
    <xf numFmtId="0" fontId="7" fillId="0" borderId="8" xfId="0" applyFont="1" applyBorder="1"/>
    <xf numFmtId="164" fontId="7" fillId="4" borderId="8" xfId="2" applyFont="1" applyFill="1" applyBorder="1"/>
    <xf numFmtId="164" fontId="8" fillId="5" borderId="8" xfId="2" applyFont="1" applyFill="1" applyBorder="1" applyAlignment="1"/>
    <xf numFmtId="164" fontId="7" fillId="4" borderId="9" xfId="2" applyFont="1" applyFill="1" applyBorder="1"/>
    <xf numFmtId="0" fontId="9" fillId="0" borderId="0" xfId="0" applyFont="1" applyAlignment="1">
      <alignment horizontal="center"/>
    </xf>
    <xf numFmtId="0" fontId="1" fillId="0" borderId="0" xfId="0" applyFont="1"/>
    <xf numFmtId="164" fontId="4" fillId="4" borderId="0" xfId="2" applyFont="1" applyFill="1"/>
    <xf numFmtId="164" fontId="8" fillId="2" borderId="13" xfId="2" applyFont="1" applyFill="1" applyBorder="1" applyAlignment="1">
      <alignment horizontal="right" vertical="top" wrapText="1"/>
    </xf>
    <xf numFmtId="164" fontId="8" fillId="4" borderId="13" xfId="2" applyFont="1" applyFill="1" applyBorder="1" applyAlignment="1">
      <alignment horizontal="right" vertical="top" wrapText="1"/>
    </xf>
    <xf numFmtId="164" fontId="8" fillId="4" borderId="5" xfId="2" applyFont="1" applyFill="1" applyBorder="1" applyAlignment="1">
      <alignment horizontal="right" vertical="top" wrapText="1"/>
    </xf>
    <xf numFmtId="164" fontId="7" fillId="0" borderId="5" xfId="2" applyFont="1" applyFill="1" applyBorder="1" applyAlignment="1"/>
    <xf numFmtId="164" fontId="7" fillId="0" borderId="5" xfId="2" applyFont="1" applyFill="1" applyBorder="1"/>
    <xf numFmtId="164" fontId="8" fillId="0" borderId="8" xfId="2" applyFont="1" applyFill="1" applyBorder="1"/>
    <xf numFmtId="167" fontId="8" fillId="0" borderId="0" xfId="2" applyNumberFormat="1" applyFont="1" applyFill="1" applyBorder="1"/>
    <xf numFmtId="167" fontId="5" fillId="0" borderId="0" xfId="2" applyNumberFormat="1" applyFont="1" applyFill="1" applyBorder="1"/>
    <xf numFmtId="164" fontId="8" fillId="0" borderId="6" xfId="2" applyFont="1" applyFill="1" applyBorder="1"/>
    <xf numFmtId="164" fontId="8" fillId="0" borderId="5" xfId="2" applyFont="1" applyFill="1" applyBorder="1" applyAlignment="1"/>
    <xf numFmtId="164" fontId="7" fillId="0" borderId="11" xfId="2" applyFont="1" applyFill="1" applyBorder="1"/>
    <xf numFmtId="164" fontId="7" fillId="0" borderId="2" xfId="2" applyFont="1" applyFill="1" applyBorder="1"/>
    <xf numFmtId="164" fontId="8" fillId="0" borderId="8" xfId="2" applyFont="1" applyFill="1" applyBorder="1" applyAlignment="1"/>
    <xf numFmtId="164" fontId="4" fillId="0" borderId="0" xfId="2" applyFont="1" applyFill="1"/>
    <xf numFmtId="167" fontId="5" fillId="0" borderId="0" xfId="0" applyNumberFormat="1" applyFont="1"/>
    <xf numFmtId="43" fontId="8" fillId="0" borderId="0" xfId="0" applyNumberFormat="1" applyFont="1"/>
    <xf numFmtId="43" fontId="4" fillId="0" borderId="0" xfId="0" applyNumberFormat="1" applyFont="1"/>
    <xf numFmtId="43" fontId="5" fillId="0" borderId="0" xfId="0" applyNumberFormat="1" applyFont="1"/>
    <xf numFmtId="49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4" borderId="0" xfId="1" applyFont="1" applyFill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49" fontId="7" fillId="4" borderId="14" xfId="0" applyNumberFormat="1" applyFont="1" applyFill="1" applyBorder="1" applyAlignment="1">
      <alignment horizontal="left"/>
    </xf>
    <xf numFmtId="49" fontId="7" fillId="4" borderId="15" xfId="0" applyNumberFormat="1" applyFont="1" applyFill="1" applyBorder="1" applyAlignment="1">
      <alignment horizontal="left"/>
    </xf>
  </cellXfs>
  <cellStyles count="3">
    <cellStyle name="Normal" xfId="0" builtinId="0"/>
    <cellStyle name="Normal 4 2 3" xfId="1" xr:uid="{3C2EFF80-DAAA-4D9D-AB95-8C29CD71875D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495306</xdr:colOff>
      <xdr:row>0</xdr:row>
      <xdr:rowOff>23814</xdr:rowOff>
    </xdr:from>
    <xdr:to>
      <xdr:col>4</xdr:col>
      <xdr:colOff>1095376</xdr:colOff>
      <xdr:row>1</xdr:row>
      <xdr:rowOff>333377</xdr:rowOff>
    </xdr:to>
    <xdr:pic>
      <xdr:nvPicPr>
        <xdr:cNvPr id="6865" name="Picture 1">
          <a:extLst>
            <a:ext uri="{FF2B5EF4-FFF2-40B4-BE49-F238E27FC236}">
              <a16:creationId xmlns:a16="http://schemas.microsoft.com/office/drawing/2014/main" id="{88A6B375-8B5F-EF1F-5EE4-6D73F0F7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4494" y="23814"/>
          <a:ext cx="600070" cy="511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464348</xdr:colOff>
      <xdr:row>153</xdr:row>
      <xdr:rowOff>73816</xdr:rowOff>
    </xdr:from>
    <xdr:to>
      <xdr:col>4</xdr:col>
      <xdr:colOff>1083470</xdr:colOff>
      <xdr:row>155</xdr:row>
      <xdr:rowOff>173828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60E24-3BD3-400B-8860-6450C1CD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3536" y="27755847"/>
          <a:ext cx="61912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538167</xdr:colOff>
      <xdr:row>309</xdr:row>
      <xdr:rowOff>38097</xdr:rowOff>
    </xdr:from>
    <xdr:to>
      <xdr:col>4</xdr:col>
      <xdr:colOff>1143000</xdr:colOff>
      <xdr:row>311</xdr:row>
      <xdr:rowOff>171447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54B7043-E58D-4FDA-871F-F1CCFBC8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5" y="55830785"/>
          <a:ext cx="604833" cy="52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345A-D510-4AD8-A032-456C64E72250}">
  <sheetPr>
    <pageSetUpPr fitToPage="1"/>
  </sheetPr>
  <dimension ref="A1:O487"/>
  <sheetViews>
    <sheetView showGridLines="0" tabSelected="1" topLeftCell="A424" zoomScale="80" zoomScaleNormal="80" workbookViewId="0">
      <selection activeCell="E455" sqref="E455"/>
    </sheetView>
  </sheetViews>
  <sheetFormatPr defaultColWidth="9.140625" defaultRowHeight="12.75" x14ac:dyDescent="0.2"/>
  <cols>
    <col min="1" max="1" width="5.85546875" style="1" customWidth="1"/>
    <col min="2" max="2" width="62.28515625" style="2" customWidth="1"/>
    <col min="3" max="3" width="31.7109375" style="2" bestFit="1" customWidth="1"/>
    <col min="4" max="4" width="31" style="2" bestFit="1" customWidth="1"/>
    <col min="5" max="5" width="22.85546875" style="2" customWidth="1"/>
    <col min="6" max="6" width="29.28515625" style="2" bestFit="1" customWidth="1"/>
    <col min="7" max="7" width="11.140625" style="2" customWidth="1"/>
    <col min="8" max="8" width="23.140625" style="2" customWidth="1"/>
    <col min="9" max="9" width="22.85546875" style="2" customWidth="1"/>
    <col min="10" max="10" width="21.7109375" style="2" customWidth="1"/>
    <col min="11" max="11" width="10.42578125" style="2" customWidth="1"/>
    <col min="12" max="12" width="21.28515625" style="2" customWidth="1"/>
    <col min="13" max="14" width="9.140625" style="2"/>
    <col min="15" max="15" width="8.42578125" style="2" customWidth="1"/>
    <col min="16" max="16" width="14.85546875" style="2" bestFit="1" customWidth="1"/>
    <col min="17" max="17" width="13.42578125" style="2" bestFit="1" customWidth="1"/>
    <col min="18" max="18" width="9.28515625" style="2" bestFit="1" customWidth="1"/>
    <col min="19" max="16384" width="9.140625" style="2"/>
  </cols>
  <sheetData>
    <row r="1" spans="1:13" ht="15.75" x14ac:dyDescent="0.25">
      <c r="A1" s="26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27.75" customHeight="1" x14ac:dyDescent="0.25">
      <c r="A2" s="2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s="3" customFormat="1" ht="16.5" customHeight="1" x14ac:dyDescent="0.25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s="3" customFormat="1" ht="15.75" x14ac:dyDescent="0.25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3" s="3" customFormat="1" ht="15.75" x14ac:dyDescent="0.25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4"/>
    </row>
    <row r="6" spans="1:13" s="3" customFormat="1" ht="15.75" x14ac:dyDescent="0.25">
      <c r="A6" s="113" t="s">
        <v>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3" s="3" customFormat="1" ht="15.75" x14ac:dyDescent="0.25">
      <c r="A7" s="113" t="s">
        <v>290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3" ht="15.75" x14ac:dyDescent="0.25">
      <c r="A8" s="67"/>
      <c r="B8" s="26"/>
      <c r="C8" s="35"/>
      <c r="D8" s="35"/>
      <c r="E8" s="22"/>
      <c r="F8" s="35"/>
      <c r="G8" s="35"/>
      <c r="H8" s="35"/>
      <c r="I8" s="35"/>
      <c r="J8" s="35"/>
      <c r="K8" s="26"/>
      <c r="L8" s="21" t="s">
        <v>291</v>
      </c>
    </row>
    <row r="9" spans="1:13" s="5" customFormat="1" ht="15.75" x14ac:dyDescent="0.25">
      <c r="A9" s="23" t="s">
        <v>4</v>
      </c>
      <c r="B9" s="22"/>
      <c r="C9" s="36"/>
      <c r="D9" s="36"/>
      <c r="E9" s="108"/>
      <c r="F9" s="36"/>
      <c r="G9" s="36"/>
      <c r="H9" s="36"/>
      <c r="I9" s="36"/>
      <c r="J9" s="36"/>
      <c r="K9" s="37"/>
      <c r="L9" s="25">
        <v>1</v>
      </c>
    </row>
    <row r="10" spans="1:13" s="5" customFormat="1" ht="13.5" customHeight="1" x14ac:dyDescent="0.25">
      <c r="A10" s="8"/>
      <c r="B10" s="9"/>
      <c r="C10" s="10" t="s">
        <v>5</v>
      </c>
      <c r="D10" s="10" t="s">
        <v>5</v>
      </c>
      <c r="E10" s="117" t="s">
        <v>6</v>
      </c>
      <c r="F10" s="118"/>
      <c r="G10" s="119"/>
      <c r="H10" s="10" t="s">
        <v>7</v>
      </c>
      <c r="I10" s="117" t="s">
        <v>8</v>
      </c>
      <c r="J10" s="118"/>
      <c r="K10" s="118"/>
      <c r="L10" s="11" t="s">
        <v>7</v>
      </c>
    </row>
    <row r="11" spans="1:13" s="5" customFormat="1" ht="14.25" customHeight="1" x14ac:dyDescent="0.25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4"/>
      <c r="I11" s="13" t="s">
        <v>13</v>
      </c>
      <c r="J11" s="13" t="s">
        <v>14</v>
      </c>
      <c r="K11" s="13" t="s">
        <v>15</v>
      </c>
      <c r="L11" s="15"/>
    </row>
    <row r="12" spans="1:13" s="5" customFormat="1" ht="13.5" customHeight="1" x14ac:dyDescent="0.25">
      <c r="A12" s="16"/>
      <c r="B12" s="17"/>
      <c r="C12" s="17"/>
      <c r="D12" s="18" t="s">
        <v>16</v>
      </c>
      <c r="E12" s="18"/>
      <c r="F12" s="18" t="s">
        <v>17</v>
      </c>
      <c r="G12" s="18" t="s">
        <v>18</v>
      </c>
      <c r="H12" s="19" t="s">
        <v>19</v>
      </c>
      <c r="I12" s="18"/>
      <c r="J12" s="18" t="s">
        <v>20</v>
      </c>
      <c r="K12" s="18" t="s">
        <v>21</v>
      </c>
      <c r="L12" s="20" t="s">
        <v>22</v>
      </c>
    </row>
    <row r="13" spans="1:13" s="5" customFormat="1" ht="14.85" customHeight="1" x14ac:dyDescent="0.25">
      <c r="A13" s="40"/>
      <c r="B13" s="41" t="s">
        <v>23</v>
      </c>
      <c r="C13" s="72">
        <f>C14+C25+C29+C35+C63+C87+C101+C106+C117+C126+C147+C167+C177+C186+C192+C199+C210+C223+C242+C246+C261+C271+C275+C280+C291+C296+C302</f>
        <v>114232985204</v>
      </c>
      <c r="D13" s="72">
        <f>D14+D25+D29+D35+D63+D87+D101+D106+D117+D126+D147+D167+D177+D186+D192+D199+D210+D223+D242+D246+D261+D271+D275+D280+D291+D296+D302</f>
        <v>121229805309.10001</v>
      </c>
      <c r="E13" s="97">
        <f>E14+E25+E29+E35+E63+E87+E101+E106+E117+E126+E147+E167+E177+E186+E192+E199+E210+E223+E242+E246+E261+E271+E275+E280+E291+E296+E302</f>
        <v>16804420542.139999</v>
      </c>
      <c r="F13" s="72">
        <f>F14+F25+F29+F35+F63+F87+F101+F106+F117+F126+F147+F167+F177+F186+F192+F199+F210+F223+F242+F246+F261+F271+F275+F280+F291+F296+F302</f>
        <v>69994116892.669998</v>
      </c>
      <c r="G13" s="73">
        <f t="shared" ref="G13:G44" si="0">(F13/$F$307)*100</f>
        <v>91.365664220359434</v>
      </c>
      <c r="H13" s="73">
        <f>D13-F13</f>
        <v>51235688416.430008</v>
      </c>
      <c r="I13" s="73">
        <f>I14+I25+I29+I35+I63+I87+I101+I106+I117+I126+I147+I167+I177+I186+I192+I199+I210+I223+I242+I246+I261+I271+I275+I280+I291+I296+I302</f>
        <v>16968719698.52</v>
      </c>
      <c r="J13" s="73">
        <f>J14+J25+J29+J35+J63+J87+J101+J106+J117+J126+J147+J167+J177+J186+J192+J199+J210+J223+J242+J246+J261+J271+J275+J280+J291+J296+J302</f>
        <v>63959632185.399994</v>
      </c>
      <c r="K13" s="73">
        <f t="shared" ref="K13:K44" si="1">(J13/$J$307)*100</f>
        <v>91.055858663073565</v>
      </c>
      <c r="L13" s="74">
        <f>D13-J13</f>
        <v>57270173123.700012</v>
      </c>
    </row>
    <row r="14" spans="1:13" s="5" customFormat="1" ht="14.85" customHeight="1" x14ac:dyDescent="0.25">
      <c r="A14" s="40" t="s">
        <v>24</v>
      </c>
      <c r="B14" s="70" t="s">
        <v>25</v>
      </c>
      <c r="C14" s="42">
        <f>SUM(C15:C24)</f>
        <v>2587526372</v>
      </c>
      <c r="D14" s="42">
        <f>SUM(D15:D24)</f>
        <v>2542709974</v>
      </c>
      <c r="E14" s="98">
        <f>SUM(E15:E24)</f>
        <v>28687246.329999946</v>
      </c>
      <c r="F14" s="42">
        <f>SUM(F15:F24)</f>
        <v>1975408849.71</v>
      </c>
      <c r="G14" s="73">
        <f t="shared" si="0"/>
        <v>2.5785673092681201</v>
      </c>
      <c r="H14" s="42">
        <f t="shared" ref="H14:H78" si="2">D14-F14</f>
        <v>567301124.28999996</v>
      </c>
      <c r="I14" s="42">
        <f>SUM(I15:I24)</f>
        <v>299625787.12999988</v>
      </c>
      <c r="J14" s="42">
        <f>SUM(J15:J24)</f>
        <v>1253547127.0599999</v>
      </c>
      <c r="K14" s="42">
        <f t="shared" si="1"/>
        <v>1.7846070424265597</v>
      </c>
      <c r="L14" s="57">
        <f t="shared" ref="L14:L78" si="3">D14-J14</f>
        <v>1289162846.9400001</v>
      </c>
    </row>
    <row r="15" spans="1:13" s="5" customFormat="1" ht="14.85" customHeight="1" x14ac:dyDescent="0.25">
      <c r="A15" s="43" t="s">
        <v>26</v>
      </c>
      <c r="B15" s="44" t="s">
        <v>27</v>
      </c>
      <c r="C15" s="45">
        <v>259845</v>
      </c>
      <c r="D15" s="45">
        <v>259845</v>
      </c>
      <c r="E15" s="61">
        <f t="shared" ref="E15:E21" si="4">F15-0</f>
        <v>0</v>
      </c>
      <c r="F15" s="45">
        <v>0</v>
      </c>
      <c r="G15" s="75">
        <f t="shared" si="0"/>
        <v>0</v>
      </c>
      <c r="H15" s="45">
        <f t="shared" si="2"/>
        <v>259845</v>
      </c>
      <c r="I15" s="45">
        <f t="shared" ref="I15:I21" si="5">J15-0</f>
        <v>0</v>
      </c>
      <c r="J15" s="45">
        <v>0</v>
      </c>
      <c r="K15" s="45">
        <f t="shared" si="1"/>
        <v>0</v>
      </c>
      <c r="L15" s="53">
        <f t="shared" si="3"/>
        <v>259845</v>
      </c>
    </row>
    <row r="16" spans="1:13" s="5" customFormat="1" ht="14.85" customHeight="1" x14ac:dyDescent="0.25">
      <c r="A16" s="43" t="s">
        <v>28</v>
      </c>
      <c r="B16" s="44" t="s">
        <v>29</v>
      </c>
      <c r="C16" s="45">
        <v>78246981</v>
      </c>
      <c r="D16" s="45">
        <v>78246981</v>
      </c>
      <c r="E16" s="61">
        <f>F16-12863285.31</f>
        <v>517635.77999999933</v>
      </c>
      <c r="F16" s="45">
        <v>13380921.09</v>
      </c>
      <c r="G16" s="45">
        <f t="shared" si="0"/>
        <v>1.7466564299150347E-2</v>
      </c>
      <c r="H16" s="45">
        <f t="shared" si="2"/>
        <v>64866059.909999996</v>
      </c>
      <c r="I16" s="45">
        <f>J16-1327541.39</f>
        <v>3082568.3200000003</v>
      </c>
      <c r="J16" s="45">
        <v>4410109.71</v>
      </c>
      <c r="K16" s="45">
        <f t="shared" si="1"/>
        <v>6.2784339546917145E-3</v>
      </c>
      <c r="L16" s="53">
        <f t="shared" si="3"/>
        <v>73836871.290000007</v>
      </c>
    </row>
    <row r="17" spans="1:12" s="5" customFormat="1" ht="14.85" customHeight="1" x14ac:dyDescent="0.25">
      <c r="A17" s="43" t="s">
        <v>30</v>
      </c>
      <c r="B17" s="44" t="s">
        <v>31</v>
      </c>
      <c r="C17" s="45">
        <v>2411753468</v>
      </c>
      <c r="D17" s="45">
        <v>2367340846</v>
      </c>
      <c r="E17" s="61">
        <f>F17-1914849607.63</f>
        <v>25739468.559999943</v>
      </c>
      <c r="F17" s="45">
        <v>1940589076.1900001</v>
      </c>
      <c r="G17" s="45">
        <f t="shared" si="0"/>
        <v>2.5331158931078792</v>
      </c>
      <c r="H17" s="45">
        <f t="shared" si="2"/>
        <v>426751769.80999994</v>
      </c>
      <c r="I17" s="45">
        <f>J17-940908080.39</f>
        <v>294318881.45999992</v>
      </c>
      <c r="J17" s="45">
        <v>1235226961.8499999</v>
      </c>
      <c r="K17" s="45">
        <f t="shared" si="1"/>
        <v>1.7585256170485897</v>
      </c>
      <c r="L17" s="53">
        <f t="shared" si="3"/>
        <v>1132113884.1500001</v>
      </c>
    </row>
    <row r="18" spans="1:12" s="5" customFormat="1" ht="14.85" customHeight="1" x14ac:dyDescent="0.25">
      <c r="A18" s="43" t="s">
        <v>32</v>
      </c>
      <c r="B18" s="44" t="s">
        <v>33</v>
      </c>
      <c r="C18" s="45">
        <v>29379588</v>
      </c>
      <c r="D18" s="45">
        <v>28975812</v>
      </c>
      <c r="E18" s="61">
        <f>F18-5012971.51</f>
        <v>49217.5</v>
      </c>
      <c r="F18" s="45">
        <v>5062189.01</v>
      </c>
      <c r="G18" s="45">
        <f t="shared" si="0"/>
        <v>6.6078447995404199E-3</v>
      </c>
      <c r="H18" s="45">
        <f t="shared" si="2"/>
        <v>23913622.990000002</v>
      </c>
      <c r="I18" s="45">
        <f>J18-1739937.77</f>
        <v>497799.04999999981</v>
      </c>
      <c r="J18" s="45">
        <v>2237736.8199999998</v>
      </c>
      <c r="K18" s="45">
        <f t="shared" si="1"/>
        <v>3.1857445179865741E-3</v>
      </c>
      <c r="L18" s="53">
        <f t="shared" si="3"/>
        <v>26738075.18</v>
      </c>
    </row>
    <row r="19" spans="1:12" s="5" customFormat="1" ht="14.85" customHeight="1" x14ac:dyDescent="0.25">
      <c r="A19" s="43" t="s">
        <v>34</v>
      </c>
      <c r="B19" s="44" t="s">
        <v>35</v>
      </c>
      <c r="C19" s="45">
        <v>37741100</v>
      </c>
      <c r="D19" s="45">
        <v>37741100</v>
      </c>
      <c r="E19" s="61">
        <f>F19-7450970.99</f>
        <v>2368061.7799999993</v>
      </c>
      <c r="F19" s="45">
        <v>9819032.7699999996</v>
      </c>
      <c r="G19" s="45">
        <f t="shared" si="0"/>
        <v>1.2817112221134047E-2</v>
      </c>
      <c r="H19" s="45">
        <f t="shared" si="2"/>
        <v>27922067.23</v>
      </c>
      <c r="I19" s="45">
        <f>J19-3401012.44</f>
        <v>1713675.5900000003</v>
      </c>
      <c r="J19" s="45">
        <v>5114688.03</v>
      </c>
      <c r="K19" s="45">
        <f t="shared" si="1"/>
        <v>7.2815038869423667E-3</v>
      </c>
      <c r="L19" s="53">
        <f t="shared" si="3"/>
        <v>32626411.969999999</v>
      </c>
    </row>
    <row r="20" spans="1:12" s="5" customFormat="1" ht="14.85" customHeight="1" x14ac:dyDescent="0.25">
      <c r="A20" s="43" t="s">
        <v>36</v>
      </c>
      <c r="B20" s="44" t="s">
        <v>37</v>
      </c>
      <c r="C20" s="45">
        <v>0</v>
      </c>
      <c r="D20" s="45">
        <v>0</v>
      </c>
      <c r="E20" s="61">
        <f t="shared" si="4"/>
        <v>0</v>
      </c>
      <c r="F20" s="45">
        <v>0</v>
      </c>
      <c r="G20" s="45">
        <f t="shared" si="0"/>
        <v>0</v>
      </c>
      <c r="H20" s="45">
        <f t="shared" si="2"/>
        <v>0</v>
      </c>
      <c r="I20" s="45">
        <f>J20-0</f>
        <v>0</v>
      </c>
      <c r="J20" s="45">
        <v>0</v>
      </c>
      <c r="K20" s="45">
        <f t="shared" si="1"/>
        <v>0</v>
      </c>
      <c r="L20" s="53">
        <f t="shared" si="3"/>
        <v>0</v>
      </c>
    </row>
    <row r="21" spans="1:12" s="5" customFormat="1" ht="14.85" customHeight="1" x14ac:dyDescent="0.25">
      <c r="A21" s="43" t="s">
        <v>38</v>
      </c>
      <c r="B21" s="44" t="s">
        <v>39</v>
      </c>
      <c r="C21" s="45">
        <v>0</v>
      </c>
      <c r="D21" s="45">
        <v>0</v>
      </c>
      <c r="E21" s="61">
        <f t="shared" si="4"/>
        <v>0</v>
      </c>
      <c r="F21" s="45">
        <v>0</v>
      </c>
      <c r="G21" s="45">
        <f t="shared" si="0"/>
        <v>0</v>
      </c>
      <c r="H21" s="45">
        <f t="shared" si="2"/>
        <v>0</v>
      </c>
      <c r="I21" s="45">
        <f t="shared" si="5"/>
        <v>0</v>
      </c>
      <c r="J21" s="45">
        <v>0</v>
      </c>
      <c r="K21" s="45">
        <f t="shared" si="1"/>
        <v>0</v>
      </c>
      <c r="L21" s="53">
        <f t="shared" si="3"/>
        <v>0</v>
      </c>
    </row>
    <row r="22" spans="1:12" s="5" customFormat="1" ht="14.85" customHeight="1" x14ac:dyDescent="0.25">
      <c r="A22" s="43" t="s">
        <v>40</v>
      </c>
      <c r="B22" s="44" t="s">
        <v>41</v>
      </c>
      <c r="C22" s="45">
        <v>468126</v>
      </c>
      <c r="D22" s="45">
        <v>468126</v>
      </c>
      <c r="E22" s="61">
        <f>F22-16844.05</f>
        <v>12862.71</v>
      </c>
      <c r="F22" s="45">
        <v>29706.76</v>
      </c>
      <c r="G22" s="45">
        <f t="shared" si="0"/>
        <v>3.8777228426165656E-5</v>
      </c>
      <c r="H22" s="45">
        <f t="shared" si="2"/>
        <v>438419.24</v>
      </c>
      <c r="I22" s="45">
        <f>J22-16844.05</f>
        <v>12862.71</v>
      </c>
      <c r="J22" s="45">
        <v>29706.76</v>
      </c>
      <c r="K22" s="45">
        <f t="shared" si="1"/>
        <v>4.2291902681005558E-5</v>
      </c>
      <c r="L22" s="53">
        <f t="shared" si="3"/>
        <v>438419.24</v>
      </c>
    </row>
    <row r="23" spans="1:12" s="5" customFormat="1" ht="14.85" customHeight="1" x14ac:dyDescent="0.25">
      <c r="A23" s="43" t="s">
        <v>42</v>
      </c>
      <c r="B23" s="44" t="s">
        <v>43</v>
      </c>
      <c r="C23" s="45">
        <v>207264</v>
      </c>
      <c r="D23" s="45">
        <v>207264</v>
      </c>
      <c r="E23" s="61">
        <f>F23-0</f>
        <v>0</v>
      </c>
      <c r="F23" s="45">
        <v>0</v>
      </c>
      <c r="G23" s="45">
        <f t="shared" si="0"/>
        <v>0</v>
      </c>
      <c r="H23" s="45">
        <f t="shared" si="2"/>
        <v>207264</v>
      </c>
      <c r="I23" s="45">
        <f>J23-0</f>
        <v>0</v>
      </c>
      <c r="J23" s="45">
        <v>0</v>
      </c>
      <c r="K23" s="45">
        <f t="shared" si="1"/>
        <v>0</v>
      </c>
      <c r="L23" s="53">
        <f t="shared" si="3"/>
        <v>207264</v>
      </c>
    </row>
    <row r="24" spans="1:12" s="5" customFormat="1" ht="14.85" customHeight="1" x14ac:dyDescent="0.25">
      <c r="A24" s="43" t="s">
        <v>44</v>
      </c>
      <c r="B24" s="44" t="s">
        <v>45</v>
      </c>
      <c r="C24" s="45">
        <v>29470000</v>
      </c>
      <c r="D24" s="45">
        <v>29470000</v>
      </c>
      <c r="E24" s="61">
        <f>F24-6527923.89</f>
        <v>0</v>
      </c>
      <c r="F24" s="45">
        <v>6527923.8899999997</v>
      </c>
      <c r="G24" s="45">
        <f t="shared" si="0"/>
        <v>8.5211176119897938E-3</v>
      </c>
      <c r="H24" s="45">
        <f t="shared" si="2"/>
        <v>22942076.109999999</v>
      </c>
      <c r="I24" s="45">
        <f>J24-6527923.89</f>
        <v>0</v>
      </c>
      <c r="J24" s="45">
        <v>6527923.8899999997</v>
      </c>
      <c r="K24" s="45">
        <f t="shared" si="1"/>
        <v>9.2934511156683268E-3</v>
      </c>
      <c r="L24" s="53">
        <f t="shared" si="3"/>
        <v>22942076.109999999</v>
      </c>
    </row>
    <row r="25" spans="1:12" s="5" customFormat="1" ht="14.85" customHeight="1" x14ac:dyDescent="0.25">
      <c r="A25" s="40" t="s">
        <v>46</v>
      </c>
      <c r="B25" s="70" t="s">
        <v>47</v>
      </c>
      <c r="C25" s="42">
        <f>SUM(C26:C28)</f>
        <v>7754286286</v>
      </c>
      <c r="D25" s="42">
        <f>SUM(D26:D28)</f>
        <v>8139584543.7399998</v>
      </c>
      <c r="E25" s="98">
        <f>SUM(E26:E27)</f>
        <v>1580015176</v>
      </c>
      <c r="F25" s="42">
        <f>SUM(F26:F28)</f>
        <v>5869195937.8400002</v>
      </c>
      <c r="G25" s="45">
        <f t="shared" si="0"/>
        <v>7.6612579614722449</v>
      </c>
      <c r="H25" s="42">
        <f t="shared" si="2"/>
        <v>2270388605.8999996</v>
      </c>
      <c r="I25" s="42">
        <f>SUM(I26:I28)</f>
        <v>1589891744.4699998</v>
      </c>
      <c r="J25" s="42">
        <f>SUM(J26:J28)</f>
        <v>5063124615.8299999</v>
      </c>
      <c r="K25" s="42">
        <f t="shared" si="1"/>
        <v>7.208095851398336</v>
      </c>
      <c r="L25" s="57">
        <f t="shared" si="3"/>
        <v>3076459927.9099998</v>
      </c>
    </row>
    <row r="26" spans="1:12" s="5" customFormat="1" ht="14.85" customHeight="1" x14ac:dyDescent="0.25">
      <c r="A26" s="43" t="s">
        <v>48</v>
      </c>
      <c r="B26" s="44" t="s">
        <v>49</v>
      </c>
      <c r="C26" s="45">
        <v>2912619000</v>
      </c>
      <c r="D26" s="45">
        <v>3231917257.7399998</v>
      </c>
      <c r="E26" s="61">
        <f>F26-2009636095.29</f>
        <v>551142392.49000025</v>
      </c>
      <c r="F26" s="45">
        <v>2560778487.7800002</v>
      </c>
      <c r="G26" s="45">
        <f t="shared" si="0"/>
        <v>3.3426698963285166</v>
      </c>
      <c r="H26" s="45">
        <f t="shared" si="2"/>
        <v>671138769.95999956</v>
      </c>
      <c r="I26" s="45">
        <f>J26-1193688204.81</f>
        <v>561018960.96000004</v>
      </c>
      <c r="J26" s="45">
        <v>1754707165.77</v>
      </c>
      <c r="K26" s="45">
        <f t="shared" si="1"/>
        <v>2.4980814026305098</v>
      </c>
      <c r="L26" s="53">
        <f t="shared" si="3"/>
        <v>1477210091.9699998</v>
      </c>
    </row>
    <row r="27" spans="1:12" s="5" customFormat="1" ht="14.85" customHeight="1" x14ac:dyDescent="0.25">
      <c r="A27" s="43" t="s">
        <v>30</v>
      </c>
      <c r="B27" s="44" t="s">
        <v>31</v>
      </c>
      <c r="C27" s="45">
        <v>4841667286</v>
      </c>
      <c r="D27" s="45">
        <v>4907667286</v>
      </c>
      <c r="E27" s="61">
        <f>F27-2279544666.55</f>
        <v>1028872783.5099998</v>
      </c>
      <c r="F27" s="45">
        <v>3308417450.0599999</v>
      </c>
      <c r="G27" s="45">
        <f t="shared" si="0"/>
        <v>4.3185880651437287</v>
      </c>
      <c r="H27" s="45">
        <f t="shared" si="2"/>
        <v>1599249835.9400001</v>
      </c>
      <c r="I27" s="45">
        <f>J27-2279544666.55</f>
        <v>1028872783.5099998</v>
      </c>
      <c r="J27" s="45">
        <v>3308417450.0599999</v>
      </c>
      <c r="K27" s="45">
        <f t="shared" si="1"/>
        <v>4.7100144487678248</v>
      </c>
      <c r="L27" s="53">
        <f t="shared" si="3"/>
        <v>1599249835.9400001</v>
      </c>
    </row>
    <row r="28" spans="1:12" s="5" customFormat="1" ht="14.85" customHeight="1" x14ac:dyDescent="0.25">
      <c r="A28" s="43" t="s">
        <v>38</v>
      </c>
      <c r="B28" s="44" t="s">
        <v>39</v>
      </c>
      <c r="C28" s="45">
        <v>0</v>
      </c>
      <c r="D28" s="45">
        <v>0</v>
      </c>
      <c r="E28" s="61">
        <f>F28-0</f>
        <v>0</v>
      </c>
      <c r="F28" s="45">
        <v>0</v>
      </c>
      <c r="G28" s="45">
        <f t="shared" si="0"/>
        <v>0</v>
      </c>
      <c r="H28" s="45">
        <f t="shared" si="2"/>
        <v>0</v>
      </c>
      <c r="I28" s="45">
        <f>J28-0</f>
        <v>0</v>
      </c>
      <c r="J28" s="45">
        <v>0</v>
      </c>
      <c r="K28" s="45">
        <f t="shared" si="1"/>
        <v>0</v>
      </c>
      <c r="L28" s="53">
        <f t="shared" si="3"/>
        <v>0</v>
      </c>
    </row>
    <row r="29" spans="1:12" s="5" customFormat="1" ht="14.85" customHeight="1" x14ac:dyDescent="0.25">
      <c r="A29" s="40" t="s">
        <v>50</v>
      </c>
      <c r="B29" s="70" t="s">
        <v>51</v>
      </c>
      <c r="C29" s="42">
        <f>SUM(C30:C34)</f>
        <v>5011265780</v>
      </c>
      <c r="D29" s="42">
        <f>SUM(D30:D34)</f>
        <v>5596016032.79</v>
      </c>
      <c r="E29" s="98">
        <f>SUM(E30:E34)</f>
        <v>720083640.71000016</v>
      </c>
      <c r="F29" s="42">
        <f>SUM(F30:F34)</f>
        <v>4141659614.2499995</v>
      </c>
      <c r="G29" s="42">
        <f t="shared" si="0"/>
        <v>5.4062469594529112</v>
      </c>
      <c r="H29" s="42">
        <f t="shared" si="2"/>
        <v>1454356418.5400004</v>
      </c>
      <c r="I29" s="42">
        <f>SUM(I30:I34)</f>
        <v>860069169.80000007</v>
      </c>
      <c r="J29" s="42">
        <f>SUM(J30:J34)</f>
        <v>3043551959.2199998</v>
      </c>
      <c r="K29" s="42">
        <f t="shared" si="1"/>
        <v>4.3329398178702769</v>
      </c>
      <c r="L29" s="57">
        <f t="shared" si="3"/>
        <v>2552464073.5700002</v>
      </c>
    </row>
    <row r="30" spans="1:12" s="5" customFormat="1" ht="14.85" customHeight="1" x14ac:dyDescent="0.25">
      <c r="A30" s="43" t="s">
        <v>52</v>
      </c>
      <c r="B30" s="44" t="s">
        <v>53</v>
      </c>
      <c r="C30" s="45">
        <v>451654074</v>
      </c>
      <c r="D30" s="45">
        <v>214268503.36000001</v>
      </c>
      <c r="E30" s="61">
        <f>F30-96389937.22</f>
        <v>56096793.110000014</v>
      </c>
      <c r="F30" s="45">
        <v>152486730.33000001</v>
      </c>
      <c r="G30" s="45">
        <f t="shared" si="0"/>
        <v>0.19904603443679258</v>
      </c>
      <c r="H30" s="45">
        <f t="shared" si="2"/>
        <v>61781773.030000001</v>
      </c>
      <c r="I30" s="45">
        <f>J30-21179152.28</f>
        <v>15301608.530000001</v>
      </c>
      <c r="J30" s="45">
        <v>36480760.810000002</v>
      </c>
      <c r="K30" s="45">
        <f t="shared" si="1"/>
        <v>5.193568015850808E-2</v>
      </c>
      <c r="L30" s="53">
        <f t="shared" si="3"/>
        <v>177787742.55000001</v>
      </c>
    </row>
    <row r="31" spans="1:12" s="5" customFormat="1" ht="14.85" customHeight="1" x14ac:dyDescent="0.25">
      <c r="A31" s="43" t="s">
        <v>54</v>
      </c>
      <c r="B31" s="44" t="s">
        <v>55</v>
      </c>
      <c r="C31" s="45">
        <v>152931480</v>
      </c>
      <c r="D31" s="45">
        <v>314045358.38</v>
      </c>
      <c r="E31" s="61">
        <f>F31-86040564.41</f>
        <v>31545340</v>
      </c>
      <c r="F31" s="45">
        <v>117585904.41</v>
      </c>
      <c r="G31" s="45">
        <f t="shared" si="0"/>
        <v>0.15348881786515425</v>
      </c>
      <c r="H31" s="45">
        <f t="shared" si="2"/>
        <v>196459453.97</v>
      </c>
      <c r="I31" s="45">
        <f>J31-84761007.07</f>
        <v>31882791.680000007</v>
      </c>
      <c r="J31" s="45">
        <v>116643798.75</v>
      </c>
      <c r="K31" s="45">
        <f t="shared" si="1"/>
        <v>0.16605944859277139</v>
      </c>
      <c r="L31" s="53">
        <f t="shared" si="3"/>
        <v>197401559.63</v>
      </c>
    </row>
    <row r="32" spans="1:12" s="5" customFormat="1" ht="14.85" customHeight="1" x14ac:dyDescent="0.25">
      <c r="A32" s="43" t="s">
        <v>30</v>
      </c>
      <c r="B32" s="44" t="s">
        <v>31</v>
      </c>
      <c r="C32" s="45">
        <v>4321555205</v>
      </c>
      <c r="D32" s="45">
        <v>4939956729.0500002</v>
      </c>
      <c r="E32" s="61">
        <f>F32-3196366462.37</f>
        <v>624728553.51000023</v>
      </c>
      <c r="F32" s="45">
        <v>3821095015.8800001</v>
      </c>
      <c r="G32" s="45">
        <f t="shared" si="0"/>
        <v>4.9878032565268597</v>
      </c>
      <c r="H32" s="45">
        <f t="shared" si="2"/>
        <v>1118861713.1700001</v>
      </c>
      <c r="I32" s="45">
        <f>J32-2059630743.36</f>
        <v>802351421.56999993</v>
      </c>
      <c r="J32" s="45">
        <v>2861982164.9299998</v>
      </c>
      <c r="K32" s="45">
        <f t="shared" si="1"/>
        <v>4.0744487515297241</v>
      </c>
      <c r="L32" s="53">
        <f t="shared" si="3"/>
        <v>2077974564.1200004</v>
      </c>
    </row>
    <row r="33" spans="1:12" s="5" customFormat="1" ht="14.85" customHeight="1" x14ac:dyDescent="0.25">
      <c r="A33" s="43" t="s">
        <v>32</v>
      </c>
      <c r="B33" s="44" t="s">
        <v>56</v>
      </c>
      <c r="C33" s="45">
        <v>77249052</v>
      </c>
      <c r="D33" s="45">
        <v>112759052</v>
      </c>
      <c r="E33" s="61">
        <f>F33-41361780.88</f>
        <v>4544080.049999997</v>
      </c>
      <c r="F33" s="45">
        <v>45905860.93</v>
      </c>
      <c r="G33" s="45">
        <f t="shared" si="0"/>
        <v>5.9922457224631812E-2</v>
      </c>
      <c r="H33" s="45">
        <f t="shared" si="2"/>
        <v>66853191.07</v>
      </c>
      <c r="I33" s="45">
        <f>J33-16836315.18</f>
        <v>8718474.6999999993</v>
      </c>
      <c r="J33" s="45">
        <v>25554789.879999999</v>
      </c>
      <c r="K33" s="45">
        <f t="shared" si="1"/>
        <v>3.6380968057051849E-2</v>
      </c>
      <c r="L33" s="53">
        <f t="shared" si="3"/>
        <v>87204262.120000005</v>
      </c>
    </row>
    <row r="34" spans="1:12" s="5" customFormat="1" ht="14.85" customHeight="1" x14ac:dyDescent="0.25">
      <c r="A34" s="43" t="s">
        <v>34</v>
      </c>
      <c r="B34" s="44" t="s">
        <v>35</v>
      </c>
      <c r="C34" s="45">
        <v>7875969</v>
      </c>
      <c r="D34" s="45">
        <v>14986390</v>
      </c>
      <c r="E34" s="61">
        <f>F34-1417228.66</f>
        <v>3168874.04</v>
      </c>
      <c r="F34" s="45">
        <v>4586102.7</v>
      </c>
      <c r="G34" s="45">
        <f t="shared" si="0"/>
        <v>5.9863933994738936E-3</v>
      </c>
      <c r="H34" s="45">
        <f t="shared" si="2"/>
        <v>10400287.300000001</v>
      </c>
      <c r="I34" s="45">
        <f>J34-1075571.53</f>
        <v>1814873.32</v>
      </c>
      <c r="J34" s="45">
        <v>2890444.85</v>
      </c>
      <c r="K34" s="45">
        <f t="shared" si="1"/>
        <v>4.1149695322214106E-3</v>
      </c>
      <c r="L34" s="53">
        <f t="shared" si="3"/>
        <v>12095945.15</v>
      </c>
    </row>
    <row r="35" spans="1:12" s="5" customFormat="1" ht="14.85" customHeight="1" x14ac:dyDescent="0.25">
      <c r="A35" s="40" t="s">
        <v>57</v>
      </c>
      <c r="B35" s="70" t="s">
        <v>58</v>
      </c>
      <c r="C35" s="42">
        <f>SUM(C36:C62)</f>
        <v>6595891520</v>
      </c>
      <c r="D35" s="42">
        <f>SUM(D36:D62)</f>
        <v>6255293994.8800001</v>
      </c>
      <c r="E35" s="98">
        <f>SUM(E36:E62)</f>
        <v>678707275.39999998</v>
      </c>
      <c r="F35" s="42">
        <f>SUM(F36:F62)</f>
        <v>2656741170.9000001</v>
      </c>
      <c r="G35" s="42">
        <f t="shared" si="0"/>
        <v>3.467933199486855</v>
      </c>
      <c r="H35" s="42">
        <f t="shared" si="2"/>
        <v>3598552823.98</v>
      </c>
      <c r="I35" s="42">
        <f>SUM(I36:I62)</f>
        <v>661661837.6400001</v>
      </c>
      <c r="J35" s="42">
        <f>SUM(J36:J62)</f>
        <v>2443968456.27</v>
      </c>
      <c r="K35" s="42">
        <f t="shared" si="1"/>
        <v>3.4793453108995469</v>
      </c>
      <c r="L35" s="57">
        <f t="shared" si="3"/>
        <v>3811325538.6100001</v>
      </c>
    </row>
    <row r="36" spans="1:12" s="5" customFormat="1" ht="14.85" customHeight="1" x14ac:dyDescent="0.25">
      <c r="A36" s="43" t="s">
        <v>59</v>
      </c>
      <c r="B36" s="44" t="s">
        <v>60</v>
      </c>
      <c r="C36" s="45">
        <v>245022337</v>
      </c>
      <c r="D36" s="45">
        <v>119237582.28</v>
      </c>
      <c r="E36" s="61">
        <f t="shared" ref="E36:E62" si="6">F36-0</f>
        <v>0</v>
      </c>
      <c r="F36" s="45">
        <v>0</v>
      </c>
      <c r="G36" s="45">
        <f t="shared" si="0"/>
        <v>0</v>
      </c>
      <c r="H36" s="45">
        <f t="shared" si="2"/>
        <v>119237582.28</v>
      </c>
      <c r="I36" s="45">
        <f t="shared" ref="I36" si="7">J36-0</f>
        <v>0</v>
      </c>
      <c r="J36" s="45">
        <v>0</v>
      </c>
      <c r="K36" s="45">
        <f t="shared" si="1"/>
        <v>0</v>
      </c>
      <c r="L36" s="53">
        <f t="shared" si="3"/>
        <v>119237582.28</v>
      </c>
    </row>
    <row r="37" spans="1:12" s="5" customFormat="1" ht="14.85" customHeight="1" x14ac:dyDescent="0.25">
      <c r="A37" s="43" t="s">
        <v>30</v>
      </c>
      <c r="B37" s="44" t="s">
        <v>31</v>
      </c>
      <c r="C37" s="45">
        <v>4253623840</v>
      </c>
      <c r="D37" s="45">
        <v>3910520478.5</v>
      </c>
      <c r="E37" s="61">
        <f>F37-961753802.31</f>
        <v>339684506.70000005</v>
      </c>
      <c r="F37" s="45">
        <v>1301438309.01</v>
      </c>
      <c r="G37" s="45">
        <f t="shared" si="0"/>
        <v>1.6988109975993186</v>
      </c>
      <c r="H37" s="45">
        <f t="shared" si="2"/>
        <v>2609082169.4899998</v>
      </c>
      <c r="I37" s="45">
        <f>J37-868612982.61</f>
        <v>342354598.58000004</v>
      </c>
      <c r="J37" s="45">
        <v>1210967581.1900001</v>
      </c>
      <c r="K37" s="45">
        <f t="shared" si="1"/>
        <v>1.7239888528247502</v>
      </c>
      <c r="L37" s="53">
        <f t="shared" si="3"/>
        <v>2699552897.3099999</v>
      </c>
    </row>
    <row r="38" spans="1:12" s="5" customFormat="1" ht="14.85" customHeight="1" x14ac:dyDescent="0.25">
      <c r="A38" s="43" t="s">
        <v>61</v>
      </c>
      <c r="B38" s="44" t="s">
        <v>62</v>
      </c>
      <c r="C38" s="45">
        <v>11656952</v>
      </c>
      <c r="D38" s="45">
        <v>32968723.949999999</v>
      </c>
      <c r="E38" s="61">
        <f>F38-18562602</f>
        <v>9865186</v>
      </c>
      <c r="F38" s="45">
        <v>28427788</v>
      </c>
      <c r="G38" s="45">
        <f t="shared" si="0"/>
        <v>3.7107743453901096E-2</v>
      </c>
      <c r="H38" s="45">
        <f t="shared" si="2"/>
        <v>4540935.9499999993</v>
      </c>
      <c r="I38" s="45">
        <f>J38-8682359.52</f>
        <v>9755552.8300000019</v>
      </c>
      <c r="J38" s="45">
        <v>18437912.350000001</v>
      </c>
      <c r="K38" s="45">
        <f t="shared" si="1"/>
        <v>2.6249055593646379E-2</v>
      </c>
      <c r="L38" s="53">
        <f t="shared" si="3"/>
        <v>14530811.599999998</v>
      </c>
    </row>
    <row r="39" spans="1:12" s="5" customFormat="1" ht="14.85" customHeight="1" x14ac:dyDescent="0.25">
      <c r="A39" s="43" t="s">
        <v>63</v>
      </c>
      <c r="B39" s="44" t="s">
        <v>64</v>
      </c>
      <c r="C39" s="45">
        <v>400505</v>
      </c>
      <c r="D39" s="45">
        <v>167777.96</v>
      </c>
      <c r="E39" s="61">
        <f>F39-42993.87</f>
        <v>4259.4399999999951</v>
      </c>
      <c r="F39" s="45">
        <v>47253.31</v>
      </c>
      <c r="G39" s="45">
        <f t="shared" si="0"/>
        <v>6.168132760901619E-5</v>
      </c>
      <c r="H39" s="45">
        <f t="shared" si="2"/>
        <v>120524.65</v>
      </c>
      <c r="I39" s="45">
        <f>J39-30053.87</f>
        <v>7959.4399999999987</v>
      </c>
      <c r="J39" s="45">
        <v>38013.31</v>
      </c>
      <c r="K39" s="45">
        <f t="shared" si="1"/>
        <v>5.4117487302650824E-5</v>
      </c>
      <c r="L39" s="53">
        <f t="shared" si="3"/>
        <v>129764.65</v>
      </c>
    </row>
    <row r="40" spans="1:12" s="5" customFormat="1" ht="14.85" customHeight="1" x14ac:dyDescent="0.25">
      <c r="A40" s="43" t="s">
        <v>65</v>
      </c>
      <c r="B40" s="44" t="s">
        <v>66</v>
      </c>
      <c r="C40" s="45">
        <v>7130020</v>
      </c>
      <c r="D40" s="45">
        <v>7296557</v>
      </c>
      <c r="E40" s="61">
        <f>F40-5054083.64</f>
        <v>1510291.75</v>
      </c>
      <c r="F40" s="45">
        <v>6564375.3899999997</v>
      </c>
      <c r="G40" s="45">
        <f t="shared" si="0"/>
        <v>8.5686989753554505E-3</v>
      </c>
      <c r="H40" s="45">
        <f t="shared" si="2"/>
        <v>732181.61000000034</v>
      </c>
      <c r="I40" s="45">
        <f>J40-2264868.73</f>
        <v>2239764.61</v>
      </c>
      <c r="J40" s="45">
        <v>4504633.34</v>
      </c>
      <c r="K40" s="45">
        <f t="shared" si="1"/>
        <v>6.4130021190090414E-3</v>
      </c>
      <c r="L40" s="53">
        <f t="shared" si="3"/>
        <v>2791923.66</v>
      </c>
    </row>
    <row r="41" spans="1:12" s="5" customFormat="1" ht="14.85" customHeight="1" x14ac:dyDescent="0.25">
      <c r="A41" s="43" t="s">
        <v>32</v>
      </c>
      <c r="B41" s="44" t="s">
        <v>33</v>
      </c>
      <c r="C41" s="45">
        <v>154776698</v>
      </c>
      <c r="D41" s="45">
        <v>164786728.53999999</v>
      </c>
      <c r="E41" s="61">
        <f>F41-71271479.5</f>
        <v>30370026.409999996</v>
      </c>
      <c r="F41" s="45">
        <v>101641505.91</v>
      </c>
      <c r="G41" s="45">
        <f t="shared" si="0"/>
        <v>0.13267606067614027</v>
      </c>
      <c r="H41" s="45">
        <f t="shared" si="2"/>
        <v>63145222.629999995</v>
      </c>
      <c r="I41" s="45">
        <f>J41-24544923.49</f>
        <v>16250023.66</v>
      </c>
      <c r="J41" s="45">
        <v>40794947.149999999</v>
      </c>
      <c r="K41" s="45">
        <f t="shared" si="1"/>
        <v>5.8077553214977491E-2</v>
      </c>
      <c r="L41" s="53">
        <f t="shared" si="3"/>
        <v>123991781.38999999</v>
      </c>
    </row>
    <row r="42" spans="1:12" s="5" customFormat="1" ht="14.85" customHeight="1" x14ac:dyDescent="0.25">
      <c r="A42" s="43" t="s">
        <v>67</v>
      </c>
      <c r="B42" s="44" t="s">
        <v>68</v>
      </c>
      <c r="C42" s="45">
        <v>26277185</v>
      </c>
      <c r="D42" s="45">
        <v>107399256.38</v>
      </c>
      <c r="E42" s="61">
        <f>F42-53271958.03</f>
        <v>15908471.039999992</v>
      </c>
      <c r="F42" s="45">
        <v>69180429.069999993</v>
      </c>
      <c r="G42" s="45">
        <f t="shared" si="0"/>
        <v>9.0303530262726084E-2</v>
      </c>
      <c r="H42" s="45">
        <f t="shared" si="2"/>
        <v>38218827.310000002</v>
      </c>
      <c r="I42" s="45">
        <f>J42-21176084.55</f>
        <v>15624414.099999998</v>
      </c>
      <c r="J42" s="45">
        <v>36800498.649999999</v>
      </c>
      <c r="K42" s="45">
        <f t="shared" si="1"/>
        <v>5.239087357619196E-2</v>
      </c>
      <c r="L42" s="53">
        <f t="shared" si="3"/>
        <v>70598757.729999989</v>
      </c>
    </row>
    <row r="43" spans="1:12" s="5" customFormat="1" ht="14.85" customHeight="1" x14ac:dyDescent="0.25">
      <c r="A43" s="43" t="s">
        <v>34</v>
      </c>
      <c r="B43" s="44" t="s">
        <v>35</v>
      </c>
      <c r="C43" s="45">
        <v>37602158</v>
      </c>
      <c r="D43" s="45">
        <v>27980176.390000001</v>
      </c>
      <c r="E43" s="61">
        <f>F43-1575865.9</f>
        <v>194752.5</v>
      </c>
      <c r="F43" s="45">
        <v>1770618.4</v>
      </c>
      <c r="G43" s="45">
        <f t="shared" si="0"/>
        <v>2.311247478768198E-3</v>
      </c>
      <c r="H43" s="45">
        <f t="shared" si="2"/>
        <v>26209557.990000002</v>
      </c>
      <c r="I43" s="45">
        <f>J43-404700.52</f>
        <v>937018.71</v>
      </c>
      <c r="J43" s="45">
        <v>1341719.23</v>
      </c>
      <c r="K43" s="45">
        <f t="shared" si="1"/>
        <v>1.9101328822259212E-3</v>
      </c>
      <c r="L43" s="53">
        <f t="shared" si="3"/>
        <v>26638457.16</v>
      </c>
    </row>
    <row r="44" spans="1:12" s="5" customFormat="1" ht="14.85" customHeight="1" x14ac:dyDescent="0.25">
      <c r="A44" s="43" t="s">
        <v>69</v>
      </c>
      <c r="B44" s="44" t="s">
        <v>70</v>
      </c>
      <c r="C44" s="45">
        <v>0</v>
      </c>
      <c r="D44" s="45">
        <v>0</v>
      </c>
      <c r="E44" s="61">
        <f t="shared" si="6"/>
        <v>0</v>
      </c>
      <c r="F44" s="45">
        <v>0</v>
      </c>
      <c r="G44" s="45">
        <f t="shared" si="0"/>
        <v>0</v>
      </c>
      <c r="H44" s="45">
        <f t="shared" si="2"/>
        <v>0</v>
      </c>
      <c r="I44" s="45">
        <f t="shared" ref="I44:I57" si="8">J44-0</f>
        <v>0</v>
      </c>
      <c r="J44" s="45">
        <v>0</v>
      </c>
      <c r="K44" s="45">
        <f t="shared" si="1"/>
        <v>0</v>
      </c>
      <c r="L44" s="53">
        <f t="shared" si="3"/>
        <v>0</v>
      </c>
    </row>
    <row r="45" spans="1:12" s="5" customFormat="1" ht="14.85" customHeight="1" x14ac:dyDescent="0.25">
      <c r="A45" s="43" t="s">
        <v>71</v>
      </c>
      <c r="B45" s="44" t="s">
        <v>72</v>
      </c>
      <c r="C45" s="45">
        <v>21244327</v>
      </c>
      <c r="D45" s="45">
        <v>22114520.399999999</v>
      </c>
      <c r="E45" s="61">
        <f>F45-11142714.6</f>
        <v>4929902.7100000009</v>
      </c>
      <c r="F45" s="94">
        <v>16072617.310000001</v>
      </c>
      <c r="G45" s="45">
        <f t="shared" ref="G45:G76" si="9">(F45/$F$307)*100</f>
        <v>2.0980125494541115E-2</v>
      </c>
      <c r="H45" s="45">
        <f t="shared" si="2"/>
        <v>6041903.089999998</v>
      </c>
      <c r="I45" s="45">
        <f>J45-6698989.67</f>
        <v>3770674.4299999997</v>
      </c>
      <c r="J45" s="94">
        <v>10469664.1</v>
      </c>
      <c r="K45" s="45">
        <f t="shared" ref="K45:K76" si="10">(J45/$J$307)*100</f>
        <v>1.4905092821297834E-2</v>
      </c>
      <c r="L45" s="53">
        <f t="shared" si="3"/>
        <v>11644856.299999999</v>
      </c>
    </row>
    <row r="46" spans="1:12" s="5" customFormat="1" ht="14.85" customHeight="1" x14ac:dyDescent="0.25">
      <c r="A46" s="43" t="s">
        <v>36</v>
      </c>
      <c r="B46" s="44" t="s">
        <v>37</v>
      </c>
      <c r="C46" s="45">
        <v>5425140</v>
      </c>
      <c r="D46" s="45">
        <v>26011261.18</v>
      </c>
      <c r="E46" s="61">
        <f>F46-10229138.39</f>
        <v>9483878.6999999993</v>
      </c>
      <c r="F46" s="94">
        <v>19713017.09</v>
      </c>
      <c r="G46" s="45">
        <f t="shared" si="9"/>
        <v>2.5732061209900955E-2</v>
      </c>
      <c r="H46" s="45">
        <f t="shared" si="2"/>
        <v>6298244.0899999999</v>
      </c>
      <c r="I46" s="45">
        <f>J46-4762398.41</f>
        <v>4951981.129999999</v>
      </c>
      <c r="J46" s="94">
        <v>9714379.5399999991</v>
      </c>
      <c r="K46" s="45">
        <f t="shared" si="10"/>
        <v>1.3829835165869031E-2</v>
      </c>
      <c r="L46" s="53">
        <f t="shared" si="3"/>
        <v>16296881.640000001</v>
      </c>
    </row>
    <row r="47" spans="1:12" s="5" customFormat="1" ht="14.85" customHeight="1" x14ac:dyDescent="0.25">
      <c r="A47" s="43" t="s">
        <v>73</v>
      </c>
      <c r="B47" s="44" t="s">
        <v>74</v>
      </c>
      <c r="C47" s="45">
        <v>0</v>
      </c>
      <c r="D47" s="45">
        <v>0</v>
      </c>
      <c r="E47" s="61">
        <f t="shared" si="6"/>
        <v>0</v>
      </c>
      <c r="F47" s="45">
        <v>0</v>
      </c>
      <c r="G47" s="45">
        <f t="shared" si="9"/>
        <v>0</v>
      </c>
      <c r="H47" s="45">
        <f t="shared" si="2"/>
        <v>0</v>
      </c>
      <c r="I47" s="45">
        <f t="shared" si="8"/>
        <v>0</v>
      </c>
      <c r="J47" s="45">
        <v>0</v>
      </c>
      <c r="K47" s="45">
        <f t="shared" si="10"/>
        <v>0</v>
      </c>
      <c r="L47" s="53">
        <f t="shared" si="3"/>
        <v>0</v>
      </c>
    </row>
    <row r="48" spans="1:12" s="5" customFormat="1" ht="14.85" customHeight="1" x14ac:dyDescent="0.25">
      <c r="A48" s="43" t="s">
        <v>38</v>
      </c>
      <c r="B48" s="44" t="s">
        <v>39</v>
      </c>
      <c r="C48" s="45">
        <v>0</v>
      </c>
      <c r="D48" s="45">
        <v>0</v>
      </c>
      <c r="E48" s="61">
        <f>F48-0</f>
        <v>0</v>
      </c>
      <c r="F48" s="45">
        <v>0</v>
      </c>
      <c r="G48" s="45">
        <f t="shared" si="9"/>
        <v>0</v>
      </c>
      <c r="H48" s="45">
        <f t="shared" si="2"/>
        <v>0</v>
      </c>
      <c r="I48" s="45">
        <f t="shared" si="8"/>
        <v>0</v>
      </c>
      <c r="J48" s="45">
        <v>0</v>
      </c>
      <c r="K48" s="45">
        <f t="shared" si="10"/>
        <v>0</v>
      </c>
      <c r="L48" s="53">
        <f t="shared" si="3"/>
        <v>0</v>
      </c>
    </row>
    <row r="49" spans="1:12" s="5" customFormat="1" ht="14.85" customHeight="1" x14ac:dyDescent="0.25">
      <c r="A49" s="43" t="s">
        <v>75</v>
      </c>
      <c r="B49" s="44" t="s">
        <v>76</v>
      </c>
      <c r="C49" s="45">
        <v>0</v>
      </c>
      <c r="D49" s="45">
        <v>0</v>
      </c>
      <c r="E49" s="61">
        <f>F49-0</f>
        <v>0</v>
      </c>
      <c r="F49" s="45">
        <v>0</v>
      </c>
      <c r="G49" s="45">
        <f t="shared" si="9"/>
        <v>0</v>
      </c>
      <c r="H49" s="45">
        <f t="shared" si="2"/>
        <v>0</v>
      </c>
      <c r="I49" s="45">
        <f t="shared" si="8"/>
        <v>0</v>
      </c>
      <c r="J49" s="45">
        <v>0</v>
      </c>
      <c r="K49" s="45">
        <f t="shared" si="10"/>
        <v>0</v>
      </c>
      <c r="L49" s="53">
        <f t="shared" si="3"/>
        <v>0</v>
      </c>
    </row>
    <row r="50" spans="1:12" s="5" customFormat="1" ht="14.85" customHeight="1" x14ac:dyDescent="0.25">
      <c r="A50" s="43" t="s">
        <v>40</v>
      </c>
      <c r="B50" s="44" t="s">
        <v>41</v>
      </c>
      <c r="C50" s="45">
        <v>67201251</v>
      </c>
      <c r="D50" s="45">
        <v>70979825.299999997</v>
      </c>
      <c r="E50" s="61">
        <f>F50-46184250</f>
        <v>23835200</v>
      </c>
      <c r="F50" s="94">
        <v>70019450</v>
      </c>
      <c r="G50" s="45">
        <f t="shared" si="9"/>
        <v>9.1398732373523237E-2</v>
      </c>
      <c r="H50" s="45">
        <f t="shared" si="2"/>
        <v>960375.29999999702</v>
      </c>
      <c r="I50" s="45">
        <f>J50-46184250</f>
        <v>22849050</v>
      </c>
      <c r="J50" s="94">
        <v>69033300</v>
      </c>
      <c r="K50" s="45">
        <f t="shared" si="10"/>
        <v>9.8278964294613774E-2</v>
      </c>
      <c r="L50" s="53">
        <f t="shared" si="3"/>
        <v>1946525.299999997</v>
      </c>
    </row>
    <row r="51" spans="1:12" s="5" customFormat="1" ht="14.85" customHeight="1" x14ac:dyDescent="0.25">
      <c r="A51" s="64" t="s">
        <v>77</v>
      </c>
      <c r="B51" s="44" t="s">
        <v>78</v>
      </c>
      <c r="C51" s="45">
        <v>0</v>
      </c>
      <c r="D51" s="45">
        <v>0</v>
      </c>
      <c r="E51" s="61">
        <f t="shared" si="6"/>
        <v>0</v>
      </c>
      <c r="F51" s="45">
        <v>0</v>
      </c>
      <c r="G51" s="45">
        <f t="shared" si="9"/>
        <v>0</v>
      </c>
      <c r="H51" s="45">
        <f t="shared" si="2"/>
        <v>0</v>
      </c>
      <c r="I51" s="45">
        <f t="shared" si="8"/>
        <v>0</v>
      </c>
      <c r="J51" s="45">
        <v>0</v>
      </c>
      <c r="K51" s="45">
        <f t="shared" si="10"/>
        <v>0</v>
      </c>
      <c r="L51" s="53">
        <f t="shared" si="3"/>
        <v>0</v>
      </c>
    </row>
    <row r="52" spans="1:12" s="5" customFormat="1" ht="14.85" customHeight="1" x14ac:dyDescent="0.25">
      <c r="A52" s="43" t="s">
        <v>79</v>
      </c>
      <c r="B52" s="44" t="s">
        <v>80</v>
      </c>
      <c r="C52" s="45">
        <v>0</v>
      </c>
      <c r="D52" s="45">
        <v>0</v>
      </c>
      <c r="E52" s="61">
        <f t="shared" si="6"/>
        <v>0</v>
      </c>
      <c r="F52" s="45">
        <v>0</v>
      </c>
      <c r="G52" s="45">
        <f t="shared" si="9"/>
        <v>0</v>
      </c>
      <c r="H52" s="45">
        <f t="shared" si="2"/>
        <v>0</v>
      </c>
      <c r="I52" s="45">
        <f t="shared" si="8"/>
        <v>0</v>
      </c>
      <c r="J52" s="45">
        <v>0</v>
      </c>
      <c r="K52" s="45">
        <f t="shared" si="10"/>
        <v>0</v>
      </c>
      <c r="L52" s="53">
        <f t="shared" si="3"/>
        <v>0</v>
      </c>
    </row>
    <row r="53" spans="1:12" s="5" customFormat="1" ht="14.85" customHeight="1" x14ac:dyDescent="0.25">
      <c r="A53" s="43" t="s">
        <v>81</v>
      </c>
      <c r="B53" s="44" t="s">
        <v>82</v>
      </c>
      <c r="C53" s="45">
        <v>0</v>
      </c>
      <c r="D53" s="45">
        <v>0</v>
      </c>
      <c r="E53" s="61">
        <f t="shared" si="6"/>
        <v>0</v>
      </c>
      <c r="F53" s="45">
        <v>0</v>
      </c>
      <c r="G53" s="45">
        <f t="shared" si="9"/>
        <v>0</v>
      </c>
      <c r="H53" s="45">
        <f t="shared" si="2"/>
        <v>0</v>
      </c>
      <c r="I53" s="45">
        <f t="shared" si="8"/>
        <v>0</v>
      </c>
      <c r="J53" s="45">
        <v>0</v>
      </c>
      <c r="K53" s="45">
        <f t="shared" si="10"/>
        <v>0</v>
      </c>
      <c r="L53" s="53">
        <f t="shared" si="3"/>
        <v>0</v>
      </c>
    </row>
    <row r="54" spans="1:12" s="5" customFormat="1" ht="14.85" customHeight="1" x14ac:dyDescent="0.25">
      <c r="A54" s="43" t="s">
        <v>83</v>
      </c>
      <c r="B54" s="44" t="s">
        <v>84</v>
      </c>
      <c r="C54" s="45">
        <v>0</v>
      </c>
      <c r="D54" s="45">
        <v>0</v>
      </c>
      <c r="E54" s="61">
        <f t="shared" si="6"/>
        <v>0</v>
      </c>
      <c r="F54" s="45">
        <v>0</v>
      </c>
      <c r="G54" s="45">
        <f t="shared" si="9"/>
        <v>0</v>
      </c>
      <c r="H54" s="45">
        <f t="shared" si="2"/>
        <v>0</v>
      </c>
      <c r="I54" s="45">
        <f t="shared" si="8"/>
        <v>0</v>
      </c>
      <c r="J54" s="45">
        <v>0</v>
      </c>
      <c r="K54" s="45">
        <f t="shared" si="10"/>
        <v>0</v>
      </c>
      <c r="L54" s="53">
        <f t="shared" si="3"/>
        <v>0</v>
      </c>
    </row>
    <row r="55" spans="1:12" s="5" customFormat="1" ht="14.85" customHeight="1" x14ac:dyDescent="0.25">
      <c r="A55" s="43" t="s">
        <v>85</v>
      </c>
      <c r="B55" s="44" t="s">
        <v>86</v>
      </c>
      <c r="C55" s="45">
        <v>107253</v>
      </c>
      <c r="D55" s="45">
        <v>107253</v>
      </c>
      <c r="E55" s="61">
        <f>F55-4146.5</f>
        <v>0</v>
      </c>
      <c r="F55" s="45">
        <v>4146.5</v>
      </c>
      <c r="G55" s="45">
        <f t="shared" si="9"/>
        <v>5.4125652770310834E-6</v>
      </c>
      <c r="H55" s="45">
        <f t="shared" si="2"/>
        <v>103106.5</v>
      </c>
      <c r="I55" s="45">
        <f>J55-4146.5</f>
        <v>0</v>
      </c>
      <c r="J55" s="45">
        <v>4146.5</v>
      </c>
      <c r="K55" s="45">
        <f t="shared" si="10"/>
        <v>5.9031471108525313E-6</v>
      </c>
      <c r="L55" s="53">
        <f t="shared" si="3"/>
        <v>103106.5</v>
      </c>
    </row>
    <row r="56" spans="1:12" s="5" customFormat="1" ht="14.85" customHeight="1" x14ac:dyDescent="0.25">
      <c r="A56" s="43" t="s">
        <v>87</v>
      </c>
      <c r="B56" s="44" t="s">
        <v>88</v>
      </c>
      <c r="C56" s="45">
        <v>0</v>
      </c>
      <c r="D56" s="45">
        <v>0</v>
      </c>
      <c r="E56" s="61">
        <f t="shared" si="6"/>
        <v>0</v>
      </c>
      <c r="F56" s="45">
        <v>0</v>
      </c>
      <c r="G56" s="45">
        <f t="shared" si="9"/>
        <v>0</v>
      </c>
      <c r="H56" s="45">
        <f t="shared" si="2"/>
        <v>0</v>
      </c>
      <c r="I56" s="45">
        <f t="shared" si="8"/>
        <v>0</v>
      </c>
      <c r="J56" s="45">
        <v>0</v>
      </c>
      <c r="K56" s="45">
        <f t="shared" si="10"/>
        <v>0</v>
      </c>
      <c r="L56" s="53">
        <f t="shared" si="3"/>
        <v>0</v>
      </c>
    </row>
    <row r="57" spans="1:12" s="5" customFormat="1" ht="14.85" customHeight="1" x14ac:dyDescent="0.25">
      <c r="A57" s="43" t="s">
        <v>89</v>
      </c>
      <c r="B57" s="44" t="s">
        <v>90</v>
      </c>
      <c r="C57" s="45">
        <v>0</v>
      </c>
      <c r="D57" s="45">
        <v>0</v>
      </c>
      <c r="E57" s="61">
        <f t="shared" si="6"/>
        <v>0</v>
      </c>
      <c r="F57" s="45">
        <v>0</v>
      </c>
      <c r="G57" s="45">
        <f t="shared" si="9"/>
        <v>0</v>
      </c>
      <c r="H57" s="45">
        <f t="shared" si="2"/>
        <v>0</v>
      </c>
      <c r="I57" s="45">
        <f t="shared" si="8"/>
        <v>0</v>
      </c>
      <c r="J57" s="45">
        <v>0</v>
      </c>
      <c r="K57" s="45">
        <f t="shared" si="10"/>
        <v>0</v>
      </c>
      <c r="L57" s="53">
        <f t="shared" si="3"/>
        <v>0</v>
      </c>
    </row>
    <row r="58" spans="1:12" s="5" customFormat="1" ht="14.85" customHeight="1" x14ac:dyDescent="0.25">
      <c r="A58" s="43" t="s">
        <v>91</v>
      </c>
      <c r="B58" s="44" t="s">
        <v>92</v>
      </c>
      <c r="C58" s="45">
        <v>0</v>
      </c>
      <c r="D58" s="45">
        <v>0</v>
      </c>
      <c r="E58" s="61">
        <f t="shared" si="6"/>
        <v>0</v>
      </c>
      <c r="F58" s="45">
        <v>0</v>
      </c>
      <c r="G58" s="45">
        <f t="shared" si="9"/>
        <v>0</v>
      </c>
      <c r="H58" s="45">
        <f t="shared" si="2"/>
        <v>0</v>
      </c>
      <c r="I58" s="45">
        <v>0</v>
      </c>
      <c r="J58" s="45">
        <v>0</v>
      </c>
      <c r="K58" s="45">
        <f t="shared" si="10"/>
        <v>0</v>
      </c>
      <c r="L58" s="53">
        <f t="shared" si="3"/>
        <v>0</v>
      </c>
    </row>
    <row r="59" spans="1:12" s="5" customFormat="1" ht="14.85" customHeight="1" x14ac:dyDescent="0.25">
      <c r="A59" s="43" t="s">
        <v>93</v>
      </c>
      <c r="B59" s="44" t="s">
        <v>94</v>
      </c>
      <c r="C59" s="45">
        <v>1746033188</v>
      </c>
      <c r="D59" s="45">
        <v>1746033188</v>
      </c>
      <c r="E59" s="61">
        <f>F59-798940860.76</f>
        <v>242920800.14999998</v>
      </c>
      <c r="F59" s="94">
        <v>1041861660.91</v>
      </c>
      <c r="G59" s="45">
        <f t="shared" si="9"/>
        <v>1.3599769080697934</v>
      </c>
      <c r="H59" s="45">
        <f t="shared" si="2"/>
        <v>704171527.09000003</v>
      </c>
      <c r="I59" s="45">
        <f>J59-798940860.76</f>
        <v>242920800.14999998</v>
      </c>
      <c r="J59" s="94">
        <v>1041861660.91</v>
      </c>
      <c r="K59" s="45">
        <f t="shared" si="10"/>
        <v>1.4832419277725517</v>
      </c>
      <c r="L59" s="53">
        <f t="shared" si="3"/>
        <v>704171527.09000003</v>
      </c>
    </row>
    <row r="60" spans="1:12" s="5" customFormat="1" ht="14.85" customHeight="1" x14ac:dyDescent="0.25">
      <c r="A60" s="43" t="s">
        <v>95</v>
      </c>
      <c r="B60" s="44" t="s">
        <v>96</v>
      </c>
      <c r="C60" s="45">
        <v>0</v>
      </c>
      <c r="D60" s="45">
        <v>0</v>
      </c>
      <c r="E60" s="61">
        <f t="shared" si="6"/>
        <v>0</v>
      </c>
      <c r="F60" s="45">
        <v>0</v>
      </c>
      <c r="G60" s="45">
        <f t="shared" si="9"/>
        <v>0</v>
      </c>
      <c r="H60" s="45">
        <f t="shared" si="2"/>
        <v>0</v>
      </c>
      <c r="I60" s="45">
        <f>J60-0</f>
        <v>0</v>
      </c>
      <c r="J60" s="45">
        <v>0</v>
      </c>
      <c r="K60" s="45">
        <f t="shared" si="10"/>
        <v>0</v>
      </c>
      <c r="L60" s="53">
        <f t="shared" si="3"/>
        <v>0</v>
      </c>
    </row>
    <row r="61" spans="1:12" s="5" customFormat="1" ht="14.85" customHeight="1" x14ac:dyDescent="0.25">
      <c r="A61" s="43" t="s">
        <v>97</v>
      </c>
      <c r="B61" s="44" t="s">
        <v>98</v>
      </c>
      <c r="C61" s="45">
        <v>0</v>
      </c>
      <c r="D61" s="45">
        <v>0</v>
      </c>
      <c r="E61" s="61">
        <f>F61-0</f>
        <v>0</v>
      </c>
      <c r="F61" s="45">
        <v>0</v>
      </c>
      <c r="G61" s="45">
        <f t="shared" si="9"/>
        <v>0</v>
      </c>
      <c r="H61" s="45">
        <f t="shared" si="2"/>
        <v>0</v>
      </c>
      <c r="I61" s="45">
        <f>J61-0</f>
        <v>0</v>
      </c>
      <c r="J61" s="45">
        <v>0</v>
      </c>
      <c r="K61" s="45">
        <f t="shared" si="10"/>
        <v>0</v>
      </c>
      <c r="L61" s="53">
        <f t="shared" si="3"/>
        <v>0</v>
      </c>
    </row>
    <row r="62" spans="1:12" s="5" customFormat="1" ht="14.85" customHeight="1" x14ac:dyDescent="0.25">
      <c r="A62" s="43" t="s">
        <v>99</v>
      </c>
      <c r="B62" s="44" t="s">
        <v>100</v>
      </c>
      <c r="C62" s="45">
        <v>19390666</v>
      </c>
      <c r="D62" s="45">
        <v>19690666</v>
      </c>
      <c r="E62" s="61">
        <f t="shared" si="6"/>
        <v>0</v>
      </c>
      <c r="F62" s="45">
        <v>0</v>
      </c>
      <c r="G62" s="45">
        <f t="shared" si="9"/>
        <v>0</v>
      </c>
      <c r="H62" s="45">
        <f t="shared" si="2"/>
        <v>19690666</v>
      </c>
      <c r="I62" s="45">
        <f>J62-0</f>
        <v>0</v>
      </c>
      <c r="J62" s="45">
        <v>0</v>
      </c>
      <c r="K62" s="45">
        <f t="shared" si="10"/>
        <v>0</v>
      </c>
      <c r="L62" s="53">
        <f t="shared" si="3"/>
        <v>19690666</v>
      </c>
    </row>
    <row r="63" spans="1:12" s="5" customFormat="1" ht="14.85" customHeight="1" x14ac:dyDescent="0.25">
      <c r="A63" s="66" t="s">
        <v>101</v>
      </c>
      <c r="B63" s="70" t="s">
        <v>102</v>
      </c>
      <c r="C63" s="42">
        <f>SUM(C64:C86)</f>
        <v>18654364401</v>
      </c>
      <c r="D63" s="42">
        <f>SUM(D64:D86)</f>
        <v>19562969043.589996</v>
      </c>
      <c r="E63" s="98">
        <f>SUM(E64:E86)</f>
        <v>2822133937.9500012</v>
      </c>
      <c r="F63" s="42">
        <f>SUM(F64:F86)</f>
        <v>11732853862.540003</v>
      </c>
      <c r="G63" s="42">
        <f t="shared" si="9"/>
        <v>15.315286968977221</v>
      </c>
      <c r="H63" s="42">
        <f t="shared" si="2"/>
        <v>7830115181.0499935</v>
      </c>
      <c r="I63" s="42">
        <f>SUM(I64:I86)</f>
        <v>2626509228.1599989</v>
      </c>
      <c r="J63" s="42">
        <f>SUM(J64:J86)</f>
        <v>10771209620.77</v>
      </c>
      <c r="K63" s="42">
        <f t="shared" si="10"/>
        <v>15.334386820990092</v>
      </c>
      <c r="L63" s="57">
        <f t="shared" si="3"/>
        <v>8791759422.8199959</v>
      </c>
    </row>
    <row r="64" spans="1:12" s="5" customFormat="1" ht="14.85" customHeight="1" x14ac:dyDescent="0.25">
      <c r="A64" s="43" t="s">
        <v>48</v>
      </c>
      <c r="B64" s="44" t="s">
        <v>103</v>
      </c>
      <c r="C64" s="45">
        <v>0</v>
      </c>
      <c r="D64" s="45">
        <v>0</v>
      </c>
      <c r="E64" s="61">
        <f t="shared" ref="E64:E86" si="11">F64-0</f>
        <v>0</v>
      </c>
      <c r="F64" s="45">
        <v>0</v>
      </c>
      <c r="G64" s="45">
        <f t="shared" si="9"/>
        <v>0</v>
      </c>
      <c r="H64" s="45">
        <f t="shared" si="2"/>
        <v>0</v>
      </c>
      <c r="I64" s="45">
        <f t="shared" ref="I64:I86" si="12">J64-0</f>
        <v>0</v>
      </c>
      <c r="J64" s="45">
        <v>0</v>
      </c>
      <c r="K64" s="45">
        <f t="shared" si="10"/>
        <v>0</v>
      </c>
      <c r="L64" s="53">
        <f t="shared" si="3"/>
        <v>0</v>
      </c>
    </row>
    <row r="65" spans="1:12" s="5" customFormat="1" ht="14.85" customHeight="1" x14ac:dyDescent="0.25">
      <c r="A65" s="43" t="s">
        <v>30</v>
      </c>
      <c r="B65" s="44" t="s">
        <v>31</v>
      </c>
      <c r="C65" s="94">
        <v>16175115986</v>
      </c>
      <c r="D65" s="94">
        <v>16811326641.200001</v>
      </c>
      <c r="E65" s="61">
        <f>F65-7707588820.61</f>
        <v>2290335017.1500006</v>
      </c>
      <c r="F65" s="45">
        <v>9997923837.7600002</v>
      </c>
      <c r="G65" s="45">
        <f t="shared" si="9"/>
        <v>13.050624721249518</v>
      </c>
      <c r="H65" s="45">
        <f t="shared" si="2"/>
        <v>6813402803.4400005</v>
      </c>
      <c r="I65" s="45">
        <f>J65-7477643931.75</f>
        <v>2275537406.3999996</v>
      </c>
      <c r="J65" s="45">
        <v>9753181338.1499996</v>
      </c>
      <c r="K65" s="45">
        <f t="shared" si="10"/>
        <v>13.885075180976965</v>
      </c>
      <c r="L65" s="53">
        <f t="shared" si="3"/>
        <v>7058145303.0500011</v>
      </c>
    </row>
    <row r="66" spans="1:12" s="5" customFormat="1" ht="14.85" customHeight="1" x14ac:dyDescent="0.25">
      <c r="A66" s="43" t="s">
        <v>65</v>
      </c>
      <c r="B66" s="44" t="s">
        <v>66</v>
      </c>
      <c r="C66" s="45">
        <v>747482909</v>
      </c>
      <c r="D66" s="45">
        <v>555309651.54999995</v>
      </c>
      <c r="E66" s="61">
        <f>F66-205338986.44</f>
        <v>59994105.840000004</v>
      </c>
      <c r="F66" s="45">
        <v>265333092.28</v>
      </c>
      <c r="G66" s="45">
        <f t="shared" si="9"/>
        <v>0.34634816884649999</v>
      </c>
      <c r="H66" s="45">
        <f t="shared" si="2"/>
        <v>289976559.26999998</v>
      </c>
      <c r="I66" s="45">
        <f>J66-87770268.06</f>
        <v>39025380.659999996</v>
      </c>
      <c r="J66" s="45">
        <v>126795648.72</v>
      </c>
      <c r="K66" s="45">
        <f t="shared" si="10"/>
        <v>0.18051208667795501</v>
      </c>
      <c r="L66" s="53">
        <f t="shared" si="3"/>
        <v>428514002.82999992</v>
      </c>
    </row>
    <row r="67" spans="1:12" s="5" customFormat="1" ht="14.85" customHeight="1" x14ac:dyDescent="0.25">
      <c r="A67" s="64" t="s">
        <v>32</v>
      </c>
      <c r="B67" s="65" t="s">
        <v>33</v>
      </c>
      <c r="C67" s="45">
        <v>180957629</v>
      </c>
      <c r="D67" s="45">
        <v>193607865.44</v>
      </c>
      <c r="E67" s="61">
        <f>F67-94344900.99</f>
        <v>26385630.829999998</v>
      </c>
      <c r="F67" s="45">
        <v>120730531.81999999</v>
      </c>
      <c r="G67" s="45">
        <f t="shared" si="9"/>
        <v>0.15759360530722977</v>
      </c>
      <c r="H67" s="45">
        <f t="shared" si="2"/>
        <v>72877333.620000005</v>
      </c>
      <c r="I67" s="45">
        <f>J67-26596339.48</f>
        <v>35453327.849999994</v>
      </c>
      <c r="J67" s="45">
        <v>62049667.329999998</v>
      </c>
      <c r="K67" s="45">
        <f t="shared" si="10"/>
        <v>8.8336745310129069E-2</v>
      </c>
      <c r="L67" s="53">
        <f t="shared" si="3"/>
        <v>131558198.11</v>
      </c>
    </row>
    <row r="68" spans="1:12" s="5" customFormat="1" ht="14.85" customHeight="1" x14ac:dyDescent="0.25">
      <c r="A68" s="43" t="s">
        <v>34</v>
      </c>
      <c r="B68" s="44" t="s">
        <v>35</v>
      </c>
      <c r="C68" s="45">
        <v>4715521</v>
      </c>
      <c r="D68" s="45">
        <v>8178002</v>
      </c>
      <c r="E68" s="61">
        <f>F68-2598083.21</f>
        <v>5099659.05</v>
      </c>
      <c r="F68" s="45">
        <v>7697742.2599999998</v>
      </c>
      <c r="G68" s="45">
        <f t="shared" si="9"/>
        <v>1.0048120696493615E-2</v>
      </c>
      <c r="H68" s="45">
        <f t="shared" si="2"/>
        <v>480259.74000000022</v>
      </c>
      <c r="I68" s="45">
        <f>J68-1747184.78</f>
        <v>448386.24</v>
      </c>
      <c r="J68" s="45">
        <v>2195571.02</v>
      </c>
      <c r="K68" s="45">
        <f t="shared" si="10"/>
        <v>3.1257153559350161E-3</v>
      </c>
      <c r="L68" s="53">
        <f t="shared" si="3"/>
        <v>5982430.9800000004</v>
      </c>
    </row>
    <row r="69" spans="1:12" s="5" customFormat="1" ht="14.85" customHeight="1" x14ac:dyDescent="0.25">
      <c r="A69" s="43" t="s">
        <v>104</v>
      </c>
      <c r="B69" s="44" t="s">
        <v>105</v>
      </c>
      <c r="C69" s="45">
        <v>405255925</v>
      </c>
      <c r="D69" s="45">
        <v>568933468.03999996</v>
      </c>
      <c r="E69" s="61">
        <f>F69-270234460.41</f>
        <v>90671985.839999974</v>
      </c>
      <c r="F69" s="45">
        <v>360906446.25</v>
      </c>
      <c r="G69" s="45">
        <f t="shared" si="9"/>
        <v>0.47110326763039551</v>
      </c>
      <c r="H69" s="45">
        <f t="shared" si="2"/>
        <v>208027021.78999996</v>
      </c>
      <c r="I69" s="45">
        <f>J69-141970450.84</f>
        <v>84445857.849999994</v>
      </c>
      <c r="J69" s="45">
        <v>226416308.69</v>
      </c>
      <c r="K69" s="45">
        <f t="shared" si="10"/>
        <v>0.32233661606011538</v>
      </c>
      <c r="L69" s="53">
        <f t="shared" si="3"/>
        <v>342517159.34999996</v>
      </c>
    </row>
    <row r="70" spans="1:12" s="5" customFormat="1" ht="14.85" customHeight="1" x14ac:dyDescent="0.25">
      <c r="A70" s="43" t="s">
        <v>106</v>
      </c>
      <c r="B70" s="44" t="s">
        <v>107</v>
      </c>
      <c r="C70" s="45">
        <v>264135198</v>
      </c>
      <c r="D70" s="45">
        <v>414087401.67000002</v>
      </c>
      <c r="E70" s="61">
        <f>F70-140576075.75</f>
        <v>158721979.68000001</v>
      </c>
      <c r="F70" s="45">
        <v>299298055.43000001</v>
      </c>
      <c r="G70" s="45">
        <f t="shared" si="9"/>
        <v>0.39068377241127272</v>
      </c>
      <c r="H70" s="45">
        <f t="shared" si="2"/>
        <v>114789346.24000001</v>
      </c>
      <c r="I70" s="45">
        <f>J70-101904352.82</f>
        <v>53560183.069999993</v>
      </c>
      <c r="J70" s="45">
        <v>155464535.88999999</v>
      </c>
      <c r="K70" s="45">
        <f t="shared" si="10"/>
        <v>0.22132642611336861</v>
      </c>
      <c r="L70" s="53">
        <f t="shared" si="3"/>
        <v>258622865.78000003</v>
      </c>
    </row>
    <row r="71" spans="1:12" s="5" customFormat="1" ht="14.85" customHeight="1" x14ac:dyDescent="0.25">
      <c r="A71" s="43" t="s">
        <v>73</v>
      </c>
      <c r="B71" s="44" t="s">
        <v>74</v>
      </c>
      <c r="C71" s="45">
        <v>2326025</v>
      </c>
      <c r="D71" s="45">
        <v>1319096.18</v>
      </c>
      <c r="E71" s="61">
        <f>F71-953166.78</f>
        <v>49456.260000000009</v>
      </c>
      <c r="F71" s="45">
        <v>1002623.04</v>
      </c>
      <c r="G71" s="45">
        <f t="shared" si="9"/>
        <v>1.3087574224660188E-3</v>
      </c>
      <c r="H71" s="45">
        <f t="shared" si="2"/>
        <v>316473.1399999999</v>
      </c>
      <c r="I71" s="45">
        <f>J71-835519.2</f>
        <v>167103.84000000008</v>
      </c>
      <c r="J71" s="45">
        <v>1002623.04</v>
      </c>
      <c r="K71" s="45">
        <f t="shared" si="10"/>
        <v>1.4273800317979458E-3</v>
      </c>
      <c r="L71" s="53">
        <f t="shared" si="3"/>
        <v>316473.1399999999</v>
      </c>
    </row>
    <row r="72" spans="1:12" s="5" customFormat="1" ht="14.85" customHeight="1" x14ac:dyDescent="0.25">
      <c r="A72" s="43" t="s">
        <v>108</v>
      </c>
      <c r="B72" s="44" t="s">
        <v>109</v>
      </c>
      <c r="C72" s="45">
        <v>0</v>
      </c>
      <c r="D72" s="45">
        <v>0</v>
      </c>
      <c r="E72" s="61">
        <f t="shared" si="11"/>
        <v>0</v>
      </c>
      <c r="F72" s="45">
        <v>0</v>
      </c>
      <c r="G72" s="45">
        <f t="shared" si="9"/>
        <v>0</v>
      </c>
      <c r="H72" s="45">
        <f t="shared" si="2"/>
        <v>0</v>
      </c>
      <c r="I72" s="45">
        <f t="shared" si="12"/>
        <v>0</v>
      </c>
      <c r="J72" s="45">
        <v>0</v>
      </c>
      <c r="K72" s="45">
        <f t="shared" si="10"/>
        <v>0</v>
      </c>
      <c r="L72" s="53">
        <f t="shared" si="3"/>
        <v>0</v>
      </c>
    </row>
    <row r="73" spans="1:12" s="5" customFormat="1" ht="14.85" customHeight="1" x14ac:dyDescent="0.25">
      <c r="A73" s="43" t="s">
        <v>110</v>
      </c>
      <c r="B73" s="44" t="s">
        <v>111</v>
      </c>
      <c r="C73" s="45">
        <v>0</v>
      </c>
      <c r="D73" s="45">
        <v>0</v>
      </c>
      <c r="E73" s="61">
        <f t="shared" si="11"/>
        <v>0</v>
      </c>
      <c r="F73" s="45">
        <v>0</v>
      </c>
      <c r="G73" s="45">
        <f t="shared" si="9"/>
        <v>0</v>
      </c>
      <c r="H73" s="45">
        <f t="shared" si="2"/>
        <v>0</v>
      </c>
      <c r="I73" s="45">
        <f t="shared" si="12"/>
        <v>0</v>
      </c>
      <c r="J73" s="45">
        <v>0</v>
      </c>
      <c r="K73" s="45">
        <f t="shared" si="10"/>
        <v>0</v>
      </c>
      <c r="L73" s="53">
        <f t="shared" si="3"/>
        <v>0</v>
      </c>
    </row>
    <row r="74" spans="1:12" s="5" customFormat="1" ht="14.85" customHeight="1" x14ac:dyDescent="0.25">
      <c r="A74" s="43" t="s">
        <v>112</v>
      </c>
      <c r="B74" s="44" t="s">
        <v>113</v>
      </c>
      <c r="C74" s="45">
        <v>0</v>
      </c>
      <c r="D74" s="45">
        <v>0</v>
      </c>
      <c r="E74" s="61">
        <f t="shared" si="11"/>
        <v>0</v>
      </c>
      <c r="F74" s="45">
        <v>0</v>
      </c>
      <c r="G74" s="45">
        <f t="shared" si="9"/>
        <v>0</v>
      </c>
      <c r="H74" s="45">
        <f t="shared" si="2"/>
        <v>0</v>
      </c>
      <c r="I74" s="45">
        <f t="shared" si="12"/>
        <v>0</v>
      </c>
      <c r="J74" s="45">
        <v>0</v>
      </c>
      <c r="K74" s="45">
        <f t="shared" si="10"/>
        <v>0</v>
      </c>
      <c r="L74" s="53">
        <f t="shared" si="3"/>
        <v>0</v>
      </c>
    </row>
    <row r="75" spans="1:12" s="5" customFormat="1" ht="14.85" customHeight="1" x14ac:dyDescent="0.25">
      <c r="A75" s="43" t="s">
        <v>114</v>
      </c>
      <c r="B75" s="44" t="s">
        <v>115</v>
      </c>
      <c r="C75" s="45">
        <v>0</v>
      </c>
      <c r="D75" s="45">
        <v>0</v>
      </c>
      <c r="E75" s="61">
        <f t="shared" si="11"/>
        <v>0</v>
      </c>
      <c r="F75" s="45">
        <v>0</v>
      </c>
      <c r="G75" s="45">
        <f t="shared" si="9"/>
        <v>0</v>
      </c>
      <c r="H75" s="45">
        <f t="shared" si="2"/>
        <v>0</v>
      </c>
      <c r="I75" s="45">
        <f t="shared" si="12"/>
        <v>0</v>
      </c>
      <c r="J75" s="45">
        <v>0</v>
      </c>
      <c r="K75" s="45">
        <f t="shared" si="10"/>
        <v>0</v>
      </c>
      <c r="L75" s="53">
        <f t="shared" si="3"/>
        <v>0</v>
      </c>
    </row>
    <row r="76" spans="1:12" s="5" customFormat="1" ht="14.85" customHeight="1" x14ac:dyDescent="0.25">
      <c r="A76" s="43" t="s">
        <v>116</v>
      </c>
      <c r="B76" s="44" t="s">
        <v>117</v>
      </c>
      <c r="C76" s="94">
        <v>131396354</v>
      </c>
      <c r="D76" s="94">
        <v>212537752</v>
      </c>
      <c r="E76" s="61">
        <f>F76-117954242.66</f>
        <v>44393548.670000017</v>
      </c>
      <c r="F76" s="94">
        <v>162347791.33000001</v>
      </c>
      <c r="G76" s="45">
        <f t="shared" si="9"/>
        <v>0.21191800751367323</v>
      </c>
      <c r="H76" s="45">
        <f t="shared" si="2"/>
        <v>50189960.669999987</v>
      </c>
      <c r="I76" s="45">
        <f>J76-52444235.44</f>
        <v>38492258.370000005</v>
      </c>
      <c r="J76" s="94">
        <v>90936493.810000002</v>
      </c>
      <c r="K76" s="45">
        <f t="shared" si="10"/>
        <v>0.12946135311842774</v>
      </c>
      <c r="L76" s="53">
        <f t="shared" si="3"/>
        <v>121601258.19</v>
      </c>
    </row>
    <row r="77" spans="1:12" s="5" customFormat="1" ht="14.85" customHeight="1" x14ac:dyDescent="0.25">
      <c r="A77" s="43" t="s">
        <v>118</v>
      </c>
      <c r="B77" s="44" t="s">
        <v>119</v>
      </c>
      <c r="C77" s="94">
        <v>256598727</v>
      </c>
      <c r="D77" s="94">
        <v>256598727</v>
      </c>
      <c r="E77" s="61">
        <f>F77-131746769.97</f>
        <v>94987076.75</v>
      </c>
      <c r="F77" s="94">
        <v>226733846.72</v>
      </c>
      <c r="G77" s="45">
        <f t="shared" ref="G77:G108" si="13">(F77/$F$307)*100</f>
        <v>0.29596328129370797</v>
      </c>
      <c r="H77" s="45">
        <f t="shared" si="2"/>
        <v>29864880.280000001</v>
      </c>
      <c r="I77" s="45">
        <f>J77-92392782.58</f>
        <v>37498327.390000001</v>
      </c>
      <c r="J77" s="94">
        <v>129891109.97</v>
      </c>
      <c r="K77" s="45">
        <f t="shared" ref="K77:K108" si="14">(J77/$J$307)*100</f>
        <v>0.18491892693713588</v>
      </c>
      <c r="L77" s="53">
        <f t="shared" si="3"/>
        <v>126707617.03</v>
      </c>
    </row>
    <row r="78" spans="1:12" s="5" customFormat="1" ht="14.85" customHeight="1" x14ac:dyDescent="0.25">
      <c r="A78" s="43" t="s">
        <v>120</v>
      </c>
      <c r="B78" s="44" t="s">
        <v>121</v>
      </c>
      <c r="C78" s="45">
        <v>0</v>
      </c>
      <c r="D78" s="45">
        <v>0</v>
      </c>
      <c r="E78" s="61">
        <f t="shared" si="11"/>
        <v>0</v>
      </c>
      <c r="F78" s="45">
        <v>0</v>
      </c>
      <c r="G78" s="45">
        <f t="shared" si="13"/>
        <v>0</v>
      </c>
      <c r="H78" s="45">
        <f t="shared" si="2"/>
        <v>0</v>
      </c>
      <c r="I78" s="45">
        <f t="shared" si="12"/>
        <v>0</v>
      </c>
      <c r="J78" s="45">
        <v>0</v>
      </c>
      <c r="K78" s="45">
        <f t="shared" si="14"/>
        <v>0</v>
      </c>
      <c r="L78" s="53">
        <f t="shared" si="3"/>
        <v>0</v>
      </c>
    </row>
    <row r="79" spans="1:12" s="5" customFormat="1" ht="14.85" customHeight="1" x14ac:dyDescent="0.25">
      <c r="A79" s="43" t="s">
        <v>122</v>
      </c>
      <c r="B79" s="44" t="s">
        <v>123</v>
      </c>
      <c r="C79" s="45">
        <v>0</v>
      </c>
      <c r="D79" s="45">
        <v>0</v>
      </c>
      <c r="E79" s="61">
        <f t="shared" si="11"/>
        <v>0</v>
      </c>
      <c r="F79" s="45">
        <v>0</v>
      </c>
      <c r="G79" s="45">
        <f t="shared" si="13"/>
        <v>0</v>
      </c>
      <c r="H79" s="45">
        <f t="shared" ref="H79:H137" si="15">D79-F79</f>
        <v>0</v>
      </c>
      <c r="I79" s="45">
        <f t="shared" si="12"/>
        <v>0</v>
      </c>
      <c r="J79" s="45">
        <v>0</v>
      </c>
      <c r="K79" s="45">
        <f t="shared" si="14"/>
        <v>0</v>
      </c>
      <c r="L79" s="53">
        <f t="shared" ref="L79:L137" si="16">D79-J79</f>
        <v>0</v>
      </c>
    </row>
    <row r="80" spans="1:12" s="5" customFormat="1" ht="14.85" customHeight="1" x14ac:dyDescent="0.25">
      <c r="A80" s="43" t="s">
        <v>124</v>
      </c>
      <c r="B80" s="44" t="s">
        <v>125</v>
      </c>
      <c r="C80" s="45">
        <v>0</v>
      </c>
      <c r="D80" s="45">
        <v>0</v>
      </c>
      <c r="E80" s="61">
        <f t="shared" si="11"/>
        <v>0</v>
      </c>
      <c r="F80" s="45">
        <v>0</v>
      </c>
      <c r="G80" s="45">
        <f t="shared" si="13"/>
        <v>0</v>
      </c>
      <c r="H80" s="45">
        <f t="shared" si="15"/>
        <v>0</v>
      </c>
      <c r="I80" s="45">
        <f t="shared" si="12"/>
        <v>0</v>
      </c>
      <c r="J80" s="45">
        <v>0</v>
      </c>
      <c r="K80" s="45">
        <f t="shared" si="14"/>
        <v>0</v>
      </c>
      <c r="L80" s="53">
        <f t="shared" si="16"/>
        <v>0</v>
      </c>
    </row>
    <row r="81" spans="1:12" s="5" customFormat="1" ht="14.85" customHeight="1" x14ac:dyDescent="0.25">
      <c r="A81" s="43" t="s">
        <v>75</v>
      </c>
      <c r="B81" s="44" t="s">
        <v>76</v>
      </c>
      <c r="C81" s="94">
        <v>267251607</v>
      </c>
      <c r="D81" s="94">
        <v>321005344.44</v>
      </c>
      <c r="E81" s="61">
        <f>F81-86558047.41</f>
        <v>13557450.13000001</v>
      </c>
      <c r="F81" s="94">
        <v>100115497.54000001</v>
      </c>
      <c r="G81" s="45">
        <f t="shared" si="13"/>
        <v>0.13068411085920531</v>
      </c>
      <c r="H81" s="45">
        <f t="shared" si="15"/>
        <v>220889846.89999998</v>
      </c>
      <c r="I81" s="45">
        <f>J81-53392489.35</f>
        <v>20571152.68</v>
      </c>
      <c r="J81" s="94">
        <v>73963642.030000001</v>
      </c>
      <c r="K81" s="45">
        <f t="shared" si="14"/>
        <v>0.10529802478174974</v>
      </c>
      <c r="L81" s="53">
        <f t="shared" si="16"/>
        <v>247041702.41</v>
      </c>
    </row>
    <row r="82" spans="1:12" s="5" customFormat="1" ht="14.85" customHeight="1" x14ac:dyDescent="0.25">
      <c r="A82" s="43" t="s">
        <v>40</v>
      </c>
      <c r="B82" s="44" t="s">
        <v>41</v>
      </c>
      <c r="C82" s="94">
        <v>207205926</v>
      </c>
      <c r="D82" s="94">
        <v>200826154.81999999</v>
      </c>
      <c r="E82" s="61">
        <f>F82-137709196.35</f>
        <v>37508411.569999993</v>
      </c>
      <c r="F82" s="94">
        <v>175217607.91999999</v>
      </c>
      <c r="G82" s="45">
        <f t="shared" si="13"/>
        <v>0.22871740999692233</v>
      </c>
      <c r="H82" s="45">
        <f t="shared" si="15"/>
        <v>25608546.900000006</v>
      </c>
      <c r="I82" s="45">
        <f>J82-101803527.57</f>
        <v>39699244.939999998</v>
      </c>
      <c r="J82" s="94">
        <v>141502772.50999999</v>
      </c>
      <c r="K82" s="45">
        <f t="shared" si="14"/>
        <v>0.20144982098638117</v>
      </c>
      <c r="L82" s="53">
        <f t="shared" si="16"/>
        <v>59323382.310000002</v>
      </c>
    </row>
    <row r="83" spans="1:12" s="5" customFormat="1" ht="14.85" customHeight="1" x14ac:dyDescent="0.25">
      <c r="A83" s="43" t="s">
        <v>126</v>
      </c>
      <c r="B83" s="44" t="s">
        <v>127</v>
      </c>
      <c r="C83" s="94">
        <v>11922594</v>
      </c>
      <c r="D83" s="94">
        <v>19238939.25</v>
      </c>
      <c r="E83" s="61">
        <f>F83-15117174.01</f>
        <v>429616.1799999997</v>
      </c>
      <c r="F83" s="94">
        <v>15546790.189999999</v>
      </c>
      <c r="G83" s="45">
        <f t="shared" si="13"/>
        <v>2.0293745749832743E-2</v>
      </c>
      <c r="H83" s="45">
        <f t="shared" si="15"/>
        <v>3692149.0600000005</v>
      </c>
      <c r="I83" s="45">
        <f>J83-6199310.74</f>
        <v>1610598.87</v>
      </c>
      <c r="J83" s="94">
        <v>7809909.6100000003</v>
      </c>
      <c r="K83" s="45">
        <f t="shared" si="14"/>
        <v>1.111854464012804E-2</v>
      </c>
      <c r="L83" s="53">
        <f t="shared" si="16"/>
        <v>11429029.640000001</v>
      </c>
    </row>
    <row r="84" spans="1:12" s="5" customFormat="1" ht="14.85" customHeight="1" x14ac:dyDescent="0.25">
      <c r="A84" s="43" t="s">
        <v>128</v>
      </c>
      <c r="B84" s="44" t="s">
        <v>129</v>
      </c>
      <c r="C84" s="45">
        <v>0</v>
      </c>
      <c r="D84" s="45">
        <v>0</v>
      </c>
      <c r="E84" s="61">
        <f t="shared" si="11"/>
        <v>0</v>
      </c>
      <c r="F84" s="45">
        <v>0</v>
      </c>
      <c r="G84" s="45">
        <f t="shared" si="13"/>
        <v>0</v>
      </c>
      <c r="H84" s="45">
        <f t="shared" si="15"/>
        <v>0</v>
      </c>
      <c r="I84" s="45">
        <f t="shared" si="12"/>
        <v>0</v>
      </c>
      <c r="J84" s="45">
        <v>0</v>
      </c>
      <c r="K84" s="45">
        <f t="shared" si="14"/>
        <v>0</v>
      </c>
      <c r="L84" s="53">
        <f t="shared" si="16"/>
        <v>0</v>
      </c>
    </row>
    <row r="85" spans="1:12" s="5" customFormat="1" ht="14.85" customHeight="1" x14ac:dyDescent="0.25">
      <c r="A85" s="43" t="s">
        <v>130</v>
      </c>
      <c r="B85" s="44" t="s">
        <v>131</v>
      </c>
      <c r="C85" s="45">
        <v>0</v>
      </c>
      <c r="D85" s="45">
        <v>0</v>
      </c>
      <c r="E85" s="61">
        <f t="shared" si="11"/>
        <v>0</v>
      </c>
      <c r="F85" s="45">
        <v>0</v>
      </c>
      <c r="G85" s="45">
        <f t="shared" si="13"/>
        <v>0</v>
      </c>
      <c r="H85" s="45">
        <f t="shared" si="15"/>
        <v>0</v>
      </c>
      <c r="I85" s="45">
        <f t="shared" si="12"/>
        <v>0</v>
      </c>
      <c r="J85" s="45">
        <v>0</v>
      </c>
      <c r="K85" s="45">
        <f t="shared" si="14"/>
        <v>0</v>
      </c>
      <c r="L85" s="53">
        <f t="shared" si="16"/>
        <v>0</v>
      </c>
    </row>
    <row r="86" spans="1:12" s="5" customFormat="1" ht="14.85" customHeight="1" x14ac:dyDescent="0.25">
      <c r="A86" s="43" t="s">
        <v>132</v>
      </c>
      <c r="B86" s="44" t="s">
        <v>133</v>
      </c>
      <c r="C86" s="45">
        <v>0</v>
      </c>
      <c r="D86" s="45">
        <v>0</v>
      </c>
      <c r="E86" s="61">
        <f t="shared" si="11"/>
        <v>0</v>
      </c>
      <c r="F86" s="45">
        <v>0</v>
      </c>
      <c r="G86" s="45">
        <f t="shared" si="13"/>
        <v>0</v>
      </c>
      <c r="H86" s="45">
        <f t="shared" si="15"/>
        <v>0</v>
      </c>
      <c r="I86" s="45">
        <f t="shared" si="12"/>
        <v>0</v>
      </c>
      <c r="J86" s="45">
        <v>0</v>
      </c>
      <c r="K86" s="45">
        <f t="shared" si="14"/>
        <v>0</v>
      </c>
      <c r="L86" s="53">
        <f t="shared" si="16"/>
        <v>0</v>
      </c>
    </row>
    <row r="87" spans="1:12" s="5" customFormat="1" ht="14.85" customHeight="1" x14ac:dyDescent="0.25">
      <c r="A87" s="40" t="s">
        <v>134</v>
      </c>
      <c r="B87" s="70" t="s">
        <v>135</v>
      </c>
      <c r="C87" s="42">
        <f>SUM(C88:C100)</f>
        <v>1177609478</v>
      </c>
      <c r="D87" s="42">
        <f>SUM(D88:D100)</f>
        <v>1218687492.6800001</v>
      </c>
      <c r="E87" s="98">
        <f>SUM(E88:E100)</f>
        <v>143640509.00999999</v>
      </c>
      <c r="F87" s="42">
        <f>SUM(F88:F100)</f>
        <v>568934146.69000006</v>
      </c>
      <c r="G87" s="42">
        <f t="shared" si="13"/>
        <v>0.74264878989306715</v>
      </c>
      <c r="H87" s="42">
        <f t="shared" si="15"/>
        <v>649753345.99000001</v>
      </c>
      <c r="I87" s="42">
        <f>SUM(I88:I100)</f>
        <v>97784484.180000007</v>
      </c>
      <c r="J87" s="42">
        <f>SUM(J88:J100)</f>
        <v>445105712.91000003</v>
      </c>
      <c r="K87" s="42">
        <f t="shared" si="14"/>
        <v>0.63367285739506163</v>
      </c>
      <c r="L87" s="57">
        <f t="shared" si="16"/>
        <v>773581779.76999998</v>
      </c>
    </row>
    <row r="88" spans="1:12" s="5" customFormat="1" ht="14.85" customHeight="1" x14ac:dyDescent="0.25">
      <c r="A88" s="43" t="s">
        <v>30</v>
      </c>
      <c r="B88" s="44" t="s">
        <v>31</v>
      </c>
      <c r="C88" s="94">
        <v>137769115</v>
      </c>
      <c r="D88" s="94">
        <v>139744365.52000001</v>
      </c>
      <c r="E88" s="61">
        <f>F88-67034530.18</f>
        <v>20528748.309999995</v>
      </c>
      <c r="F88" s="94">
        <v>87563278.489999995</v>
      </c>
      <c r="G88" s="45">
        <f t="shared" si="13"/>
        <v>0.11429927907825314</v>
      </c>
      <c r="H88" s="45">
        <f t="shared" si="15"/>
        <v>52181087.030000016</v>
      </c>
      <c r="I88" s="45">
        <f>J88-58159693.76</f>
        <v>24022840.750000007</v>
      </c>
      <c r="J88" s="94">
        <v>82182534.510000005</v>
      </c>
      <c r="K88" s="45">
        <f t="shared" si="14"/>
        <v>0.11699881614741228</v>
      </c>
      <c r="L88" s="53">
        <f t="shared" si="16"/>
        <v>57561831.010000005</v>
      </c>
    </row>
    <row r="89" spans="1:12" s="5" customFormat="1" ht="14.85" customHeight="1" x14ac:dyDescent="0.25">
      <c r="A89" s="43" t="s">
        <v>34</v>
      </c>
      <c r="B89" s="44" t="s">
        <v>35</v>
      </c>
      <c r="C89" s="45">
        <v>0</v>
      </c>
      <c r="D89" s="45">
        <v>0</v>
      </c>
      <c r="E89" s="61">
        <f t="shared" ref="E89:E100" si="17">F89-0</f>
        <v>0</v>
      </c>
      <c r="F89" s="45">
        <v>0</v>
      </c>
      <c r="G89" s="45">
        <f t="shared" si="13"/>
        <v>0</v>
      </c>
      <c r="H89" s="45">
        <f t="shared" si="15"/>
        <v>0</v>
      </c>
      <c r="I89" s="45">
        <f>J89-0</f>
        <v>0</v>
      </c>
      <c r="J89" s="45">
        <v>0</v>
      </c>
      <c r="K89" s="45">
        <f t="shared" si="14"/>
        <v>0</v>
      </c>
      <c r="L89" s="53">
        <f t="shared" si="16"/>
        <v>0</v>
      </c>
    </row>
    <row r="90" spans="1:12" s="5" customFormat="1" ht="14.85" customHeight="1" x14ac:dyDescent="0.25">
      <c r="A90" s="43" t="s">
        <v>36</v>
      </c>
      <c r="B90" s="44" t="s">
        <v>37</v>
      </c>
      <c r="C90" s="45">
        <v>0</v>
      </c>
      <c r="D90" s="45">
        <v>0</v>
      </c>
      <c r="E90" s="61">
        <f t="shared" si="17"/>
        <v>0</v>
      </c>
      <c r="F90" s="45">
        <v>0</v>
      </c>
      <c r="G90" s="45">
        <f t="shared" si="13"/>
        <v>0</v>
      </c>
      <c r="H90" s="45">
        <f t="shared" si="15"/>
        <v>0</v>
      </c>
      <c r="I90" s="45">
        <f>J90-0</f>
        <v>0</v>
      </c>
      <c r="J90" s="45">
        <v>0</v>
      </c>
      <c r="K90" s="45">
        <f t="shared" si="14"/>
        <v>0</v>
      </c>
      <c r="L90" s="53">
        <f t="shared" si="16"/>
        <v>0</v>
      </c>
    </row>
    <row r="91" spans="1:12" s="5" customFormat="1" ht="14.85" customHeight="1" x14ac:dyDescent="0.25">
      <c r="A91" s="43" t="s">
        <v>104</v>
      </c>
      <c r="B91" s="44" t="s">
        <v>105</v>
      </c>
      <c r="C91" s="45">
        <v>89126417</v>
      </c>
      <c r="D91" s="45">
        <v>74837704.299999997</v>
      </c>
      <c r="E91" s="61">
        <f>F91-58644294.87</f>
        <v>4404086.700000003</v>
      </c>
      <c r="F91" s="45">
        <v>63048381.57</v>
      </c>
      <c r="G91" s="45">
        <f t="shared" si="13"/>
        <v>8.2299163356755939E-2</v>
      </c>
      <c r="H91" s="45">
        <f t="shared" si="15"/>
        <v>11789322.729999997</v>
      </c>
      <c r="I91" s="45">
        <f>J91-50159478.56</f>
        <v>7958616.7899999991</v>
      </c>
      <c r="J91" s="45">
        <v>58118095.350000001</v>
      </c>
      <c r="K91" s="45">
        <f t="shared" si="14"/>
        <v>8.2739579561944873E-2</v>
      </c>
      <c r="L91" s="53">
        <f t="shared" si="16"/>
        <v>16719608.949999996</v>
      </c>
    </row>
    <row r="92" spans="1:12" s="5" customFormat="1" ht="14.85" customHeight="1" x14ac:dyDescent="0.25">
      <c r="A92" s="43" t="s">
        <v>136</v>
      </c>
      <c r="B92" s="44" t="s">
        <v>137</v>
      </c>
      <c r="C92" s="94">
        <v>49907072</v>
      </c>
      <c r="D92" s="94">
        <v>48187513.259999998</v>
      </c>
      <c r="E92" s="61">
        <f>F92-26185172.68</f>
        <v>11133310.520000003</v>
      </c>
      <c r="F92" s="94">
        <v>37318483.200000003</v>
      </c>
      <c r="G92" s="45">
        <f t="shared" si="13"/>
        <v>4.8713065563677278E-2</v>
      </c>
      <c r="H92" s="45">
        <f t="shared" si="15"/>
        <v>10869030.059999995</v>
      </c>
      <c r="I92" s="45">
        <f>J92-21772541.11</f>
        <v>14644407.18</v>
      </c>
      <c r="J92" s="94">
        <v>36416948.289999999</v>
      </c>
      <c r="K92" s="45">
        <f t="shared" si="14"/>
        <v>5.184483373548282E-2</v>
      </c>
      <c r="L92" s="53">
        <f t="shared" si="16"/>
        <v>11770564.969999999</v>
      </c>
    </row>
    <row r="93" spans="1:12" s="5" customFormat="1" ht="14.85" customHeight="1" x14ac:dyDescent="0.25">
      <c r="A93" s="43" t="s">
        <v>108</v>
      </c>
      <c r="B93" s="44" t="s">
        <v>109</v>
      </c>
      <c r="C93" s="45">
        <v>0</v>
      </c>
      <c r="D93" s="45">
        <v>0</v>
      </c>
      <c r="E93" s="61">
        <f t="shared" si="17"/>
        <v>0</v>
      </c>
      <c r="F93" s="45">
        <v>0</v>
      </c>
      <c r="G93" s="45">
        <f t="shared" si="13"/>
        <v>0</v>
      </c>
      <c r="H93" s="45">
        <f t="shared" si="15"/>
        <v>0</v>
      </c>
      <c r="I93" s="45">
        <f t="shared" ref="I93:I100" si="18">J93-0</f>
        <v>0</v>
      </c>
      <c r="J93" s="45">
        <v>0</v>
      </c>
      <c r="K93" s="45">
        <f t="shared" si="14"/>
        <v>0</v>
      </c>
      <c r="L93" s="53">
        <f t="shared" si="16"/>
        <v>0</v>
      </c>
    </row>
    <row r="94" spans="1:12" s="5" customFormat="1" ht="14.85" customHeight="1" x14ac:dyDescent="0.25">
      <c r="A94" s="43" t="s">
        <v>110</v>
      </c>
      <c r="B94" s="44" t="s">
        <v>111</v>
      </c>
      <c r="C94" s="94">
        <v>99742915</v>
      </c>
      <c r="D94" s="94">
        <v>96564646.049999997</v>
      </c>
      <c r="E94" s="61">
        <f>F94-37321749.75</f>
        <v>13314104.25</v>
      </c>
      <c r="F94" s="94">
        <v>50635854</v>
      </c>
      <c r="G94" s="45">
        <f t="shared" si="13"/>
        <v>6.6096675541593028E-2</v>
      </c>
      <c r="H94" s="45">
        <f t="shared" si="15"/>
        <v>45928792.049999997</v>
      </c>
      <c r="I94" s="45">
        <f>J94-36179406.25</f>
        <v>7662834.1300000027</v>
      </c>
      <c r="J94" s="94">
        <v>43842240.380000003</v>
      </c>
      <c r="K94" s="45">
        <f t="shared" si="14"/>
        <v>6.2415819277100978E-2</v>
      </c>
      <c r="L94" s="53">
        <f t="shared" si="16"/>
        <v>52722405.669999994</v>
      </c>
    </row>
    <row r="95" spans="1:12" s="5" customFormat="1" ht="14.85" customHeight="1" x14ac:dyDescent="0.25">
      <c r="A95" s="43" t="s">
        <v>112</v>
      </c>
      <c r="B95" s="44" t="s">
        <v>113</v>
      </c>
      <c r="C95" s="94">
        <v>534220202</v>
      </c>
      <c r="D95" s="94">
        <v>592126679.08000004</v>
      </c>
      <c r="E95" s="61">
        <f>F95-137525801.77</f>
        <v>65677087.310000002</v>
      </c>
      <c r="F95" s="94">
        <v>203202889.08000001</v>
      </c>
      <c r="G95" s="45">
        <f t="shared" si="13"/>
        <v>0.2652475344572065</v>
      </c>
      <c r="H95" s="45">
        <f t="shared" si="15"/>
        <v>388923790</v>
      </c>
      <c r="I95" s="45">
        <f>J95-119126902.34</f>
        <v>34291972.729999989</v>
      </c>
      <c r="J95" s="94">
        <v>153418875.06999999</v>
      </c>
      <c r="K95" s="45">
        <f t="shared" si="14"/>
        <v>0.21841412977685179</v>
      </c>
      <c r="L95" s="53">
        <f t="shared" si="16"/>
        <v>438707804.01000005</v>
      </c>
    </row>
    <row r="96" spans="1:12" s="5" customFormat="1" ht="14.85" customHeight="1" x14ac:dyDescent="0.25">
      <c r="A96" s="43" t="s">
        <v>116</v>
      </c>
      <c r="B96" s="44" t="s">
        <v>117</v>
      </c>
      <c r="C96" s="45">
        <v>0</v>
      </c>
      <c r="D96" s="45">
        <v>0</v>
      </c>
      <c r="E96" s="61">
        <f t="shared" si="17"/>
        <v>0</v>
      </c>
      <c r="F96" s="45">
        <v>0</v>
      </c>
      <c r="G96" s="45">
        <f t="shared" si="13"/>
        <v>0</v>
      </c>
      <c r="H96" s="45">
        <f t="shared" si="15"/>
        <v>0</v>
      </c>
      <c r="I96" s="61">
        <f t="shared" si="18"/>
        <v>0</v>
      </c>
      <c r="J96" s="61">
        <v>0</v>
      </c>
      <c r="K96" s="45">
        <f t="shared" si="14"/>
        <v>0</v>
      </c>
      <c r="L96" s="53">
        <f t="shared" si="16"/>
        <v>0</v>
      </c>
    </row>
    <row r="97" spans="1:12" s="5" customFormat="1" ht="14.85" customHeight="1" x14ac:dyDescent="0.25">
      <c r="A97" s="43" t="s">
        <v>138</v>
      </c>
      <c r="B97" s="44" t="s">
        <v>139</v>
      </c>
      <c r="C97" s="45">
        <v>0</v>
      </c>
      <c r="D97" s="45">
        <v>0</v>
      </c>
      <c r="E97" s="61">
        <f t="shared" si="17"/>
        <v>0</v>
      </c>
      <c r="F97" s="45">
        <v>0</v>
      </c>
      <c r="G97" s="45">
        <f t="shared" si="13"/>
        <v>0</v>
      </c>
      <c r="H97" s="45">
        <f t="shared" si="15"/>
        <v>0</v>
      </c>
      <c r="I97" s="45">
        <f t="shared" si="18"/>
        <v>0</v>
      </c>
      <c r="J97" s="45">
        <v>0</v>
      </c>
      <c r="K97" s="45">
        <f t="shared" si="14"/>
        <v>0</v>
      </c>
      <c r="L97" s="53">
        <f t="shared" si="16"/>
        <v>0</v>
      </c>
    </row>
    <row r="98" spans="1:12" s="5" customFormat="1" ht="14.85" customHeight="1" x14ac:dyDescent="0.25">
      <c r="A98" s="43" t="s">
        <v>118</v>
      </c>
      <c r="B98" s="44" t="s">
        <v>119</v>
      </c>
      <c r="C98" s="94">
        <v>233910154</v>
      </c>
      <c r="D98" s="94">
        <v>241410154</v>
      </c>
      <c r="E98" s="61">
        <f>F98-96642185.41</f>
        <v>28583129.920000002</v>
      </c>
      <c r="F98" s="94">
        <v>125225315.33</v>
      </c>
      <c r="G98" s="45">
        <f t="shared" si="13"/>
        <v>0.16346079671058147</v>
      </c>
      <c r="H98" s="45">
        <f t="shared" si="15"/>
        <v>116184838.67</v>
      </c>
      <c r="I98" s="45">
        <f>J98-59983303.69</f>
        <v>9203770.6000000089</v>
      </c>
      <c r="J98" s="94">
        <v>69187074.290000007</v>
      </c>
      <c r="K98" s="45">
        <f t="shared" si="14"/>
        <v>9.8497884409345954E-2</v>
      </c>
      <c r="L98" s="53">
        <f t="shared" si="16"/>
        <v>172223079.70999998</v>
      </c>
    </row>
    <row r="99" spans="1:12" s="5" customFormat="1" ht="14.85" customHeight="1" x14ac:dyDescent="0.25">
      <c r="A99" s="43" t="s">
        <v>40</v>
      </c>
      <c r="B99" s="44" t="s">
        <v>41</v>
      </c>
      <c r="C99" s="94">
        <v>32933603</v>
      </c>
      <c r="D99" s="94">
        <v>25816430.469999999</v>
      </c>
      <c r="E99" s="61">
        <f>F99-1939903.02</f>
        <v>42</v>
      </c>
      <c r="F99" s="45">
        <v>1939945.02</v>
      </c>
      <c r="G99" s="45">
        <f t="shared" si="13"/>
        <v>2.5322751849997274E-3</v>
      </c>
      <c r="H99" s="45">
        <f t="shared" si="15"/>
        <v>23876485.449999999</v>
      </c>
      <c r="I99" s="45">
        <f>J99-1939903.02</f>
        <v>42</v>
      </c>
      <c r="J99" s="45">
        <v>1939945.02</v>
      </c>
      <c r="K99" s="45">
        <f t="shared" si="14"/>
        <v>2.761794486922888E-3</v>
      </c>
      <c r="L99" s="53">
        <f t="shared" si="16"/>
        <v>23876485.449999999</v>
      </c>
    </row>
    <row r="100" spans="1:12" s="5" customFormat="1" ht="14.85" customHeight="1" x14ac:dyDescent="0.25">
      <c r="A100" s="43" t="s">
        <v>87</v>
      </c>
      <c r="B100" s="44" t="s">
        <v>88</v>
      </c>
      <c r="C100" s="45">
        <v>0</v>
      </c>
      <c r="D100" s="45">
        <v>0</v>
      </c>
      <c r="E100" s="61">
        <f t="shared" si="17"/>
        <v>0</v>
      </c>
      <c r="F100" s="45">
        <v>0</v>
      </c>
      <c r="G100" s="45">
        <f t="shared" si="13"/>
        <v>0</v>
      </c>
      <c r="H100" s="45">
        <f t="shared" si="15"/>
        <v>0</v>
      </c>
      <c r="I100" s="45">
        <f t="shared" si="18"/>
        <v>0</v>
      </c>
      <c r="J100" s="45">
        <v>0</v>
      </c>
      <c r="K100" s="45">
        <f t="shared" si="14"/>
        <v>0</v>
      </c>
      <c r="L100" s="53">
        <f t="shared" si="16"/>
        <v>0</v>
      </c>
    </row>
    <row r="101" spans="1:12" s="5" customFormat="1" ht="14.85" customHeight="1" x14ac:dyDescent="0.25">
      <c r="A101" s="40" t="s">
        <v>140</v>
      </c>
      <c r="B101" s="70" t="s">
        <v>141</v>
      </c>
      <c r="C101" s="42">
        <f>SUM(C102:C105)</f>
        <v>31473382944</v>
      </c>
      <c r="D101" s="42">
        <f>SUM(D102:D105)</f>
        <v>35327163906.940002</v>
      </c>
      <c r="E101" s="98">
        <f>SUM(E102:E105)</f>
        <v>4325247157.8599987</v>
      </c>
      <c r="F101" s="42">
        <f>SUM(F102:F105)</f>
        <v>18117806915.349998</v>
      </c>
      <c r="G101" s="42">
        <f t="shared" si="13"/>
        <v>23.649779960443031</v>
      </c>
      <c r="H101" s="42">
        <f t="shared" si="15"/>
        <v>17209356991.590004</v>
      </c>
      <c r="I101" s="42">
        <f>SUM(I102:I105)</f>
        <v>4337888342.8299999</v>
      </c>
      <c r="J101" s="42">
        <f>SUM(J102:J105)</f>
        <v>18054198929.470001</v>
      </c>
      <c r="K101" s="42">
        <f t="shared" si="14"/>
        <v>25.70278361250638</v>
      </c>
      <c r="L101" s="57">
        <f t="shared" si="16"/>
        <v>17272964977.470001</v>
      </c>
    </row>
    <row r="102" spans="1:12" s="5" customFormat="1" ht="14.85" customHeight="1" x14ac:dyDescent="0.25">
      <c r="A102" s="43" t="s">
        <v>30</v>
      </c>
      <c r="B102" s="44" t="s">
        <v>31</v>
      </c>
      <c r="C102" s="45">
        <v>12760820961</v>
      </c>
      <c r="D102" s="45">
        <v>13368001263.620001</v>
      </c>
      <c r="E102" s="61">
        <f>F102-4804017401.47</f>
        <v>1460784726.5599995</v>
      </c>
      <c r="F102" s="94">
        <v>6264802128.0299997</v>
      </c>
      <c r="G102" s="45">
        <f t="shared" si="13"/>
        <v>8.1776559666334521</v>
      </c>
      <c r="H102" s="45">
        <f t="shared" si="15"/>
        <v>7103199135.5900011</v>
      </c>
      <c r="I102" s="45">
        <f>J102-4742680075.61</f>
        <v>1469812345.25</v>
      </c>
      <c r="J102" s="94">
        <v>6212492420.8599997</v>
      </c>
      <c r="K102" s="45">
        <f t="shared" si="14"/>
        <v>8.8443884445660075</v>
      </c>
      <c r="L102" s="53">
        <f t="shared" si="16"/>
        <v>7155508842.7600012</v>
      </c>
    </row>
    <row r="103" spans="1:12" s="5" customFormat="1" ht="14.85" customHeight="1" x14ac:dyDescent="0.25">
      <c r="A103" s="43" t="s">
        <v>63</v>
      </c>
      <c r="B103" s="44" t="s">
        <v>64</v>
      </c>
      <c r="C103" s="45">
        <v>4142440</v>
      </c>
      <c r="D103" s="45">
        <v>30142440</v>
      </c>
      <c r="E103" s="61">
        <f>F103-14960000</f>
        <v>0</v>
      </c>
      <c r="F103" s="45">
        <v>14960000</v>
      </c>
      <c r="G103" s="45">
        <f t="shared" si="13"/>
        <v>1.9527788868777284E-2</v>
      </c>
      <c r="H103" s="45">
        <f t="shared" si="15"/>
        <v>15182440</v>
      </c>
      <c r="I103" s="45">
        <f>J103-3740000</f>
        <v>3740000</v>
      </c>
      <c r="J103" s="45">
        <v>7480000</v>
      </c>
      <c r="K103" s="45">
        <f t="shared" si="14"/>
        <v>1.0648870225292881E-2</v>
      </c>
      <c r="L103" s="53">
        <f t="shared" si="16"/>
        <v>22662440</v>
      </c>
    </row>
    <row r="104" spans="1:12" s="5" customFormat="1" ht="14.85" customHeight="1" x14ac:dyDescent="0.25">
      <c r="A104" s="43" t="s">
        <v>142</v>
      </c>
      <c r="B104" s="44" t="s">
        <v>143</v>
      </c>
      <c r="C104" s="94">
        <v>18708419543</v>
      </c>
      <c r="D104" s="94">
        <v>21929020203.32</v>
      </c>
      <c r="E104" s="61">
        <f>F104-8973582356.02</f>
        <v>2864462431.2999992</v>
      </c>
      <c r="F104" s="94">
        <v>11838044787.32</v>
      </c>
      <c r="G104" s="45">
        <f t="shared" si="13"/>
        <v>15.452596204940805</v>
      </c>
      <c r="H104" s="45">
        <f t="shared" si="15"/>
        <v>10090975416</v>
      </c>
      <c r="I104" s="45">
        <f>J104-8969890511.03</f>
        <v>2864335997.5799999</v>
      </c>
      <c r="J104" s="94">
        <v>11834226508.610001</v>
      </c>
      <c r="K104" s="45">
        <f t="shared" si="14"/>
        <v>16.847746297715076</v>
      </c>
      <c r="L104" s="53">
        <f t="shared" si="16"/>
        <v>10094793694.709999</v>
      </c>
    </row>
    <row r="105" spans="1:12" s="5" customFormat="1" ht="14.85" customHeight="1" x14ac:dyDescent="0.25">
      <c r="A105" s="43" t="s">
        <v>144</v>
      </c>
      <c r="B105" s="44" t="s">
        <v>145</v>
      </c>
      <c r="C105" s="45">
        <v>0</v>
      </c>
      <c r="D105" s="45">
        <v>0</v>
      </c>
      <c r="E105" s="61">
        <f>F105-0</f>
        <v>0</v>
      </c>
      <c r="F105" s="45">
        <v>0</v>
      </c>
      <c r="G105" s="45">
        <f t="shared" si="13"/>
        <v>0</v>
      </c>
      <c r="H105" s="45">
        <f t="shared" si="15"/>
        <v>0</v>
      </c>
      <c r="I105" s="45">
        <f>J105-0</f>
        <v>0</v>
      </c>
      <c r="J105" s="45">
        <v>0</v>
      </c>
      <c r="K105" s="45">
        <f t="shared" si="14"/>
        <v>0</v>
      </c>
      <c r="L105" s="53">
        <f t="shared" si="16"/>
        <v>0</v>
      </c>
    </row>
    <row r="106" spans="1:12" s="5" customFormat="1" ht="14.85" customHeight="1" x14ac:dyDescent="0.25">
      <c r="A106" s="40" t="s">
        <v>146</v>
      </c>
      <c r="B106" s="70" t="s">
        <v>147</v>
      </c>
      <c r="C106" s="42">
        <f>SUM(C107:C116)</f>
        <v>9072596632</v>
      </c>
      <c r="D106" s="42">
        <f>SUM(D107:D116)</f>
        <v>9486267914.5299988</v>
      </c>
      <c r="E106" s="98">
        <f>SUM(E107:E116)</f>
        <v>1959569743.4300001</v>
      </c>
      <c r="F106" s="42">
        <f>SUM(F107:F116)</f>
        <v>7162299474.8700008</v>
      </c>
      <c r="G106" s="42">
        <f t="shared" si="13"/>
        <v>9.3491893021534622</v>
      </c>
      <c r="H106" s="42">
        <f t="shared" si="15"/>
        <v>2323968439.6599979</v>
      </c>
      <c r="I106" s="42">
        <f>SUM(I107:I116)</f>
        <v>1842736679.8499997</v>
      </c>
      <c r="J106" s="42">
        <f>SUM(J107:J116)</f>
        <v>6427538505.2199993</v>
      </c>
      <c r="K106" s="42">
        <f t="shared" si="14"/>
        <v>9.150537889058926</v>
      </c>
      <c r="L106" s="57">
        <f t="shared" si="16"/>
        <v>3058729409.3099995</v>
      </c>
    </row>
    <row r="107" spans="1:12" s="5" customFormat="1" ht="14.85" customHeight="1" x14ac:dyDescent="0.25">
      <c r="A107" s="43" t="s">
        <v>30</v>
      </c>
      <c r="B107" s="44" t="s">
        <v>31</v>
      </c>
      <c r="C107" s="94">
        <v>1434794671</v>
      </c>
      <c r="D107" s="94">
        <v>1484890460.8399999</v>
      </c>
      <c r="E107" s="61">
        <f>F107-694242916.36</f>
        <v>267139919.46000004</v>
      </c>
      <c r="F107" s="94">
        <v>961382835.82000005</v>
      </c>
      <c r="G107" s="45">
        <f t="shared" si="13"/>
        <v>1.2549252032058378</v>
      </c>
      <c r="H107" s="45">
        <f t="shared" si="15"/>
        <v>523507625.01999986</v>
      </c>
      <c r="I107" s="45">
        <f>J107-643216356.77</f>
        <v>221354532.62</v>
      </c>
      <c r="J107" s="45">
        <v>864570889.38999999</v>
      </c>
      <c r="K107" s="45">
        <f t="shared" si="14"/>
        <v>1.2308426740214113</v>
      </c>
      <c r="L107" s="53">
        <f t="shared" si="16"/>
        <v>620319571.44999993</v>
      </c>
    </row>
    <row r="108" spans="1:12" s="5" customFormat="1" ht="14.85" customHeight="1" x14ac:dyDescent="0.25">
      <c r="A108" s="43" t="s">
        <v>34</v>
      </c>
      <c r="B108" s="44" t="s">
        <v>35</v>
      </c>
      <c r="C108" s="94">
        <v>17492361</v>
      </c>
      <c r="D108" s="94">
        <v>14352361</v>
      </c>
      <c r="E108" s="61">
        <f>F108-7256554.13</f>
        <v>2157467.7999999998</v>
      </c>
      <c r="F108" s="94">
        <v>9414021.9299999997</v>
      </c>
      <c r="G108" s="45">
        <f t="shared" si="13"/>
        <v>1.2288438011703158E-2</v>
      </c>
      <c r="H108" s="45">
        <f t="shared" si="15"/>
        <v>4938339.07</v>
      </c>
      <c r="I108" s="45">
        <f>J108-6513926.69</f>
        <v>2205689.87</v>
      </c>
      <c r="J108" s="45">
        <v>8719616.5600000005</v>
      </c>
      <c r="K108" s="45">
        <f t="shared" si="14"/>
        <v>1.24136450751009E-2</v>
      </c>
      <c r="L108" s="53">
        <f t="shared" si="16"/>
        <v>5632744.4399999995</v>
      </c>
    </row>
    <row r="109" spans="1:12" s="5" customFormat="1" ht="14.85" customHeight="1" x14ac:dyDescent="0.25">
      <c r="A109" s="43" t="s">
        <v>106</v>
      </c>
      <c r="B109" s="44" t="s">
        <v>107</v>
      </c>
      <c r="C109" s="94">
        <v>200078449</v>
      </c>
      <c r="D109" s="94">
        <v>200078449</v>
      </c>
      <c r="E109" s="61">
        <f>F109-90087453.54</f>
        <v>27294611.390000001</v>
      </c>
      <c r="F109" s="94">
        <v>117382064.93000001</v>
      </c>
      <c r="G109" s="45">
        <f t="shared" ref="G109:G140" si="19">(F109/$F$307)*100</f>
        <v>0.15322273936725578</v>
      </c>
      <c r="H109" s="45">
        <f t="shared" si="15"/>
        <v>82696384.069999993</v>
      </c>
      <c r="I109" s="45">
        <f>J109-90087453.54</f>
        <v>27294611.390000001</v>
      </c>
      <c r="J109" s="45">
        <v>117382064.93000001</v>
      </c>
      <c r="K109" s="45">
        <f t="shared" ref="K109:K140" si="20">(J109/$J$307)*100</f>
        <v>0.16711047810380653</v>
      </c>
      <c r="L109" s="53">
        <f t="shared" si="16"/>
        <v>82696384.069999993</v>
      </c>
    </row>
    <row r="110" spans="1:12" s="5" customFormat="1" ht="14.85" customHeight="1" x14ac:dyDescent="0.25">
      <c r="A110" s="43" t="s">
        <v>114</v>
      </c>
      <c r="B110" s="44" t="s">
        <v>115</v>
      </c>
      <c r="C110" s="45">
        <v>52023713</v>
      </c>
      <c r="D110" s="45">
        <v>34420065.159999996</v>
      </c>
      <c r="E110" s="61">
        <f>F110-2907518.47</f>
        <v>14315697.859999998</v>
      </c>
      <c r="F110" s="45">
        <v>17223216.329999998</v>
      </c>
      <c r="G110" s="45">
        <f t="shared" si="19"/>
        <v>2.2482040918015849E-2</v>
      </c>
      <c r="H110" s="45">
        <f t="shared" si="15"/>
        <v>17196848.829999998</v>
      </c>
      <c r="I110" s="45">
        <f>J110-2907518.47</f>
        <v>14285947.859999998</v>
      </c>
      <c r="J110" s="45">
        <v>17193466.329999998</v>
      </c>
      <c r="K110" s="45">
        <f t="shared" si="20"/>
        <v>2.4477405303624685E-2</v>
      </c>
      <c r="L110" s="53">
        <f t="shared" si="16"/>
        <v>17226598.829999998</v>
      </c>
    </row>
    <row r="111" spans="1:12" s="5" customFormat="1" ht="14.85" customHeight="1" x14ac:dyDescent="0.25">
      <c r="A111" s="43" t="s">
        <v>116</v>
      </c>
      <c r="B111" s="44" t="s">
        <v>117</v>
      </c>
      <c r="C111" s="45">
        <v>7097337901</v>
      </c>
      <c r="D111" s="45">
        <v>7494425647.8999996</v>
      </c>
      <c r="E111" s="61">
        <f>F111-4283200285.63</f>
        <v>1608595087.96</v>
      </c>
      <c r="F111" s="94">
        <v>5891795373.5900002</v>
      </c>
      <c r="G111" s="45">
        <f t="shared" si="19"/>
        <v>7.6907577615978813</v>
      </c>
      <c r="H111" s="45">
        <f t="shared" si="15"/>
        <v>1602630274.3099995</v>
      </c>
      <c r="I111" s="45">
        <f>J111-3743853685.93</f>
        <v>1534236412.0499997</v>
      </c>
      <c r="J111" s="45">
        <v>5278090097.9799995</v>
      </c>
      <c r="K111" s="45">
        <f t="shared" si="20"/>
        <v>7.5141305468973814</v>
      </c>
      <c r="L111" s="53">
        <f t="shared" si="16"/>
        <v>2216335549.9200001</v>
      </c>
    </row>
    <row r="112" spans="1:12" s="5" customFormat="1" ht="14.85" customHeight="1" x14ac:dyDescent="0.25">
      <c r="A112" s="43" t="s">
        <v>138</v>
      </c>
      <c r="B112" s="44" t="s">
        <v>139</v>
      </c>
      <c r="C112" s="45">
        <v>212268429</v>
      </c>
      <c r="D112" s="45">
        <v>204560847</v>
      </c>
      <c r="E112" s="61">
        <f>F112-104924202.84</f>
        <v>29343402.329999983</v>
      </c>
      <c r="F112" s="94">
        <v>134267605.16999999</v>
      </c>
      <c r="G112" s="45">
        <f t="shared" si="19"/>
        <v>0.17526400037941903</v>
      </c>
      <c r="H112" s="45">
        <f t="shared" si="15"/>
        <v>70293241.830000013</v>
      </c>
      <c r="I112" s="45">
        <f>J112-79433182.52</f>
        <v>34050602.280000001</v>
      </c>
      <c r="J112" s="45">
        <v>113483784.8</v>
      </c>
      <c r="K112" s="45">
        <f t="shared" si="20"/>
        <v>0.16156070815645251</v>
      </c>
      <c r="L112" s="53">
        <f t="shared" si="16"/>
        <v>91077062.200000003</v>
      </c>
    </row>
    <row r="113" spans="1:12" s="5" customFormat="1" ht="14.85" customHeight="1" x14ac:dyDescent="0.25">
      <c r="A113" s="43" t="s">
        <v>148</v>
      </c>
      <c r="B113" s="44" t="s">
        <v>149</v>
      </c>
      <c r="C113" s="45">
        <v>8484538</v>
      </c>
      <c r="D113" s="45">
        <v>3563748</v>
      </c>
      <c r="E113" s="61">
        <f>F113-1278527.46</f>
        <v>712850.41999999993</v>
      </c>
      <c r="F113" s="94">
        <v>1991377.88</v>
      </c>
      <c r="G113" s="45">
        <f t="shared" si="19"/>
        <v>2.5994122191573062E-3</v>
      </c>
      <c r="H113" s="45">
        <f t="shared" si="15"/>
        <v>1572370.12</v>
      </c>
      <c r="I113" s="45">
        <f>J113-1112459.89</f>
        <v>252761.8600000001</v>
      </c>
      <c r="J113" s="45">
        <v>1365221.75</v>
      </c>
      <c r="K113" s="45">
        <f t="shared" si="20"/>
        <v>1.9435921449862622E-3</v>
      </c>
      <c r="L113" s="53">
        <f t="shared" si="16"/>
        <v>2198526.25</v>
      </c>
    </row>
    <row r="114" spans="1:12" s="5" customFormat="1" ht="14.85" customHeight="1" x14ac:dyDescent="0.25">
      <c r="A114" s="43" t="s">
        <v>150</v>
      </c>
      <c r="B114" s="44" t="s">
        <v>151</v>
      </c>
      <c r="C114" s="45">
        <v>49439020</v>
      </c>
      <c r="D114" s="45">
        <v>49198785.630000003</v>
      </c>
      <c r="E114" s="61">
        <f>F114-18832273.01</f>
        <v>10010706.209999997</v>
      </c>
      <c r="F114" s="94">
        <v>28842979.219999999</v>
      </c>
      <c r="G114" s="45">
        <f t="shared" si="19"/>
        <v>3.7649706454190537E-2</v>
      </c>
      <c r="H114" s="45">
        <f t="shared" si="15"/>
        <v>20355806.410000004</v>
      </c>
      <c r="I114" s="45">
        <f>J114-17677241.56</f>
        <v>9056121.9200000018</v>
      </c>
      <c r="J114" s="45">
        <v>26733363.48</v>
      </c>
      <c r="K114" s="45">
        <f t="shared" si="20"/>
        <v>3.8058839356163644E-2</v>
      </c>
      <c r="L114" s="53">
        <f t="shared" si="16"/>
        <v>22465422.150000002</v>
      </c>
    </row>
    <row r="115" spans="1:12" s="5" customFormat="1" ht="14.85" customHeight="1" x14ac:dyDescent="0.25">
      <c r="A115" s="43" t="s">
        <v>118</v>
      </c>
      <c r="B115" s="44" t="s">
        <v>119</v>
      </c>
      <c r="C115" s="45">
        <v>160000</v>
      </c>
      <c r="D115" s="45">
        <v>260000</v>
      </c>
      <c r="E115" s="61">
        <f t="shared" ref="E115:E116" si="21">F115-0</f>
        <v>0</v>
      </c>
      <c r="F115" s="45">
        <v>0</v>
      </c>
      <c r="G115" s="45">
        <f t="shared" si="19"/>
        <v>0</v>
      </c>
      <c r="H115" s="45">
        <f t="shared" si="15"/>
        <v>260000</v>
      </c>
      <c r="I115" s="45">
        <f t="shared" ref="I115:I116" si="22">J115-0</f>
        <v>0</v>
      </c>
      <c r="J115" s="45">
        <v>0</v>
      </c>
      <c r="K115" s="45">
        <f t="shared" si="20"/>
        <v>0</v>
      </c>
      <c r="L115" s="53">
        <f t="shared" si="16"/>
        <v>260000</v>
      </c>
    </row>
    <row r="116" spans="1:12" s="5" customFormat="1" ht="14.85" customHeight="1" x14ac:dyDescent="0.25">
      <c r="A116" s="43" t="s">
        <v>89</v>
      </c>
      <c r="B116" s="44" t="s">
        <v>152</v>
      </c>
      <c r="C116" s="45">
        <v>517550</v>
      </c>
      <c r="D116" s="45">
        <v>517550</v>
      </c>
      <c r="E116" s="61">
        <f t="shared" si="21"/>
        <v>0</v>
      </c>
      <c r="F116" s="45">
        <v>0</v>
      </c>
      <c r="G116" s="45">
        <f t="shared" si="19"/>
        <v>0</v>
      </c>
      <c r="H116" s="45">
        <f t="shared" si="15"/>
        <v>517550</v>
      </c>
      <c r="I116" s="45">
        <f t="shared" si="22"/>
        <v>0</v>
      </c>
      <c r="J116" s="45">
        <v>0</v>
      </c>
      <c r="K116" s="45">
        <f t="shared" si="20"/>
        <v>0</v>
      </c>
      <c r="L116" s="53">
        <f t="shared" si="16"/>
        <v>517550</v>
      </c>
    </row>
    <row r="117" spans="1:12" s="5" customFormat="1" ht="14.85" customHeight="1" x14ac:dyDescent="0.25">
      <c r="A117" s="40" t="s">
        <v>153</v>
      </c>
      <c r="B117" s="70" t="s">
        <v>154</v>
      </c>
      <c r="C117" s="42">
        <f>SUM(C118:C125)</f>
        <v>80718534</v>
      </c>
      <c r="D117" s="42">
        <f>SUM(D118:D125)</f>
        <v>108355285.58</v>
      </c>
      <c r="E117" s="98">
        <f>SUM(E118:E125)</f>
        <v>10900356.059999999</v>
      </c>
      <c r="F117" s="42">
        <f>SUM(F118:F125)</f>
        <v>23392279.429999996</v>
      </c>
      <c r="G117" s="42">
        <f t="shared" si="19"/>
        <v>3.0534725525968028E-2</v>
      </c>
      <c r="H117" s="42">
        <f t="shared" si="15"/>
        <v>84963006.150000006</v>
      </c>
      <c r="I117" s="42">
        <f>SUM(I118:I125)</f>
        <v>5316486.0300000012</v>
      </c>
      <c r="J117" s="42">
        <f>SUM(J118:J125)</f>
        <v>17314216.060000002</v>
      </c>
      <c r="K117" s="42">
        <f t="shared" si="20"/>
        <v>2.4649310143799712E-2</v>
      </c>
      <c r="L117" s="57">
        <f t="shared" si="16"/>
        <v>91041069.519999996</v>
      </c>
    </row>
    <row r="118" spans="1:12" s="5" customFormat="1" ht="14.85" customHeight="1" x14ac:dyDescent="0.25">
      <c r="A118" s="43" t="s">
        <v>59</v>
      </c>
      <c r="B118" s="44" t="s">
        <v>60</v>
      </c>
      <c r="C118" s="45">
        <v>0</v>
      </c>
      <c r="D118" s="45">
        <v>0</v>
      </c>
      <c r="E118" s="61">
        <f t="shared" ref="E118:E125" si="23">F118-0</f>
        <v>0</v>
      </c>
      <c r="F118" s="45">
        <v>0</v>
      </c>
      <c r="G118" s="42">
        <f t="shared" si="19"/>
        <v>0</v>
      </c>
      <c r="H118" s="45">
        <f t="shared" si="15"/>
        <v>0</v>
      </c>
      <c r="I118" s="45">
        <f t="shared" ref="I118:I125" si="24">J118-0</f>
        <v>0</v>
      </c>
      <c r="J118" s="45">
        <v>0</v>
      </c>
      <c r="K118" s="42">
        <f t="shared" si="20"/>
        <v>0</v>
      </c>
      <c r="L118" s="53">
        <f t="shared" si="16"/>
        <v>0</v>
      </c>
    </row>
    <row r="119" spans="1:12" s="5" customFormat="1" ht="14.85" customHeight="1" x14ac:dyDescent="0.25">
      <c r="A119" s="43" t="s">
        <v>30</v>
      </c>
      <c r="B119" s="44" t="s">
        <v>31</v>
      </c>
      <c r="C119" s="94">
        <v>18982680</v>
      </c>
      <c r="D119" s="94">
        <v>23362394.84</v>
      </c>
      <c r="E119" s="61">
        <f>F119-11457897.39</f>
        <v>6135409.3299999982</v>
      </c>
      <c r="F119" s="94">
        <v>17593306.719999999</v>
      </c>
      <c r="G119" s="45">
        <f t="shared" si="19"/>
        <v>2.2965132294906453E-2</v>
      </c>
      <c r="H119" s="45">
        <f t="shared" si="15"/>
        <v>5769088.120000001</v>
      </c>
      <c r="I119" s="45">
        <f>J119-11078580.87</f>
        <v>4471465.5300000012</v>
      </c>
      <c r="J119" s="94">
        <v>15550046.4</v>
      </c>
      <c r="K119" s="45">
        <f t="shared" si="20"/>
        <v>2.2137757501454917E-2</v>
      </c>
      <c r="L119" s="53">
        <f t="shared" si="16"/>
        <v>7812348.4399999995</v>
      </c>
    </row>
    <row r="120" spans="1:12" s="5" customFormat="1" ht="14.85" customHeight="1" x14ac:dyDescent="0.25">
      <c r="A120" s="43" t="s">
        <v>32</v>
      </c>
      <c r="B120" s="44" t="s">
        <v>33</v>
      </c>
      <c r="C120" s="94">
        <v>350000</v>
      </c>
      <c r="D120" s="94">
        <v>350000</v>
      </c>
      <c r="E120" s="61">
        <f t="shared" si="23"/>
        <v>0</v>
      </c>
      <c r="F120" s="45">
        <v>0</v>
      </c>
      <c r="G120" s="45">
        <f t="shared" si="19"/>
        <v>0</v>
      </c>
      <c r="H120" s="45">
        <f t="shared" si="15"/>
        <v>350000</v>
      </c>
      <c r="I120" s="45">
        <f t="shared" si="24"/>
        <v>0</v>
      </c>
      <c r="J120" s="45">
        <v>0</v>
      </c>
      <c r="K120" s="45">
        <f t="shared" si="20"/>
        <v>0</v>
      </c>
      <c r="L120" s="53">
        <f t="shared" si="16"/>
        <v>350000</v>
      </c>
    </row>
    <row r="121" spans="1:12" s="5" customFormat="1" ht="14.85" customHeight="1" x14ac:dyDescent="0.25">
      <c r="A121" s="43" t="s">
        <v>108</v>
      </c>
      <c r="B121" s="44" t="s">
        <v>155</v>
      </c>
      <c r="C121" s="94">
        <v>788059</v>
      </c>
      <c r="D121" s="94">
        <v>777667.46</v>
      </c>
      <c r="E121" s="61">
        <f>F121-5001.94</f>
        <v>12058.050000000003</v>
      </c>
      <c r="F121" s="45">
        <v>17059.990000000002</v>
      </c>
      <c r="G121" s="45">
        <f t="shared" si="19"/>
        <v>2.2268976124562284E-5</v>
      </c>
      <c r="H121" s="45">
        <f t="shared" si="15"/>
        <v>760607.47</v>
      </c>
      <c r="I121" s="45">
        <f>J121-5001.94</f>
        <v>2545.8000000000002</v>
      </c>
      <c r="J121" s="45">
        <v>7547.74</v>
      </c>
      <c r="K121" s="45">
        <f t="shared" si="20"/>
        <v>1.0745307988536375E-5</v>
      </c>
      <c r="L121" s="53">
        <f t="shared" si="16"/>
        <v>770119.72</v>
      </c>
    </row>
    <row r="122" spans="1:12" s="5" customFormat="1" ht="14.85" customHeight="1" x14ac:dyDescent="0.25">
      <c r="A122" s="43" t="s">
        <v>156</v>
      </c>
      <c r="B122" s="44" t="s">
        <v>157</v>
      </c>
      <c r="C122" s="45">
        <v>10000000</v>
      </c>
      <c r="D122" s="45">
        <v>10000000</v>
      </c>
      <c r="E122" s="61">
        <f t="shared" si="23"/>
        <v>0</v>
      </c>
      <c r="F122" s="45">
        <v>0</v>
      </c>
      <c r="G122" s="45">
        <f t="shared" si="19"/>
        <v>0</v>
      </c>
      <c r="H122" s="45">
        <f t="shared" si="15"/>
        <v>10000000</v>
      </c>
      <c r="I122" s="45">
        <f t="shared" si="24"/>
        <v>0</v>
      </c>
      <c r="J122" s="45">
        <v>0</v>
      </c>
      <c r="K122" s="45">
        <f t="shared" si="20"/>
        <v>0</v>
      </c>
      <c r="L122" s="53">
        <f t="shared" si="16"/>
        <v>10000000</v>
      </c>
    </row>
    <row r="123" spans="1:12" s="5" customFormat="1" ht="14.85" customHeight="1" x14ac:dyDescent="0.25">
      <c r="A123" s="43" t="s">
        <v>158</v>
      </c>
      <c r="B123" s="44" t="s">
        <v>159</v>
      </c>
      <c r="C123" s="94">
        <v>47037795</v>
      </c>
      <c r="D123" s="94">
        <v>72527043.780000001</v>
      </c>
      <c r="E123" s="61">
        <f>F123-1029024.04</f>
        <v>4752888.68</v>
      </c>
      <c r="F123" s="94">
        <v>5781912.7199999997</v>
      </c>
      <c r="G123" s="45">
        <f t="shared" si="19"/>
        <v>7.547324254937017E-3</v>
      </c>
      <c r="H123" s="45">
        <f t="shared" si="15"/>
        <v>66745131.060000002</v>
      </c>
      <c r="I123" s="45">
        <f>J123-914147.22</f>
        <v>842474.7</v>
      </c>
      <c r="J123" s="45">
        <v>1756621.92</v>
      </c>
      <c r="K123" s="45">
        <f t="shared" si="20"/>
        <v>2.5008073343562587E-3</v>
      </c>
      <c r="L123" s="53">
        <f t="shared" si="16"/>
        <v>70770421.859999999</v>
      </c>
    </row>
    <row r="124" spans="1:12" s="5" customFormat="1" ht="14.85" customHeight="1" x14ac:dyDescent="0.25">
      <c r="A124" s="43" t="s">
        <v>122</v>
      </c>
      <c r="B124" s="44" t="s">
        <v>123</v>
      </c>
      <c r="C124" s="94">
        <v>3560000</v>
      </c>
      <c r="D124" s="94">
        <v>1338179.5</v>
      </c>
      <c r="E124" s="61">
        <f>F124-0</f>
        <v>0</v>
      </c>
      <c r="F124" s="45">
        <v>0</v>
      </c>
      <c r="G124" s="45">
        <f t="shared" si="19"/>
        <v>0</v>
      </c>
      <c r="H124" s="45">
        <f t="shared" si="15"/>
        <v>1338179.5</v>
      </c>
      <c r="I124" s="45">
        <f>J124-0</f>
        <v>0</v>
      </c>
      <c r="J124" s="45">
        <v>0</v>
      </c>
      <c r="K124" s="45">
        <f t="shared" si="20"/>
        <v>0</v>
      </c>
      <c r="L124" s="53">
        <f t="shared" si="16"/>
        <v>1338179.5</v>
      </c>
    </row>
    <row r="125" spans="1:12" s="5" customFormat="1" ht="14.85" customHeight="1" x14ac:dyDescent="0.25">
      <c r="A125" s="43" t="s">
        <v>40</v>
      </c>
      <c r="B125" s="44" t="s">
        <v>41</v>
      </c>
      <c r="C125" s="45">
        <v>0</v>
      </c>
      <c r="D125" s="45">
        <v>0</v>
      </c>
      <c r="E125" s="61">
        <f t="shared" si="23"/>
        <v>0</v>
      </c>
      <c r="F125" s="45">
        <v>0</v>
      </c>
      <c r="G125" s="45">
        <f t="shared" si="19"/>
        <v>0</v>
      </c>
      <c r="H125" s="45">
        <f t="shared" si="15"/>
        <v>0</v>
      </c>
      <c r="I125" s="45">
        <f t="shared" si="24"/>
        <v>0</v>
      </c>
      <c r="J125" s="45">
        <v>0</v>
      </c>
      <c r="K125" s="45">
        <f t="shared" si="20"/>
        <v>0</v>
      </c>
      <c r="L125" s="53">
        <f t="shared" si="16"/>
        <v>0</v>
      </c>
    </row>
    <row r="126" spans="1:12" s="5" customFormat="1" ht="14.85" customHeight="1" x14ac:dyDescent="0.25">
      <c r="A126" s="40" t="s">
        <v>160</v>
      </c>
      <c r="B126" s="70" t="s">
        <v>161</v>
      </c>
      <c r="C126" s="42">
        <f>SUM(C127:C146)</f>
        <v>9366504566</v>
      </c>
      <c r="D126" s="42">
        <f>SUM(D127:D146)</f>
        <v>10398773407.42</v>
      </c>
      <c r="E126" s="98">
        <f>SUM(E127:E146)</f>
        <v>1554200926.0800002</v>
      </c>
      <c r="F126" s="42">
        <f>SUM(F127:F146)</f>
        <v>7065295849.3200016</v>
      </c>
      <c r="G126" s="42">
        <f t="shared" si="19"/>
        <v>9.2225672219899373</v>
      </c>
      <c r="H126" s="42">
        <f t="shared" si="15"/>
        <v>3333477558.0999985</v>
      </c>
      <c r="I126" s="42">
        <f>SUM(I127:I146)</f>
        <v>1770830924.3600001</v>
      </c>
      <c r="J126" s="42">
        <f>SUM(J127:J146)</f>
        <v>6613483785.46</v>
      </c>
      <c r="K126" s="42">
        <f t="shared" si="20"/>
        <v>9.4152580973853279</v>
      </c>
      <c r="L126" s="57">
        <f t="shared" si="16"/>
        <v>3785289621.96</v>
      </c>
    </row>
    <row r="127" spans="1:12" s="5" customFormat="1" ht="14.85" customHeight="1" x14ac:dyDescent="0.25">
      <c r="A127" s="43" t="s">
        <v>30</v>
      </c>
      <c r="B127" s="44" t="s">
        <v>31</v>
      </c>
      <c r="C127" s="94">
        <v>3298303311</v>
      </c>
      <c r="D127" s="94">
        <v>3354924127.1500001</v>
      </c>
      <c r="E127" s="61">
        <f>F127-1675630970.32</f>
        <v>509791911.52000022</v>
      </c>
      <c r="F127" s="94">
        <v>2185422881.8400002</v>
      </c>
      <c r="G127" s="45">
        <f t="shared" si="19"/>
        <v>2.8527056567891931</v>
      </c>
      <c r="H127" s="45">
        <f t="shared" si="15"/>
        <v>1169501245.3099999</v>
      </c>
      <c r="I127" s="45">
        <f>J127-1558109490.13</f>
        <v>520639573.90999985</v>
      </c>
      <c r="J127" s="94">
        <v>2078749064.04</v>
      </c>
      <c r="K127" s="45">
        <f t="shared" si="20"/>
        <v>2.9594022745870321</v>
      </c>
      <c r="L127" s="53">
        <f t="shared" si="16"/>
        <v>1276175063.1100001</v>
      </c>
    </row>
    <row r="128" spans="1:12" s="5" customFormat="1" ht="14.85" customHeight="1" x14ac:dyDescent="0.25">
      <c r="A128" s="43" t="s">
        <v>32</v>
      </c>
      <c r="B128" s="44" t="s">
        <v>33</v>
      </c>
      <c r="C128" s="94">
        <v>207020</v>
      </c>
      <c r="D128" s="94">
        <v>23496341.260000002</v>
      </c>
      <c r="E128" s="61">
        <f>F128-22400902.72</f>
        <v>623029.79000000283</v>
      </c>
      <c r="F128" s="45">
        <v>23023932.510000002</v>
      </c>
      <c r="G128" s="45">
        <f t="shared" si="19"/>
        <v>3.005390995884074E-2</v>
      </c>
      <c r="H128" s="45">
        <f t="shared" si="15"/>
        <v>472408.75</v>
      </c>
      <c r="I128" s="45">
        <f>J128-808613.44</f>
        <v>279051.19999999995</v>
      </c>
      <c r="J128" s="45">
        <v>1087664.6399999999</v>
      </c>
      <c r="K128" s="45">
        <f t="shared" si="20"/>
        <v>1.5484491443850132E-3</v>
      </c>
      <c r="L128" s="53">
        <f t="shared" si="16"/>
        <v>22408676.620000001</v>
      </c>
    </row>
    <row r="129" spans="1:12" s="5" customFormat="1" ht="14.85" customHeight="1" x14ac:dyDescent="0.25">
      <c r="A129" s="43" t="s">
        <v>34</v>
      </c>
      <c r="B129" s="44" t="s">
        <v>35</v>
      </c>
      <c r="C129" s="94">
        <v>21155482</v>
      </c>
      <c r="D129" s="94">
        <v>111449071.53</v>
      </c>
      <c r="E129" s="61">
        <f>F129-86028669.09</f>
        <v>0</v>
      </c>
      <c r="F129" s="45">
        <v>86028669.090000004</v>
      </c>
      <c r="G129" s="45">
        <f t="shared" si="19"/>
        <v>0.11229610204889214</v>
      </c>
      <c r="H129" s="45">
        <f t="shared" si="15"/>
        <v>25420402.439999998</v>
      </c>
      <c r="I129" s="45">
        <f>J129-79310593.4</f>
        <v>5460454.8599999994</v>
      </c>
      <c r="J129" s="45">
        <v>84771048.260000005</v>
      </c>
      <c r="K129" s="45">
        <f t="shared" si="20"/>
        <v>0.12068394275170855</v>
      </c>
      <c r="L129" s="53">
        <f t="shared" si="16"/>
        <v>26678023.269999996</v>
      </c>
    </row>
    <row r="130" spans="1:12" s="5" customFormat="1" ht="14.85" customHeight="1" x14ac:dyDescent="0.25">
      <c r="A130" s="43" t="s">
        <v>110</v>
      </c>
      <c r="B130" s="44" t="s">
        <v>111</v>
      </c>
      <c r="C130" s="94">
        <v>115112545</v>
      </c>
      <c r="D130" s="94">
        <v>126190641.73</v>
      </c>
      <c r="E130" s="61">
        <f>F130-53294120.4</f>
        <v>14741970.960000001</v>
      </c>
      <c r="F130" s="94">
        <v>68036091.359999999</v>
      </c>
      <c r="G130" s="45">
        <f t="shared" si="19"/>
        <v>8.8809787936826354E-2</v>
      </c>
      <c r="H130" s="45">
        <f t="shared" si="15"/>
        <v>58154550.370000005</v>
      </c>
      <c r="I130" s="45">
        <f>J130-36993711.7</f>
        <v>19005890.969999999</v>
      </c>
      <c r="J130" s="45">
        <v>55999602.670000002</v>
      </c>
      <c r="K130" s="45">
        <f t="shared" si="20"/>
        <v>7.9723596457325505E-2</v>
      </c>
      <c r="L130" s="53">
        <f t="shared" si="16"/>
        <v>70191039.060000002</v>
      </c>
    </row>
    <row r="131" spans="1:12" s="5" customFormat="1" ht="14.85" customHeight="1" x14ac:dyDescent="0.25">
      <c r="A131" s="43" t="s">
        <v>116</v>
      </c>
      <c r="B131" s="44" t="s">
        <v>117</v>
      </c>
      <c r="C131" s="94">
        <v>1233970</v>
      </c>
      <c r="D131" s="94">
        <v>1233970</v>
      </c>
      <c r="E131" s="61">
        <f>F131-1154331.6</f>
        <v>0</v>
      </c>
      <c r="F131" s="45">
        <v>1154331.6000000001</v>
      </c>
      <c r="G131" s="45">
        <f t="shared" si="19"/>
        <v>1.5067876851175047E-3</v>
      </c>
      <c r="H131" s="45">
        <f t="shared" si="15"/>
        <v>79638.399999999907</v>
      </c>
      <c r="I131" s="45">
        <f>J131-1057902.09</f>
        <v>0</v>
      </c>
      <c r="J131" s="45">
        <v>1057902.0900000001</v>
      </c>
      <c r="K131" s="45">
        <f t="shared" si="20"/>
        <v>1.5060778165075016E-3</v>
      </c>
      <c r="L131" s="53">
        <f t="shared" si="16"/>
        <v>176067.90999999992</v>
      </c>
    </row>
    <row r="132" spans="1:12" s="5" customFormat="1" ht="14.85" customHeight="1" x14ac:dyDescent="0.25">
      <c r="A132" s="43" t="s">
        <v>118</v>
      </c>
      <c r="B132" s="44" t="s">
        <v>119</v>
      </c>
      <c r="C132" s="94">
        <v>241859040</v>
      </c>
      <c r="D132" s="94">
        <v>252960845.24000001</v>
      </c>
      <c r="E132" s="61">
        <f>F132-131653276.85</f>
        <v>46215145.610000014</v>
      </c>
      <c r="F132" s="45">
        <v>177868422.46000001</v>
      </c>
      <c r="G132" s="45">
        <f t="shared" si="19"/>
        <v>0.23217760696666867</v>
      </c>
      <c r="H132" s="45">
        <f t="shared" si="15"/>
        <v>75092422.780000001</v>
      </c>
      <c r="I132" s="45">
        <f>J132-120270115.41</f>
        <v>50233844.450000018</v>
      </c>
      <c r="J132" s="94">
        <v>170503959.86000001</v>
      </c>
      <c r="K132" s="45">
        <f t="shared" si="20"/>
        <v>0.24273723816145543</v>
      </c>
      <c r="L132" s="53">
        <f t="shared" si="16"/>
        <v>82456885.379999995</v>
      </c>
    </row>
    <row r="133" spans="1:12" s="5" customFormat="1" ht="14.85" customHeight="1" x14ac:dyDescent="0.25">
      <c r="A133" s="43" t="s">
        <v>120</v>
      </c>
      <c r="B133" s="44" t="s">
        <v>121</v>
      </c>
      <c r="C133" s="45">
        <v>0</v>
      </c>
      <c r="D133" s="45">
        <v>0</v>
      </c>
      <c r="E133" s="61">
        <f t="shared" ref="E133:E146" si="25">F133-0</f>
        <v>0</v>
      </c>
      <c r="F133" s="45">
        <v>0</v>
      </c>
      <c r="G133" s="45">
        <f t="shared" si="19"/>
        <v>0</v>
      </c>
      <c r="H133" s="45">
        <f t="shared" si="15"/>
        <v>0</v>
      </c>
      <c r="I133" s="45">
        <f t="shared" ref="I133:I146" si="26">J133-0</f>
        <v>0</v>
      </c>
      <c r="J133" s="45">
        <v>0</v>
      </c>
      <c r="K133" s="45">
        <f t="shared" si="20"/>
        <v>0</v>
      </c>
      <c r="L133" s="53">
        <f t="shared" si="16"/>
        <v>0</v>
      </c>
    </row>
    <row r="134" spans="1:12" s="5" customFormat="1" ht="14.85" customHeight="1" x14ac:dyDescent="0.25">
      <c r="A134" s="43" t="s">
        <v>162</v>
      </c>
      <c r="B134" s="44" t="s">
        <v>163</v>
      </c>
      <c r="C134" s="94">
        <v>983700935</v>
      </c>
      <c r="D134" s="94">
        <v>999024963.48000002</v>
      </c>
      <c r="E134" s="61">
        <f>F134-454725349.05</f>
        <v>157292024.16000003</v>
      </c>
      <c r="F134" s="94">
        <v>612017373.21000004</v>
      </c>
      <c r="G134" s="45">
        <f t="shared" si="19"/>
        <v>0.7988867679190208</v>
      </c>
      <c r="H134" s="45">
        <f t="shared" si="15"/>
        <v>387007590.26999998</v>
      </c>
      <c r="I134" s="45">
        <f>J134-454725349.05</f>
        <v>157292024.16000003</v>
      </c>
      <c r="J134" s="94">
        <v>612017373.21000004</v>
      </c>
      <c r="K134" s="45">
        <f t="shared" si="20"/>
        <v>0.87129593354785173</v>
      </c>
      <c r="L134" s="53">
        <f t="shared" si="16"/>
        <v>387007590.26999998</v>
      </c>
    </row>
    <row r="135" spans="1:12" s="5" customFormat="1" ht="14.85" customHeight="1" x14ac:dyDescent="0.25">
      <c r="A135" s="43" t="s">
        <v>164</v>
      </c>
      <c r="B135" s="44" t="s">
        <v>165</v>
      </c>
      <c r="C135" s="94">
        <v>2588912131</v>
      </c>
      <c r="D135" s="94">
        <v>2619937612.5599999</v>
      </c>
      <c r="E135" s="61">
        <f>F135-1425795264.62</f>
        <v>457416229.38000011</v>
      </c>
      <c r="F135" s="94">
        <v>1883211494</v>
      </c>
      <c r="G135" s="45">
        <f t="shared" si="19"/>
        <v>2.4582190140432241</v>
      </c>
      <c r="H135" s="45">
        <f t="shared" si="15"/>
        <v>736726118.55999994</v>
      </c>
      <c r="I135" s="45">
        <f>J135-1425759522.83</f>
        <v>457366431.57000017</v>
      </c>
      <c r="J135" s="94">
        <v>1883125954.4000001</v>
      </c>
      <c r="K135" s="45">
        <f t="shared" si="20"/>
        <v>2.6809042655463102</v>
      </c>
      <c r="L135" s="53">
        <f t="shared" si="16"/>
        <v>736811658.15999985</v>
      </c>
    </row>
    <row r="136" spans="1:12" s="5" customFormat="1" ht="14.85" customHeight="1" x14ac:dyDescent="0.25">
      <c r="A136" s="43" t="s">
        <v>166</v>
      </c>
      <c r="B136" s="44" t="s">
        <v>167</v>
      </c>
      <c r="C136" s="94">
        <v>17669863</v>
      </c>
      <c r="D136" s="94">
        <v>189656971.65000001</v>
      </c>
      <c r="E136" s="61">
        <f>F136-31600011.6</f>
        <v>16695485</v>
      </c>
      <c r="F136" s="94">
        <v>48295496.600000001</v>
      </c>
      <c r="G136" s="45">
        <f t="shared" si="19"/>
        <v>6.3041728670959307E-2</v>
      </c>
      <c r="H136" s="45">
        <f t="shared" si="15"/>
        <v>141361475.05000001</v>
      </c>
      <c r="I136" s="45">
        <f>J136-27081631.25</f>
        <v>17985225.200000003</v>
      </c>
      <c r="J136" s="94">
        <v>45066856.450000003</v>
      </c>
      <c r="K136" s="45">
        <f t="shared" si="20"/>
        <v>6.4159238743041913E-2</v>
      </c>
      <c r="L136" s="53">
        <f t="shared" si="16"/>
        <v>144590115.19999999</v>
      </c>
    </row>
    <row r="137" spans="1:12" s="5" customFormat="1" ht="14.85" customHeight="1" x14ac:dyDescent="0.25">
      <c r="A137" s="43" t="s">
        <v>168</v>
      </c>
      <c r="B137" s="44" t="s">
        <v>169</v>
      </c>
      <c r="C137" s="94">
        <v>532662502</v>
      </c>
      <c r="D137" s="94">
        <v>558878893.54999995</v>
      </c>
      <c r="E137" s="61">
        <f>F137-242000711.29</f>
        <v>77768236.789999992</v>
      </c>
      <c r="F137" s="94">
        <v>319768948.07999998</v>
      </c>
      <c r="G137" s="45">
        <f t="shared" si="19"/>
        <v>0.4174051139637196</v>
      </c>
      <c r="H137" s="45">
        <f t="shared" si="15"/>
        <v>239109945.46999997</v>
      </c>
      <c r="I137" s="45">
        <f>J137-224295912.61</f>
        <v>74538910.620000005</v>
      </c>
      <c r="J137" s="94">
        <v>298834823.23000002</v>
      </c>
      <c r="K137" s="45">
        <f t="shared" si="20"/>
        <v>0.42543492665435945</v>
      </c>
      <c r="L137" s="53">
        <f t="shared" si="16"/>
        <v>260044070.31999993</v>
      </c>
    </row>
    <row r="138" spans="1:12" s="5" customFormat="1" ht="14.85" customHeight="1" x14ac:dyDescent="0.25">
      <c r="A138" s="43" t="s">
        <v>124</v>
      </c>
      <c r="B138" s="44" t="s">
        <v>125</v>
      </c>
      <c r="C138" s="94">
        <v>17347034</v>
      </c>
      <c r="D138" s="94">
        <v>17347034</v>
      </c>
      <c r="E138" s="61">
        <f>F138-5088819.97</f>
        <v>2122373.0499999998</v>
      </c>
      <c r="F138" s="94">
        <v>7211193.0199999996</v>
      </c>
      <c r="G138" s="45">
        <f t="shared" si="19"/>
        <v>9.4130116835936112E-3</v>
      </c>
      <c r="H138" s="45">
        <f t="shared" ref="H138:H151" si="27">D138-F138</f>
        <v>10135840.98</v>
      </c>
      <c r="I138" s="45">
        <f>J138-4580271.66</f>
        <v>2399994.34</v>
      </c>
      <c r="J138" s="94">
        <v>6980266</v>
      </c>
      <c r="K138" s="45">
        <f t="shared" si="20"/>
        <v>9.9374260390406727E-3</v>
      </c>
      <c r="L138" s="53">
        <f t="shared" ref="L138:L151" si="28">D138-J138</f>
        <v>10366768</v>
      </c>
    </row>
    <row r="139" spans="1:12" s="5" customFormat="1" ht="14.85" customHeight="1" x14ac:dyDescent="0.25">
      <c r="A139" s="43" t="s">
        <v>170</v>
      </c>
      <c r="B139" s="44" t="s">
        <v>171</v>
      </c>
      <c r="C139" s="94">
        <v>31919958</v>
      </c>
      <c r="D139" s="94">
        <v>55105086.289999999</v>
      </c>
      <c r="E139" s="61">
        <f>F139-21194030.51</f>
        <v>20727102.099999998</v>
      </c>
      <c r="F139" s="94">
        <v>41921132.609999999</v>
      </c>
      <c r="G139" s="45">
        <f t="shared" si="19"/>
        <v>5.4721057937706839E-2</v>
      </c>
      <c r="H139" s="45">
        <f t="shared" si="27"/>
        <v>13183953.68</v>
      </c>
      <c r="I139" s="45">
        <f>J139-18245034.48</f>
        <v>10001650.759999998</v>
      </c>
      <c r="J139" s="45">
        <v>28246685.239999998</v>
      </c>
      <c r="K139" s="45">
        <f t="shared" si="20"/>
        <v>4.0213273451264152E-2</v>
      </c>
      <c r="L139" s="53">
        <f t="shared" si="28"/>
        <v>26858401.050000001</v>
      </c>
    </row>
    <row r="140" spans="1:12" s="5" customFormat="1" ht="14.85" customHeight="1" x14ac:dyDescent="0.25">
      <c r="A140" s="43" t="s">
        <v>172</v>
      </c>
      <c r="B140" s="44" t="s">
        <v>173</v>
      </c>
      <c r="C140" s="94">
        <v>1449663257</v>
      </c>
      <c r="D140" s="94">
        <v>2049393091.3900001</v>
      </c>
      <c r="E140" s="61">
        <f>F140-1358684249.08</f>
        <v>249735245.00999999</v>
      </c>
      <c r="F140" s="94">
        <v>1608419494.0899999</v>
      </c>
      <c r="G140" s="45">
        <f t="shared" si="19"/>
        <v>2.0995238163780137</v>
      </c>
      <c r="H140" s="45">
        <f t="shared" si="27"/>
        <v>440973597.30000019</v>
      </c>
      <c r="I140" s="45">
        <f>J140-889575984.79</f>
        <v>454561624.36000013</v>
      </c>
      <c r="J140" s="94">
        <v>1344137609.1500001</v>
      </c>
      <c r="K140" s="45">
        <f t="shared" si="20"/>
        <v>1.9135757974296519</v>
      </c>
      <c r="L140" s="53">
        <f t="shared" si="28"/>
        <v>705255482.24000001</v>
      </c>
    </row>
    <row r="141" spans="1:12" s="5" customFormat="1" ht="14.85" customHeight="1" x14ac:dyDescent="0.25">
      <c r="A141" s="43" t="s">
        <v>38</v>
      </c>
      <c r="B141" s="44" t="s">
        <v>39</v>
      </c>
      <c r="C141" s="94">
        <v>40215967</v>
      </c>
      <c r="D141" s="94">
        <v>215967</v>
      </c>
      <c r="E141" s="61">
        <f t="shared" si="25"/>
        <v>0</v>
      </c>
      <c r="F141" s="45">
        <v>0</v>
      </c>
      <c r="G141" s="45">
        <f t="shared" ref="G141:G151" si="29">(F141/$F$307)*100</f>
        <v>0</v>
      </c>
      <c r="H141" s="45">
        <f t="shared" si="27"/>
        <v>215967</v>
      </c>
      <c r="I141" s="45">
        <f t="shared" si="26"/>
        <v>0</v>
      </c>
      <c r="J141" s="45">
        <v>0</v>
      </c>
      <c r="K141" s="45">
        <f t="shared" ref="K141:K151" si="30">(J141/$J$307)*100</f>
        <v>0</v>
      </c>
      <c r="L141" s="53">
        <f t="shared" si="28"/>
        <v>215967</v>
      </c>
    </row>
    <row r="142" spans="1:12" s="5" customFormat="1" ht="14.85" customHeight="1" x14ac:dyDescent="0.25">
      <c r="A142" s="43" t="s">
        <v>40</v>
      </c>
      <c r="B142" s="44" t="s">
        <v>41</v>
      </c>
      <c r="C142" s="94">
        <v>117317</v>
      </c>
      <c r="D142" s="94">
        <v>117317</v>
      </c>
      <c r="E142" s="61">
        <f t="shared" si="25"/>
        <v>0</v>
      </c>
      <c r="F142" s="50">
        <v>0</v>
      </c>
      <c r="G142" s="45">
        <f t="shared" si="29"/>
        <v>0</v>
      </c>
      <c r="H142" s="45">
        <f t="shared" si="27"/>
        <v>117317</v>
      </c>
      <c r="I142" s="45">
        <f t="shared" si="26"/>
        <v>0</v>
      </c>
      <c r="J142" s="45">
        <v>0</v>
      </c>
      <c r="K142" s="45">
        <f t="shared" si="30"/>
        <v>0</v>
      </c>
      <c r="L142" s="53">
        <f t="shared" si="28"/>
        <v>117317</v>
      </c>
    </row>
    <row r="143" spans="1:12" s="5" customFormat="1" ht="14.85" customHeight="1" x14ac:dyDescent="0.25">
      <c r="A143" s="43" t="s">
        <v>85</v>
      </c>
      <c r="B143" s="44" t="s">
        <v>86</v>
      </c>
      <c r="C143" s="94">
        <v>129387</v>
      </c>
      <c r="D143" s="94">
        <v>129387</v>
      </c>
      <c r="E143" s="61">
        <f t="shared" si="25"/>
        <v>0</v>
      </c>
      <c r="F143" s="50">
        <v>0</v>
      </c>
      <c r="G143" s="45">
        <f t="shared" si="29"/>
        <v>0</v>
      </c>
      <c r="H143" s="45">
        <f t="shared" si="27"/>
        <v>129387</v>
      </c>
      <c r="I143" s="45">
        <f t="shared" si="26"/>
        <v>0</v>
      </c>
      <c r="J143" s="45">
        <v>0</v>
      </c>
      <c r="K143" s="45">
        <f t="shared" si="30"/>
        <v>0</v>
      </c>
      <c r="L143" s="53">
        <f t="shared" si="28"/>
        <v>129387</v>
      </c>
    </row>
    <row r="144" spans="1:12" s="5" customFormat="1" ht="14.85" customHeight="1" x14ac:dyDescent="0.25">
      <c r="A144" s="43" t="s">
        <v>87</v>
      </c>
      <c r="B144" s="44" t="s">
        <v>88</v>
      </c>
      <c r="C144" s="94">
        <v>25954921</v>
      </c>
      <c r="D144" s="94">
        <v>37572160.590000004</v>
      </c>
      <c r="E144" s="61">
        <f>F144-1170588.62</f>
        <v>750396.76999999979</v>
      </c>
      <c r="F144" s="94">
        <v>1920985.39</v>
      </c>
      <c r="G144" s="45">
        <f t="shared" si="29"/>
        <v>2.5075265451822049E-3</v>
      </c>
      <c r="H144" s="45">
        <f t="shared" si="27"/>
        <v>35651175.200000003</v>
      </c>
      <c r="I144" s="45">
        <f>J144-1165100.74</f>
        <v>750396.76</v>
      </c>
      <c r="J144" s="94">
        <v>1915497.5</v>
      </c>
      <c r="K144" s="45">
        <f t="shared" si="30"/>
        <v>2.7269898789268649E-3</v>
      </c>
      <c r="L144" s="53">
        <f t="shared" si="28"/>
        <v>35656663.090000004</v>
      </c>
    </row>
    <row r="145" spans="1:12" s="5" customFormat="1" ht="14.85" customHeight="1" x14ac:dyDescent="0.25">
      <c r="A145" s="43" t="s">
        <v>89</v>
      </c>
      <c r="B145" s="44" t="s">
        <v>90</v>
      </c>
      <c r="C145" s="94">
        <v>213644</v>
      </c>
      <c r="D145" s="94">
        <v>1013644</v>
      </c>
      <c r="E145" s="61">
        <f>F145-673627.52</f>
        <v>315851.19999999995</v>
      </c>
      <c r="F145" s="94">
        <v>989478.72</v>
      </c>
      <c r="G145" s="45">
        <f t="shared" si="29"/>
        <v>1.2915997014911762E-3</v>
      </c>
      <c r="H145" s="45">
        <f t="shared" si="27"/>
        <v>24165.280000000028</v>
      </c>
      <c r="I145" s="45">
        <f>J145-673627.52</f>
        <v>315851.19999999995</v>
      </c>
      <c r="J145" s="94">
        <v>989478.72</v>
      </c>
      <c r="K145" s="45">
        <f t="shared" si="30"/>
        <v>1.4086671764664319E-3</v>
      </c>
      <c r="L145" s="53">
        <f t="shared" si="28"/>
        <v>24165.280000000028</v>
      </c>
    </row>
    <row r="146" spans="1:12" s="5" customFormat="1" ht="14.85" customHeight="1" x14ac:dyDescent="0.25">
      <c r="A146" s="43" t="s">
        <v>132</v>
      </c>
      <c r="B146" s="44" t="s">
        <v>133</v>
      </c>
      <c r="C146" s="94">
        <v>126282</v>
      </c>
      <c r="D146" s="94">
        <v>126282</v>
      </c>
      <c r="E146" s="61">
        <f t="shared" si="25"/>
        <v>5924.74</v>
      </c>
      <c r="F146" s="45">
        <v>5924.74</v>
      </c>
      <c r="G146" s="45">
        <f t="shared" si="29"/>
        <v>7.7337614854545131E-6</v>
      </c>
      <c r="H146" s="45">
        <f t="shared" si="27"/>
        <v>120357.26</v>
      </c>
      <c r="I146" s="45">
        <f t="shared" si="26"/>
        <v>0</v>
      </c>
      <c r="J146" s="45">
        <v>0</v>
      </c>
      <c r="K146" s="45">
        <f t="shared" si="30"/>
        <v>0</v>
      </c>
      <c r="L146" s="53">
        <f t="shared" si="28"/>
        <v>126282</v>
      </c>
    </row>
    <row r="147" spans="1:12" s="5" customFormat="1" ht="14.85" customHeight="1" x14ac:dyDescent="0.25">
      <c r="A147" s="40" t="s">
        <v>174</v>
      </c>
      <c r="B147" s="70" t="s">
        <v>175</v>
      </c>
      <c r="C147" s="42">
        <f>SUM(C148:C151)</f>
        <v>586402090</v>
      </c>
      <c r="D147" s="42">
        <f>SUM(D148:D151)</f>
        <v>740383146.33000004</v>
      </c>
      <c r="E147" s="98">
        <f>SUM(E148:E151)</f>
        <v>85689836.170000017</v>
      </c>
      <c r="F147" s="42">
        <f>SUM(F148:F151)</f>
        <v>313501541.86000001</v>
      </c>
      <c r="G147" s="42">
        <f t="shared" si="29"/>
        <v>0.40922405878865131</v>
      </c>
      <c r="H147" s="42">
        <f t="shared" si="27"/>
        <v>426881604.47000003</v>
      </c>
      <c r="I147" s="42">
        <f>SUM(I148:I151)</f>
        <v>67334208.879999995</v>
      </c>
      <c r="J147" s="42">
        <f>SUM(J148:J151)</f>
        <v>258125044.63999999</v>
      </c>
      <c r="K147" s="42">
        <f t="shared" si="30"/>
        <v>0.36747862329803366</v>
      </c>
      <c r="L147" s="57">
        <f t="shared" si="28"/>
        <v>482258101.69000006</v>
      </c>
    </row>
    <row r="148" spans="1:12" s="5" customFormat="1" ht="14.85" customHeight="1" x14ac:dyDescent="0.25">
      <c r="A148" s="43" t="s">
        <v>30</v>
      </c>
      <c r="B148" s="44" t="s">
        <v>31</v>
      </c>
      <c r="C148" s="94">
        <v>185446773</v>
      </c>
      <c r="D148" s="94">
        <v>189633902.03999999</v>
      </c>
      <c r="E148" s="61">
        <f>F148-70833018.74</f>
        <v>24553189.570000008</v>
      </c>
      <c r="F148" s="94">
        <v>95386208.310000002</v>
      </c>
      <c r="G148" s="45">
        <f t="shared" si="29"/>
        <v>0.12451081128816105</v>
      </c>
      <c r="H148" s="45">
        <f t="shared" si="27"/>
        <v>94247693.729999989</v>
      </c>
      <c r="I148" s="45">
        <f>J148-66861034.37</f>
        <v>22655483.259999998</v>
      </c>
      <c r="J148" s="94">
        <v>89516517.629999995</v>
      </c>
      <c r="K148" s="45">
        <f t="shared" si="30"/>
        <v>0.12743981006176636</v>
      </c>
      <c r="L148" s="53">
        <f t="shared" si="28"/>
        <v>100117384.41</v>
      </c>
    </row>
    <row r="149" spans="1:12" s="5" customFormat="1" ht="14.85" customHeight="1" x14ac:dyDescent="0.25">
      <c r="A149" s="43" t="s">
        <v>176</v>
      </c>
      <c r="B149" s="44" t="s">
        <v>177</v>
      </c>
      <c r="C149" s="94">
        <v>2562435</v>
      </c>
      <c r="D149" s="94">
        <v>5435920.6900000004</v>
      </c>
      <c r="E149" s="61">
        <f>F149-3324655.35</f>
        <v>66548.14000000013</v>
      </c>
      <c r="F149" s="94">
        <v>3391203.49</v>
      </c>
      <c r="G149" s="45">
        <f t="shared" si="29"/>
        <v>4.4266514547981733E-3</v>
      </c>
      <c r="H149" s="45">
        <f t="shared" si="27"/>
        <v>2044717.2000000002</v>
      </c>
      <c r="I149" s="45">
        <f>J149-25004.32</f>
        <v>66548.12</v>
      </c>
      <c r="J149" s="94">
        <v>91552.44</v>
      </c>
      <c r="K149" s="45">
        <f t="shared" si="30"/>
        <v>1.3033824229530922E-4</v>
      </c>
      <c r="L149" s="53">
        <f t="shared" si="28"/>
        <v>5344368.25</v>
      </c>
    </row>
    <row r="150" spans="1:12" s="5" customFormat="1" ht="14.85" customHeight="1" x14ac:dyDescent="0.25">
      <c r="A150" s="43" t="s">
        <v>38</v>
      </c>
      <c r="B150" s="44" t="s">
        <v>39</v>
      </c>
      <c r="C150" s="94">
        <v>398392882</v>
      </c>
      <c r="D150" s="94">
        <v>545313323.60000002</v>
      </c>
      <c r="E150" s="61">
        <f>F150-153654031.6</f>
        <v>61070098.460000008</v>
      </c>
      <c r="F150" s="94">
        <v>214724130.06</v>
      </c>
      <c r="G150" s="45">
        <f t="shared" si="29"/>
        <v>0.28028659604569212</v>
      </c>
      <c r="H150" s="45">
        <f t="shared" si="27"/>
        <v>330589193.54000002</v>
      </c>
      <c r="I150" s="45">
        <f>J150-123904797.07</f>
        <v>44612177.5</v>
      </c>
      <c r="J150" s="94">
        <v>168516974.56999999</v>
      </c>
      <c r="K150" s="45">
        <f t="shared" si="30"/>
        <v>0.23990847499397203</v>
      </c>
      <c r="L150" s="53">
        <f t="shared" si="28"/>
        <v>376796349.03000003</v>
      </c>
    </row>
    <row r="151" spans="1:12" s="5" customFormat="1" ht="14.85" customHeight="1" x14ac:dyDescent="0.25">
      <c r="A151" s="46" t="s">
        <v>95</v>
      </c>
      <c r="B151" s="47" t="s">
        <v>96</v>
      </c>
      <c r="C151" s="56">
        <v>0</v>
      </c>
      <c r="D151" s="56">
        <v>0</v>
      </c>
      <c r="E151" s="99">
        <f>F151-0</f>
        <v>0</v>
      </c>
      <c r="F151" s="56">
        <v>0</v>
      </c>
      <c r="G151" s="56">
        <f t="shared" si="29"/>
        <v>0</v>
      </c>
      <c r="H151" s="56">
        <f t="shared" si="27"/>
        <v>0</v>
      </c>
      <c r="I151" s="56">
        <f>J151-0</f>
        <v>0</v>
      </c>
      <c r="J151" s="56">
        <v>0</v>
      </c>
      <c r="K151" s="56">
        <f t="shared" si="30"/>
        <v>0</v>
      </c>
      <c r="L151" s="76">
        <f t="shared" si="28"/>
        <v>0</v>
      </c>
    </row>
    <row r="152" spans="1:12" s="5" customFormat="1" ht="15" customHeight="1" x14ac:dyDescent="0.25">
      <c r="A152" s="43"/>
      <c r="B152" s="48"/>
      <c r="C152" s="49"/>
      <c r="D152" s="49"/>
      <c r="E152" s="100"/>
      <c r="F152" s="49"/>
      <c r="G152" s="50"/>
      <c r="H152" s="49"/>
      <c r="I152" s="49"/>
      <c r="J152" s="49"/>
      <c r="K152" s="50"/>
      <c r="L152" s="51" t="s">
        <v>178</v>
      </c>
    </row>
    <row r="153" spans="1:12" s="5" customFormat="1" ht="13.5" customHeight="1" x14ac:dyDescent="0.25">
      <c r="A153" s="26"/>
      <c r="B153" s="22"/>
      <c r="C153" s="27"/>
      <c r="D153" s="27"/>
      <c r="E153" s="101"/>
      <c r="F153" s="27"/>
      <c r="G153" s="28"/>
      <c r="H153" s="27"/>
      <c r="I153" s="27"/>
      <c r="J153" s="27"/>
      <c r="K153" s="28"/>
      <c r="L153" s="27"/>
    </row>
    <row r="154" spans="1:12" s="5" customFormat="1" ht="15.75" x14ac:dyDescent="0.25">
      <c r="A154" s="26"/>
      <c r="B154" s="22"/>
      <c r="C154" s="27"/>
      <c r="D154" s="27"/>
      <c r="E154" s="101"/>
      <c r="F154" s="27"/>
      <c r="G154" s="28"/>
      <c r="H154" s="27"/>
      <c r="I154" s="27"/>
      <c r="J154" s="27"/>
      <c r="K154" s="28"/>
      <c r="L154" s="27"/>
    </row>
    <row r="155" spans="1:12" s="5" customFormat="1" ht="15.75" x14ac:dyDescent="0.25">
      <c r="A155" s="26"/>
      <c r="B155" s="22"/>
      <c r="C155" s="27"/>
      <c r="D155" s="27"/>
      <c r="E155" s="101"/>
      <c r="F155" s="27"/>
      <c r="G155" s="28"/>
      <c r="H155" s="27"/>
      <c r="I155" s="27"/>
      <c r="J155" s="27"/>
      <c r="K155" s="28"/>
      <c r="L155" s="27"/>
    </row>
    <row r="156" spans="1:12" s="5" customFormat="1" ht="17.25" customHeight="1" x14ac:dyDescent="0.25">
      <c r="A156" s="26"/>
      <c r="B156" s="22"/>
      <c r="C156" s="27"/>
      <c r="D156" s="27"/>
      <c r="E156" s="101"/>
      <c r="F156" s="27"/>
      <c r="G156" s="28"/>
      <c r="H156" s="27"/>
      <c r="I156" s="27"/>
      <c r="J156" s="27"/>
      <c r="K156" s="28"/>
      <c r="L156" s="21" t="s">
        <v>179</v>
      </c>
    </row>
    <row r="157" spans="1:12" s="5" customFormat="1" ht="15.75" x14ac:dyDescent="0.25">
      <c r="A157" s="113" t="s">
        <v>0</v>
      </c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</row>
    <row r="158" spans="1:12" s="5" customFormat="1" ht="15.75" x14ac:dyDescent="0.25">
      <c r="A158" s="113" t="s">
        <v>1</v>
      </c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</row>
    <row r="159" spans="1:12" s="5" customFormat="1" ht="15.75" x14ac:dyDescent="0.25">
      <c r="A159" s="120" t="s">
        <v>2</v>
      </c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</row>
    <row r="160" spans="1:12" s="5" customFormat="1" ht="15.75" x14ac:dyDescent="0.25">
      <c r="A160" s="113" t="s">
        <v>3</v>
      </c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</row>
    <row r="161" spans="1:12" s="5" customFormat="1" ht="15.75" x14ac:dyDescent="0.25">
      <c r="A161" s="113" t="str">
        <f>A7</f>
        <v>JANEIRO A AGOSTO  2025/BIMESTRE JULHO - AGOSTO</v>
      </c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</row>
    <row r="162" spans="1:12" s="5" customFormat="1" ht="15.75" x14ac:dyDescent="0.25">
      <c r="A162" s="26"/>
      <c r="B162" s="26"/>
      <c r="C162" s="26"/>
      <c r="D162" s="26"/>
      <c r="E162" s="67"/>
      <c r="F162" s="26"/>
      <c r="G162" s="26"/>
      <c r="H162" s="26"/>
      <c r="I162" s="26"/>
      <c r="J162" s="26"/>
      <c r="K162" s="26"/>
      <c r="L162" s="21" t="str">
        <f>L8</f>
        <v>Emissão: 18/09/2025</v>
      </c>
    </row>
    <row r="163" spans="1:12" s="5" customFormat="1" ht="15.75" x14ac:dyDescent="0.25">
      <c r="A163" s="23" t="s">
        <v>4</v>
      </c>
      <c r="B163" s="22"/>
      <c r="C163" s="22"/>
      <c r="D163" s="22"/>
      <c r="E163" s="3"/>
      <c r="F163" s="24"/>
      <c r="G163" s="24"/>
      <c r="H163" s="24"/>
      <c r="I163" s="22"/>
      <c r="J163" s="22"/>
      <c r="K163" s="21"/>
      <c r="L163" s="25">
        <v>1</v>
      </c>
    </row>
    <row r="164" spans="1:12" s="5" customFormat="1" ht="13.5" customHeight="1" x14ac:dyDescent="0.25">
      <c r="A164" s="8"/>
      <c r="B164" s="9"/>
      <c r="C164" s="10" t="s">
        <v>5</v>
      </c>
      <c r="D164" s="10" t="s">
        <v>5</v>
      </c>
      <c r="E164" s="117" t="s">
        <v>6</v>
      </c>
      <c r="F164" s="118"/>
      <c r="G164" s="119"/>
      <c r="H164" s="10" t="s">
        <v>7</v>
      </c>
      <c r="I164" s="117" t="s">
        <v>8</v>
      </c>
      <c r="J164" s="118"/>
      <c r="K164" s="119"/>
      <c r="L164" s="11" t="s">
        <v>7</v>
      </c>
    </row>
    <row r="165" spans="1:12" s="5" customFormat="1" ht="14.25" customHeight="1" x14ac:dyDescent="0.25">
      <c r="A165" s="12" t="s">
        <v>9</v>
      </c>
      <c r="B165" s="13" t="s">
        <v>10</v>
      </c>
      <c r="C165" s="13" t="s">
        <v>11</v>
      </c>
      <c r="D165" s="13" t="s">
        <v>12</v>
      </c>
      <c r="E165" s="13" t="s">
        <v>13</v>
      </c>
      <c r="F165" s="13" t="s">
        <v>14</v>
      </c>
      <c r="G165" s="13" t="s">
        <v>15</v>
      </c>
      <c r="H165" s="14"/>
      <c r="I165" s="13" t="s">
        <v>13</v>
      </c>
      <c r="J165" s="13" t="s">
        <v>14</v>
      </c>
      <c r="K165" s="13" t="s">
        <v>15</v>
      </c>
      <c r="L165" s="15"/>
    </row>
    <row r="166" spans="1:12" s="5" customFormat="1" ht="13.5" customHeight="1" x14ac:dyDescent="0.25">
      <c r="A166" s="16"/>
      <c r="B166" s="17"/>
      <c r="C166" s="17"/>
      <c r="D166" s="18" t="s">
        <v>16</v>
      </c>
      <c r="E166" s="18"/>
      <c r="F166" s="18" t="s">
        <v>17</v>
      </c>
      <c r="G166" s="18" t="s">
        <v>18</v>
      </c>
      <c r="H166" s="19" t="s">
        <v>19</v>
      </c>
      <c r="I166" s="18"/>
      <c r="J166" s="18" t="s">
        <v>20</v>
      </c>
      <c r="K166" s="18" t="s">
        <v>21</v>
      </c>
      <c r="L166" s="20" t="s">
        <v>22</v>
      </c>
    </row>
    <row r="167" spans="1:12" s="5" customFormat="1" ht="14.85" customHeight="1" x14ac:dyDescent="0.25">
      <c r="A167" s="40" t="s">
        <v>180</v>
      </c>
      <c r="B167" s="70" t="s">
        <v>181</v>
      </c>
      <c r="C167" s="42">
        <f>SUM(C168:C176)</f>
        <v>446835473</v>
      </c>
      <c r="D167" s="42">
        <f>SUM(D168:D176)</f>
        <v>464158512.36000001</v>
      </c>
      <c r="E167" s="98">
        <f>SUM(E168:E176)</f>
        <v>71905181.710000008</v>
      </c>
      <c r="F167" s="42">
        <f>SUM(F168:F176)</f>
        <v>247418843.41999999</v>
      </c>
      <c r="G167" s="42">
        <f t="shared" ref="G167:G198" si="31">(F167/$F$307)*100</f>
        <v>0.32296410003093751</v>
      </c>
      <c r="H167" s="42">
        <f t="shared" ref="H167:H236" si="32">D167-F167</f>
        <v>216739668.94000003</v>
      </c>
      <c r="I167" s="42">
        <f>SUM(I168:I176)</f>
        <v>50912894.719999984</v>
      </c>
      <c r="J167" s="42">
        <f>SUM(J168:J176)</f>
        <v>222373968.20999998</v>
      </c>
      <c r="K167" s="42">
        <f t="shared" ref="K167:K198" si="33">(J167/$J$307)*100</f>
        <v>0.3165817552074458</v>
      </c>
      <c r="L167" s="57">
        <f t="shared" ref="L167:L236" si="34">D167-J167</f>
        <v>241784544.15000004</v>
      </c>
    </row>
    <row r="168" spans="1:12" s="5" customFormat="1" ht="14.85" customHeight="1" x14ac:dyDescent="0.25">
      <c r="A168" s="43" t="s">
        <v>48</v>
      </c>
      <c r="B168" s="44" t="s">
        <v>49</v>
      </c>
      <c r="C168" s="94">
        <v>60000</v>
      </c>
      <c r="D168" s="94">
        <v>7000</v>
      </c>
      <c r="E168" s="61">
        <f t="shared" ref="E168:E175" si="35">F168-0</f>
        <v>0</v>
      </c>
      <c r="F168" s="42">
        <v>0</v>
      </c>
      <c r="G168" s="45">
        <f t="shared" si="31"/>
        <v>0</v>
      </c>
      <c r="H168" s="45">
        <f t="shared" si="32"/>
        <v>7000</v>
      </c>
      <c r="I168" s="45">
        <v>0</v>
      </c>
      <c r="J168" s="45">
        <v>0</v>
      </c>
      <c r="K168" s="45">
        <f t="shared" si="33"/>
        <v>0</v>
      </c>
      <c r="L168" s="53">
        <f t="shared" si="34"/>
        <v>7000</v>
      </c>
    </row>
    <row r="169" spans="1:12" s="5" customFormat="1" ht="14.85" customHeight="1" x14ac:dyDescent="0.25">
      <c r="A169" s="43" t="s">
        <v>30</v>
      </c>
      <c r="B169" s="44" t="s">
        <v>31</v>
      </c>
      <c r="C169" s="94">
        <v>57874007</v>
      </c>
      <c r="D169" s="94">
        <v>60417910.380000003</v>
      </c>
      <c r="E169" s="61">
        <f>F169-16462957.45</f>
        <v>5114510.6500000022</v>
      </c>
      <c r="F169" s="94">
        <v>21577468.100000001</v>
      </c>
      <c r="G169" s="45">
        <f t="shared" si="31"/>
        <v>2.8165791536067977E-2</v>
      </c>
      <c r="H169" s="45">
        <f t="shared" si="32"/>
        <v>38840442.280000001</v>
      </c>
      <c r="I169" s="45">
        <f>J169-15777266.71</f>
        <v>5485681.4499999993</v>
      </c>
      <c r="J169" s="94">
        <v>21262948.16</v>
      </c>
      <c r="K169" s="45">
        <f t="shared" si="33"/>
        <v>3.0270905823926476E-2</v>
      </c>
      <c r="L169" s="53">
        <f t="shared" si="34"/>
        <v>39154962.219999999</v>
      </c>
    </row>
    <row r="170" spans="1:12" s="5" customFormat="1" ht="14.85" customHeight="1" x14ac:dyDescent="0.25">
      <c r="A170" s="43" t="s">
        <v>65</v>
      </c>
      <c r="B170" s="44" t="s">
        <v>66</v>
      </c>
      <c r="C170" s="94">
        <v>248370856</v>
      </c>
      <c r="D170" s="94">
        <v>248370856</v>
      </c>
      <c r="E170" s="61">
        <f>F170-116127281.85</f>
        <v>43728715.599999994</v>
      </c>
      <c r="F170" s="94">
        <v>159855997.44999999</v>
      </c>
      <c r="G170" s="45">
        <f t="shared" si="31"/>
        <v>0.20866538553552136</v>
      </c>
      <c r="H170" s="45">
        <f t="shared" si="32"/>
        <v>88514858.550000012</v>
      </c>
      <c r="I170" s="45">
        <f>J170-115707069.54</f>
        <v>27109168.61999999</v>
      </c>
      <c r="J170" s="94">
        <v>142816238.16</v>
      </c>
      <c r="K170" s="45">
        <f t="shared" si="33"/>
        <v>0.20331973077946003</v>
      </c>
      <c r="L170" s="53">
        <f t="shared" si="34"/>
        <v>105554617.84</v>
      </c>
    </row>
    <row r="171" spans="1:12" s="5" customFormat="1" ht="14.85" customHeight="1" x14ac:dyDescent="0.25">
      <c r="A171" s="43" t="s">
        <v>136</v>
      </c>
      <c r="B171" s="44" t="s">
        <v>137</v>
      </c>
      <c r="C171" s="45">
        <v>0</v>
      </c>
      <c r="D171" s="45">
        <v>0</v>
      </c>
      <c r="E171" s="61">
        <f t="shared" si="35"/>
        <v>0</v>
      </c>
      <c r="F171" s="45">
        <v>0</v>
      </c>
      <c r="G171" s="45">
        <f t="shared" si="31"/>
        <v>0</v>
      </c>
      <c r="H171" s="45">
        <f t="shared" si="32"/>
        <v>0</v>
      </c>
      <c r="I171" s="45">
        <f t="shared" ref="I171:I175" si="36">J171-0</f>
        <v>0</v>
      </c>
      <c r="J171" s="45">
        <v>0</v>
      </c>
      <c r="K171" s="45">
        <f t="shared" si="33"/>
        <v>0</v>
      </c>
      <c r="L171" s="53">
        <f t="shared" si="34"/>
        <v>0</v>
      </c>
    </row>
    <row r="172" spans="1:12" s="5" customFormat="1" ht="14.85" customHeight="1" x14ac:dyDescent="0.25">
      <c r="A172" s="43" t="s">
        <v>108</v>
      </c>
      <c r="B172" s="44" t="s">
        <v>109</v>
      </c>
      <c r="C172" s="45">
        <v>0</v>
      </c>
      <c r="D172" s="45">
        <v>0</v>
      </c>
      <c r="E172" s="61">
        <f t="shared" si="35"/>
        <v>0</v>
      </c>
      <c r="F172" s="45">
        <v>0</v>
      </c>
      <c r="G172" s="45">
        <f t="shared" si="31"/>
        <v>0</v>
      </c>
      <c r="H172" s="45">
        <f t="shared" si="32"/>
        <v>0</v>
      </c>
      <c r="I172" s="45">
        <f t="shared" si="36"/>
        <v>0</v>
      </c>
      <c r="J172" s="45">
        <v>0</v>
      </c>
      <c r="K172" s="45">
        <f t="shared" si="33"/>
        <v>0</v>
      </c>
      <c r="L172" s="53">
        <f t="shared" si="34"/>
        <v>0</v>
      </c>
    </row>
    <row r="173" spans="1:12" s="5" customFormat="1" ht="14.85" customHeight="1" x14ac:dyDescent="0.25">
      <c r="A173" s="43" t="s">
        <v>110</v>
      </c>
      <c r="B173" s="44" t="s">
        <v>111</v>
      </c>
      <c r="C173" s="45">
        <v>100000</v>
      </c>
      <c r="D173" s="45">
        <v>600000</v>
      </c>
      <c r="E173" s="61">
        <f t="shared" si="35"/>
        <v>0</v>
      </c>
      <c r="F173" s="45">
        <v>0</v>
      </c>
      <c r="G173" s="45">
        <f t="shared" si="31"/>
        <v>0</v>
      </c>
      <c r="H173" s="45">
        <f t="shared" si="32"/>
        <v>600000</v>
      </c>
      <c r="I173" s="45">
        <f t="shared" si="36"/>
        <v>0</v>
      </c>
      <c r="J173" s="45">
        <v>0</v>
      </c>
      <c r="K173" s="45">
        <f t="shared" si="33"/>
        <v>0</v>
      </c>
      <c r="L173" s="53">
        <f t="shared" si="34"/>
        <v>600000</v>
      </c>
    </row>
    <row r="174" spans="1:12" s="5" customFormat="1" ht="14.85" customHeight="1" x14ac:dyDescent="0.25">
      <c r="A174" s="43" t="s">
        <v>176</v>
      </c>
      <c r="B174" s="44" t="s">
        <v>182</v>
      </c>
      <c r="C174" s="45">
        <v>0</v>
      </c>
      <c r="D174" s="45">
        <v>0</v>
      </c>
      <c r="E174" s="61">
        <f t="shared" si="35"/>
        <v>0</v>
      </c>
      <c r="F174" s="45">
        <v>0</v>
      </c>
      <c r="G174" s="45">
        <f t="shared" si="31"/>
        <v>0</v>
      </c>
      <c r="H174" s="45">
        <f t="shared" si="32"/>
        <v>0</v>
      </c>
      <c r="I174" s="45">
        <f t="shared" si="36"/>
        <v>0</v>
      </c>
      <c r="J174" s="45">
        <v>0</v>
      </c>
      <c r="K174" s="45">
        <f t="shared" si="33"/>
        <v>0</v>
      </c>
      <c r="L174" s="53">
        <f t="shared" si="34"/>
        <v>0</v>
      </c>
    </row>
    <row r="175" spans="1:12" s="5" customFormat="1" ht="14.85" customHeight="1" x14ac:dyDescent="0.25">
      <c r="A175" s="43" t="s">
        <v>75</v>
      </c>
      <c r="B175" s="52" t="s">
        <v>76</v>
      </c>
      <c r="C175" s="53">
        <v>0</v>
      </c>
      <c r="D175" s="53">
        <v>0</v>
      </c>
      <c r="E175" s="102">
        <f t="shared" si="35"/>
        <v>0</v>
      </c>
      <c r="F175" s="53">
        <v>0</v>
      </c>
      <c r="G175" s="45">
        <f t="shared" si="31"/>
        <v>0</v>
      </c>
      <c r="H175" s="53">
        <f t="shared" si="32"/>
        <v>0</v>
      </c>
      <c r="I175" s="53">
        <f t="shared" si="36"/>
        <v>0</v>
      </c>
      <c r="J175" s="53">
        <v>0</v>
      </c>
      <c r="K175" s="45">
        <f t="shared" si="33"/>
        <v>0</v>
      </c>
      <c r="L175" s="53">
        <f t="shared" si="34"/>
        <v>0</v>
      </c>
    </row>
    <row r="176" spans="1:12" s="5" customFormat="1" ht="14.85" customHeight="1" x14ac:dyDescent="0.25">
      <c r="A176" s="43" t="s">
        <v>40</v>
      </c>
      <c r="B176" s="52" t="s">
        <v>41</v>
      </c>
      <c r="C176" s="94">
        <v>140430610</v>
      </c>
      <c r="D176" s="94">
        <v>154762745.97999999</v>
      </c>
      <c r="E176" s="102">
        <f>F176-42923422.41</f>
        <v>23061955.460000001</v>
      </c>
      <c r="F176" s="94">
        <v>65985377.869999997</v>
      </c>
      <c r="G176" s="53">
        <f t="shared" si="31"/>
        <v>8.6132922959348185E-2</v>
      </c>
      <c r="H176" s="53">
        <f t="shared" si="32"/>
        <v>88777368.109999985</v>
      </c>
      <c r="I176" s="53">
        <f>J176-39976737.24</f>
        <v>18318044.649999999</v>
      </c>
      <c r="J176" s="94">
        <v>58294781.890000001</v>
      </c>
      <c r="K176" s="53">
        <f t="shared" si="33"/>
        <v>8.2991118604059319E-2</v>
      </c>
      <c r="L176" s="53">
        <f t="shared" si="34"/>
        <v>96467964.089999989</v>
      </c>
    </row>
    <row r="177" spans="1:15" s="5" customFormat="1" ht="14.85" customHeight="1" x14ac:dyDescent="0.25">
      <c r="A177" s="40" t="s">
        <v>183</v>
      </c>
      <c r="B177" s="70" t="s">
        <v>184</v>
      </c>
      <c r="C177" s="42">
        <f>SUM(C178:C185)</f>
        <v>1529053311</v>
      </c>
      <c r="D177" s="42">
        <f>SUM(D178:D185)</f>
        <v>1984490581.6600001</v>
      </c>
      <c r="E177" s="98">
        <f>SUM(E178:E185)</f>
        <v>236652762.03999993</v>
      </c>
      <c r="F177" s="42">
        <f>SUM(F178:F185)</f>
        <v>1029261202.5999999</v>
      </c>
      <c r="G177" s="42">
        <f t="shared" si="31"/>
        <v>1.343529107967687</v>
      </c>
      <c r="H177" s="42">
        <f t="shared" si="32"/>
        <v>955229379.06000018</v>
      </c>
      <c r="I177" s="42">
        <f>SUM(I178:I185)</f>
        <v>251286114.58999994</v>
      </c>
      <c r="J177" s="42">
        <f>SUM(J178:J185)</f>
        <v>733150502.29999995</v>
      </c>
      <c r="K177" s="42">
        <f t="shared" si="33"/>
        <v>1.0437465982086884</v>
      </c>
      <c r="L177" s="57">
        <f t="shared" si="34"/>
        <v>1251340079.3600001</v>
      </c>
    </row>
    <row r="178" spans="1:15" s="5" customFormat="1" ht="14.85" customHeight="1" x14ac:dyDescent="0.25">
      <c r="A178" s="43" t="s">
        <v>30</v>
      </c>
      <c r="B178" s="44" t="s">
        <v>31</v>
      </c>
      <c r="C178" s="94">
        <v>366305626</v>
      </c>
      <c r="D178" s="94">
        <v>362325684.47000003</v>
      </c>
      <c r="E178" s="61">
        <f>F178-219704939.83</f>
        <v>76104951.859999985</v>
      </c>
      <c r="F178" s="94">
        <v>295809891.69</v>
      </c>
      <c r="G178" s="45">
        <f t="shared" si="31"/>
        <v>0.38613055549586867</v>
      </c>
      <c r="H178" s="45">
        <f t="shared" si="32"/>
        <v>66515792.780000031</v>
      </c>
      <c r="I178" s="45">
        <f>J178-152246539.49</f>
        <v>111271153.23999998</v>
      </c>
      <c r="J178" s="94">
        <v>263517692.72999999</v>
      </c>
      <c r="K178" s="45">
        <f t="shared" si="33"/>
        <v>0.37515584384363304</v>
      </c>
      <c r="L178" s="53">
        <f t="shared" si="34"/>
        <v>98807991.740000039</v>
      </c>
    </row>
    <row r="179" spans="1:15" s="5" customFormat="1" ht="14.85" customHeight="1" x14ac:dyDescent="0.25">
      <c r="A179" s="43" t="s">
        <v>32</v>
      </c>
      <c r="B179" s="44" t="s">
        <v>33</v>
      </c>
      <c r="C179" s="45">
        <v>0</v>
      </c>
      <c r="D179" s="45">
        <v>0</v>
      </c>
      <c r="E179" s="61">
        <f t="shared" ref="E179:E185" si="37">F179-0</f>
        <v>0</v>
      </c>
      <c r="F179" s="45">
        <v>0</v>
      </c>
      <c r="G179" s="45">
        <f t="shared" si="31"/>
        <v>0</v>
      </c>
      <c r="H179" s="45">
        <f t="shared" si="32"/>
        <v>0</v>
      </c>
      <c r="I179" s="45">
        <f t="shared" ref="I179:I185" si="38">J179-0</f>
        <v>0</v>
      </c>
      <c r="J179" s="45">
        <v>0</v>
      </c>
      <c r="K179" s="45">
        <f t="shared" si="33"/>
        <v>0</v>
      </c>
      <c r="L179" s="53">
        <f t="shared" si="34"/>
        <v>0</v>
      </c>
    </row>
    <row r="180" spans="1:15" s="5" customFormat="1" ht="14.85" customHeight="1" x14ac:dyDescent="0.25">
      <c r="A180" s="43" t="s">
        <v>67</v>
      </c>
      <c r="B180" s="44" t="s">
        <v>68</v>
      </c>
      <c r="C180" s="45">
        <v>0</v>
      </c>
      <c r="D180" s="45">
        <v>0</v>
      </c>
      <c r="E180" s="61">
        <f t="shared" si="37"/>
        <v>0</v>
      </c>
      <c r="F180" s="45">
        <v>0</v>
      </c>
      <c r="G180" s="45">
        <f t="shared" si="31"/>
        <v>0</v>
      </c>
      <c r="H180" s="45">
        <f t="shared" si="32"/>
        <v>0</v>
      </c>
      <c r="I180" s="45">
        <f t="shared" si="38"/>
        <v>0</v>
      </c>
      <c r="J180" s="45">
        <v>0</v>
      </c>
      <c r="K180" s="45">
        <f t="shared" si="33"/>
        <v>0</v>
      </c>
      <c r="L180" s="53">
        <f t="shared" si="34"/>
        <v>0</v>
      </c>
    </row>
    <row r="181" spans="1:15" s="5" customFormat="1" ht="14.85" customHeight="1" x14ac:dyDescent="0.25">
      <c r="A181" s="43" t="s">
        <v>34</v>
      </c>
      <c r="B181" s="44" t="s">
        <v>35</v>
      </c>
      <c r="C181" s="45">
        <v>0</v>
      </c>
      <c r="D181" s="45">
        <v>0</v>
      </c>
      <c r="E181" s="61">
        <f>F181-0</f>
        <v>0</v>
      </c>
      <c r="F181" s="45">
        <v>0</v>
      </c>
      <c r="G181" s="45">
        <f t="shared" si="31"/>
        <v>0</v>
      </c>
      <c r="H181" s="45">
        <f t="shared" si="32"/>
        <v>0</v>
      </c>
      <c r="I181" s="45">
        <f>J181-0</f>
        <v>0</v>
      </c>
      <c r="J181" s="45">
        <v>0</v>
      </c>
      <c r="K181" s="45">
        <f t="shared" si="33"/>
        <v>0</v>
      </c>
      <c r="L181" s="53">
        <f t="shared" si="34"/>
        <v>0</v>
      </c>
    </row>
    <row r="182" spans="1:15" s="5" customFormat="1" ht="14.85" customHeight="1" x14ac:dyDescent="0.25">
      <c r="A182" s="43" t="s">
        <v>77</v>
      </c>
      <c r="B182" s="44" t="s">
        <v>78</v>
      </c>
      <c r="C182" s="94">
        <v>1162747685</v>
      </c>
      <c r="D182" s="94">
        <v>1622164897.1900001</v>
      </c>
      <c r="E182" s="61">
        <f>F182-572903500.73</f>
        <v>160547810.17999995</v>
      </c>
      <c r="F182" s="94">
        <v>733451310.90999997</v>
      </c>
      <c r="G182" s="45">
        <f t="shared" si="31"/>
        <v>0.95739855247181838</v>
      </c>
      <c r="H182" s="45">
        <f t="shared" si="32"/>
        <v>888713586.28000009</v>
      </c>
      <c r="I182" s="45">
        <f>J182-329617848.22</f>
        <v>140014961.34999996</v>
      </c>
      <c r="J182" s="94">
        <v>469632809.56999999</v>
      </c>
      <c r="K182" s="45">
        <f t="shared" si="33"/>
        <v>0.66859075436505544</v>
      </c>
      <c r="L182" s="53">
        <f t="shared" si="34"/>
        <v>1152532087.6200001</v>
      </c>
    </row>
    <row r="183" spans="1:15" s="5" customFormat="1" ht="14.85" customHeight="1" x14ac:dyDescent="0.25">
      <c r="A183" s="43" t="s">
        <v>185</v>
      </c>
      <c r="B183" s="44" t="s">
        <v>186</v>
      </c>
      <c r="C183" s="45">
        <v>0</v>
      </c>
      <c r="D183" s="45">
        <v>0</v>
      </c>
      <c r="E183" s="61">
        <f>F183-0</f>
        <v>0</v>
      </c>
      <c r="F183" s="45">
        <v>0</v>
      </c>
      <c r="G183" s="45">
        <f t="shared" si="31"/>
        <v>0</v>
      </c>
      <c r="H183" s="45">
        <f t="shared" si="32"/>
        <v>0</v>
      </c>
      <c r="I183" s="45">
        <f>J183-0</f>
        <v>0</v>
      </c>
      <c r="J183" s="45">
        <v>0</v>
      </c>
      <c r="K183" s="45">
        <f t="shared" si="33"/>
        <v>0</v>
      </c>
      <c r="L183" s="53">
        <f t="shared" si="34"/>
        <v>0</v>
      </c>
    </row>
    <row r="184" spans="1:15" s="5" customFormat="1" ht="14.85" customHeight="1" x14ac:dyDescent="0.25">
      <c r="A184" s="43" t="s">
        <v>187</v>
      </c>
      <c r="B184" s="44" t="s">
        <v>188</v>
      </c>
      <c r="C184" s="45">
        <v>0</v>
      </c>
      <c r="D184" s="45">
        <v>0</v>
      </c>
      <c r="E184" s="61">
        <f t="shared" si="37"/>
        <v>0</v>
      </c>
      <c r="F184" s="45">
        <v>0</v>
      </c>
      <c r="G184" s="45">
        <f t="shared" si="31"/>
        <v>0</v>
      </c>
      <c r="H184" s="45">
        <f t="shared" si="32"/>
        <v>0</v>
      </c>
      <c r="I184" s="45">
        <f t="shared" si="38"/>
        <v>0</v>
      </c>
      <c r="J184" s="45">
        <v>0</v>
      </c>
      <c r="K184" s="45">
        <f t="shared" si="33"/>
        <v>0</v>
      </c>
      <c r="L184" s="53">
        <f t="shared" si="34"/>
        <v>0</v>
      </c>
      <c r="M184" s="115"/>
      <c r="N184" s="115"/>
      <c r="O184" s="115"/>
    </row>
    <row r="185" spans="1:15" s="5" customFormat="1" ht="14.85" customHeight="1" x14ac:dyDescent="0.25">
      <c r="A185" s="43" t="s">
        <v>95</v>
      </c>
      <c r="B185" s="44" t="s">
        <v>96</v>
      </c>
      <c r="C185" s="45">
        <v>0</v>
      </c>
      <c r="D185" s="45">
        <v>0</v>
      </c>
      <c r="E185" s="61">
        <f t="shared" si="37"/>
        <v>0</v>
      </c>
      <c r="F185" s="45">
        <v>0</v>
      </c>
      <c r="G185" s="45">
        <f t="shared" si="31"/>
        <v>0</v>
      </c>
      <c r="H185" s="45">
        <f t="shared" si="32"/>
        <v>0</v>
      </c>
      <c r="I185" s="45">
        <f t="shared" si="38"/>
        <v>0</v>
      </c>
      <c r="J185" s="45">
        <v>0</v>
      </c>
      <c r="K185" s="45">
        <f t="shared" si="33"/>
        <v>0</v>
      </c>
      <c r="L185" s="53">
        <f t="shared" si="34"/>
        <v>0</v>
      </c>
      <c r="M185" s="91"/>
      <c r="N185" s="91"/>
      <c r="O185" s="91"/>
    </row>
    <row r="186" spans="1:15" s="5" customFormat="1" ht="14.85" customHeight="1" x14ac:dyDescent="0.25">
      <c r="A186" s="40" t="s">
        <v>189</v>
      </c>
      <c r="B186" s="70" t="s">
        <v>190</v>
      </c>
      <c r="C186" s="42">
        <f>SUM(C187:C191)</f>
        <v>394717588</v>
      </c>
      <c r="D186" s="42">
        <f>SUM(D187:D191)</f>
        <v>389410486.39999998</v>
      </c>
      <c r="E186" s="98">
        <f>SUM(E187:E191)</f>
        <v>84654517.629999995</v>
      </c>
      <c r="F186" s="42">
        <f>SUM(F187:F191)</f>
        <v>261717703.34</v>
      </c>
      <c r="G186" s="42">
        <f t="shared" si="31"/>
        <v>0.34162888061796837</v>
      </c>
      <c r="H186" s="42">
        <f t="shared" si="32"/>
        <v>127692783.05999997</v>
      </c>
      <c r="I186" s="42">
        <f>SUM(I187:I191)</f>
        <v>86522744.180000007</v>
      </c>
      <c r="J186" s="42">
        <f>SUM(J187:J191)</f>
        <v>235752312.28</v>
      </c>
      <c r="K186" s="42">
        <f t="shared" si="33"/>
        <v>0.33562777791209109</v>
      </c>
      <c r="L186" s="57">
        <f t="shared" si="34"/>
        <v>153658174.11999997</v>
      </c>
    </row>
    <row r="187" spans="1:15" s="5" customFormat="1" ht="14.85" customHeight="1" x14ac:dyDescent="0.25">
      <c r="A187" s="43" t="s">
        <v>30</v>
      </c>
      <c r="B187" s="44" t="s">
        <v>31</v>
      </c>
      <c r="C187" s="94">
        <v>120885702</v>
      </c>
      <c r="D187" s="94">
        <v>119179054</v>
      </c>
      <c r="E187" s="61">
        <f>F187-46893486.55</f>
        <v>14562295.010000005</v>
      </c>
      <c r="F187" s="94">
        <v>61455781.560000002</v>
      </c>
      <c r="G187" s="45">
        <f t="shared" si="31"/>
        <v>8.0220289242605367E-2</v>
      </c>
      <c r="H187" s="45">
        <f t="shared" si="32"/>
        <v>57723272.439999998</v>
      </c>
      <c r="I187" s="45">
        <f>J187-46554788.26</f>
        <v>14819203.730000004</v>
      </c>
      <c r="J187" s="94">
        <v>61373991.990000002</v>
      </c>
      <c r="K187" s="45">
        <f t="shared" si="33"/>
        <v>8.7374822982576844E-2</v>
      </c>
      <c r="L187" s="53">
        <f t="shared" si="34"/>
        <v>57805062.009999998</v>
      </c>
    </row>
    <row r="188" spans="1:15" s="5" customFormat="1" ht="14.85" customHeight="1" x14ac:dyDescent="0.25">
      <c r="A188" s="43" t="s">
        <v>32</v>
      </c>
      <c r="B188" s="44" t="s">
        <v>33</v>
      </c>
      <c r="C188" s="45">
        <v>0</v>
      </c>
      <c r="D188" s="45">
        <v>0</v>
      </c>
      <c r="E188" s="61">
        <f>F188-0</f>
        <v>0</v>
      </c>
      <c r="F188" s="45">
        <v>0</v>
      </c>
      <c r="G188" s="45">
        <f t="shared" si="31"/>
        <v>0</v>
      </c>
      <c r="H188" s="45">
        <f t="shared" si="32"/>
        <v>0</v>
      </c>
      <c r="I188" s="45">
        <f>J188-0</f>
        <v>0</v>
      </c>
      <c r="J188" s="45">
        <v>0</v>
      </c>
      <c r="K188" s="45">
        <f t="shared" si="33"/>
        <v>0</v>
      </c>
      <c r="L188" s="53">
        <f t="shared" si="34"/>
        <v>0</v>
      </c>
    </row>
    <row r="189" spans="1:15" s="5" customFormat="1" ht="14.85" customHeight="1" x14ac:dyDescent="0.25">
      <c r="A189" s="43" t="s">
        <v>116</v>
      </c>
      <c r="B189" s="44" t="s">
        <v>117</v>
      </c>
      <c r="C189" s="45">
        <v>0</v>
      </c>
      <c r="D189" s="45">
        <v>0</v>
      </c>
      <c r="E189" s="61">
        <f>F189-0</f>
        <v>0</v>
      </c>
      <c r="F189" s="45">
        <v>0</v>
      </c>
      <c r="G189" s="45">
        <f t="shared" si="31"/>
        <v>0</v>
      </c>
      <c r="H189" s="45">
        <f t="shared" si="32"/>
        <v>0</v>
      </c>
      <c r="I189" s="45">
        <f>J189-0</f>
        <v>0</v>
      </c>
      <c r="J189" s="45">
        <v>0</v>
      </c>
      <c r="K189" s="45">
        <f t="shared" si="33"/>
        <v>0</v>
      </c>
      <c r="L189" s="53">
        <f t="shared" si="34"/>
        <v>0</v>
      </c>
    </row>
    <row r="190" spans="1:15" s="5" customFormat="1" ht="14.85" customHeight="1" x14ac:dyDescent="0.25">
      <c r="A190" s="43" t="s">
        <v>77</v>
      </c>
      <c r="B190" s="44" t="s">
        <v>78</v>
      </c>
      <c r="C190" s="94">
        <v>73842305</v>
      </c>
      <c r="D190" s="94">
        <v>44834717.740000002</v>
      </c>
      <c r="E190" s="61">
        <f>F190-27380039.67</f>
        <v>12581485.57</v>
      </c>
      <c r="F190" s="45">
        <v>39961525.240000002</v>
      </c>
      <c r="G190" s="45">
        <f t="shared" si="31"/>
        <v>5.216311682894615E-2</v>
      </c>
      <c r="H190" s="45">
        <f t="shared" si="32"/>
        <v>4873192.5</v>
      </c>
      <c r="I190" s="45">
        <f>J190-24727641.43</f>
        <v>12156401.990000002</v>
      </c>
      <c r="J190" s="45">
        <v>36884043.420000002</v>
      </c>
      <c r="K190" s="45">
        <f t="shared" si="33"/>
        <v>5.2509811733107994E-2</v>
      </c>
      <c r="L190" s="53">
        <f t="shared" si="34"/>
        <v>7950674.3200000003</v>
      </c>
    </row>
    <row r="191" spans="1:15" s="5" customFormat="1" ht="14.85" customHeight="1" x14ac:dyDescent="0.25">
      <c r="A191" s="43" t="s">
        <v>81</v>
      </c>
      <c r="B191" s="44" t="s">
        <v>82</v>
      </c>
      <c r="C191" s="94">
        <v>199989581</v>
      </c>
      <c r="D191" s="94">
        <v>225396714.66</v>
      </c>
      <c r="E191" s="61">
        <f>F191-102789659.49</f>
        <v>57510737.049999997</v>
      </c>
      <c r="F191" s="94">
        <v>160300396.53999999</v>
      </c>
      <c r="G191" s="45">
        <f t="shared" si="31"/>
        <v>0.20924547454641687</v>
      </c>
      <c r="H191" s="45">
        <f t="shared" si="32"/>
        <v>65096318.120000005</v>
      </c>
      <c r="I191" s="45">
        <f>J191-77947138.41</f>
        <v>59547138.460000008</v>
      </c>
      <c r="J191" s="94">
        <v>137494276.87</v>
      </c>
      <c r="K191" s="45">
        <f t="shared" si="33"/>
        <v>0.19574314319640626</v>
      </c>
      <c r="L191" s="53">
        <f t="shared" si="34"/>
        <v>87902437.789999992</v>
      </c>
    </row>
    <row r="192" spans="1:15" s="5" customFormat="1" ht="14.85" customHeight="1" x14ac:dyDescent="0.25">
      <c r="A192" s="40" t="s">
        <v>191</v>
      </c>
      <c r="B192" s="71" t="s">
        <v>192</v>
      </c>
      <c r="C192" s="42">
        <f>SUM(C193:C198)</f>
        <v>295453207</v>
      </c>
      <c r="D192" s="42">
        <f>SUM(D193:D198)</f>
        <v>247070086.90000001</v>
      </c>
      <c r="E192" s="98">
        <f>SUM(E193:E198)</f>
        <v>13141759.340000004</v>
      </c>
      <c r="F192" s="42">
        <f>SUM(F193:F198)</f>
        <v>108687952.28</v>
      </c>
      <c r="G192" s="42">
        <f t="shared" si="31"/>
        <v>0.14187402304168317</v>
      </c>
      <c r="H192" s="42">
        <f t="shared" si="32"/>
        <v>138382134.62</v>
      </c>
      <c r="I192" s="42">
        <f>SUM(I195:I198)</f>
        <v>20409418.239999995</v>
      </c>
      <c r="J192" s="42">
        <f>SUM(J195:J198)</f>
        <v>87553661.829999998</v>
      </c>
      <c r="K192" s="42">
        <f t="shared" si="33"/>
        <v>0.12464539874022043</v>
      </c>
      <c r="L192" s="57">
        <f t="shared" si="34"/>
        <v>159516425.06999999</v>
      </c>
    </row>
    <row r="193" spans="1:15" s="5" customFormat="1" ht="14.85" customHeight="1" x14ac:dyDescent="0.25">
      <c r="A193" s="43" t="s">
        <v>30</v>
      </c>
      <c r="B193" s="44" t="s">
        <v>31</v>
      </c>
      <c r="C193" s="94">
        <v>10000</v>
      </c>
      <c r="D193" s="94">
        <v>10000</v>
      </c>
      <c r="E193" s="98">
        <f t="shared" ref="E193:E198" si="39">F193-0</f>
        <v>0</v>
      </c>
      <c r="F193" s="42">
        <v>0</v>
      </c>
      <c r="G193" s="42">
        <f t="shared" si="31"/>
        <v>0</v>
      </c>
      <c r="H193" s="42">
        <v>0</v>
      </c>
      <c r="I193" s="42">
        <v>0</v>
      </c>
      <c r="J193" s="42">
        <v>0</v>
      </c>
      <c r="K193" s="45">
        <f t="shared" si="33"/>
        <v>0</v>
      </c>
      <c r="L193" s="57"/>
    </row>
    <row r="194" spans="1:15" s="5" customFormat="1" ht="14.85" customHeight="1" x14ac:dyDescent="0.25">
      <c r="A194" s="43" t="s">
        <v>67</v>
      </c>
      <c r="B194" s="44" t="s">
        <v>68</v>
      </c>
      <c r="C194" s="45">
        <v>0</v>
      </c>
      <c r="D194" s="45">
        <v>0</v>
      </c>
      <c r="E194" s="98">
        <f t="shared" si="39"/>
        <v>0</v>
      </c>
      <c r="F194" s="42">
        <v>0</v>
      </c>
      <c r="G194" s="42">
        <f t="shared" si="31"/>
        <v>0</v>
      </c>
      <c r="H194" s="45">
        <f t="shared" si="32"/>
        <v>0</v>
      </c>
      <c r="I194" s="42">
        <f>J194-0</f>
        <v>0</v>
      </c>
      <c r="J194" s="42">
        <v>0</v>
      </c>
      <c r="K194" s="42">
        <f t="shared" si="33"/>
        <v>0</v>
      </c>
      <c r="L194" s="53">
        <f t="shared" si="34"/>
        <v>0</v>
      </c>
    </row>
    <row r="195" spans="1:15" s="5" customFormat="1" ht="14.85" customHeight="1" x14ac:dyDescent="0.25">
      <c r="A195" s="43" t="s">
        <v>83</v>
      </c>
      <c r="B195" s="44" t="s">
        <v>84</v>
      </c>
      <c r="C195" s="94">
        <v>272643207</v>
      </c>
      <c r="D195" s="94">
        <v>225643207</v>
      </c>
      <c r="E195" s="61">
        <f>F195-95546192.94</f>
        <v>13141759.340000004</v>
      </c>
      <c r="F195" s="94">
        <v>108687952.28</v>
      </c>
      <c r="G195" s="45">
        <f t="shared" si="31"/>
        <v>0.14187402304168317</v>
      </c>
      <c r="H195" s="45">
        <f t="shared" si="32"/>
        <v>116955254.72</v>
      </c>
      <c r="I195" s="45">
        <f>J195-67144243.59</f>
        <v>20409418.239999995</v>
      </c>
      <c r="J195" s="94">
        <v>87553661.829999998</v>
      </c>
      <c r="K195" s="45">
        <f t="shared" si="33"/>
        <v>0.12464539874022043</v>
      </c>
      <c r="L195" s="53">
        <f t="shared" si="34"/>
        <v>138089545.17000002</v>
      </c>
    </row>
    <row r="196" spans="1:15" s="5" customFormat="1" ht="14.85" customHeight="1" x14ac:dyDescent="0.25">
      <c r="A196" s="43" t="s">
        <v>85</v>
      </c>
      <c r="B196" s="44" t="s">
        <v>86</v>
      </c>
      <c r="C196" s="45">
        <v>0</v>
      </c>
      <c r="D196" s="45">
        <v>0</v>
      </c>
      <c r="E196" s="61">
        <f t="shared" si="39"/>
        <v>0</v>
      </c>
      <c r="F196" s="45">
        <v>0</v>
      </c>
      <c r="G196" s="45">
        <f t="shared" si="31"/>
        <v>0</v>
      </c>
      <c r="H196" s="45">
        <f t="shared" si="32"/>
        <v>0</v>
      </c>
      <c r="I196" s="45">
        <f>J196-0</f>
        <v>0</v>
      </c>
      <c r="J196" s="45">
        <v>0</v>
      </c>
      <c r="K196" s="45">
        <f t="shared" si="33"/>
        <v>0</v>
      </c>
      <c r="L196" s="53">
        <f t="shared" si="34"/>
        <v>0</v>
      </c>
    </row>
    <row r="197" spans="1:15" s="5" customFormat="1" ht="14.85" customHeight="1" x14ac:dyDescent="0.25">
      <c r="A197" s="43" t="s">
        <v>193</v>
      </c>
      <c r="B197" s="44" t="s">
        <v>194</v>
      </c>
      <c r="C197" s="45">
        <v>0</v>
      </c>
      <c r="D197" s="45">
        <v>0</v>
      </c>
      <c r="E197" s="61">
        <f t="shared" si="39"/>
        <v>0</v>
      </c>
      <c r="F197" s="45">
        <v>0</v>
      </c>
      <c r="G197" s="45">
        <f t="shared" si="31"/>
        <v>0</v>
      </c>
      <c r="H197" s="45">
        <f t="shared" si="32"/>
        <v>0</v>
      </c>
      <c r="I197" s="45">
        <f>J197-0</f>
        <v>0</v>
      </c>
      <c r="J197" s="45">
        <v>0</v>
      </c>
      <c r="K197" s="45">
        <f t="shared" si="33"/>
        <v>0</v>
      </c>
      <c r="L197" s="53">
        <f t="shared" si="34"/>
        <v>0</v>
      </c>
      <c r="O197" s="6"/>
    </row>
    <row r="198" spans="1:15" s="5" customFormat="1" ht="14.85" customHeight="1" x14ac:dyDescent="0.25">
      <c r="A198" s="43" t="s">
        <v>91</v>
      </c>
      <c r="B198" s="44" t="s">
        <v>92</v>
      </c>
      <c r="C198" s="94">
        <v>22800000</v>
      </c>
      <c r="D198" s="94">
        <v>21416879.899999999</v>
      </c>
      <c r="E198" s="61">
        <f t="shared" si="39"/>
        <v>0</v>
      </c>
      <c r="F198" s="45">
        <v>0</v>
      </c>
      <c r="G198" s="45">
        <f t="shared" si="31"/>
        <v>0</v>
      </c>
      <c r="H198" s="45">
        <f t="shared" si="32"/>
        <v>21416879.899999999</v>
      </c>
      <c r="I198" s="45">
        <f>J198-0</f>
        <v>0</v>
      </c>
      <c r="J198" s="45">
        <v>0</v>
      </c>
      <c r="K198" s="45">
        <f t="shared" si="33"/>
        <v>0</v>
      </c>
      <c r="L198" s="53">
        <f t="shared" si="34"/>
        <v>21416879.899999999</v>
      </c>
      <c r="O198" s="6"/>
    </row>
    <row r="199" spans="1:15" s="5" customFormat="1" ht="14.85" customHeight="1" x14ac:dyDescent="0.25">
      <c r="A199" s="40" t="s">
        <v>195</v>
      </c>
      <c r="B199" s="70" t="s">
        <v>196</v>
      </c>
      <c r="C199" s="42">
        <f>SUM(C200:C209)</f>
        <v>1170750314</v>
      </c>
      <c r="D199" s="42">
        <f>SUM(D200:D209)</f>
        <v>1372744400.8000002</v>
      </c>
      <c r="E199" s="98">
        <f>SUM(E200:E209)</f>
        <v>298637602.33999997</v>
      </c>
      <c r="F199" s="42">
        <f>SUM(F200:F209)</f>
        <v>772492805.79000008</v>
      </c>
      <c r="G199" s="42">
        <f t="shared" ref="G199:G230" si="40">(F199/$F$307)*100</f>
        <v>1.0083607228687497</v>
      </c>
      <c r="H199" s="42">
        <f t="shared" si="32"/>
        <v>600251595.01000011</v>
      </c>
      <c r="I199" s="42">
        <f>SUM(I200:I208)</f>
        <v>222347563.65000001</v>
      </c>
      <c r="J199" s="42">
        <f>SUM(J200:J208)</f>
        <v>623908404.82999992</v>
      </c>
      <c r="K199" s="42">
        <f t="shared" ref="K199:K230" si="41">(J199/$J$307)*100</f>
        <v>0.88822455020109137</v>
      </c>
      <c r="L199" s="57">
        <f t="shared" si="34"/>
        <v>748835995.97000027</v>
      </c>
      <c r="O199" s="7"/>
    </row>
    <row r="200" spans="1:15" s="5" customFormat="1" ht="14.85" customHeight="1" x14ac:dyDescent="0.25">
      <c r="A200" s="43" t="s">
        <v>30</v>
      </c>
      <c r="B200" s="44" t="s">
        <v>31</v>
      </c>
      <c r="C200" s="94">
        <v>168426887</v>
      </c>
      <c r="D200" s="94">
        <v>176464128.91</v>
      </c>
      <c r="E200" s="61">
        <f>F200-95512614.17</f>
        <v>36036937.879999995</v>
      </c>
      <c r="F200" s="94">
        <v>131549552.05</v>
      </c>
      <c r="G200" s="45">
        <f t="shared" si="40"/>
        <v>0.17171603464001522</v>
      </c>
      <c r="H200" s="45">
        <f t="shared" si="32"/>
        <v>44914576.859999999</v>
      </c>
      <c r="I200" s="45">
        <f>J200-89257196.82</f>
        <v>35222585.520000011</v>
      </c>
      <c r="J200" s="94">
        <v>124479782.34</v>
      </c>
      <c r="K200" s="45">
        <f t="shared" si="41"/>
        <v>0.17721511334376533</v>
      </c>
      <c r="L200" s="53">
        <f t="shared" si="34"/>
        <v>51984346.569999993</v>
      </c>
    </row>
    <row r="201" spans="1:15" s="5" customFormat="1" ht="14.85" customHeight="1" x14ac:dyDescent="0.25">
      <c r="A201" s="43" t="s">
        <v>34</v>
      </c>
      <c r="B201" s="44" t="s">
        <v>35</v>
      </c>
      <c r="C201" s="45">
        <v>0</v>
      </c>
      <c r="D201" s="45">
        <v>0</v>
      </c>
      <c r="E201" s="61">
        <f t="shared" ref="E201:E209" si="42">F201-0</f>
        <v>0</v>
      </c>
      <c r="F201" s="45">
        <v>0</v>
      </c>
      <c r="G201" s="45">
        <f t="shared" si="40"/>
        <v>0</v>
      </c>
      <c r="H201" s="45">
        <f t="shared" si="32"/>
        <v>0</v>
      </c>
      <c r="I201" s="45">
        <f t="shared" ref="I201:I209" si="43">J201-0</f>
        <v>0</v>
      </c>
      <c r="J201" s="45">
        <v>0</v>
      </c>
      <c r="K201" s="45">
        <f t="shared" si="41"/>
        <v>0</v>
      </c>
      <c r="L201" s="53">
        <f t="shared" si="34"/>
        <v>0</v>
      </c>
    </row>
    <row r="202" spans="1:15" s="5" customFormat="1" ht="14.85" customHeight="1" x14ac:dyDescent="0.25">
      <c r="A202" s="43" t="s">
        <v>79</v>
      </c>
      <c r="B202" s="44" t="s">
        <v>80</v>
      </c>
      <c r="C202" s="45">
        <v>0</v>
      </c>
      <c r="D202" s="45">
        <v>0</v>
      </c>
      <c r="E202" s="61">
        <f t="shared" si="42"/>
        <v>0</v>
      </c>
      <c r="F202" s="45">
        <v>0</v>
      </c>
      <c r="G202" s="45">
        <f t="shared" si="40"/>
        <v>0</v>
      </c>
      <c r="H202" s="45">
        <f t="shared" si="32"/>
        <v>0</v>
      </c>
      <c r="I202" s="45">
        <f t="shared" si="43"/>
        <v>0</v>
      </c>
      <c r="J202" s="45">
        <v>0</v>
      </c>
      <c r="K202" s="45">
        <f t="shared" si="41"/>
        <v>0</v>
      </c>
      <c r="L202" s="53">
        <f t="shared" si="34"/>
        <v>0</v>
      </c>
    </row>
    <row r="203" spans="1:15" s="5" customFormat="1" ht="14.85" customHeight="1" x14ac:dyDescent="0.25">
      <c r="A203" s="43" t="s">
        <v>85</v>
      </c>
      <c r="B203" s="44" t="s">
        <v>86</v>
      </c>
      <c r="C203" s="94">
        <v>126432831</v>
      </c>
      <c r="D203" s="94">
        <v>328356015.54000002</v>
      </c>
      <c r="E203" s="61">
        <f>F203-89619524.91</f>
        <v>85445338.020000011</v>
      </c>
      <c r="F203" s="94">
        <v>175064862.93000001</v>
      </c>
      <c r="G203" s="45">
        <f t="shared" si="40"/>
        <v>0.22851802684749162</v>
      </c>
      <c r="H203" s="45">
        <f t="shared" si="32"/>
        <v>153291152.61000001</v>
      </c>
      <c r="I203" s="45">
        <f>J203-54816456.37</f>
        <v>25663818.869999997</v>
      </c>
      <c r="J203" s="94">
        <v>80480275.239999995</v>
      </c>
      <c r="K203" s="45">
        <f t="shared" si="41"/>
        <v>0.11457540196879838</v>
      </c>
      <c r="L203" s="53">
        <f t="shared" si="34"/>
        <v>247875740.30000001</v>
      </c>
    </row>
    <row r="204" spans="1:15" s="5" customFormat="1" ht="14.85" customHeight="1" x14ac:dyDescent="0.25">
      <c r="A204" s="43" t="s">
        <v>42</v>
      </c>
      <c r="B204" s="44" t="s">
        <v>43</v>
      </c>
      <c r="C204" s="94">
        <v>36349735</v>
      </c>
      <c r="D204" s="94">
        <v>41349735</v>
      </c>
      <c r="E204" s="61">
        <f>F204-21963094.81</f>
        <v>10344626.370000001</v>
      </c>
      <c r="F204" s="94">
        <v>32307721.18</v>
      </c>
      <c r="G204" s="45">
        <f t="shared" si="40"/>
        <v>4.21723501359869E-2</v>
      </c>
      <c r="H204" s="45">
        <f t="shared" si="32"/>
        <v>9042013.8200000003</v>
      </c>
      <c r="I204" s="45">
        <f>J204-19738016.89</f>
        <v>10861784.82</v>
      </c>
      <c r="J204" s="94">
        <v>30599801.710000001</v>
      </c>
      <c r="K204" s="45">
        <f t="shared" si="41"/>
        <v>4.3563277717845614E-2</v>
      </c>
      <c r="L204" s="53">
        <f t="shared" si="34"/>
        <v>10749933.289999999</v>
      </c>
    </row>
    <row r="205" spans="1:15" s="5" customFormat="1" ht="14.85" customHeight="1" x14ac:dyDescent="0.25">
      <c r="A205" s="43" t="s">
        <v>197</v>
      </c>
      <c r="B205" s="44" t="s">
        <v>198</v>
      </c>
      <c r="C205" s="94">
        <v>688589183</v>
      </c>
      <c r="D205" s="94">
        <v>676691220.10000002</v>
      </c>
      <c r="E205" s="61">
        <f>F205-233695775.9</f>
        <v>116592696.61999997</v>
      </c>
      <c r="F205" s="94">
        <v>350288472.51999998</v>
      </c>
      <c r="G205" s="45">
        <f t="shared" si="40"/>
        <v>0.45724327102520407</v>
      </c>
      <c r="H205" s="45">
        <f t="shared" si="32"/>
        <v>326402747.58000004</v>
      </c>
      <c r="I205" s="45">
        <f>J205-205301750.89</f>
        <v>117782041.86000001</v>
      </c>
      <c r="J205" s="94">
        <v>323083792.75</v>
      </c>
      <c r="K205" s="45">
        <f t="shared" si="41"/>
        <v>0.45995686910296407</v>
      </c>
      <c r="L205" s="53">
        <f t="shared" si="34"/>
        <v>353607427.35000002</v>
      </c>
    </row>
    <row r="206" spans="1:15" s="5" customFormat="1" ht="14.85" customHeight="1" x14ac:dyDescent="0.25">
      <c r="A206" s="54" t="s">
        <v>193</v>
      </c>
      <c r="B206" s="44" t="s">
        <v>194</v>
      </c>
      <c r="C206" s="94">
        <v>119353724</v>
      </c>
      <c r="D206" s="94">
        <v>119303724</v>
      </c>
      <c r="E206" s="61">
        <f>F206-13145689.59</f>
        <v>41940646.569999993</v>
      </c>
      <c r="F206" s="94">
        <v>55086336.159999996</v>
      </c>
      <c r="G206" s="45">
        <f t="shared" si="40"/>
        <v>7.1906038909556907E-2</v>
      </c>
      <c r="H206" s="45">
        <f t="shared" si="32"/>
        <v>64217387.840000004</v>
      </c>
      <c r="I206" s="45">
        <f>J206-13130674.47</f>
        <v>24502131.939999998</v>
      </c>
      <c r="J206" s="45">
        <v>37632806.409999996</v>
      </c>
      <c r="K206" s="45">
        <f t="shared" si="41"/>
        <v>5.357578498310963E-2</v>
      </c>
      <c r="L206" s="53">
        <f t="shared" si="34"/>
        <v>81670917.590000004</v>
      </c>
    </row>
    <row r="207" spans="1:15" s="5" customFormat="1" ht="14.85" customHeight="1" x14ac:dyDescent="0.25">
      <c r="A207" s="54" t="s">
        <v>44</v>
      </c>
      <c r="B207" s="44" t="s">
        <v>45</v>
      </c>
      <c r="C207" s="94">
        <v>13456300</v>
      </c>
      <c r="D207" s="94">
        <v>13456300</v>
      </c>
      <c r="E207" s="61">
        <f>F207-7868196.49</f>
        <v>3400000</v>
      </c>
      <c r="F207" s="94">
        <v>11268196.49</v>
      </c>
      <c r="G207" s="45">
        <f t="shared" si="40"/>
        <v>1.4708754143624147E-2</v>
      </c>
      <c r="H207" s="45">
        <f t="shared" si="32"/>
        <v>2188103.5099999998</v>
      </c>
      <c r="I207" s="45">
        <f>J207-7266438.16</f>
        <v>3437843.76</v>
      </c>
      <c r="J207" s="94">
        <v>10704281.92</v>
      </c>
      <c r="K207" s="45">
        <f t="shared" si="41"/>
        <v>1.5239105484094774E-2</v>
      </c>
      <c r="L207" s="53">
        <f t="shared" si="34"/>
        <v>2752018.08</v>
      </c>
    </row>
    <row r="208" spans="1:15" s="5" customFormat="1" ht="14.85" customHeight="1" x14ac:dyDescent="0.25">
      <c r="A208" s="54" t="s">
        <v>89</v>
      </c>
      <c r="B208" s="44" t="s">
        <v>90</v>
      </c>
      <c r="C208" s="94">
        <v>18141654</v>
      </c>
      <c r="D208" s="94">
        <v>17123277.25</v>
      </c>
      <c r="E208" s="61">
        <f>F208-12050307.58</f>
        <v>4877356.8800000008</v>
      </c>
      <c r="F208" s="94">
        <v>16927664.460000001</v>
      </c>
      <c r="G208" s="45">
        <f t="shared" si="40"/>
        <v>2.2096247166870642E-2</v>
      </c>
      <c r="H208" s="45">
        <f t="shared" si="32"/>
        <v>195612.78999999911</v>
      </c>
      <c r="I208" s="45">
        <f>J208-12050307.58</f>
        <v>4877356.8800000008</v>
      </c>
      <c r="J208" s="94">
        <v>16927664.460000001</v>
      </c>
      <c r="K208" s="45">
        <f t="shared" si="41"/>
        <v>2.4098997600513705E-2</v>
      </c>
      <c r="L208" s="53">
        <f t="shared" si="34"/>
        <v>195612.78999999911</v>
      </c>
    </row>
    <row r="209" spans="1:12" s="5" customFormat="1" ht="14.85" customHeight="1" x14ac:dyDescent="0.25">
      <c r="A209" s="43" t="s">
        <v>199</v>
      </c>
      <c r="B209" s="44" t="s">
        <v>200</v>
      </c>
      <c r="C209" s="58">
        <v>0</v>
      </c>
      <c r="D209" s="45">
        <v>0</v>
      </c>
      <c r="E209" s="61">
        <f t="shared" si="42"/>
        <v>0</v>
      </c>
      <c r="F209" s="45">
        <v>0</v>
      </c>
      <c r="G209" s="45">
        <f t="shared" si="40"/>
        <v>0</v>
      </c>
      <c r="H209" s="45">
        <f t="shared" si="32"/>
        <v>0</v>
      </c>
      <c r="I209" s="45">
        <f t="shared" si="43"/>
        <v>0</v>
      </c>
      <c r="J209" s="45">
        <v>0</v>
      </c>
      <c r="K209" s="45">
        <f t="shared" si="41"/>
        <v>0</v>
      </c>
      <c r="L209" s="53">
        <f t="shared" si="34"/>
        <v>0</v>
      </c>
    </row>
    <row r="210" spans="1:12" ht="14.85" customHeight="1" x14ac:dyDescent="0.2">
      <c r="A210" s="40" t="s">
        <v>201</v>
      </c>
      <c r="B210" s="70" t="s">
        <v>202</v>
      </c>
      <c r="C210" s="42">
        <f>SUM(C211:C222)</f>
        <v>965183848</v>
      </c>
      <c r="D210" s="42">
        <f>SUM(D211:D222)</f>
        <v>1090423012.99</v>
      </c>
      <c r="E210" s="98">
        <f>SUM(E211:E222)</f>
        <v>192844441.92000005</v>
      </c>
      <c r="F210" s="42">
        <f>SUM(F211:F222)</f>
        <v>528765803.35000002</v>
      </c>
      <c r="G210" s="42">
        <f t="shared" si="40"/>
        <v>0.6902157064738107</v>
      </c>
      <c r="H210" s="42">
        <f t="shared" si="32"/>
        <v>561657209.63999999</v>
      </c>
      <c r="I210" s="42">
        <f>SUM(I211:I222)</f>
        <v>198626906.03000003</v>
      </c>
      <c r="J210" s="42">
        <f>SUM(J211:J222)</f>
        <v>495055930.29000002</v>
      </c>
      <c r="K210" s="42">
        <f t="shared" si="41"/>
        <v>0.70478427218179807</v>
      </c>
      <c r="L210" s="57">
        <f t="shared" si="34"/>
        <v>595367082.70000005</v>
      </c>
    </row>
    <row r="211" spans="1:12" ht="14.85" customHeight="1" x14ac:dyDescent="0.25">
      <c r="A211" s="43" t="s">
        <v>30</v>
      </c>
      <c r="B211" s="44" t="s">
        <v>31</v>
      </c>
      <c r="C211" s="94">
        <v>158762771</v>
      </c>
      <c r="D211" s="94">
        <v>190078666.74000001</v>
      </c>
      <c r="E211" s="61">
        <f>F211-71703738.08</f>
        <v>29224630.840000004</v>
      </c>
      <c r="F211" s="94">
        <v>100928368.92</v>
      </c>
      <c r="G211" s="45">
        <f t="shared" si="40"/>
        <v>0.13174517908688657</v>
      </c>
      <c r="H211" s="45">
        <f t="shared" si="32"/>
        <v>89150297.820000008</v>
      </c>
      <c r="I211" s="45">
        <f>J211-44078894.53</f>
        <v>31817614.480000004</v>
      </c>
      <c r="J211" s="94">
        <v>75896509.010000005</v>
      </c>
      <c r="K211" s="45">
        <f t="shared" si="41"/>
        <v>0.10804974264709385</v>
      </c>
      <c r="L211" s="53">
        <f t="shared" si="34"/>
        <v>114182157.73</v>
      </c>
    </row>
    <row r="212" spans="1:12" ht="14.85" customHeight="1" x14ac:dyDescent="0.25">
      <c r="A212" s="43" t="s">
        <v>32</v>
      </c>
      <c r="B212" s="44" t="s">
        <v>33</v>
      </c>
      <c r="C212" s="94">
        <v>115506331</v>
      </c>
      <c r="D212" s="94">
        <v>99101137.319999993</v>
      </c>
      <c r="E212" s="61">
        <f>F212-36787239.95</f>
        <v>5818929.9299999997</v>
      </c>
      <c r="F212" s="94">
        <v>42606169.880000003</v>
      </c>
      <c r="G212" s="45">
        <f t="shared" si="40"/>
        <v>5.5615260021650938E-2</v>
      </c>
      <c r="H212" s="45">
        <f t="shared" si="32"/>
        <v>56494967.43999999</v>
      </c>
      <c r="I212" s="45">
        <f>J212-29396751.91</f>
        <v>8400960.5899999999</v>
      </c>
      <c r="J212" s="94">
        <v>37797712.5</v>
      </c>
      <c r="K212" s="45">
        <f t="shared" si="41"/>
        <v>5.3810552837624412E-2</v>
      </c>
      <c r="L212" s="53">
        <f t="shared" si="34"/>
        <v>61303424.819999993</v>
      </c>
    </row>
    <row r="213" spans="1:12" ht="14.85" customHeight="1" x14ac:dyDescent="0.25">
      <c r="A213" s="43" t="s">
        <v>67</v>
      </c>
      <c r="B213" s="44" t="s">
        <v>68</v>
      </c>
      <c r="C213" s="94">
        <v>6160278</v>
      </c>
      <c r="D213" s="94">
        <v>6110278</v>
      </c>
      <c r="E213" s="61">
        <f>F213-63969</f>
        <v>-46702</v>
      </c>
      <c r="F213" s="45">
        <v>17267</v>
      </c>
      <c r="G213" s="45">
        <f t="shared" si="40"/>
        <v>2.2539193208367469E-5</v>
      </c>
      <c r="H213" s="45">
        <f t="shared" si="32"/>
        <v>6093011</v>
      </c>
      <c r="I213" s="45">
        <f>J213-13267</f>
        <v>4000</v>
      </c>
      <c r="J213" s="45">
        <v>17267</v>
      </c>
      <c r="K213" s="45">
        <f t="shared" si="41"/>
        <v>2.4582091200552433E-5</v>
      </c>
      <c r="L213" s="53">
        <f t="shared" si="34"/>
        <v>6093011</v>
      </c>
    </row>
    <row r="214" spans="1:12" ht="14.85" customHeight="1" x14ac:dyDescent="0.25">
      <c r="A214" s="43" t="s">
        <v>34</v>
      </c>
      <c r="B214" s="44" t="s">
        <v>35</v>
      </c>
      <c r="C214" s="94">
        <v>1733187</v>
      </c>
      <c r="D214" s="94">
        <v>180000</v>
      </c>
      <c r="E214" s="61">
        <f>F214-0</f>
        <v>0</v>
      </c>
      <c r="F214" s="94">
        <v>0</v>
      </c>
      <c r="G214" s="45">
        <f t="shared" si="40"/>
        <v>0</v>
      </c>
      <c r="H214" s="45">
        <f t="shared" si="32"/>
        <v>180000</v>
      </c>
      <c r="I214" s="45">
        <f>J214-0</f>
        <v>0</v>
      </c>
      <c r="J214" s="45">
        <v>0</v>
      </c>
      <c r="K214" s="45">
        <f t="shared" si="41"/>
        <v>0</v>
      </c>
      <c r="L214" s="53">
        <f t="shared" si="34"/>
        <v>180000</v>
      </c>
    </row>
    <row r="215" spans="1:12" ht="14.85" customHeight="1" x14ac:dyDescent="0.25">
      <c r="A215" s="43" t="s">
        <v>104</v>
      </c>
      <c r="B215" s="44" t="s">
        <v>105</v>
      </c>
      <c r="C215" s="94">
        <v>4994509</v>
      </c>
      <c r="D215" s="94">
        <v>4994509</v>
      </c>
      <c r="E215" s="61">
        <f>F215-533618.08</f>
        <v>69098</v>
      </c>
      <c r="F215" s="45">
        <v>602716.07999999996</v>
      </c>
      <c r="G215" s="45">
        <f t="shared" si="40"/>
        <v>7.8674547847975109E-4</v>
      </c>
      <c r="H215" s="45">
        <f t="shared" si="32"/>
        <v>4391792.92</v>
      </c>
      <c r="I215" s="45">
        <f>J215-56800</f>
        <v>66098.36</v>
      </c>
      <c r="J215" s="45">
        <v>122898.36</v>
      </c>
      <c r="K215" s="45">
        <f t="shared" si="41"/>
        <v>1.7496372814723607E-4</v>
      </c>
      <c r="L215" s="53">
        <f t="shared" si="34"/>
        <v>4871610.6399999997</v>
      </c>
    </row>
    <row r="216" spans="1:12" ht="14.85" customHeight="1" x14ac:dyDescent="0.25">
      <c r="A216" s="43" t="s">
        <v>73</v>
      </c>
      <c r="B216" s="44" t="s">
        <v>74</v>
      </c>
      <c r="C216" s="94">
        <v>10000</v>
      </c>
      <c r="D216" s="94">
        <v>10000</v>
      </c>
      <c r="E216" s="61">
        <f t="shared" ref="E216:E222" si="44">F216-0</f>
        <v>0</v>
      </c>
      <c r="F216" s="45">
        <v>0</v>
      </c>
      <c r="G216" s="45">
        <f t="shared" si="40"/>
        <v>0</v>
      </c>
      <c r="H216" s="45">
        <f t="shared" si="32"/>
        <v>10000</v>
      </c>
      <c r="I216" s="45">
        <f t="shared" ref="I216:I220" si="45">J216-0</f>
        <v>0</v>
      </c>
      <c r="J216" s="45">
        <v>0</v>
      </c>
      <c r="K216" s="45">
        <f t="shared" si="41"/>
        <v>0</v>
      </c>
      <c r="L216" s="53">
        <f t="shared" si="34"/>
        <v>10000</v>
      </c>
    </row>
    <row r="217" spans="1:12" ht="14.85" customHeight="1" x14ac:dyDescent="0.25">
      <c r="A217" s="43" t="s">
        <v>168</v>
      </c>
      <c r="B217" s="44" t="s">
        <v>169</v>
      </c>
      <c r="C217" s="45">
        <v>0</v>
      </c>
      <c r="D217" s="45">
        <v>0</v>
      </c>
      <c r="E217" s="61">
        <f t="shared" si="44"/>
        <v>0</v>
      </c>
      <c r="F217" s="45">
        <v>0</v>
      </c>
      <c r="G217" s="45">
        <f t="shared" si="40"/>
        <v>0</v>
      </c>
      <c r="H217" s="45">
        <f t="shared" si="32"/>
        <v>0</v>
      </c>
      <c r="I217" s="45">
        <f t="shared" si="45"/>
        <v>0</v>
      </c>
      <c r="J217" s="45">
        <v>0</v>
      </c>
      <c r="K217" s="45">
        <f t="shared" si="41"/>
        <v>0</v>
      </c>
      <c r="L217" s="53">
        <f t="shared" si="34"/>
        <v>0</v>
      </c>
    </row>
    <row r="218" spans="1:12" ht="14.85" customHeight="1" x14ac:dyDescent="0.25">
      <c r="A218" s="43" t="s">
        <v>170</v>
      </c>
      <c r="B218" s="44" t="s">
        <v>171</v>
      </c>
      <c r="C218" s="45">
        <v>0</v>
      </c>
      <c r="D218" s="45">
        <v>0</v>
      </c>
      <c r="E218" s="61">
        <f t="shared" si="44"/>
        <v>0</v>
      </c>
      <c r="F218" s="45">
        <v>0</v>
      </c>
      <c r="G218" s="45">
        <f t="shared" si="40"/>
        <v>0</v>
      </c>
      <c r="H218" s="45">
        <f t="shared" si="32"/>
        <v>0</v>
      </c>
      <c r="I218" s="45">
        <f t="shared" si="45"/>
        <v>0</v>
      </c>
      <c r="J218" s="45">
        <v>0</v>
      </c>
      <c r="K218" s="45">
        <f t="shared" si="41"/>
        <v>0</v>
      </c>
      <c r="L218" s="53">
        <f t="shared" si="34"/>
        <v>0</v>
      </c>
    </row>
    <row r="219" spans="1:12" ht="14.85" customHeight="1" x14ac:dyDescent="0.25">
      <c r="A219" s="43" t="s">
        <v>87</v>
      </c>
      <c r="B219" s="44" t="s">
        <v>88</v>
      </c>
      <c r="C219" s="94">
        <v>320881</v>
      </c>
      <c r="D219" s="94">
        <v>120736.5</v>
      </c>
      <c r="E219" s="61">
        <f t="shared" si="44"/>
        <v>0</v>
      </c>
      <c r="F219" s="45">
        <v>0</v>
      </c>
      <c r="G219" s="45">
        <f t="shared" si="40"/>
        <v>0</v>
      </c>
      <c r="H219" s="45">
        <f t="shared" si="32"/>
        <v>120736.5</v>
      </c>
      <c r="I219" s="45">
        <f t="shared" si="45"/>
        <v>0</v>
      </c>
      <c r="J219" s="45">
        <v>0</v>
      </c>
      <c r="K219" s="45">
        <f t="shared" si="41"/>
        <v>0</v>
      </c>
      <c r="L219" s="53">
        <f t="shared" si="34"/>
        <v>120736.5</v>
      </c>
    </row>
    <row r="220" spans="1:12" ht="14.85" customHeight="1" x14ac:dyDescent="0.25">
      <c r="A220" s="43" t="s">
        <v>44</v>
      </c>
      <c r="B220" s="44" t="s">
        <v>45</v>
      </c>
      <c r="C220" s="45">
        <v>0</v>
      </c>
      <c r="D220" s="45">
        <v>0</v>
      </c>
      <c r="E220" s="61">
        <f t="shared" si="44"/>
        <v>0</v>
      </c>
      <c r="F220" s="45">
        <v>0</v>
      </c>
      <c r="G220" s="45">
        <f t="shared" si="40"/>
        <v>0</v>
      </c>
      <c r="H220" s="45">
        <f t="shared" si="32"/>
        <v>0</v>
      </c>
      <c r="I220" s="45">
        <f t="shared" si="45"/>
        <v>0</v>
      </c>
      <c r="J220" s="45">
        <v>0</v>
      </c>
      <c r="K220" s="45">
        <f t="shared" si="41"/>
        <v>0</v>
      </c>
      <c r="L220" s="53">
        <f t="shared" si="34"/>
        <v>0</v>
      </c>
    </row>
    <row r="221" spans="1:12" ht="14.85" customHeight="1" x14ac:dyDescent="0.25">
      <c r="A221" s="43" t="s">
        <v>89</v>
      </c>
      <c r="B221" s="44" t="s">
        <v>152</v>
      </c>
      <c r="C221" s="94">
        <v>677695891</v>
      </c>
      <c r="D221" s="94">
        <v>789827685.42999995</v>
      </c>
      <c r="E221" s="61">
        <f>F221-226832796.32</f>
        <v>157778485.15000004</v>
      </c>
      <c r="F221" s="45">
        <v>384611281.47000003</v>
      </c>
      <c r="G221" s="45">
        <f t="shared" si="40"/>
        <v>0.50204598269358514</v>
      </c>
      <c r="H221" s="45">
        <f t="shared" si="32"/>
        <v>405216403.95999992</v>
      </c>
      <c r="I221" s="45">
        <f>J221-222883310.82</f>
        <v>158338232.60000002</v>
      </c>
      <c r="J221" s="94">
        <v>381221543.42000002</v>
      </c>
      <c r="K221" s="45">
        <f t="shared" si="41"/>
        <v>0.54272443087773203</v>
      </c>
      <c r="L221" s="53">
        <f t="shared" si="34"/>
        <v>408606142.00999993</v>
      </c>
    </row>
    <row r="222" spans="1:12" ht="14.85" customHeight="1" x14ac:dyDescent="0.25">
      <c r="A222" s="43" t="s">
        <v>203</v>
      </c>
      <c r="B222" s="44" t="s">
        <v>204</v>
      </c>
      <c r="C222" s="94">
        <v>0</v>
      </c>
      <c r="D222" s="94">
        <v>0</v>
      </c>
      <c r="E222" s="61">
        <f t="shared" si="44"/>
        <v>0</v>
      </c>
      <c r="F222" s="45">
        <v>0</v>
      </c>
      <c r="G222" s="45">
        <f t="shared" si="40"/>
        <v>0</v>
      </c>
      <c r="H222" s="45">
        <f t="shared" si="32"/>
        <v>0</v>
      </c>
      <c r="I222" s="45">
        <v>0</v>
      </c>
      <c r="J222" s="45">
        <v>0</v>
      </c>
      <c r="K222" s="45">
        <f t="shared" si="41"/>
        <v>0</v>
      </c>
      <c r="L222" s="53">
        <f t="shared" si="34"/>
        <v>0</v>
      </c>
    </row>
    <row r="223" spans="1:12" ht="14.85" customHeight="1" x14ac:dyDescent="0.2">
      <c r="A223" s="40" t="s">
        <v>205</v>
      </c>
      <c r="B223" s="70" t="s">
        <v>206</v>
      </c>
      <c r="C223" s="42">
        <f>SUM(C224:C241)</f>
        <v>804305602</v>
      </c>
      <c r="D223" s="42">
        <f>SUM(D224:D241)</f>
        <v>856185977.00999999</v>
      </c>
      <c r="E223" s="98">
        <f>SUM(E224:E241)</f>
        <v>151187042.43999997</v>
      </c>
      <c r="F223" s="42">
        <f>SUM(F224:F241)</f>
        <v>470506740.44</v>
      </c>
      <c r="G223" s="42">
        <f t="shared" si="40"/>
        <v>0.61416820111289538</v>
      </c>
      <c r="H223" s="42">
        <f t="shared" si="32"/>
        <v>385679236.56999999</v>
      </c>
      <c r="I223" s="42">
        <f>SUM(I224:I241)</f>
        <v>142794698.24000004</v>
      </c>
      <c r="J223" s="42">
        <f>SUM(J224:J241)</f>
        <v>441061333.05000001</v>
      </c>
      <c r="K223" s="42">
        <f t="shared" si="41"/>
        <v>0.62791509318771821</v>
      </c>
      <c r="L223" s="57">
        <f t="shared" si="34"/>
        <v>415124643.95999998</v>
      </c>
    </row>
    <row r="224" spans="1:12" ht="14.85" customHeight="1" x14ac:dyDescent="0.25">
      <c r="A224" s="43" t="s">
        <v>30</v>
      </c>
      <c r="B224" s="44" t="s">
        <v>31</v>
      </c>
      <c r="C224" s="94">
        <v>510306939</v>
      </c>
      <c r="D224" s="94">
        <v>554442331.37</v>
      </c>
      <c r="E224" s="61">
        <f>F224-226541194.05</f>
        <v>96559355.039999962</v>
      </c>
      <c r="F224" s="94">
        <v>323100549.08999997</v>
      </c>
      <c r="G224" s="45">
        <f t="shared" si="40"/>
        <v>0.42175396430585094</v>
      </c>
      <c r="H224" s="45">
        <f t="shared" si="32"/>
        <v>231341782.28000003</v>
      </c>
      <c r="I224" s="45">
        <f>J224-218943689.63</f>
        <v>90877437.340000033</v>
      </c>
      <c r="J224" s="94">
        <v>309821126.97000003</v>
      </c>
      <c r="K224" s="45">
        <f t="shared" si="41"/>
        <v>0.44107553130448113</v>
      </c>
      <c r="L224" s="53">
        <f t="shared" si="34"/>
        <v>244621204.39999998</v>
      </c>
    </row>
    <row r="225" spans="1:13" ht="14.85" customHeight="1" x14ac:dyDescent="0.25">
      <c r="A225" s="43" t="s">
        <v>32</v>
      </c>
      <c r="B225" s="44" t="s">
        <v>33</v>
      </c>
      <c r="C225" s="45">
        <v>0</v>
      </c>
      <c r="D225" s="45">
        <v>0</v>
      </c>
      <c r="E225" s="61">
        <f t="shared" ref="E225:E230" si="46">F225-0</f>
        <v>0</v>
      </c>
      <c r="F225" s="45">
        <v>0</v>
      </c>
      <c r="G225" s="45">
        <f t="shared" si="40"/>
        <v>0</v>
      </c>
      <c r="H225" s="45">
        <f t="shared" si="32"/>
        <v>0</v>
      </c>
      <c r="I225" s="45">
        <f>J225-0</f>
        <v>0</v>
      </c>
      <c r="J225" s="45">
        <v>0</v>
      </c>
      <c r="K225" s="45">
        <f t="shared" si="41"/>
        <v>0</v>
      </c>
      <c r="L225" s="53">
        <f t="shared" si="34"/>
        <v>0</v>
      </c>
    </row>
    <row r="226" spans="1:13" ht="14.85" customHeight="1" x14ac:dyDescent="0.25">
      <c r="A226" s="43" t="s">
        <v>67</v>
      </c>
      <c r="B226" s="44" t="s">
        <v>68</v>
      </c>
      <c r="C226" s="45">
        <v>0</v>
      </c>
      <c r="D226" s="45">
        <v>0</v>
      </c>
      <c r="E226" s="61">
        <f t="shared" si="46"/>
        <v>0</v>
      </c>
      <c r="F226" s="45">
        <v>0</v>
      </c>
      <c r="G226" s="45">
        <f t="shared" si="40"/>
        <v>0</v>
      </c>
      <c r="H226" s="45">
        <f t="shared" si="32"/>
        <v>0</v>
      </c>
      <c r="I226" s="45">
        <f t="shared" ref="I226:I240" si="47">J226-0</f>
        <v>0</v>
      </c>
      <c r="J226" s="45">
        <v>0</v>
      </c>
      <c r="K226" s="45">
        <f t="shared" si="41"/>
        <v>0</v>
      </c>
      <c r="L226" s="53">
        <f t="shared" si="34"/>
        <v>0</v>
      </c>
    </row>
    <row r="227" spans="1:13" ht="14.85" customHeight="1" x14ac:dyDescent="0.25">
      <c r="A227" s="43" t="s">
        <v>34</v>
      </c>
      <c r="B227" s="44" t="s">
        <v>207</v>
      </c>
      <c r="C227" s="45">
        <v>0</v>
      </c>
      <c r="D227" s="45">
        <v>0</v>
      </c>
      <c r="E227" s="61">
        <f t="shared" si="46"/>
        <v>0</v>
      </c>
      <c r="F227" s="45">
        <v>0</v>
      </c>
      <c r="G227" s="45">
        <f t="shared" si="40"/>
        <v>0</v>
      </c>
      <c r="H227" s="45">
        <f t="shared" si="32"/>
        <v>0</v>
      </c>
      <c r="I227" s="45">
        <f t="shared" si="47"/>
        <v>0</v>
      </c>
      <c r="J227" s="45">
        <v>0</v>
      </c>
      <c r="K227" s="45">
        <f t="shared" si="41"/>
        <v>0</v>
      </c>
      <c r="L227" s="53">
        <f t="shared" si="34"/>
        <v>0</v>
      </c>
    </row>
    <row r="228" spans="1:13" ht="14.85" customHeight="1" x14ac:dyDescent="0.25">
      <c r="A228" s="43" t="s">
        <v>148</v>
      </c>
      <c r="B228" s="44" t="s">
        <v>149</v>
      </c>
      <c r="C228" s="45">
        <v>0</v>
      </c>
      <c r="D228" s="45">
        <v>0</v>
      </c>
      <c r="E228" s="61">
        <f t="shared" si="46"/>
        <v>0</v>
      </c>
      <c r="F228" s="45">
        <v>0</v>
      </c>
      <c r="G228" s="45">
        <f t="shared" si="40"/>
        <v>0</v>
      </c>
      <c r="H228" s="45">
        <f t="shared" si="32"/>
        <v>0</v>
      </c>
      <c r="I228" s="45">
        <f t="shared" si="47"/>
        <v>0</v>
      </c>
      <c r="J228" s="45">
        <v>0</v>
      </c>
      <c r="K228" s="45">
        <f t="shared" si="41"/>
        <v>0</v>
      </c>
      <c r="L228" s="53">
        <f t="shared" si="34"/>
        <v>0</v>
      </c>
    </row>
    <row r="229" spans="1:13" ht="14.85" customHeight="1" x14ac:dyDescent="0.25">
      <c r="A229" s="43" t="s">
        <v>118</v>
      </c>
      <c r="B229" s="44" t="s">
        <v>119</v>
      </c>
      <c r="C229" s="94">
        <v>51755</v>
      </c>
      <c r="D229" s="94">
        <v>151755</v>
      </c>
      <c r="E229" s="61">
        <f>F229-4029.2</f>
        <v>646.40000000000055</v>
      </c>
      <c r="F229" s="45">
        <v>4675.6000000000004</v>
      </c>
      <c r="G229" s="45">
        <f t="shared" si="40"/>
        <v>6.1032172215812221E-6</v>
      </c>
      <c r="H229" s="45">
        <f t="shared" si="32"/>
        <v>147079.4</v>
      </c>
      <c r="I229" s="45">
        <f>J229-4029.2</f>
        <v>646.40000000000055</v>
      </c>
      <c r="J229" s="45">
        <v>4675.6000000000004</v>
      </c>
      <c r="K229" s="45">
        <f t="shared" si="41"/>
        <v>6.656398078259278E-6</v>
      </c>
      <c r="L229" s="53">
        <f t="shared" si="34"/>
        <v>147079.4</v>
      </c>
    </row>
    <row r="230" spans="1:13" ht="14.85" customHeight="1" x14ac:dyDescent="0.25">
      <c r="A230" s="43" t="s">
        <v>122</v>
      </c>
      <c r="B230" s="44" t="s">
        <v>123</v>
      </c>
      <c r="C230" s="45">
        <v>0</v>
      </c>
      <c r="D230" s="45">
        <v>0</v>
      </c>
      <c r="E230" s="61">
        <f t="shared" si="46"/>
        <v>0</v>
      </c>
      <c r="F230" s="45">
        <v>0</v>
      </c>
      <c r="G230" s="45">
        <f t="shared" si="40"/>
        <v>0</v>
      </c>
      <c r="H230" s="45">
        <f t="shared" si="32"/>
        <v>0</v>
      </c>
      <c r="I230" s="45">
        <f>J230-0</f>
        <v>0</v>
      </c>
      <c r="J230" s="45">
        <v>0</v>
      </c>
      <c r="K230" s="45">
        <f t="shared" si="41"/>
        <v>0</v>
      </c>
      <c r="L230" s="53">
        <f t="shared" si="34"/>
        <v>0</v>
      </c>
    </row>
    <row r="231" spans="1:13" ht="14.85" customHeight="1" x14ac:dyDescent="0.25">
      <c r="A231" s="43" t="s">
        <v>77</v>
      </c>
      <c r="B231" s="44" t="s">
        <v>78</v>
      </c>
      <c r="C231" s="45">
        <v>0</v>
      </c>
      <c r="D231" s="45">
        <v>0</v>
      </c>
      <c r="E231" s="61">
        <f t="shared" ref="E231:E240" si="48">F231-0</f>
        <v>0</v>
      </c>
      <c r="F231" s="45">
        <v>0</v>
      </c>
      <c r="G231" s="45">
        <f t="shared" ref="G231:G262" si="49">(F231/$F$307)*100</f>
        <v>0</v>
      </c>
      <c r="H231" s="45">
        <f t="shared" si="32"/>
        <v>0</v>
      </c>
      <c r="I231" s="45">
        <f t="shared" si="47"/>
        <v>0</v>
      </c>
      <c r="J231" s="45">
        <v>0</v>
      </c>
      <c r="K231" s="45">
        <f t="shared" ref="K231:K262" si="50">(J231/$J$307)*100</f>
        <v>0</v>
      </c>
      <c r="L231" s="53">
        <f t="shared" si="34"/>
        <v>0</v>
      </c>
    </row>
    <row r="232" spans="1:13" ht="14.85" customHeight="1" x14ac:dyDescent="0.25">
      <c r="A232" s="43" t="s">
        <v>87</v>
      </c>
      <c r="B232" s="44" t="s">
        <v>88</v>
      </c>
      <c r="C232" s="94">
        <v>20000</v>
      </c>
      <c r="D232" s="45">
        <v>9332</v>
      </c>
      <c r="E232" s="61">
        <f>F232-0</f>
        <v>0</v>
      </c>
      <c r="F232" s="45">
        <v>0</v>
      </c>
      <c r="G232" s="45">
        <f t="shared" si="49"/>
        <v>0</v>
      </c>
      <c r="H232" s="45">
        <f t="shared" si="32"/>
        <v>9332</v>
      </c>
      <c r="I232" s="45">
        <f>J232-0</f>
        <v>0</v>
      </c>
      <c r="J232" s="45">
        <v>0</v>
      </c>
      <c r="K232" s="45">
        <f t="shared" si="50"/>
        <v>0</v>
      </c>
      <c r="L232" s="53">
        <f t="shared" si="34"/>
        <v>9332</v>
      </c>
    </row>
    <row r="233" spans="1:13" ht="14.85" customHeight="1" x14ac:dyDescent="0.25">
      <c r="A233" s="43" t="s">
        <v>44</v>
      </c>
      <c r="B233" s="44" t="s">
        <v>45</v>
      </c>
      <c r="C233" s="45">
        <v>1677973</v>
      </c>
      <c r="D233" s="45">
        <v>1173643.8</v>
      </c>
      <c r="E233" s="61">
        <f>F233-411441</f>
        <v>1848</v>
      </c>
      <c r="F233" s="45">
        <v>413289</v>
      </c>
      <c r="G233" s="45">
        <f t="shared" si="49"/>
        <v>5.3947996883610264E-4</v>
      </c>
      <c r="H233" s="45">
        <f t="shared" si="32"/>
        <v>760354.8</v>
      </c>
      <c r="I233" s="45">
        <f>J233-943</f>
        <v>1848</v>
      </c>
      <c r="J233" s="45">
        <v>2791</v>
      </c>
      <c r="K233" s="45">
        <f t="shared" si="50"/>
        <v>3.9733952939562076E-6</v>
      </c>
      <c r="L233" s="53">
        <f t="shared" si="34"/>
        <v>1170852.8</v>
      </c>
    </row>
    <row r="234" spans="1:13" ht="14.85" customHeight="1" x14ac:dyDescent="0.25">
      <c r="A234" s="43" t="s">
        <v>208</v>
      </c>
      <c r="B234" s="44" t="s">
        <v>209</v>
      </c>
      <c r="C234" s="45">
        <v>0</v>
      </c>
      <c r="D234" s="45">
        <v>0</v>
      </c>
      <c r="E234" s="61">
        <f t="shared" si="48"/>
        <v>0</v>
      </c>
      <c r="F234" s="45">
        <v>0</v>
      </c>
      <c r="G234" s="45">
        <f t="shared" si="49"/>
        <v>0</v>
      </c>
      <c r="H234" s="45">
        <f t="shared" si="32"/>
        <v>0</v>
      </c>
      <c r="I234" s="45">
        <f t="shared" si="47"/>
        <v>0</v>
      </c>
      <c r="J234" s="45">
        <v>0</v>
      </c>
      <c r="K234" s="45">
        <f t="shared" si="50"/>
        <v>0</v>
      </c>
      <c r="L234" s="53">
        <f t="shared" si="34"/>
        <v>0</v>
      </c>
    </row>
    <row r="235" spans="1:13" ht="14.85" customHeight="1" x14ac:dyDescent="0.25">
      <c r="A235" s="43" t="s">
        <v>210</v>
      </c>
      <c r="B235" s="44" t="s">
        <v>211</v>
      </c>
      <c r="C235" s="45">
        <v>0</v>
      </c>
      <c r="D235" s="45">
        <v>0</v>
      </c>
      <c r="E235" s="61">
        <f t="shared" si="48"/>
        <v>0</v>
      </c>
      <c r="F235" s="45">
        <v>0</v>
      </c>
      <c r="G235" s="45">
        <f t="shared" si="49"/>
        <v>0</v>
      </c>
      <c r="H235" s="45">
        <f t="shared" si="32"/>
        <v>0</v>
      </c>
      <c r="I235" s="45">
        <f t="shared" si="47"/>
        <v>0</v>
      </c>
      <c r="J235" s="45">
        <v>0</v>
      </c>
      <c r="K235" s="45">
        <f t="shared" si="50"/>
        <v>0</v>
      </c>
      <c r="L235" s="53">
        <f t="shared" si="34"/>
        <v>0</v>
      </c>
      <c r="M235" s="92"/>
    </row>
    <row r="236" spans="1:13" ht="14.85" customHeight="1" x14ac:dyDescent="0.25">
      <c r="A236" s="43" t="s">
        <v>212</v>
      </c>
      <c r="B236" s="44" t="s">
        <v>213</v>
      </c>
      <c r="C236" s="94">
        <v>351755</v>
      </c>
      <c r="D236" s="94">
        <v>351755</v>
      </c>
      <c r="E236" s="61">
        <f>F236-55976.41</f>
        <v>3494.5999999999985</v>
      </c>
      <c r="F236" s="45">
        <v>59471.01</v>
      </c>
      <c r="G236" s="45">
        <f t="shared" si="49"/>
        <v>7.7629500474127173E-5</v>
      </c>
      <c r="H236" s="45">
        <f t="shared" si="32"/>
        <v>292283.99</v>
      </c>
      <c r="I236" s="45">
        <f>J236-55976.41</f>
        <v>3494.5999999999985</v>
      </c>
      <c r="J236" s="45">
        <v>59471.01</v>
      </c>
      <c r="K236" s="45">
        <f t="shared" si="50"/>
        <v>8.4665650756296157E-5</v>
      </c>
      <c r="L236" s="53">
        <f t="shared" si="34"/>
        <v>292283.99</v>
      </c>
      <c r="M236" s="92"/>
    </row>
    <row r="237" spans="1:13" ht="14.85" customHeight="1" x14ac:dyDescent="0.25">
      <c r="A237" s="43" t="s">
        <v>214</v>
      </c>
      <c r="B237" s="44" t="s">
        <v>215</v>
      </c>
      <c r="C237" s="94">
        <v>28962417</v>
      </c>
      <c r="D237" s="94">
        <v>30334272.640000001</v>
      </c>
      <c r="E237" s="61">
        <f>F237-12030854.76</f>
        <v>10413988.729999999</v>
      </c>
      <c r="F237" s="94">
        <v>22444843.489999998</v>
      </c>
      <c r="G237" s="45">
        <f t="shared" si="49"/>
        <v>2.9298005672825547E-2</v>
      </c>
      <c r="H237" s="45">
        <f t="shared" ref="H237:H299" si="51">D237-F237</f>
        <v>7889429.1500000022</v>
      </c>
      <c r="I237" s="45">
        <f>J237-7698022.96</f>
        <v>5090040.9300000006</v>
      </c>
      <c r="J237" s="45">
        <v>12788063.890000001</v>
      </c>
      <c r="K237" s="45">
        <f t="shared" si="50"/>
        <v>1.82056728338722E-2</v>
      </c>
      <c r="L237" s="53">
        <f t="shared" ref="L237:L299" si="52">D237-J237</f>
        <v>17546208.75</v>
      </c>
      <c r="M237" s="92"/>
    </row>
    <row r="238" spans="1:13" ht="14.85" customHeight="1" x14ac:dyDescent="0.25">
      <c r="A238" s="43" t="s">
        <v>216</v>
      </c>
      <c r="B238" s="44" t="s">
        <v>217</v>
      </c>
      <c r="C238" s="94">
        <v>10065160</v>
      </c>
      <c r="D238" s="94">
        <v>17543193.079999998</v>
      </c>
      <c r="E238" s="61">
        <f>F238-12125629.79</f>
        <v>559635.44000000134</v>
      </c>
      <c r="F238" s="94">
        <v>12685265.23</v>
      </c>
      <c r="G238" s="45">
        <f t="shared" si="49"/>
        <v>1.6558501414163204E-2</v>
      </c>
      <c r="H238" s="45">
        <f t="shared" si="51"/>
        <v>4857927.8499999978</v>
      </c>
      <c r="I238" s="45">
        <f>J238-5896375.33</f>
        <v>2754813.8900000006</v>
      </c>
      <c r="J238" s="94">
        <v>8651189.2200000007</v>
      </c>
      <c r="K238" s="45">
        <f t="shared" si="50"/>
        <v>1.2316228783186198E-2</v>
      </c>
      <c r="L238" s="53">
        <f t="shared" si="52"/>
        <v>8892003.8599999975</v>
      </c>
      <c r="M238" s="92"/>
    </row>
    <row r="239" spans="1:13" ht="14.85" customHeight="1" x14ac:dyDescent="0.25">
      <c r="A239" s="43" t="s">
        <v>218</v>
      </c>
      <c r="B239" s="44" t="s">
        <v>219</v>
      </c>
      <c r="C239" s="94">
        <v>52102875</v>
      </c>
      <c r="D239" s="94">
        <v>44877046.149999999</v>
      </c>
      <c r="E239" s="61">
        <f>F239-2316234.64</f>
        <v>3100806.7499999995</v>
      </c>
      <c r="F239" s="94">
        <v>5417041.3899999997</v>
      </c>
      <c r="G239" s="45">
        <f t="shared" si="49"/>
        <v>7.0710454918013243E-3</v>
      </c>
      <c r="H239" s="45">
        <f t="shared" si="51"/>
        <v>39460004.759999998</v>
      </c>
      <c r="I239" s="45">
        <f>J239-1975243.31</f>
        <v>3045736.97</v>
      </c>
      <c r="J239" s="94">
        <v>5020980.28</v>
      </c>
      <c r="K239" s="45">
        <f t="shared" si="50"/>
        <v>7.1480972467212189E-3</v>
      </c>
      <c r="L239" s="53">
        <f t="shared" si="52"/>
        <v>39856065.869999997</v>
      </c>
      <c r="M239" s="92"/>
    </row>
    <row r="240" spans="1:13" ht="14.85" customHeight="1" x14ac:dyDescent="0.25">
      <c r="A240" s="43" t="s">
        <v>220</v>
      </c>
      <c r="B240" s="44" t="s">
        <v>221</v>
      </c>
      <c r="C240" s="45">
        <v>0</v>
      </c>
      <c r="D240" s="45">
        <v>0</v>
      </c>
      <c r="E240" s="61">
        <f t="shared" si="48"/>
        <v>0</v>
      </c>
      <c r="F240" s="45">
        <v>0</v>
      </c>
      <c r="G240" s="45">
        <f t="shared" si="49"/>
        <v>0</v>
      </c>
      <c r="H240" s="45">
        <f t="shared" si="51"/>
        <v>0</v>
      </c>
      <c r="I240" s="45">
        <f t="shared" si="47"/>
        <v>0</v>
      </c>
      <c r="J240" s="45">
        <v>0</v>
      </c>
      <c r="K240" s="45">
        <f t="shared" si="50"/>
        <v>0</v>
      </c>
      <c r="L240" s="53">
        <f t="shared" si="52"/>
        <v>0</v>
      </c>
      <c r="M240" s="92"/>
    </row>
    <row r="241" spans="1:13" ht="14.85" customHeight="1" x14ac:dyDescent="0.25">
      <c r="A241" s="43" t="s">
        <v>128</v>
      </c>
      <c r="B241" s="44" t="s">
        <v>129</v>
      </c>
      <c r="C241" s="94">
        <v>200766728</v>
      </c>
      <c r="D241" s="94">
        <v>207302647.97</v>
      </c>
      <c r="E241" s="61">
        <f>F241-65834338.15</f>
        <v>40547267.479999997</v>
      </c>
      <c r="F241" s="94">
        <v>106381605.63</v>
      </c>
      <c r="G241" s="45">
        <f t="shared" si="49"/>
        <v>0.13886347154172249</v>
      </c>
      <c r="H241" s="45">
        <f t="shared" si="51"/>
        <v>100921042.34</v>
      </c>
      <c r="I241" s="45">
        <f>J241-63692354.97</f>
        <v>41020680.109999999</v>
      </c>
      <c r="J241" s="94">
        <v>104713035.08</v>
      </c>
      <c r="K241" s="45">
        <f t="shared" si="50"/>
        <v>0.14907426757532902</v>
      </c>
      <c r="L241" s="53">
        <f t="shared" si="52"/>
        <v>102589612.89</v>
      </c>
      <c r="M241" s="92"/>
    </row>
    <row r="242" spans="1:13" ht="14.85" customHeight="1" x14ac:dyDescent="0.2">
      <c r="A242" s="40" t="s">
        <v>222</v>
      </c>
      <c r="B242" s="70" t="s">
        <v>223</v>
      </c>
      <c r="C242" s="42">
        <f>SUM(C243:C245)</f>
        <v>70143942</v>
      </c>
      <c r="D242" s="42">
        <f>SUM(D243:D245)</f>
        <v>77391021.620000005</v>
      </c>
      <c r="E242" s="98">
        <f>SUM(E243:E245)</f>
        <v>22148562.150000002</v>
      </c>
      <c r="F242" s="42">
        <f>SUM(F243:F245)</f>
        <v>55092869.549999997</v>
      </c>
      <c r="G242" s="42">
        <f t="shared" si="49"/>
        <v>7.1914567162265297E-2</v>
      </c>
      <c r="H242" s="42">
        <f t="shared" si="51"/>
        <v>22298152.070000008</v>
      </c>
      <c r="I242" s="42">
        <f>SUM(I243:I245)</f>
        <v>22465652.989999998</v>
      </c>
      <c r="J242" s="42">
        <f>SUM(J243:J245)</f>
        <v>54001931.240000002</v>
      </c>
      <c r="K242" s="42">
        <f t="shared" si="50"/>
        <v>7.6879620012025335E-2</v>
      </c>
      <c r="L242" s="57">
        <f t="shared" si="52"/>
        <v>23389090.380000003</v>
      </c>
      <c r="M242" s="92"/>
    </row>
    <row r="243" spans="1:13" ht="14.85" customHeight="1" x14ac:dyDescent="0.25">
      <c r="A243" s="43" t="s">
        <v>30</v>
      </c>
      <c r="B243" s="44" t="s">
        <v>31</v>
      </c>
      <c r="C243" s="94">
        <v>22513625</v>
      </c>
      <c r="D243" s="94">
        <v>21084152.800000001</v>
      </c>
      <c r="E243" s="61">
        <f>F243-10635781.63</f>
        <v>3275591.2699999996</v>
      </c>
      <c r="F243" s="94">
        <v>13911372.9</v>
      </c>
      <c r="G243" s="45">
        <f t="shared" si="49"/>
        <v>1.8158980806552805E-2</v>
      </c>
      <c r="H243" s="45">
        <f t="shared" si="51"/>
        <v>7172779.9000000004</v>
      </c>
      <c r="I243" s="45">
        <f>J243-10411800.18</f>
        <v>3263297.8900000006</v>
      </c>
      <c r="J243" s="94">
        <v>13675098.07</v>
      </c>
      <c r="K243" s="45">
        <f t="shared" si="50"/>
        <v>1.9468495276147482E-2</v>
      </c>
      <c r="L243" s="53">
        <f t="shared" si="52"/>
        <v>7409054.7300000004</v>
      </c>
    </row>
    <row r="244" spans="1:13" ht="14.85" customHeight="1" x14ac:dyDescent="0.25">
      <c r="A244" s="43" t="s">
        <v>81</v>
      </c>
      <c r="B244" s="44" t="s">
        <v>82</v>
      </c>
      <c r="C244" s="94">
        <v>8239128</v>
      </c>
      <c r="D244" s="94">
        <v>8239128</v>
      </c>
      <c r="E244" s="61">
        <f>F244-8193775.67</f>
        <v>0</v>
      </c>
      <c r="F244" s="94">
        <v>8193775.6699999999</v>
      </c>
      <c r="G244" s="45">
        <f t="shared" si="49"/>
        <v>1.0695609714029688E-2</v>
      </c>
      <c r="H244" s="45">
        <f t="shared" si="51"/>
        <v>45352.330000000075</v>
      </c>
      <c r="I244" s="45">
        <f>J244-8182359.01</f>
        <v>11416.660000000149</v>
      </c>
      <c r="J244" s="94">
        <v>8193775.6699999999</v>
      </c>
      <c r="K244" s="45">
        <f t="shared" si="50"/>
        <v>1.1665033925801101E-2</v>
      </c>
      <c r="L244" s="53">
        <f t="shared" si="52"/>
        <v>45352.330000000075</v>
      </c>
    </row>
    <row r="245" spans="1:13" ht="14.85" customHeight="1" x14ac:dyDescent="0.25">
      <c r="A245" s="43" t="s">
        <v>224</v>
      </c>
      <c r="B245" s="44" t="s">
        <v>225</v>
      </c>
      <c r="C245" s="94">
        <v>39391189</v>
      </c>
      <c r="D245" s="94">
        <v>48067740.82</v>
      </c>
      <c r="E245" s="61">
        <f>F245-14114750.1</f>
        <v>18872970.880000003</v>
      </c>
      <c r="F245" s="94">
        <v>32987720.98</v>
      </c>
      <c r="G245" s="45">
        <f t="shared" si="49"/>
        <v>4.3059976641682811E-2</v>
      </c>
      <c r="H245" s="45">
        <f t="shared" si="51"/>
        <v>15080019.84</v>
      </c>
      <c r="I245" s="45">
        <f>J245-12942119.06</f>
        <v>19190938.439999998</v>
      </c>
      <c r="J245" s="94">
        <v>32133057.5</v>
      </c>
      <c r="K245" s="45">
        <f t="shared" si="50"/>
        <v>4.5746090810076752E-2</v>
      </c>
      <c r="L245" s="53">
        <f t="shared" si="52"/>
        <v>15934683.32</v>
      </c>
    </row>
    <row r="246" spans="1:13" ht="14.85" customHeight="1" x14ac:dyDescent="0.2">
      <c r="A246" s="40" t="s">
        <v>226</v>
      </c>
      <c r="B246" s="70" t="s">
        <v>227</v>
      </c>
      <c r="C246" s="42">
        <f>SUM(C247:C260)</f>
        <v>281015776</v>
      </c>
      <c r="D246" s="42">
        <f>SUM(D247:D260)</f>
        <v>273178831.33000004</v>
      </c>
      <c r="E246" s="98">
        <f>SUM(E247:E260)</f>
        <v>25507173.99000001</v>
      </c>
      <c r="F246" s="42">
        <f>SUM(F247:F260)</f>
        <v>91430367.180000007</v>
      </c>
      <c r="G246" s="42">
        <f t="shared" si="49"/>
        <v>0.11934711941750162</v>
      </c>
      <c r="H246" s="42">
        <f t="shared" si="51"/>
        <v>181748464.15000004</v>
      </c>
      <c r="I246" s="42">
        <f>SUM(I247:I260)</f>
        <v>21535495.059999991</v>
      </c>
      <c r="J246" s="42">
        <f>SUM(J247:J260)</f>
        <v>83620257.689999983</v>
      </c>
      <c r="K246" s="42">
        <f t="shared" si="50"/>
        <v>0.11904562464523515</v>
      </c>
      <c r="L246" s="57">
        <f t="shared" si="52"/>
        <v>189558573.64000005</v>
      </c>
    </row>
    <row r="247" spans="1:13" ht="14.85" customHeight="1" x14ac:dyDescent="0.25">
      <c r="A247" s="43" t="s">
        <v>30</v>
      </c>
      <c r="B247" s="44" t="s">
        <v>31</v>
      </c>
      <c r="C247" s="94">
        <v>145913330</v>
      </c>
      <c r="D247" s="94">
        <v>165364744.30000001</v>
      </c>
      <c r="E247" s="61">
        <f>F247-60207887.19</f>
        <v>21318927.930000007</v>
      </c>
      <c r="F247" s="94">
        <v>81526815.120000005</v>
      </c>
      <c r="G247" s="45">
        <f t="shared" si="49"/>
        <v>0.10641968133737965</v>
      </c>
      <c r="H247" s="45">
        <f t="shared" si="51"/>
        <v>83837929.180000007</v>
      </c>
      <c r="I247" s="45">
        <f>J247-56766278.7</f>
        <v>20668401.679999992</v>
      </c>
      <c r="J247" s="94">
        <v>77434680.379999995</v>
      </c>
      <c r="K247" s="45">
        <f t="shared" si="50"/>
        <v>0.1102395537839108</v>
      </c>
      <c r="L247" s="53">
        <f t="shared" si="52"/>
        <v>87930063.920000017</v>
      </c>
    </row>
    <row r="248" spans="1:13" ht="14.85" customHeight="1" x14ac:dyDescent="0.25">
      <c r="A248" s="43" t="s">
        <v>63</v>
      </c>
      <c r="B248" s="44" t="s">
        <v>64</v>
      </c>
      <c r="C248" s="45">
        <v>0</v>
      </c>
      <c r="D248" s="45">
        <v>0</v>
      </c>
      <c r="E248" s="61">
        <f t="shared" ref="E248:E259" si="53">F248-0</f>
        <v>0</v>
      </c>
      <c r="F248" s="45">
        <v>0</v>
      </c>
      <c r="G248" s="45">
        <f t="shared" si="49"/>
        <v>0</v>
      </c>
      <c r="H248" s="45">
        <f t="shared" si="51"/>
        <v>0</v>
      </c>
      <c r="I248" s="45">
        <f>J248-0</f>
        <v>0</v>
      </c>
      <c r="J248" s="45">
        <v>0</v>
      </c>
      <c r="K248" s="45">
        <f t="shared" si="50"/>
        <v>0</v>
      </c>
      <c r="L248" s="53">
        <f t="shared" si="52"/>
        <v>0</v>
      </c>
      <c r="M248" s="92"/>
    </row>
    <row r="249" spans="1:13" ht="14.85" customHeight="1" x14ac:dyDescent="0.25">
      <c r="A249" s="43" t="s">
        <v>65</v>
      </c>
      <c r="B249" s="44" t="s">
        <v>66</v>
      </c>
      <c r="C249" s="94">
        <v>1180504</v>
      </c>
      <c r="D249" s="94">
        <v>1452344</v>
      </c>
      <c r="E249" s="61">
        <f>F249-47158</f>
        <v>1181684.8700000001</v>
      </c>
      <c r="F249" s="45">
        <v>1228842.8700000001</v>
      </c>
      <c r="G249" s="45">
        <f t="shared" si="49"/>
        <v>1.6040497405255571E-3</v>
      </c>
      <c r="H249" s="45">
        <f t="shared" si="51"/>
        <v>223501.12999999989</v>
      </c>
      <c r="I249" s="45">
        <f>J249-2192</f>
        <v>43666</v>
      </c>
      <c r="J249" s="45">
        <v>45858</v>
      </c>
      <c r="K249" s="45">
        <f t="shared" si="50"/>
        <v>6.528554689725682E-5</v>
      </c>
      <c r="L249" s="53">
        <f t="shared" si="52"/>
        <v>1406486</v>
      </c>
      <c r="M249" s="92"/>
    </row>
    <row r="250" spans="1:13" ht="14.85" customHeight="1" x14ac:dyDescent="0.25">
      <c r="A250" s="43" t="s">
        <v>32</v>
      </c>
      <c r="B250" s="44" t="s">
        <v>33</v>
      </c>
      <c r="C250" s="45">
        <v>0</v>
      </c>
      <c r="D250" s="45">
        <v>0</v>
      </c>
      <c r="E250" s="61">
        <f t="shared" si="53"/>
        <v>0</v>
      </c>
      <c r="F250" s="45">
        <v>0</v>
      </c>
      <c r="G250" s="45">
        <f t="shared" si="49"/>
        <v>0</v>
      </c>
      <c r="H250" s="45">
        <f t="shared" si="51"/>
        <v>0</v>
      </c>
      <c r="I250" s="45">
        <f t="shared" ref="I250:I259" si="54">J250-0</f>
        <v>0</v>
      </c>
      <c r="J250" s="45"/>
      <c r="K250" s="45">
        <f t="shared" si="50"/>
        <v>0</v>
      </c>
      <c r="L250" s="53">
        <f t="shared" si="52"/>
        <v>0</v>
      </c>
      <c r="M250" s="92"/>
    </row>
    <row r="251" spans="1:13" ht="14.85" customHeight="1" x14ac:dyDescent="0.25">
      <c r="A251" s="43" t="s">
        <v>44</v>
      </c>
      <c r="B251" s="44" t="s">
        <v>45</v>
      </c>
      <c r="C251" s="45">
        <v>0</v>
      </c>
      <c r="D251" s="45">
        <v>0</v>
      </c>
      <c r="E251" s="61">
        <f t="shared" si="53"/>
        <v>0</v>
      </c>
      <c r="F251" s="45">
        <v>0</v>
      </c>
      <c r="G251" s="45">
        <f t="shared" si="49"/>
        <v>0</v>
      </c>
      <c r="H251" s="45">
        <f t="shared" si="51"/>
        <v>0</v>
      </c>
      <c r="I251" s="45">
        <f t="shared" si="54"/>
        <v>0</v>
      </c>
      <c r="J251" s="45">
        <v>0</v>
      </c>
      <c r="K251" s="45">
        <f t="shared" si="50"/>
        <v>0</v>
      </c>
      <c r="L251" s="53">
        <f t="shared" si="52"/>
        <v>0</v>
      </c>
      <c r="M251" s="92"/>
    </row>
    <row r="252" spans="1:13" ht="14.85" customHeight="1" x14ac:dyDescent="0.25">
      <c r="A252" s="43" t="s">
        <v>89</v>
      </c>
      <c r="B252" s="44" t="s">
        <v>152</v>
      </c>
      <c r="C252" s="45">
        <v>0</v>
      </c>
      <c r="D252" s="45">
        <v>0</v>
      </c>
      <c r="E252" s="61">
        <f t="shared" si="53"/>
        <v>0</v>
      </c>
      <c r="F252" s="45">
        <v>0</v>
      </c>
      <c r="G252" s="45">
        <f t="shared" si="49"/>
        <v>0</v>
      </c>
      <c r="H252" s="45">
        <f t="shared" si="51"/>
        <v>0</v>
      </c>
      <c r="I252" s="45">
        <f>J252-0</f>
        <v>0</v>
      </c>
      <c r="J252" s="45">
        <v>0</v>
      </c>
      <c r="K252" s="45">
        <f t="shared" si="50"/>
        <v>0</v>
      </c>
      <c r="L252" s="53">
        <f t="shared" si="52"/>
        <v>0</v>
      </c>
      <c r="M252" s="92"/>
    </row>
    <row r="253" spans="1:13" ht="14.85" customHeight="1" x14ac:dyDescent="0.25">
      <c r="A253" s="43" t="s">
        <v>91</v>
      </c>
      <c r="B253" s="44" t="s">
        <v>92</v>
      </c>
      <c r="C253" s="94">
        <v>4146606</v>
      </c>
      <c r="D253" s="94">
        <v>16586407.029999999</v>
      </c>
      <c r="E253" s="61">
        <f>F253-3986201.52</f>
        <v>322235.67000000039</v>
      </c>
      <c r="F253" s="94">
        <v>4308437.1900000004</v>
      </c>
      <c r="G253" s="45">
        <f t="shared" si="49"/>
        <v>5.6239473128815564E-3</v>
      </c>
      <c r="H253" s="45">
        <f t="shared" si="51"/>
        <v>12277969.84</v>
      </c>
      <c r="I253" s="45">
        <f>J253-3961455</f>
        <v>71656.569999999832</v>
      </c>
      <c r="J253" s="94">
        <v>4033111.57</v>
      </c>
      <c r="K253" s="45">
        <f t="shared" si="50"/>
        <v>5.7417221541520352E-3</v>
      </c>
      <c r="L253" s="53">
        <f t="shared" si="52"/>
        <v>12553295.459999999</v>
      </c>
      <c r="M253" s="92"/>
    </row>
    <row r="254" spans="1:13" ht="14.85" customHeight="1" x14ac:dyDescent="0.25">
      <c r="A254" s="43" t="s">
        <v>228</v>
      </c>
      <c r="B254" s="44" t="s">
        <v>229</v>
      </c>
      <c r="C254" s="94">
        <v>88204</v>
      </c>
      <c r="D254" s="94">
        <v>88204</v>
      </c>
      <c r="E254" s="61">
        <f>F254-14310.48</f>
        <v>-6674.48</v>
      </c>
      <c r="F254" s="94">
        <v>7636</v>
      </c>
      <c r="G254" s="45">
        <f t="shared" si="49"/>
        <v>9.9675264573518266E-6</v>
      </c>
      <c r="H254" s="45">
        <f t="shared" si="51"/>
        <v>80568</v>
      </c>
      <c r="I254" s="45">
        <f>J254-14310.48</f>
        <v>-6674.48</v>
      </c>
      <c r="J254" s="94">
        <v>7636</v>
      </c>
      <c r="K254" s="45">
        <f t="shared" si="50"/>
        <v>1.0870958962611823E-5</v>
      </c>
      <c r="L254" s="53">
        <f t="shared" si="52"/>
        <v>80568</v>
      </c>
      <c r="M254" s="92"/>
    </row>
    <row r="255" spans="1:13" ht="14.85" customHeight="1" x14ac:dyDescent="0.25">
      <c r="A255" s="43" t="s">
        <v>230</v>
      </c>
      <c r="B255" s="44" t="s">
        <v>231</v>
      </c>
      <c r="C255" s="45">
        <v>0</v>
      </c>
      <c r="D255" s="45">
        <v>0</v>
      </c>
      <c r="E255" s="61">
        <f t="shared" si="53"/>
        <v>0</v>
      </c>
      <c r="F255" s="45">
        <v>0</v>
      </c>
      <c r="G255" s="45">
        <f t="shared" si="49"/>
        <v>0</v>
      </c>
      <c r="H255" s="45">
        <f t="shared" si="51"/>
        <v>0</v>
      </c>
      <c r="I255" s="45">
        <f>J255-0</f>
        <v>0</v>
      </c>
      <c r="J255" s="45">
        <v>0</v>
      </c>
      <c r="K255" s="45">
        <f t="shared" si="50"/>
        <v>0</v>
      </c>
      <c r="L255" s="53">
        <f t="shared" si="52"/>
        <v>0</v>
      </c>
      <c r="M255" s="92"/>
    </row>
    <row r="256" spans="1:13" ht="14.85" customHeight="1" x14ac:dyDescent="0.25">
      <c r="A256" s="43" t="s">
        <v>232</v>
      </c>
      <c r="B256" s="44" t="s">
        <v>233</v>
      </c>
      <c r="C256" s="94">
        <v>129679496</v>
      </c>
      <c r="D256" s="94">
        <v>89679496</v>
      </c>
      <c r="E256" s="61">
        <f>F256-1660000</f>
        <v>2691000</v>
      </c>
      <c r="F256" s="94">
        <v>4351000</v>
      </c>
      <c r="G256" s="45">
        <f t="shared" si="49"/>
        <v>5.6795059738001313E-3</v>
      </c>
      <c r="H256" s="45">
        <f t="shared" si="51"/>
        <v>85328496</v>
      </c>
      <c r="I256" s="45">
        <f>J256-1332890.45</f>
        <v>758445.29</v>
      </c>
      <c r="J256" s="94">
        <v>2091335.74</v>
      </c>
      <c r="K256" s="45">
        <f t="shared" si="50"/>
        <v>2.977321242349847E-3</v>
      </c>
      <c r="L256" s="53">
        <f t="shared" si="52"/>
        <v>87588160.260000005</v>
      </c>
      <c r="M256" s="92"/>
    </row>
    <row r="257" spans="1:13" ht="14.85" customHeight="1" x14ac:dyDescent="0.25">
      <c r="A257" s="43" t="s">
        <v>95</v>
      </c>
      <c r="B257" s="44" t="s">
        <v>96</v>
      </c>
      <c r="C257" s="45">
        <v>0</v>
      </c>
      <c r="D257" s="45">
        <v>0</v>
      </c>
      <c r="E257" s="61">
        <f t="shared" si="53"/>
        <v>0</v>
      </c>
      <c r="F257" s="45">
        <v>0</v>
      </c>
      <c r="G257" s="45">
        <f t="shared" si="49"/>
        <v>0</v>
      </c>
      <c r="H257" s="45">
        <f t="shared" si="51"/>
        <v>0</v>
      </c>
      <c r="I257" s="45">
        <f t="shared" si="54"/>
        <v>0</v>
      </c>
      <c r="J257" s="45">
        <v>0</v>
      </c>
      <c r="K257" s="45">
        <f t="shared" si="50"/>
        <v>0</v>
      </c>
      <c r="L257" s="53">
        <f t="shared" si="52"/>
        <v>0</v>
      </c>
      <c r="M257" s="92"/>
    </row>
    <row r="258" spans="1:13" ht="14.85" customHeight="1" x14ac:dyDescent="0.25">
      <c r="A258" s="43" t="s">
        <v>203</v>
      </c>
      <c r="B258" s="44" t="s">
        <v>204</v>
      </c>
      <c r="C258" s="45">
        <v>0</v>
      </c>
      <c r="D258" s="45">
        <v>0</v>
      </c>
      <c r="E258" s="61">
        <f t="shared" si="53"/>
        <v>0</v>
      </c>
      <c r="F258" s="45">
        <v>0</v>
      </c>
      <c r="G258" s="45">
        <f t="shared" si="49"/>
        <v>0</v>
      </c>
      <c r="H258" s="45">
        <f t="shared" si="51"/>
        <v>0</v>
      </c>
      <c r="I258" s="45">
        <f t="shared" si="54"/>
        <v>0</v>
      </c>
      <c r="J258" s="45">
        <v>0</v>
      </c>
      <c r="K258" s="45">
        <f t="shared" si="50"/>
        <v>0</v>
      </c>
      <c r="L258" s="53">
        <f t="shared" si="52"/>
        <v>0</v>
      </c>
    </row>
    <row r="259" spans="1:13" ht="14.85" customHeight="1" x14ac:dyDescent="0.25">
      <c r="A259" s="43" t="s">
        <v>234</v>
      </c>
      <c r="B259" s="44" t="s">
        <v>235</v>
      </c>
      <c r="C259" s="45">
        <v>0</v>
      </c>
      <c r="D259" s="45">
        <v>0</v>
      </c>
      <c r="E259" s="61">
        <f t="shared" si="53"/>
        <v>0</v>
      </c>
      <c r="F259" s="45">
        <v>0</v>
      </c>
      <c r="G259" s="45">
        <f t="shared" si="49"/>
        <v>0</v>
      </c>
      <c r="H259" s="45">
        <f t="shared" si="51"/>
        <v>0</v>
      </c>
      <c r="I259" s="45">
        <f t="shared" si="54"/>
        <v>0</v>
      </c>
      <c r="J259" s="45">
        <v>0</v>
      </c>
      <c r="K259" s="45">
        <f t="shared" si="50"/>
        <v>0</v>
      </c>
      <c r="L259" s="53">
        <f t="shared" si="52"/>
        <v>0</v>
      </c>
    </row>
    <row r="260" spans="1:13" ht="14.85" customHeight="1" x14ac:dyDescent="0.25">
      <c r="A260" s="43" t="s">
        <v>236</v>
      </c>
      <c r="B260" s="44" t="s">
        <v>237</v>
      </c>
      <c r="C260" s="94">
        <v>7636</v>
      </c>
      <c r="D260" s="94">
        <v>7636</v>
      </c>
      <c r="E260" s="61">
        <f>F260-7636</f>
        <v>0</v>
      </c>
      <c r="F260" s="61">
        <v>7636</v>
      </c>
      <c r="G260" s="45">
        <f t="shared" si="49"/>
        <v>9.9675264573518266E-6</v>
      </c>
      <c r="H260" s="45">
        <f t="shared" si="51"/>
        <v>0</v>
      </c>
      <c r="I260" s="45">
        <f>J260-7636</f>
        <v>0</v>
      </c>
      <c r="J260" s="45">
        <v>7636</v>
      </c>
      <c r="K260" s="45">
        <f t="shared" si="50"/>
        <v>1.0870958962611823E-5</v>
      </c>
      <c r="L260" s="53">
        <f t="shared" si="52"/>
        <v>0</v>
      </c>
    </row>
    <row r="261" spans="1:13" ht="14.85" customHeight="1" x14ac:dyDescent="0.2">
      <c r="A261" s="40" t="s">
        <v>238</v>
      </c>
      <c r="B261" s="70" t="s">
        <v>239</v>
      </c>
      <c r="C261" s="42">
        <f>SUM(C262:C270)</f>
        <v>530473459</v>
      </c>
      <c r="D261" s="42">
        <f>SUM(D262:D270)</f>
        <v>673247725.61000001</v>
      </c>
      <c r="E261" s="98">
        <f>SUM(E262:E270)</f>
        <v>55989283.700000003</v>
      </c>
      <c r="F261" s="42">
        <f>SUM(F262:F270)</f>
        <v>186887399.04000002</v>
      </c>
      <c r="G261" s="42">
        <f t="shared" si="49"/>
        <v>0.2439503790566879</v>
      </c>
      <c r="H261" s="42">
        <f t="shared" si="51"/>
        <v>486360326.56999999</v>
      </c>
      <c r="I261" s="42">
        <f>SUM(I262:I270)</f>
        <v>42873487.609999999</v>
      </c>
      <c r="J261" s="42">
        <f>SUM(J262:J270)</f>
        <v>149114753.93000001</v>
      </c>
      <c r="K261" s="42">
        <f t="shared" si="50"/>
        <v>0.21228658599960587</v>
      </c>
      <c r="L261" s="57">
        <f t="shared" si="52"/>
        <v>524132971.68000001</v>
      </c>
    </row>
    <row r="262" spans="1:13" ht="14.85" customHeight="1" x14ac:dyDescent="0.25">
      <c r="A262" s="43" t="s">
        <v>30</v>
      </c>
      <c r="B262" s="44" t="s">
        <v>31</v>
      </c>
      <c r="C262" s="94">
        <v>151915963</v>
      </c>
      <c r="D262" s="94">
        <v>226270935.00999999</v>
      </c>
      <c r="E262" s="61">
        <f>F262-70332313.51</f>
        <v>22037261.609999999</v>
      </c>
      <c r="F262" s="94">
        <v>92369575.120000005</v>
      </c>
      <c r="G262" s="45">
        <f t="shared" si="49"/>
        <v>0.12057309898676626</v>
      </c>
      <c r="H262" s="45">
        <f t="shared" si="51"/>
        <v>133901359.88999999</v>
      </c>
      <c r="I262" s="45">
        <f>J262-59772384.48</f>
        <v>16807596.710000001</v>
      </c>
      <c r="J262" s="94">
        <v>76579981.189999998</v>
      </c>
      <c r="K262" s="45">
        <f t="shared" si="50"/>
        <v>0.10902276491279142</v>
      </c>
      <c r="L262" s="53">
        <f t="shared" si="52"/>
        <v>149690953.81999999</v>
      </c>
    </row>
    <row r="263" spans="1:13" ht="14.85" customHeight="1" x14ac:dyDescent="0.25">
      <c r="A263" s="43" t="s">
        <v>61</v>
      </c>
      <c r="B263" s="44" t="s">
        <v>62</v>
      </c>
      <c r="C263" s="94">
        <v>20000</v>
      </c>
      <c r="D263" s="94">
        <v>20000</v>
      </c>
      <c r="E263" s="61">
        <f t="shared" ref="E263:E266" si="55">F263-0</f>
        <v>0</v>
      </c>
      <c r="F263" s="45">
        <v>0</v>
      </c>
      <c r="G263" s="45">
        <f t="shared" ref="G263:G294" si="56">(F263/$F$307)*100</f>
        <v>0</v>
      </c>
      <c r="H263" s="45">
        <f t="shared" si="51"/>
        <v>20000</v>
      </c>
      <c r="I263" s="45">
        <f t="shared" ref="I263:I266" si="57">J263-0</f>
        <v>0</v>
      </c>
      <c r="J263" s="45">
        <v>0</v>
      </c>
      <c r="K263" s="45">
        <f t="shared" ref="K263:K294" si="58">(J263/$J$307)*100</f>
        <v>0</v>
      </c>
      <c r="L263" s="53">
        <f t="shared" si="52"/>
        <v>20000</v>
      </c>
    </row>
    <row r="264" spans="1:13" ht="14.85" customHeight="1" x14ac:dyDescent="0.25">
      <c r="A264" s="43" t="s">
        <v>108</v>
      </c>
      <c r="B264" s="44" t="s">
        <v>109</v>
      </c>
      <c r="C264" s="94">
        <v>533904</v>
      </c>
      <c r="D264" s="94">
        <v>533904</v>
      </c>
      <c r="E264" s="61">
        <f>F264-0</f>
        <v>0</v>
      </c>
      <c r="F264" s="45">
        <v>0</v>
      </c>
      <c r="G264" s="45">
        <f t="shared" si="56"/>
        <v>0</v>
      </c>
      <c r="H264" s="45">
        <f t="shared" si="51"/>
        <v>533904</v>
      </c>
      <c r="I264" s="45">
        <f>J264-0</f>
        <v>0</v>
      </c>
      <c r="J264" s="45">
        <v>0</v>
      </c>
      <c r="K264" s="45">
        <f t="shared" si="58"/>
        <v>0</v>
      </c>
      <c r="L264" s="53">
        <f t="shared" si="52"/>
        <v>533904</v>
      </c>
    </row>
    <row r="265" spans="1:13" ht="14.85" customHeight="1" x14ac:dyDescent="0.25">
      <c r="A265" s="43" t="s">
        <v>112</v>
      </c>
      <c r="B265" s="44" t="s">
        <v>113</v>
      </c>
      <c r="C265" s="94">
        <v>11091926</v>
      </c>
      <c r="D265" s="94">
        <v>61091926</v>
      </c>
      <c r="E265" s="61">
        <f>F265-2471392.38</f>
        <v>1256748.4300000002</v>
      </c>
      <c r="F265" s="94">
        <v>3728140.81</v>
      </c>
      <c r="G265" s="45">
        <f t="shared" si="56"/>
        <v>4.8664670194353155E-3</v>
      </c>
      <c r="H265" s="45">
        <f t="shared" si="51"/>
        <v>57363785.189999998</v>
      </c>
      <c r="I265" s="45">
        <f>J265-2471392.38</f>
        <v>1256748.4300000002</v>
      </c>
      <c r="J265" s="94">
        <v>3728140.81</v>
      </c>
      <c r="K265" s="45">
        <f t="shared" si="58"/>
        <v>5.3075518271802529E-3</v>
      </c>
      <c r="L265" s="53">
        <f t="shared" si="52"/>
        <v>57363785.189999998</v>
      </c>
    </row>
    <row r="266" spans="1:13" ht="14.85" customHeight="1" x14ac:dyDescent="0.25">
      <c r="A266" s="43" t="s">
        <v>40</v>
      </c>
      <c r="B266" s="44" t="s">
        <v>41</v>
      </c>
      <c r="C266" s="45">
        <v>0</v>
      </c>
      <c r="D266" s="45">
        <v>0</v>
      </c>
      <c r="E266" s="61">
        <f t="shared" si="55"/>
        <v>0</v>
      </c>
      <c r="F266" s="45">
        <v>0</v>
      </c>
      <c r="G266" s="45">
        <f t="shared" si="56"/>
        <v>0</v>
      </c>
      <c r="H266" s="45">
        <f t="shared" si="51"/>
        <v>0</v>
      </c>
      <c r="I266" s="45">
        <f t="shared" si="57"/>
        <v>0</v>
      </c>
      <c r="J266" s="45">
        <v>0</v>
      </c>
      <c r="K266" s="45">
        <f t="shared" si="58"/>
        <v>0</v>
      </c>
      <c r="L266" s="53">
        <f t="shared" si="52"/>
        <v>0</v>
      </c>
    </row>
    <row r="267" spans="1:13" ht="14.85" customHeight="1" x14ac:dyDescent="0.25">
      <c r="A267" s="43" t="s">
        <v>232</v>
      </c>
      <c r="B267" s="44" t="s">
        <v>233</v>
      </c>
      <c r="C267" s="94">
        <v>21808235</v>
      </c>
      <c r="D267" s="94">
        <v>24470769.5</v>
      </c>
      <c r="E267" s="61">
        <f>F267-12430794.71</f>
        <v>3819127.1099999994</v>
      </c>
      <c r="F267" s="94">
        <v>16249921.82</v>
      </c>
      <c r="G267" s="45">
        <f t="shared" si="56"/>
        <v>2.1211567007693655E-2</v>
      </c>
      <c r="H267" s="45">
        <f t="shared" si="51"/>
        <v>8220847.6799999997</v>
      </c>
      <c r="I267" s="45">
        <f>J267-4613912.33</f>
        <v>6176898.6999999993</v>
      </c>
      <c r="J267" s="94">
        <v>10790811.029999999</v>
      </c>
      <c r="K267" s="45">
        <f t="shared" si="58"/>
        <v>1.5362292283974465E-2</v>
      </c>
      <c r="L267" s="53">
        <f t="shared" si="52"/>
        <v>13679958.470000001</v>
      </c>
    </row>
    <row r="268" spans="1:13" ht="14.85" customHeight="1" x14ac:dyDescent="0.25">
      <c r="A268" s="43" t="s">
        <v>240</v>
      </c>
      <c r="B268" s="44" t="s">
        <v>241</v>
      </c>
      <c r="C268" s="94">
        <v>1020000</v>
      </c>
      <c r="D268" s="94">
        <v>330652</v>
      </c>
      <c r="E268" s="61">
        <f>F268-54776.48</f>
        <v>0</v>
      </c>
      <c r="F268" s="45">
        <v>54776.480000000003</v>
      </c>
      <c r="G268" s="45">
        <f t="shared" si="56"/>
        <v>7.1501573289759461E-5</v>
      </c>
      <c r="H268" s="45">
        <f t="shared" si="51"/>
        <v>275875.52</v>
      </c>
      <c r="I268" s="45">
        <f>J268-54776.48</f>
        <v>0</v>
      </c>
      <c r="J268" s="45">
        <v>54776.480000000003</v>
      </c>
      <c r="K268" s="45">
        <f t="shared" si="58"/>
        <v>7.7982303063950671E-5</v>
      </c>
      <c r="L268" s="53">
        <f t="shared" si="52"/>
        <v>275875.52</v>
      </c>
    </row>
    <row r="269" spans="1:13" ht="14.85" customHeight="1" x14ac:dyDescent="0.25">
      <c r="A269" s="43" t="s">
        <v>93</v>
      </c>
      <c r="B269" s="44" t="s">
        <v>94</v>
      </c>
      <c r="C269" s="94">
        <v>276026855</v>
      </c>
      <c r="D269" s="94">
        <v>276026855</v>
      </c>
      <c r="E269" s="61">
        <f>F269-10610.63</f>
        <v>0</v>
      </c>
      <c r="F269" s="45">
        <v>10610.63</v>
      </c>
      <c r="G269" s="45">
        <f t="shared" si="56"/>
        <v>1.3850410588550419E-5</v>
      </c>
      <c r="H269" s="45">
        <f t="shared" si="51"/>
        <v>276016244.37</v>
      </c>
      <c r="I269" s="45">
        <f>J269-10610.63</f>
        <v>0</v>
      </c>
      <c r="J269" s="45">
        <v>10610.63</v>
      </c>
      <c r="K269" s="45">
        <f t="shared" si="58"/>
        <v>1.5105778326015961E-5</v>
      </c>
      <c r="L269" s="53">
        <f t="shared" si="52"/>
        <v>276016244.37</v>
      </c>
    </row>
    <row r="270" spans="1:13" ht="14.85" customHeight="1" x14ac:dyDescent="0.25">
      <c r="A270" s="43" t="s">
        <v>95</v>
      </c>
      <c r="B270" s="44" t="s">
        <v>96</v>
      </c>
      <c r="C270" s="94">
        <v>68056576</v>
      </c>
      <c r="D270" s="94">
        <v>84502684.099999994</v>
      </c>
      <c r="E270" s="61">
        <f>F270-45598227.63</f>
        <v>28876146.550000004</v>
      </c>
      <c r="F270" s="94">
        <v>74474374.180000007</v>
      </c>
      <c r="G270" s="45">
        <f t="shared" si="56"/>
        <v>9.7213894058914341E-2</v>
      </c>
      <c r="H270" s="45">
        <f t="shared" si="51"/>
        <v>10028309.919999987</v>
      </c>
      <c r="I270" s="45">
        <f>J270-39318190.02</f>
        <v>18632243.769999996</v>
      </c>
      <c r="J270" s="94">
        <v>57950433.789999999</v>
      </c>
      <c r="K270" s="45">
        <f t="shared" si="58"/>
        <v>8.2500888894269722E-2</v>
      </c>
      <c r="L270" s="53">
        <f t="shared" si="52"/>
        <v>26552250.309999995</v>
      </c>
    </row>
    <row r="271" spans="1:13" ht="14.85" customHeight="1" x14ac:dyDescent="0.2">
      <c r="A271" s="40" t="s">
        <v>242</v>
      </c>
      <c r="B271" s="70" t="s">
        <v>243</v>
      </c>
      <c r="C271" s="42">
        <f>SUM(C272:C274)</f>
        <v>0</v>
      </c>
      <c r="D271" s="42">
        <f>SUM(D272:D274)</f>
        <v>0</v>
      </c>
      <c r="E271" s="98">
        <f>SUM(E272:E274)</f>
        <v>0</v>
      </c>
      <c r="F271" s="42">
        <f>SUM(F272:F274)</f>
        <v>0</v>
      </c>
      <c r="G271" s="42">
        <f t="shared" si="56"/>
        <v>0</v>
      </c>
      <c r="H271" s="42">
        <f t="shared" si="51"/>
        <v>0</v>
      </c>
      <c r="I271" s="42">
        <f>SUM(I272:I274)</f>
        <v>0</v>
      </c>
      <c r="J271" s="42">
        <f>SUM(J272:J274)</f>
        <v>0</v>
      </c>
      <c r="K271" s="42">
        <f t="shared" si="58"/>
        <v>0</v>
      </c>
      <c r="L271" s="57">
        <f t="shared" si="52"/>
        <v>0</v>
      </c>
    </row>
    <row r="272" spans="1:13" ht="14.85" customHeight="1" x14ac:dyDescent="0.25">
      <c r="A272" s="43" t="s">
        <v>30</v>
      </c>
      <c r="B272" s="44" t="s">
        <v>31</v>
      </c>
      <c r="C272" s="45">
        <v>0</v>
      </c>
      <c r="D272" s="45">
        <v>0</v>
      </c>
      <c r="E272" s="61">
        <f>F272-0</f>
        <v>0</v>
      </c>
      <c r="F272" s="45">
        <v>0</v>
      </c>
      <c r="G272" s="45">
        <f t="shared" si="56"/>
        <v>0</v>
      </c>
      <c r="H272" s="45">
        <f t="shared" si="51"/>
        <v>0</v>
      </c>
      <c r="I272" s="45">
        <f>J272-0</f>
        <v>0</v>
      </c>
      <c r="J272" s="45">
        <v>0</v>
      </c>
      <c r="K272" s="45">
        <f t="shared" si="58"/>
        <v>0</v>
      </c>
      <c r="L272" s="53">
        <f t="shared" si="52"/>
        <v>0</v>
      </c>
    </row>
    <row r="273" spans="1:12" ht="14.85" customHeight="1" x14ac:dyDescent="0.25">
      <c r="A273" s="43" t="s">
        <v>36</v>
      </c>
      <c r="B273" s="44" t="s">
        <v>37</v>
      </c>
      <c r="C273" s="45">
        <v>0</v>
      </c>
      <c r="D273" s="45">
        <v>0</v>
      </c>
      <c r="E273" s="61">
        <f>F273-0</f>
        <v>0</v>
      </c>
      <c r="F273" s="45">
        <v>0</v>
      </c>
      <c r="G273" s="45">
        <f t="shared" si="56"/>
        <v>0</v>
      </c>
      <c r="H273" s="45">
        <f t="shared" si="51"/>
        <v>0</v>
      </c>
      <c r="I273" s="45">
        <f>J273-0</f>
        <v>0</v>
      </c>
      <c r="J273" s="45">
        <v>0</v>
      </c>
      <c r="K273" s="45">
        <f t="shared" si="58"/>
        <v>0</v>
      </c>
      <c r="L273" s="53">
        <f t="shared" si="52"/>
        <v>0</v>
      </c>
    </row>
    <row r="274" spans="1:12" ht="14.85" customHeight="1" x14ac:dyDescent="0.25">
      <c r="A274" s="43" t="s">
        <v>38</v>
      </c>
      <c r="B274" s="44" t="s">
        <v>39</v>
      </c>
      <c r="C274" s="45">
        <v>0</v>
      </c>
      <c r="D274" s="45">
        <v>0</v>
      </c>
      <c r="E274" s="61">
        <f>F274-0</f>
        <v>0</v>
      </c>
      <c r="F274" s="45">
        <v>0</v>
      </c>
      <c r="G274" s="45">
        <f t="shared" si="56"/>
        <v>0</v>
      </c>
      <c r="H274" s="45">
        <f t="shared" si="51"/>
        <v>0</v>
      </c>
      <c r="I274" s="45">
        <f>J274-0</f>
        <v>0</v>
      </c>
      <c r="J274" s="45">
        <v>0</v>
      </c>
      <c r="K274" s="45">
        <f t="shared" si="58"/>
        <v>0</v>
      </c>
      <c r="L274" s="53">
        <f t="shared" si="52"/>
        <v>0</v>
      </c>
    </row>
    <row r="275" spans="1:12" ht="14.85" customHeight="1" x14ac:dyDescent="0.2">
      <c r="A275" s="40" t="s">
        <v>244</v>
      </c>
      <c r="B275" s="70" t="s">
        <v>245</v>
      </c>
      <c r="C275" s="42">
        <f>SUM(C276:C279)</f>
        <v>27463177</v>
      </c>
      <c r="D275" s="42">
        <f>SUM(D276:D279)</f>
        <v>28834841.100000001</v>
      </c>
      <c r="E275" s="98">
        <f>SUM(E276:E279)</f>
        <v>3761260.1700000004</v>
      </c>
      <c r="F275" s="42">
        <f>SUM(F276:F279)</f>
        <v>18420724.780000001</v>
      </c>
      <c r="G275" s="42">
        <f t="shared" si="56"/>
        <v>2.4045188791022319E-2</v>
      </c>
      <c r="H275" s="42">
        <f t="shared" si="51"/>
        <v>10414116.32</v>
      </c>
      <c r="I275" s="42">
        <f>SUM(I276:I279)</f>
        <v>3782325.2699999996</v>
      </c>
      <c r="J275" s="42">
        <f>SUM(J276:J279)</f>
        <v>16868660.030000001</v>
      </c>
      <c r="K275" s="42">
        <f t="shared" si="58"/>
        <v>2.4014996194392398E-2</v>
      </c>
      <c r="L275" s="57">
        <f t="shared" si="52"/>
        <v>11966181.07</v>
      </c>
    </row>
    <row r="276" spans="1:12" ht="14.85" customHeight="1" x14ac:dyDescent="0.25">
      <c r="A276" s="43" t="s">
        <v>30</v>
      </c>
      <c r="B276" s="44" t="s">
        <v>31</v>
      </c>
      <c r="C276" s="94">
        <v>18021797</v>
      </c>
      <c r="D276" s="94">
        <v>19863270.260000002</v>
      </c>
      <c r="E276" s="61">
        <f>F276-11532308.01</f>
        <v>3763873.8200000003</v>
      </c>
      <c r="F276" s="94">
        <v>15296181.83</v>
      </c>
      <c r="G276" s="45">
        <f t="shared" si="56"/>
        <v>1.9966618267023218E-2</v>
      </c>
      <c r="H276" s="45">
        <f t="shared" si="51"/>
        <v>4567088.4300000016</v>
      </c>
      <c r="I276" s="45">
        <f>J276-9961791.81</f>
        <v>3782325.2699999996</v>
      </c>
      <c r="J276" s="94">
        <v>13744117.08</v>
      </c>
      <c r="K276" s="45">
        <f t="shared" si="58"/>
        <v>1.9566753896544296E-2</v>
      </c>
      <c r="L276" s="53">
        <f t="shared" si="52"/>
        <v>6119153.1800000016</v>
      </c>
    </row>
    <row r="277" spans="1:12" ht="14.85" customHeight="1" x14ac:dyDescent="0.25">
      <c r="A277" s="43" t="s">
        <v>32</v>
      </c>
      <c r="B277" s="44" t="s">
        <v>33</v>
      </c>
      <c r="C277" s="94">
        <v>8196959</v>
      </c>
      <c r="D277" s="94">
        <v>3621087.7</v>
      </c>
      <c r="E277" s="61">
        <f>F277-0</f>
        <v>0</v>
      </c>
      <c r="F277" s="45">
        <v>0</v>
      </c>
      <c r="G277" s="45">
        <f t="shared" si="56"/>
        <v>0</v>
      </c>
      <c r="H277" s="45">
        <f t="shared" si="51"/>
        <v>3621087.7</v>
      </c>
      <c r="I277" s="45">
        <f>J277-0</f>
        <v>0</v>
      </c>
      <c r="J277" s="45">
        <v>0</v>
      </c>
      <c r="K277" s="45">
        <f t="shared" si="58"/>
        <v>0</v>
      </c>
      <c r="L277" s="53">
        <f t="shared" si="52"/>
        <v>3621087.7</v>
      </c>
    </row>
    <row r="278" spans="1:12" ht="14.85" customHeight="1" x14ac:dyDescent="0.25">
      <c r="A278" s="43" t="s">
        <v>91</v>
      </c>
      <c r="B278" s="44" t="s">
        <v>92</v>
      </c>
      <c r="C278" s="94">
        <v>12421</v>
      </c>
      <c r="D278" s="94">
        <v>4977156.84</v>
      </c>
      <c r="E278" s="61">
        <f>F278-3127156.6</f>
        <v>-2613.6499999999069</v>
      </c>
      <c r="F278" s="45">
        <v>3124542.95</v>
      </c>
      <c r="G278" s="45">
        <f t="shared" si="56"/>
        <v>4.0785705239991003E-3</v>
      </c>
      <c r="H278" s="45">
        <f t="shared" si="51"/>
        <v>1852613.8899999997</v>
      </c>
      <c r="I278" s="45">
        <f>J278-3124542.95</f>
        <v>0</v>
      </c>
      <c r="J278" s="45">
        <v>3124542.95</v>
      </c>
      <c r="K278" s="45">
        <f t="shared" si="58"/>
        <v>4.4482422978481002E-3</v>
      </c>
      <c r="L278" s="53">
        <f t="shared" si="52"/>
        <v>1852613.8899999997</v>
      </c>
    </row>
    <row r="279" spans="1:12" ht="14.85" customHeight="1" x14ac:dyDescent="0.25">
      <c r="A279" s="43" t="s">
        <v>203</v>
      </c>
      <c r="B279" s="44" t="s">
        <v>204</v>
      </c>
      <c r="C279" s="94">
        <v>1232000</v>
      </c>
      <c r="D279" s="94">
        <v>373326.3</v>
      </c>
      <c r="E279" s="61">
        <f>F279-0</f>
        <v>0</v>
      </c>
      <c r="F279" s="45">
        <v>0</v>
      </c>
      <c r="G279" s="45">
        <f t="shared" si="56"/>
        <v>0</v>
      </c>
      <c r="H279" s="45">
        <f t="shared" si="51"/>
        <v>373326.3</v>
      </c>
      <c r="I279" s="45">
        <f>J279-0</f>
        <v>0</v>
      </c>
      <c r="J279" s="45">
        <v>0</v>
      </c>
      <c r="K279" s="45">
        <f t="shared" si="58"/>
        <v>0</v>
      </c>
      <c r="L279" s="53">
        <f t="shared" si="52"/>
        <v>373326.3</v>
      </c>
    </row>
    <row r="280" spans="1:12" ht="14.85" customHeight="1" x14ac:dyDescent="0.2">
      <c r="A280" s="40" t="s">
        <v>246</v>
      </c>
      <c r="B280" s="70" t="s">
        <v>247</v>
      </c>
      <c r="C280" s="42">
        <f>SUM(C281:C290)</f>
        <v>2622067283</v>
      </c>
      <c r="D280" s="42">
        <f>SUM(D281:D290)</f>
        <v>2946620616.1000004</v>
      </c>
      <c r="E280" s="98">
        <f>SUM(E281:E290)</f>
        <v>528199435.10000002</v>
      </c>
      <c r="F280" s="42">
        <f>SUM(F281:F290)</f>
        <v>2125856433.8799999</v>
      </c>
      <c r="G280" s="42">
        <f t="shared" si="56"/>
        <v>2.7749515779505636</v>
      </c>
      <c r="H280" s="42">
        <f t="shared" si="51"/>
        <v>820764182.22000051</v>
      </c>
      <c r="I280" s="42">
        <f>SUM(I281:I290)</f>
        <v>536603355.16999996</v>
      </c>
      <c r="J280" s="42">
        <f>SUM(J281:J290)</f>
        <v>1959625436.27</v>
      </c>
      <c r="K280" s="42">
        <f t="shared" si="58"/>
        <v>2.789812427944141</v>
      </c>
      <c r="L280" s="57">
        <f t="shared" si="52"/>
        <v>986995179.8300004</v>
      </c>
    </row>
    <row r="281" spans="1:12" ht="14.85" customHeight="1" x14ac:dyDescent="0.25">
      <c r="A281" s="43" t="s">
        <v>30</v>
      </c>
      <c r="B281" s="44" t="s">
        <v>31</v>
      </c>
      <c r="C281" s="94">
        <v>919468234</v>
      </c>
      <c r="D281" s="94">
        <v>737142048.13999999</v>
      </c>
      <c r="E281" s="61">
        <f>F281-408371908.76</f>
        <v>81505385.360000014</v>
      </c>
      <c r="F281" s="94">
        <v>489877294.12</v>
      </c>
      <c r="G281" s="45">
        <f t="shared" si="56"/>
        <v>0.63945323336786575</v>
      </c>
      <c r="H281" s="45">
        <f t="shared" si="51"/>
        <v>247264754.01999998</v>
      </c>
      <c r="I281" s="45">
        <f>J281-396790993.06</f>
        <v>65270757.149999976</v>
      </c>
      <c r="J281" s="94">
        <v>462061750.20999998</v>
      </c>
      <c r="K281" s="45">
        <f t="shared" si="58"/>
        <v>0.65781224786871473</v>
      </c>
      <c r="L281" s="53">
        <f t="shared" si="52"/>
        <v>275080297.93000001</v>
      </c>
    </row>
    <row r="282" spans="1:12" ht="14.85" customHeight="1" x14ac:dyDescent="0.25">
      <c r="A282" s="43" t="s">
        <v>34</v>
      </c>
      <c r="B282" s="44" t="s">
        <v>35</v>
      </c>
      <c r="C282" s="45">
        <v>0</v>
      </c>
      <c r="D282" s="45">
        <v>0</v>
      </c>
      <c r="E282" s="61">
        <f t="shared" ref="E282:E289" si="59">F282-0</f>
        <v>0</v>
      </c>
      <c r="F282" s="45">
        <v>0</v>
      </c>
      <c r="G282" s="45">
        <f t="shared" si="56"/>
        <v>0</v>
      </c>
      <c r="H282" s="45">
        <f t="shared" si="51"/>
        <v>0</v>
      </c>
      <c r="I282" s="45">
        <f>J282-0</f>
        <v>0</v>
      </c>
      <c r="J282" s="45">
        <v>0</v>
      </c>
      <c r="K282" s="45">
        <f t="shared" si="58"/>
        <v>0</v>
      </c>
      <c r="L282" s="53">
        <f t="shared" si="52"/>
        <v>0</v>
      </c>
    </row>
    <row r="283" spans="1:12" ht="14.85" customHeight="1" x14ac:dyDescent="0.25">
      <c r="A283" s="43" t="s">
        <v>71</v>
      </c>
      <c r="B283" s="44" t="s">
        <v>72</v>
      </c>
      <c r="C283" s="45">
        <v>0</v>
      </c>
      <c r="D283" s="45">
        <v>0</v>
      </c>
      <c r="E283" s="61">
        <f t="shared" si="59"/>
        <v>0</v>
      </c>
      <c r="F283" s="45">
        <v>0</v>
      </c>
      <c r="G283" s="45">
        <f t="shared" si="56"/>
        <v>0</v>
      </c>
      <c r="H283" s="45">
        <f t="shared" si="51"/>
        <v>0</v>
      </c>
      <c r="I283" s="45">
        <f t="shared" ref="I283" si="60">J283-0</f>
        <v>0</v>
      </c>
      <c r="J283" s="45">
        <v>0</v>
      </c>
      <c r="K283" s="45">
        <f t="shared" si="58"/>
        <v>0</v>
      </c>
      <c r="L283" s="53">
        <f t="shared" si="52"/>
        <v>0</v>
      </c>
    </row>
    <row r="284" spans="1:12" ht="14.85" customHeight="1" x14ac:dyDescent="0.25">
      <c r="A284" s="43" t="s">
        <v>112</v>
      </c>
      <c r="B284" s="44" t="s">
        <v>113</v>
      </c>
      <c r="C284" s="45">
        <v>0</v>
      </c>
      <c r="D284" s="45">
        <v>0</v>
      </c>
      <c r="E284" s="61">
        <f t="shared" si="59"/>
        <v>0</v>
      </c>
      <c r="F284" s="45">
        <v>0</v>
      </c>
      <c r="G284" s="45">
        <f t="shared" si="56"/>
        <v>0</v>
      </c>
      <c r="H284" s="45">
        <f t="shared" si="51"/>
        <v>0</v>
      </c>
      <c r="I284" s="45">
        <f t="shared" ref="I284:I289" si="61">J284-0</f>
        <v>0</v>
      </c>
      <c r="J284" s="45">
        <v>0</v>
      </c>
      <c r="K284" s="45">
        <f t="shared" si="58"/>
        <v>0</v>
      </c>
      <c r="L284" s="53">
        <f t="shared" si="52"/>
        <v>0</v>
      </c>
    </row>
    <row r="285" spans="1:12" ht="14.85" customHeight="1" x14ac:dyDescent="0.25">
      <c r="A285" s="43" t="s">
        <v>77</v>
      </c>
      <c r="B285" s="44" t="s">
        <v>78</v>
      </c>
      <c r="C285" s="94">
        <v>8327452</v>
      </c>
      <c r="D285" s="94">
        <v>164281729.06</v>
      </c>
      <c r="E285" s="61">
        <f>F285-86232020.81</f>
        <v>8323491.0799999982</v>
      </c>
      <c r="F285" s="45">
        <v>94555511.890000001</v>
      </c>
      <c r="G285" s="45">
        <f t="shared" si="56"/>
        <v>0.12342647543897593</v>
      </c>
      <c r="H285" s="45">
        <f t="shared" si="51"/>
        <v>69726217.170000002</v>
      </c>
      <c r="I285" s="45">
        <f>J285-64315649.55</f>
        <v>7144106.1000000089</v>
      </c>
      <c r="J285" s="45">
        <v>71459755.650000006</v>
      </c>
      <c r="K285" s="45">
        <f t="shared" si="58"/>
        <v>0.10173337757326066</v>
      </c>
      <c r="L285" s="53">
        <f t="shared" si="52"/>
        <v>92821973.409999996</v>
      </c>
    </row>
    <row r="286" spans="1:12" ht="14.85" customHeight="1" x14ac:dyDescent="0.25">
      <c r="A286" s="43" t="s">
        <v>79</v>
      </c>
      <c r="B286" s="44" t="s">
        <v>80</v>
      </c>
      <c r="C286" s="94">
        <v>1069169073</v>
      </c>
      <c r="D286" s="94">
        <v>1262033358.9400001</v>
      </c>
      <c r="E286" s="61">
        <f>F286-695551807.07</f>
        <v>248118476.5</v>
      </c>
      <c r="F286" s="94">
        <v>943670283.57000005</v>
      </c>
      <c r="G286" s="45">
        <f t="shared" si="56"/>
        <v>1.2318044157282186</v>
      </c>
      <c r="H286" s="45">
        <f t="shared" si="51"/>
        <v>318363075.37</v>
      </c>
      <c r="I286" s="45">
        <f>J286-635658085.21</f>
        <v>278331695.88</v>
      </c>
      <c r="J286" s="94">
        <v>913989781.09000003</v>
      </c>
      <c r="K286" s="45">
        <f t="shared" si="58"/>
        <v>1.3011976692608638</v>
      </c>
      <c r="L286" s="53">
        <f t="shared" si="52"/>
        <v>348043577.85000002</v>
      </c>
    </row>
    <row r="287" spans="1:12" ht="14.85" customHeight="1" x14ac:dyDescent="0.25">
      <c r="A287" s="43" t="s">
        <v>126</v>
      </c>
      <c r="B287" s="44" t="s">
        <v>127</v>
      </c>
      <c r="C287" s="94">
        <v>10000</v>
      </c>
      <c r="D287" s="94">
        <v>3000</v>
      </c>
      <c r="E287" s="61">
        <f>F287-0</f>
        <v>0</v>
      </c>
      <c r="F287" s="45">
        <v>0</v>
      </c>
      <c r="G287" s="45">
        <f t="shared" si="56"/>
        <v>0</v>
      </c>
      <c r="H287" s="45">
        <f t="shared" si="51"/>
        <v>3000</v>
      </c>
      <c r="I287" s="45">
        <f t="shared" si="61"/>
        <v>0</v>
      </c>
      <c r="J287" s="45">
        <v>0</v>
      </c>
      <c r="K287" s="45">
        <f t="shared" si="58"/>
        <v>0</v>
      </c>
      <c r="L287" s="53">
        <f t="shared" si="52"/>
        <v>3000</v>
      </c>
    </row>
    <row r="288" spans="1:12" ht="14.85" customHeight="1" x14ac:dyDescent="0.25">
      <c r="A288" s="43" t="s">
        <v>128</v>
      </c>
      <c r="B288" s="44" t="s">
        <v>129</v>
      </c>
      <c r="C288" s="94">
        <v>620349404</v>
      </c>
      <c r="D288" s="94">
        <v>772293635.87</v>
      </c>
      <c r="E288" s="61">
        <f>F288-398233271.84</f>
        <v>190213204.16000003</v>
      </c>
      <c r="F288" s="94">
        <v>588446476</v>
      </c>
      <c r="G288" s="45">
        <f t="shared" si="56"/>
        <v>0.76811888662460015</v>
      </c>
      <c r="H288" s="45">
        <f t="shared" si="51"/>
        <v>183847159.87</v>
      </c>
      <c r="I288" s="45">
        <f>J288-317194673.29</f>
        <v>185758525.29999995</v>
      </c>
      <c r="J288" s="45">
        <v>502953198.58999997</v>
      </c>
      <c r="K288" s="45">
        <f t="shared" si="58"/>
        <v>0.71602718464984871</v>
      </c>
      <c r="L288" s="53">
        <f t="shared" si="52"/>
        <v>269340437.28000003</v>
      </c>
    </row>
    <row r="289" spans="1:12" ht="14.85" customHeight="1" x14ac:dyDescent="0.25">
      <c r="A289" s="43" t="s">
        <v>97</v>
      </c>
      <c r="B289" s="44" t="s">
        <v>98</v>
      </c>
      <c r="C289" s="94">
        <v>110000</v>
      </c>
      <c r="D289" s="94">
        <v>96000</v>
      </c>
      <c r="E289" s="61">
        <f t="shared" si="59"/>
        <v>0</v>
      </c>
      <c r="F289" s="45">
        <v>0</v>
      </c>
      <c r="G289" s="45">
        <f t="shared" si="56"/>
        <v>0</v>
      </c>
      <c r="H289" s="45">
        <f t="shared" si="51"/>
        <v>96000</v>
      </c>
      <c r="I289" s="45">
        <f t="shared" si="61"/>
        <v>0</v>
      </c>
      <c r="J289" s="45">
        <v>0</v>
      </c>
      <c r="K289" s="45">
        <f t="shared" si="58"/>
        <v>0</v>
      </c>
      <c r="L289" s="53">
        <f t="shared" si="52"/>
        <v>96000</v>
      </c>
    </row>
    <row r="290" spans="1:12" ht="14.85" customHeight="1" x14ac:dyDescent="0.25">
      <c r="A290" s="43" t="s">
        <v>199</v>
      </c>
      <c r="B290" s="44" t="s">
        <v>200</v>
      </c>
      <c r="C290" s="94">
        <v>4633120</v>
      </c>
      <c r="D290" s="94">
        <v>10770844.09</v>
      </c>
      <c r="E290" s="61">
        <f>F290-9267990.3</f>
        <v>38878</v>
      </c>
      <c r="F290" s="94">
        <v>9306868.3000000007</v>
      </c>
      <c r="G290" s="45">
        <f t="shared" si="56"/>
        <v>1.2148566790903488E-2</v>
      </c>
      <c r="H290" s="45">
        <f t="shared" si="51"/>
        <v>1463975.7899999991</v>
      </c>
      <c r="I290" s="45">
        <f>J290-9062679.99</f>
        <v>98270.740000000224</v>
      </c>
      <c r="J290" s="94">
        <v>9160950.7300000004</v>
      </c>
      <c r="K290" s="45">
        <f t="shared" si="58"/>
        <v>1.3041948591453488E-2</v>
      </c>
      <c r="L290" s="53">
        <f t="shared" si="52"/>
        <v>1609893.3599999994</v>
      </c>
    </row>
    <row r="291" spans="1:12" ht="14.85" customHeight="1" x14ac:dyDescent="0.2">
      <c r="A291" s="40" t="s">
        <v>248</v>
      </c>
      <c r="B291" s="70" t="s">
        <v>249</v>
      </c>
      <c r="C291" s="42">
        <f>SUM(C292:C295)</f>
        <v>157014004</v>
      </c>
      <c r="D291" s="42">
        <f>SUM(D292:D295)</f>
        <v>170310090.56999999</v>
      </c>
      <c r="E291" s="98">
        <f>SUM(E292:E295)</f>
        <v>42703462.609999999</v>
      </c>
      <c r="F291" s="42">
        <f>SUM(F292:F295)</f>
        <v>102955798.25</v>
      </c>
      <c r="G291" s="42">
        <f t="shared" si="56"/>
        <v>0.13439165047075063</v>
      </c>
      <c r="H291" s="42">
        <f t="shared" si="51"/>
        <v>67354292.319999993</v>
      </c>
      <c r="I291" s="42">
        <f>SUM(I292:I295)</f>
        <v>40783595.110000014</v>
      </c>
      <c r="J291" s="42">
        <f>SUM(J292:J295)</f>
        <v>98949353.450000003</v>
      </c>
      <c r="K291" s="42">
        <f t="shared" si="58"/>
        <v>0.14086882670664258</v>
      </c>
      <c r="L291" s="57">
        <f t="shared" si="52"/>
        <v>71360737.11999999</v>
      </c>
    </row>
    <row r="292" spans="1:12" ht="14.85" customHeight="1" x14ac:dyDescent="0.25">
      <c r="A292" s="43" t="s">
        <v>30</v>
      </c>
      <c r="B292" s="44" t="s">
        <v>31</v>
      </c>
      <c r="C292" s="94">
        <v>40553637</v>
      </c>
      <c r="D292" s="94">
        <v>41228968.82</v>
      </c>
      <c r="E292" s="61">
        <f>F292-18216436.12</f>
        <v>5516371.2899999991</v>
      </c>
      <c r="F292" s="94">
        <v>23732807.41</v>
      </c>
      <c r="G292" s="45">
        <f t="shared" si="56"/>
        <v>3.097922809932039E-2</v>
      </c>
      <c r="H292" s="45">
        <f t="shared" si="51"/>
        <v>17496161.41</v>
      </c>
      <c r="I292" s="45">
        <f>J292-16952390.68</f>
        <v>5595076.7600000016</v>
      </c>
      <c r="J292" s="94">
        <v>22547467.440000001</v>
      </c>
      <c r="K292" s="45">
        <f t="shared" si="58"/>
        <v>3.2099606240317748E-2</v>
      </c>
      <c r="L292" s="53">
        <f t="shared" si="52"/>
        <v>18681501.379999999</v>
      </c>
    </row>
    <row r="293" spans="1:12" ht="14.85" customHeight="1" x14ac:dyDescent="0.25">
      <c r="A293" s="43" t="s">
        <v>250</v>
      </c>
      <c r="B293" s="44" t="s">
        <v>251</v>
      </c>
      <c r="C293" s="94">
        <v>17000000</v>
      </c>
      <c r="D293" s="94">
        <v>18069640</v>
      </c>
      <c r="E293" s="61">
        <f>F293-5942580</f>
        <v>3252100</v>
      </c>
      <c r="F293" s="94">
        <v>9194680</v>
      </c>
      <c r="G293" s="45">
        <f t="shared" si="56"/>
        <v>1.2002123646789379E-2</v>
      </c>
      <c r="H293" s="45">
        <f t="shared" si="51"/>
        <v>8874960</v>
      </c>
      <c r="I293" s="45">
        <f>J293-5771240</f>
        <v>2152140</v>
      </c>
      <c r="J293" s="94">
        <v>7923380</v>
      </c>
      <c r="K293" s="45">
        <f t="shared" si="58"/>
        <v>1.1280086278834374E-2</v>
      </c>
      <c r="L293" s="53">
        <f t="shared" si="52"/>
        <v>10146260</v>
      </c>
    </row>
    <row r="294" spans="1:12" ht="14.85" customHeight="1" x14ac:dyDescent="0.25">
      <c r="A294" s="43" t="s">
        <v>132</v>
      </c>
      <c r="B294" s="44" t="s">
        <v>133</v>
      </c>
      <c r="C294" s="94">
        <v>99073565</v>
      </c>
      <c r="D294" s="94">
        <v>110624679.75</v>
      </c>
      <c r="E294" s="61">
        <f>F294-36093319.52</f>
        <v>33934991.32</v>
      </c>
      <c r="F294" s="94">
        <v>70028310.840000004</v>
      </c>
      <c r="G294" s="45">
        <f t="shared" si="56"/>
        <v>9.141029872464089E-2</v>
      </c>
      <c r="H294" s="45">
        <f t="shared" si="51"/>
        <v>40596368.909999996</v>
      </c>
      <c r="I294" s="45">
        <f>J294-35442127.66</f>
        <v>33036378.350000009</v>
      </c>
      <c r="J294" s="94">
        <v>68478506.010000005</v>
      </c>
      <c r="K294" s="45">
        <f t="shared" si="58"/>
        <v>9.7489134187490473E-2</v>
      </c>
      <c r="L294" s="53">
        <f t="shared" si="52"/>
        <v>42146173.739999995</v>
      </c>
    </row>
    <row r="295" spans="1:12" ht="14.85" customHeight="1" x14ac:dyDescent="0.25">
      <c r="A295" s="43" t="s">
        <v>252</v>
      </c>
      <c r="B295" s="44" t="s">
        <v>253</v>
      </c>
      <c r="C295" s="94">
        <v>386802</v>
      </c>
      <c r="D295" s="94">
        <v>386802</v>
      </c>
      <c r="E295" s="61">
        <f>F295-0</f>
        <v>0</v>
      </c>
      <c r="F295" s="45">
        <v>0</v>
      </c>
      <c r="G295" s="45">
        <f t="shared" ref="G295:G301" si="62">(F295/$F$307)*100</f>
        <v>0</v>
      </c>
      <c r="H295" s="45">
        <f t="shared" si="51"/>
        <v>386802</v>
      </c>
      <c r="I295" s="45">
        <f>J295-0</f>
        <v>0</v>
      </c>
      <c r="J295" s="45">
        <v>0</v>
      </c>
      <c r="K295" s="45">
        <f t="shared" ref="K295:K299" si="63">(J295/$J$307)*100</f>
        <v>0</v>
      </c>
      <c r="L295" s="53">
        <f t="shared" si="52"/>
        <v>386802</v>
      </c>
    </row>
    <row r="296" spans="1:12" ht="14.85" customHeight="1" x14ac:dyDescent="0.2">
      <c r="A296" s="40" t="s">
        <v>254</v>
      </c>
      <c r="B296" s="70" t="s">
        <v>255</v>
      </c>
      <c r="C296" s="42">
        <f>SUM(C297:C301)</f>
        <v>11797953461</v>
      </c>
      <c r="D296" s="42">
        <f>SUM(D297:D301)</f>
        <v>10499528226.170002</v>
      </c>
      <c r="E296" s="98">
        <f>SUM(E297:E301)</f>
        <v>1168212252</v>
      </c>
      <c r="F296" s="42">
        <f>SUM(F297:F301)</f>
        <v>4367532606.0100002</v>
      </c>
      <c r="G296" s="42">
        <f t="shared" si="62"/>
        <v>5.7010865379454492</v>
      </c>
      <c r="H296" s="42">
        <f t="shared" si="51"/>
        <v>6131995620.1600018</v>
      </c>
      <c r="I296" s="42">
        <f>SUM(I297:I301)</f>
        <v>1168126554.3299999</v>
      </c>
      <c r="J296" s="42">
        <f>SUM(J297:J301)</f>
        <v>4367427707.0900002</v>
      </c>
      <c r="K296" s="42">
        <f t="shared" si="63"/>
        <v>6.2176699025601421</v>
      </c>
      <c r="L296" s="57">
        <f t="shared" si="52"/>
        <v>6132100519.0800018</v>
      </c>
    </row>
    <row r="297" spans="1:12" ht="14.85" customHeight="1" x14ac:dyDescent="0.25">
      <c r="A297" s="43" t="s">
        <v>61</v>
      </c>
      <c r="B297" s="44" t="s">
        <v>62</v>
      </c>
      <c r="C297" s="94">
        <v>361863018</v>
      </c>
      <c r="D297" s="94">
        <v>326106024.38999999</v>
      </c>
      <c r="E297" s="61">
        <f>F297-21698033.18</f>
        <v>18956545.329999998</v>
      </c>
      <c r="F297" s="94">
        <v>40654578.509999998</v>
      </c>
      <c r="G297" s="45">
        <f t="shared" si="62"/>
        <v>5.306778246607019E-2</v>
      </c>
      <c r="H297" s="45">
        <f t="shared" si="51"/>
        <v>285451445.88</v>
      </c>
      <c r="I297" s="45">
        <f>J297-21678831.93</f>
        <v>18870847.660000004</v>
      </c>
      <c r="J297" s="94">
        <v>40549679.590000004</v>
      </c>
      <c r="K297" s="45">
        <f t="shared" si="63"/>
        <v>5.7728379095069185E-2</v>
      </c>
      <c r="L297" s="53">
        <f t="shared" si="52"/>
        <v>285556344.79999995</v>
      </c>
    </row>
    <row r="298" spans="1:12" ht="14.85" customHeight="1" x14ac:dyDescent="0.25">
      <c r="A298" s="43" t="s">
        <v>256</v>
      </c>
      <c r="B298" s="44" t="s">
        <v>257</v>
      </c>
      <c r="C298" s="94">
        <v>8454638889</v>
      </c>
      <c r="D298" s="94">
        <v>7698351733.0200005</v>
      </c>
      <c r="E298" s="61">
        <f>F298-2067178785.23</f>
        <v>785509080.23999977</v>
      </c>
      <c r="F298" s="94">
        <v>2852687865.4699998</v>
      </c>
      <c r="G298" s="45">
        <f t="shared" si="62"/>
        <v>3.7237089803088965</v>
      </c>
      <c r="H298" s="45">
        <f t="shared" si="51"/>
        <v>4845663867.5500011</v>
      </c>
      <c r="I298" s="45">
        <f>J298-2067178785.23</f>
        <v>785509080.23999977</v>
      </c>
      <c r="J298" s="94">
        <v>2852687865.4699998</v>
      </c>
      <c r="K298" s="45">
        <f t="shared" si="63"/>
        <v>4.0612169615852656</v>
      </c>
      <c r="L298" s="53">
        <f t="shared" si="52"/>
        <v>4845663867.5500011</v>
      </c>
    </row>
    <row r="299" spans="1:12" ht="14.85" customHeight="1" x14ac:dyDescent="0.25">
      <c r="A299" s="43" t="s">
        <v>258</v>
      </c>
      <c r="B299" s="44" t="s">
        <v>259</v>
      </c>
      <c r="C299" s="94">
        <v>625311748</v>
      </c>
      <c r="D299" s="94">
        <v>360101150.25999999</v>
      </c>
      <c r="E299" s="61">
        <f>F299-106177726.93</f>
        <v>35656070.959999979</v>
      </c>
      <c r="F299" s="94">
        <v>141833797.88999999</v>
      </c>
      <c r="G299" s="45">
        <f t="shared" si="62"/>
        <v>0.18514040505700191</v>
      </c>
      <c r="H299" s="45">
        <f t="shared" si="51"/>
        <v>218267352.37</v>
      </c>
      <c r="I299" s="45">
        <f>J299-106177726.93</f>
        <v>35656070.959999979</v>
      </c>
      <c r="J299" s="94">
        <v>141833797.88999999</v>
      </c>
      <c r="K299" s="45">
        <f t="shared" si="63"/>
        <v>0.20192108386243704</v>
      </c>
      <c r="L299" s="53">
        <f t="shared" si="52"/>
        <v>218267352.37</v>
      </c>
    </row>
    <row r="300" spans="1:12" ht="14.85" customHeight="1" x14ac:dyDescent="0.25">
      <c r="A300" s="43" t="s">
        <v>260</v>
      </c>
      <c r="B300" s="44" t="s">
        <v>261</v>
      </c>
      <c r="C300" s="94">
        <v>10000</v>
      </c>
      <c r="D300" s="94">
        <v>10000</v>
      </c>
      <c r="E300" s="61">
        <f>F300-0</f>
        <v>0</v>
      </c>
      <c r="F300" s="45">
        <v>0</v>
      </c>
      <c r="G300" s="45">
        <f t="shared" si="62"/>
        <v>0</v>
      </c>
      <c r="H300" s="45">
        <f t="shared" ref="H300:H305" si="64">D300-F300</f>
        <v>10000</v>
      </c>
      <c r="I300" s="45">
        <f>J300-0</f>
        <v>0</v>
      </c>
      <c r="J300" s="45">
        <v>0</v>
      </c>
      <c r="K300" s="45">
        <f t="shared" ref="K300:K306" si="65">(J300/$J$307)*100</f>
        <v>0</v>
      </c>
      <c r="L300" s="53">
        <f t="shared" ref="L300:L305" si="66">D300-J300</f>
        <v>10000</v>
      </c>
    </row>
    <row r="301" spans="1:12" ht="14.85" customHeight="1" x14ac:dyDescent="0.25">
      <c r="A301" s="43" t="s">
        <v>262</v>
      </c>
      <c r="B301" s="44" t="s">
        <v>263</v>
      </c>
      <c r="C301" s="94">
        <v>2356129806</v>
      </c>
      <c r="D301" s="94">
        <v>2114959318.5</v>
      </c>
      <c r="E301" s="61">
        <f>F301-1004265808.67</f>
        <v>328090555.47000015</v>
      </c>
      <c r="F301" s="94">
        <v>1332356364.1400001</v>
      </c>
      <c r="G301" s="45">
        <f t="shared" si="62"/>
        <v>1.7391693701134803</v>
      </c>
      <c r="H301" s="45">
        <f t="shared" si="64"/>
        <v>782602954.3599999</v>
      </c>
      <c r="I301" s="45">
        <f>J301-1004265808.67</f>
        <v>328090555.47000015</v>
      </c>
      <c r="J301" s="94">
        <v>1332356364.1400001</v>
      </c>
      <c r="K301" s="45">
        <f t="shared" si="65"/>
        <v>1.8968034780173699</v>
      </c>
      <c r="L301" s="53">
        <f t="shared" si="66"/>
        <v>782602954.3599999</v>
      </c>
    </row>
    <row r="302" spans="1:12" ht="14.85" customHeight="1" x14ac:dyDescent="0.25">
      <c r="A302" s="40" t="s">
        <v>264</v>
      </c>
      <c r="B302" s="70" t="s">
        <v>265</v>
      </c>
      <c r="C302" s="42">
        <f>SUM(C303:C305)</f>
        <v>780006156</v>
      </c>
      <c r="D302" s="57">
        <f>SUM(D303:D305)</f>
        <v>780006156</v>
      </c>
      <c r="E302" s="103">
        <f>SUM(E303:E305)</f>
        <v>0</v>
      </c>
      <c r="F302" s="77"/>
      <c r="G302" s="77"/>
      <c r="H302" s="42">
        <f t="shared" si="64"/>
        <v>780006156</v>
      </c>
      <c r="I302" s="77"/>
      <c r="J302" s="77"/>
      <c r="K302" s="77"/>
      <c r="L302" s="57">
        <f t="shared" si="66"/>
        <v>780006156</v>
      </c>
    </row>
    <row r="303" spans="1:12" ht="14.85" customHeight="1" x14ac:dyDescent="0.25">
      <c r="A303" s="43" t="s">
        <v>30</v>
      </c>
      <c r="B303" s="52" t="s">
        <v>31</v>
      </c>
      <c r="C303" s="94">
        <v>0</v>
      </c>
      <c r="D303" s="94">
        <v>0</v>
      </c>
      <c r="E303" s="103">
        <v>0</v>
      </c>
      <c r="F303" s="77"/>
      <c r="G303" s="77"/>
      <c r="H303" s="45">
        <f t="shared" si="64"/>
        <v>0</v>
      </c>
      <c r="I303" s="77"/>
      <c r="J303" s="77"/>
      <c r="K303" s="77"/>
      <c r="L303" s="53">
        <f t="shared" si="66"/>
        <v>0</v>
      </c>
    </row>
    <row r="304" spans="1:12" ht="14.85" customHeight="1" x14ac:dyDescent="0.25">
      <c r="A304" s="43" t="s">
        <v>266</v>
      </c>
      <c r="B304" s="52" t="s">
        <v>267</v>
      </c>
      <c r="C304" s="94">
        <v>777506156</v>
      </c>
      <c r="D304" s="94">
        <v>777506156</v>
      </c>
      <c r="E304" s="103">
        <v>0</v>
      </c>
      <c r="F304" s="77"/>
      <c r="G304" s="77"/>
      <c r="H304" s="45">
        <f t="shared" si="64"/>
        <v>777506156</v>
      </c>
      <c r="I304" s="77"/>
      <c r="J304" s="77"/>
      <c r="K304" s="77"/>
      <c r="L304" s="53">
        <f t="shared" si="66"/>
        <v>777506156</v>
      </c>
    </row>
    <row r="305" spans="1:12" ht="14.85" customHeight="1" x14ac:dyDescent="0.25">
      <c r="A305" s="43" t="s">
        <v>268</v>
      </c>
      <c r="B305" s="44" t="s">
        <v>269</v>
      </c>
      <c r="C305" s="94">
        <v>2500000</v>
      </c>
      <c r="D305" s="94">
        <v>2500000</v>
      </c>
      <c r="E305" s="103">
        <v>0</v>
      </c>
      <c r="F305" s="77"/>
      <c r="G305" s="77"/>
      <c r="H305" s="45">
        <f t="shared" si="64"/>
        <v>2500000</v>
      </c>
      <c r="I305" s="77"/>
      <c r="J305" s="77"/>
      <c r="K305" s="77"/>
      <c r="L305" s="53">
        <f t="shared" si="66"/>
        <v>2500000</v>
      </c>
    </row>
    <row r="306" spans="1:12" ht="14.85" customHeight="1" x14ac:dyDescent="0.2">
      <c r="A306" s="40"/>
      <c r="B306" s="70" t="s">
        <v>270</v>
      </c>
      <c r="C306" s="42">
        <f>C323</f>
        <v>7951876408</v>
      </c>
      <c r="D306" s="42">
        <f>D323</f>
        <v>8314836685.6199989</v>
      </c>
      <c r="E306" s="98">
        <f>E323</f>
        <v>1447045375.29</v>
      </c>
      <c r="F306" s="42">
        <f>F323</f>
        <v>6614658942.2599993</v>
      </c>
      <c r="G306" s="42">
        <f>(F306/$F$307)*100</f>
        <v>8.6343357796405709</v>
      </c>
      <c r="H306" s="42">
        <f>D306-F306</f>
        <v>1700177743.3599997</v>
      </c>
      <c r="I306" s="42">
        <f>I323</f>
        <v>1430226790.5399995</v>
      </c>
      <c r="J306" s="42">
        <f>J323</f>
        <v>6282561040.2599983</v>
      </c>
      <c r="K306" s="42">
        <f t="shared" si="65"/>
        <v>8.9441413369264389</v>
      </c>
      <c r="L306" s="57">
        <f>D306-J306</f>
        <v>2032275645.3600006</v>
      </c>
    </row>
    <row r="307" spans="1:12" ht="14.85" customHeight="1" x14ac:dyDescent="0.2">
      <c r="A307" s="121" t="s">
        <v>271</v>
      </c>
      <c r="B307" s="122"/>
      <c r="C307" s="59">
        <f t="shared" ref="C307:L307" si="67">C13+C306</f>
        <v>122184861612</v>
      </c>
      <c r="D307" s="59">
        <f t="shared" si="67"/>
        <v>129544641994.72</v>
      </c>
      <c r="E307" s="104">
        <f t="shared" si="67"/>
        <v>18251465917.43</v>
      </c>
      <c r="F307" s="59">
        <f t="shared" si="67"/>
        <v>76608775834.929993</v>
      </c>
      <c r="G307" s="59">
        <f t="shared" si="67"/>
        <v>100</v>
      </c>
      <c r="H307" s="59">
        <f t="shared" si="67"/>
        <v>52935866159.790009</v>
      </c>
      <c r="I307" s="59">
        <f t="shared" si="67"/>
        <v>18398946489.060001</v>
      </c>
      <c r="J307" s="59">
        <f t="shared" si="67"/>
        <v>70242193225.659988</v>
      </c>
      <c r="K307" s="59">
        <f t="shared" si="67"/>
        <v>100</v>
      </c>
      <c r="L307" s="60">
        <f t="shared" si="67"/>
        <v>59302448769.060013</v>
      </c>
    </row>
    <row r="308" spans="1:12" ht="15" x14ac:dyDescent="0.25">
      <c r="A308" s="48"/>
      <c r="B308" s="48"/>
      <c r="C308" s="62"/>
      <c r="D308" s="62"/>
      <c r="E308" s="109"/>
      <c r="F308" s="62"/>
      <c r="G308" s="62"/>
      <c r="H308" s="62"/>
      <c r="I308" s="62"/>
      <c r="J308" s="62"/>
      <c r="K308" s="62"/>
      <c r="L308" s="51" t="s">
        <v>272</v>
      </c>
    </row>
    <row r="309" spans="1:12" ht="15" x14ac:dyDescent="0.25">
      <c r="A309" s="48"/>
      <c r="B309" s="48"/>
      <c r="C309" s="62"/>
      <c r="D309" s="62"/>
      <c r="E309" s="62"/>
      <c r="F309" s="62"/>
      <c r="I309" s="62"/>
      <c r="J309" s="62"/>
      <c r="K309" s="62"/>
      <c r="L309" s="62"/>
    </row>
    <row r="310" spans="1:12" ht="15" x14ac:dyDescent="0.25">
      <c r="A310" s="29"/>
      <c r="B310" s="30"/>
      <c r="C310" s="63"/>
      <c r="D310" s="63"/>
      <c r="E310" s="63"/>
      <c r="F310" s="63"/>
      <c r="G310" s="63"/>
      <c r="H310" s="63"/>
      <c r="I310" s="63"/>
      <c r="J310" s="63"/>
      <c r="K310" s="63"/>
      <c r="L310" s="63"/>
    </row>
    <row r="311" spans="1:12" ht="15.75" x14ac:dyDescent="0.25">
      <c r="A311" s="29"/>
      <c r="B311" s="30"/>
      <c r="C311" s="31"/>
      <c r="D311" s="31"/>
      <c r="F311" s="32"/>
      <c r="G311" s="33"/>
      <c r="H311" s="32"/>
      <c r="I311" s="32"/>
      <c r="J311" s="32"/>
      <c r="K311" s="33"/>
      <c r="L311" s="32"/>
    </row>
    <row r="312" spans="1:12" ht="15.75" x14ac:dyDescent="0.25">
      <c r="A312" s="26"/>
      <c r="B312" s="22"/>
      <c r="C312" s="27"/>
      <c r="D312" s="27"/>
      <c r="E312" s="101"/>
      <c r="F312" s="27"/>
      <c r="G312" s="28"/>
      <c r="H312" s="27"/>
      <c r="I312" s="27"/>
      <c r="J312" s="27"/>
      <c r="K312" s="28"/>
      <c r="L312" s="21" t="s">
        <v>179</v>
      </c>
    </row>
    <row r="313" spans="1:12" ht="15.75" x14ac:dyDescent="0.25">
      <c r="A313" s="113" t="s">
        <v>0</v>
      </c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</row>
    <row r="314" spans="1:12" ht="15.75" x14ac:dyDescent="0.25">
      <c r="A314" s="113" t="s">
        <v>1</v>
      </c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</row>
    <row r="315" spans="1:12" ht="15.75" x14ac:dyDescent="0.25">
      <c r="A315" s="120" t="s">
        <v>2</v>
      </c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</row>
    <row r="316" spans="1:12" ht="15.75" x14ac:dyDescent="0.25">
      <c r="A316" s="113" t="s">
        <v>3</v>
      </c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</row>
    <row r="317" spans="1:12" ht="15.75" x14ac:dyDescent="0.25">
      <c r="A317" s="113" t="str">
        <f>A161</f>
        <v>JANEIRO A AGOSTO  2025/BIMESTRE JULHO - AGOSTO</v>
      </c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</row>
    <row r="318" spans="1:12" ht="15.75" x14ac:dyDescent="0.25">
      <c r="A318" s="26"/>
      <c r="B318" s="26"/>
      <c r="C318" s="35"/>
      <c r="D318" s="26"/>
      <c r="E318" s="67"/>
      <c r="F318" s="26"/>
      <c r="G318" s="26"/>
      <c r="H318" s="26"/>
      <c r="I318" s="26"/>
      <c r="J318" s="26"/>
      <c r="K318" s="26"/>
      <c r="L318" s="21" t="str">
        <f>L162</f>
        <v>Emissão: 18/09/2025</v>
      </c>
    </row>
    <row r="319" spans="1:12" ht="15.75" x14ac:dyDescent="0.25">
      <c r="A319" s="23" t="s">
        <v>4</v>
      </c>
      <c r="B319" s="22"/>
      <c r="C319" s="22"/>
      <c r="D319" s="22"/>
      <c r="E319" s="3"/>
      <c r="F319" s="24"/>
      <c r="G319" s="24"/>
      <c r="H319" s="24"/>
      <c r="I319" s="22"/>
      <c r="J319" s="22"/>
      <c r="K319" s="21"/>
      <c r="L319" s="25">
        <v>1</v>
      </c>
    </row>
    <row r="320" spans="1:12" ht="13.5" customHeight="1" x14ac:dyDescent="0.25">
      <c r="A320" s="8"/>
      <c r="B320" s="9"/>
      <c r="C320" s="10" t="s">
        <v>5</v>
      </c>
      <c r="D320" s="10" t="s">
        <v>5</v>
      </c>
      <c r="E320" s="117" t="s">
        <v>6</v>
      </c>
      <c r="F320" s="118"/>
      <c r="G320" s="119"/>
      <c r="H320" s="10" t="s">
        <v>7</v>
      </c>
      <c r="I320" s="117" t="s">
        <v>8</v>
      </c>
      <c r="J320" s="118"/>
      <c r="K320" s="119"/>
      <c r="L320" s="11" t="s">
        <v>7</v>
      </c>
    </row>
    <row r="321" spans="1:12" ht="14.25" customHeight="1" x14ac:dyDescent="0.2">
      <c r="A321" s="12" t="s">
        <v>9</v>
      </c>
      <c r="B321" s="13" t="s">
        <v>273</v>
      </c>
      <c r="C321" s="13" t="s">
        <v>11</v>
      </c>
      <c r="D321" s="13" t="s">
        <v>12</v>
      </c>
      <c r="E321" s="13" t="s">
        <v>13</v>
      </c>
      <c r="F321" s="13" t="s">
        <v>14</v>
      </c>
      <c r="G321" s="13" t="s">
        <v>15</v>
      </c>
      <c r="H321" s="14"/>
      <c r="I321" s="13" t="s">
        <v>13</v>
      </c>
      <c r="J321" s="13" t="s">
        <v>14</v>
      </c>
      <c r="K321" s="13" t="s">
        <v>15</v>
      </c>
      <c r="L321" s="15"/>
    </row>
    <row r="322" spans="1:12" ht="13.5" customHeight="1" x14ac:dyDescent="0.25">
      <c r="A322" s="16"/>
      <c r="B322" s="17"/>
      <c r="C322" s="17"/>
      <c r="D322" s="18" t="s">
        <v>16</v>
      </c>
      <c r="E322" s="18"/>
      <c r="F322" s="18" t="s">
        <v>17</v>
      </c>
      <c r="G322" s="18" t="s">
        <v>274</v>
      </c>
      <c r="H322" s="19" t="s">
        <v>19</v>
      </c>
      <c r="I322" s="18"/>
      <c r="J322" s="18" t="s">
        <v>20</v>
      </c>
      <c r="K322" s="18" t="s">
        <v>275</v>
      </c>
      <c r="L322" s="20" t="s">
        <v>22</v>
      </c>
    </row>
    <row r="323" spans="1:12" ht="14.85" customHeight="1" x14ac:dyDescent="0.2">
      <c r="A323" s="40"/>
      <c r="B323" s="78" t="s">
        <v>270</v>
      </c>
      <c r="C323" s="79">
        <f>C324+C329+C332+C338+C346+C352+C356+C358+C362+C365+C373+C376+C389+C380+C383+C385+C387+C397+C402+C404+C407+C410+C413+C417+C420</f>
        <v>7951876408</v>
      </c>
      <c r="D323" s="79">
        <f>D324+D329+D332+D338+D346+D352+D356+D358+D362+D365+D373+D376+D380+D383+D385+D387+D389+D397+D402+D404+D407+D413+D417+D420+D410</f>
        <v>8314836685.6199989</v>
      </c>
      <c r="E323" s="105">
        <f>E324+E329+E332+E338+E346+E352+E356+E358+E362+E365+E373+E376+E380+E383+E385+E387+E389+E397+E402+E404+E407+E413+E417+E420+E410</f>
        <v>1447045375.29</v>
      </c>
      <c r="F323" s="79">
        <f>F324+F329+F332+F338+F346+F352+F356+F358+F362+F365+F373+F376+F380+F383+F385+F387+F389+F397+F402+F404+F407+F413+F417+F420+F410</f>
        <v>6614658942.2599993</v>
      </c>
      <c r="G323" s="80">
        <f t="shared" ref="G323:G387" si="68">(F323/$F$307)*100</f>
        <v>8.6343357796405709</v>
      </c>
      <c r="H323" s="79">
        <f>D323-F323</f>
        <v>1700177743.3599997</v>
      </c>
      <c r="I323" s="79">
        <f>I324+I329+I332+I338+I346+I352+I356+I358+I362+I365+I373+I376+I380+I383+I385+I387+I389+I397+I402+I404+I407+I413+I417+I420+I410</f>
        <v>1430226790.5399995</v>
      </c>
      <c r="J323" s="79">
        <f>J324+J329+J332+J338+J346+J352+J356+J358+J362+J365+J373+J376+J380+J383+J385+J387+J389+J397+J402+J404+J407+J413+J417+J420+J410</f>
        <v>6282561040.2599983</v>
      </c>
      <c r="K323" s="79">
        <f t="shared" ref="K323:K387" si="69">(J323/$J$307)*100</f>
        <v>8.9441413369264389</v>
      </c>
      <c r="L323" s="80">
        <f>D323-J323</f>
        <v>2032275645.3600006</v>
      </c>
    </row>
    <row r="324" spans="1:12" ht="14.85" customHeight="1" x14ac:dyDescent="0.2">
      <c r="A324" s="40" t="s">
        <v>24</v>
      </c>
      <c r="B324" s="81" t="s">
        <v>25</v>
      </c>
      <c r="C324" s="42">
        <f>SUM(C325:C328)</f>
        <v>149790668</v>
      </c>
      <c r="D324" s="42">
        <f>SUM(D325:D328)</f>
        <v>194607066</v>
      </c>
      <c r="E324" s="98">
        <f>SUM(E325:E328)</f>
        <v>3603472.5499999821</v>
      </c>
      <c r="F324" s="42">
        <f>SUM(F325:F328)</f>
        <v>143615384.34999999</v>
      </c>
      <c r="G324" s="80">
        <f t="shared" si="68"/>
        <v>0.18746596951170463</v>
      </c>
      <c r="H324" s="42">
        <f t="shared" ref="H324:H388" si="70">D324-F324</f>
        <v>50991681.650000006</v>
      </c>
      <c r="I324" s="42">
        <f>SUM(I325:I328)</f>
        <v>20221125.960000001</v>
      </c>
      <c r="J324" s="42">
        <f>SUM(J325:J328)</f>
        <v>82573545.030000001</v>
      </c>
      <c r="K324" s="42">
        <f t="shared" si="69"/>
        <v>0.11755547661321498</v>
      </c>
      <c r="L324" s="80">
        <f t="shared" ref="L324:L388" si="71">D324-J324</f>
        <v>112033520.97</v>
      </c>
    </row>
    <row r="325" spans="1:12" ht="14.85" customHeight="1" x14ac:dyDescent="0.25">
      <c r="A325" s="43" t="s">
        <v>26</v>
      </c>
      <c r="B325" s="52" t="s">
        <v>27</v>
      </c>
      <c r="C325" s="45">
        <v>0</v>
      </c>
      <c r="D325" s="45">
        <v>0</v>
      </c>
      <c r="E325" s="61">
        <f>F325-0</f>
        <v>0</v>
      </c>
      <c r="F325" s="45">
        <v>0</v>
      </c>
      <c r="G325" s="50">
        <f t="shared" si="68"/>
        <v>0</v>
      </c>
      <c r="H325" s="42">
        <f t="shared" si="70"/>
        <v>0</v>
      </c>
      <c r="I325" s="45">
        <f>J325-0</f>
        <v>0</v>
      </c>
      <c r="J325" s="45">
        <v>0</v>
      </c>
      <c r="K325" s="45">
        <f t="shared" si="69"/>
        <v>0</v>
      </c>
      <c r="L325" s="50">
        <f t="shared" si="71"/>
        <v>0</v>
      </c>
    </row>
    <row r="326" spans="1:12" ht="14.85" customHeight="1" x14ac:dyDescent="0.25">
      <c r="A326" s="43" t="s">
        <v>30</v>
      </c>
      <c r="B326" s="52" t="s">
        <v>31</v>
      </c>
      <c r="C326" s="95">
        <v>149778573</v>
      </c>
      <c r="D326" s="95">
        <v>194191195</v>
      </c>
      <c r="E326" s="61">
        <f>F326-140011911.8</f>
        <v>3603472.5499999821</v>
      </c>
      <c r="F326" s="96">
        <v>143615384.34999999</v>
      </c>
      <c r="G326" s="50">
        <f t="shared" si="68"/>
        <v>0.18746596951170463</v>
      </c>
      <c r="H326" s="45">
        <f t="shared" si="70"/>
        <v>50575810.650000006</v>
      </c>
      <c r="I326" s="45">
        <f>J326-62352419.07</f>
        <v>20221125.960000001</v>
      </c>
      <c r="J326" s="95">
        <v>82573545.030000001</v>
      </c>
      <c r="K326" s="45">
        <f t="shared" si="69"/>
        <v>0.11755547661321498</v>
      </c>
      <c r="L326" s="50">
        <f t="shared" si="71"/>
        <v>111617649.97</v>
      </c>
    </row>
    <row r="327" spans="1:12" ht="14.85" customHeight="1" x14ac:dyDescent="0.25">
      <c r="A327" s="43" t="s">
        <v>32</v>
      </c>
      <c r="B327" s="52" t="s">
        <v>33</v>
      </c>
      <c r="C327" s="45">
        <v>0</v>
      </c>
      <c r="D327" s="45">
        <v>403776</v>
      </c>
      <c r="E327" s="61">
        <f>F327-0</f>
        <v>0</v>
      </c>
      <c r="F327" s="45">
        <v>0</v>
      </c>
      <c r="G327" s="50">
        <f t="shared" si="68"/>
        <v>0</v>
      </c>
      <c r="H327" s="45">
        <f t="shared" si="70"/>
        <v>403776</v>
      </c>
      <c r="I327" s="45">
        <f>J327-0</f>
        <v>0</v>
      </c>
      <c r="J327" s="45">
        <v>0</v>
      </c>
      <c r="K327" s="45">
        <f t="shared" si="69"/>
        <v>0</v>
      </c>
      <c r="L327" s="50">
        <f t="shared" si="71"/>
        <v>403776</v>
      </c>
    </row>
    <row r="328" spans="1:12" ht="14.85" customHeight="1" x14ac:dyDescent="0.25">
      <c r="A328" s="64" t="s">
        <v>34</v>
      </c>
      <c r="B328" s="82" t="s">
        <v>35</v>
      </c>
      <c r="C328" s="95">
        <v>12095</v>
      </c>
      <c r="D328" s="95">
        <v>12095</v>
      </c>
      <c r="E328" s="61">
        <f>F328-0</f>
        <v>0</v>
      </c>
      <c r="F328" s="45">
        <v>0</v>
      </c>
      <c r="G328" s="50">
        <f t="shared" si="68"/>
        <v>0</v>
      </c>
      <c r="H328" s="45">
        <f t="shared" si="70"/>
        <v>12095</v>
      </c>
      <c r="I328" s="45">
        <f>J328-0</f>
        <v>0</v>
      </c>
      <c r="J328" s="45">
        <v>0</v>
      </c>
      <c r="K328" s="45">
        <f t="shared" si="69"/>
        <v>0</v>
      </c>
      <c r="L328" s="50">
        <f t="shared" si="71"/>
        <v>12095</v>
      </c>
    </row>
    <row r="329" spans="1:12" ht="14.85" customHeight="1" x14ac:dyDescent="0.2">
      <c r="A329" s="40" t="s">
        <v>46</v>
      </c>
      <c r="B329" s="78" t="s">
        <v>47</v>
      </c>
      <c r="C329" s="42">
        <f>SUM(C330:C331)</f>
        <v>800100000</v>
      </c>
      <c r="D329" s="42">
        <f>SUM(D330:D331)</f>
        <v>800801742.25999999</v>
      </c>
      <c r="E329" s="98">
        <f>SUM(E330:E331)</f>
        <v>115976079.11000001</v>
      </c>
      <c r="F329" s="42">
        <f>SUM(F330:F331)</f>
        <v>469870637.15000004</v>
      </c>
      <c r="G329" s="80">
        <f t="shared" si="68"/>
        <v>0.61333787419138097</v>
      </c>
      <c r="H329" s="42">
        <f t="shared" si="70"/>
        <v>330931105.10999995</v>
      </c>
      <c r="I329" s="42">
        <f>SUM(I330:I331)</f>
        <v>115753791.86000001</v>
      </c>
      <c r="J329" s="42">
        <f>SUM(J330:J331)</f>
        <v>469590337.03000003</v>
      </c>
      <c r="K329" s="42">
        <f t="shared" si="69"/>
        <v>0.66853028851390595</v>
      </c>
      <c r="L329" s="80">
        <f t="shared" si="71"/>
        <v>331211405.22999996</v>
      </c>
    </row>
    <row r="330" spans="1:12" ht="14.85" customHeight="1" x14ac:dyDescent="0.25">
      <c r="A330" s="43" t="s">
        <v>48</v>
      </c>
      <c r="B330" s="52" t="s">
        <v>49</v>
      </c>
      <c r="C330" s="94">
        <v>100000</v>
      </c>
      <c r="D330" s="94">
        <v>801742.26</v>
      </c>
      <c r="E330" s="61">
        <f>F330-350997.73</f>
        <v>350871.13</v>
      </c>
      <c r="F330" s="96">
        <v>701868.86</v>
      </c>
      <c r="G330" s="50">
        <f t="shared" si="68"/>
        <v>9.1617292190169792E-4</v>
      </c>
      <c r="H330" s="45">
        <f t="shared" si="70"/>
        <v>99873.400000000023</v>
      </c>
      <c r="I330" s="45">
        <f>J330-292984.86</f>
        <v>128583.88</v>
      </c>
      <c r="J330" s="94">
        <v>421568.74</v>
      </c>
      <c r="K330" s="45">
        <f t="shared" si="69"/>
        <v>6.0016454589575355E-4</v>
      </c>
      <c r="L330" s="50">
        <f t="shared" si="71"/>
        <v>380173.52</v>
      </c>
    </row>
    <row r="331" spans="1:12" ht="14.85" customHeight="1" x14ac:dyDescent="0.25">
      <c r="A331" s="43" t="s">
        <v>30</v>
      </c>
      <c r="B331" s="52" t="s">
        <v>31</v>
      </c>
      <c r="C331" s="94">
        <v>800000000</v>
      </c>
      <c r="D331" s="94">
        <v>800000000</v>
      </c>
      <c r="E331" s="61">
        <f>F331-353543560.31</f>
        <v>115625207.98000002</v>
      </c>
      <c r="F331" s="96">
        <v>469168768.29000002</v>
      </c>
      <c r="G331" s="50">
        <f t="shared" si="68"/>
        <v>0.61242170126947937</v>
      </c>
      <c r="H331" s="45">
        <f t="shared" si="70"/>
        <v>330831231.70999998</v>
      </c>
      <c r="I331" s="45">
        <f>J331-353543560.31</f>
        <v>115625207.98000002</v>
      </c>
      <c r="J331" s="94">
        <v>469168768.29000002</v>
      </c>
      <c r="K331" s="45">
        <f t="shared" si="69"/>
        <v>0.66793012396801021</v>
      </c>
      <c r="L331" s="50">
        <f t="shared" si="71"/>
        <v>330831231.70999998</v>
      </c>
    </row>
    <row r="332" spans="1:12" ht="14.85" customHeight="1" x14ac:dyDescent="0.2">
      <c r="A332" s="40" t="s">
        <v>50</v>
      </c>
      <c r="B332" s="81" t="s">
        <v>51</v>
      </c>
      <c r="C332" s="42">
        <f>SUM(C333:C337)</f>
        <v>611271032</v>
      </c>
      <c r="D332" s="42">
        <f>SUM(D333:D337)</f>
        <v>508625095.91000003</v>
      </c>
      <c r="E332" s="98">
        <f>SUM(E333:E337)</f>
        <v>32325042.129999995</v>
      </c>
      <c r="F332" s="42">
        <f>SUM(F333:F337)</f>
        <v>430285222.09000003</v>
      </c>
      <c r="G332" s="80">
        <f t="shared" si="68"/>
        <v>0.56166570657275827</v>
      </c>
      <c r="H332" s="42">
        <f t="shared" si="70"/>
        <v>78339873.819999993</v>
      </c>
      <c r="I332" s="42">
        <f>SUM(I333+I334+I335+I337+I336)</f>
        <v>77132482.5</v>
      </c>
      <c r="J332" s="42">
        <f>SUM(J333:J337)</f>
        <v>295460678.04000002</v>
      </c>
      <c r="K332" s="42">
        <f t="shared" si="69"/>
        <v>0.42063133918783457</v>
      </c>
      <c r="L332" s="80">
        <f t="shared" si="71"/>
        <v>213164417.87</v>
      </c>
    </row>
    <row r="333" spans="1:12" ht="14.85" customHeight="1" x14ac:dyDescent="0.25">
      <c r="A333" s="43" t="s">
        <v>52</v>
      </c>
      <c r="B333" s="52" t="s">
        <v>53</v>
      </c>
      <c r="C333" s="42">
        <v>0</v>
      </c>
      <c r="D333" s="45">
        <v>0</v>
      </c>
      <c r="E333" s="61">
        <f>F333-0</f>
        <v>0</v>
      </c>
      <c r="F333" s="45">
        <v>0</v>
      </c>
      <c r="G333" s="80">
        <f t="shared" si="68"/>
        <v>0</v>
      </c>
      <c r="H333" s="42">
        <f t="shared" si="70"/>
        <v>0</v>
      </c>
      <c r="I333" s="42">
        <f>J333-0</f>
        <v>0</v>
      </c>
      <c r="J333" s="42">
        <v>0</v>
      </c>
      <c r="K333" s="42">
        <f t="shared" si="69"/>
        <v>0</v>
      </c>
      <c r="L333" s="80">
        <f t="shared" si="71"/>
        <v>0</v>
      </c>
    </row>
    <row r="334" spans="1:12" ht="14.85" customHeight="1" x14ac:dyDescent="0.25">
      <c r="A334" s="43" t="s">
        <v>54</v>
      </c>
      <c r="B334" s="52" t="s">
        <v>55</v>
      </c>
      <c r="C334" s="45">
        <v>100000</v>
      </c>
      <c r="D334" s="45">
        <v>206000</v>
      </c>
      <c r="E334" s="61">
        <f>F334-0</f>
        <v>0</v>
      </c>
      <c r="F334" s="45">
        <v>0</v>
      </c>
      <c r="G334" s="50">
        <f t="shared" si="68"/>
        <v>0</v>
      </c>
      <c r="H334" s="45">
        <f t="shared" si="70"/>
        <v>206000</v>
      </c>
      <c r="I334" s="45">
        <f>J334-0</f>
        <v>0</v>
      </c>
      <c r="J334" s="45">
        <v>0</v>
      </c>
      <c r="K334" s="45">
        <f t="shared" si="69"/>
        <v>0</v>
      </c>
      <c r="L334" s="50">
        <f t="shared" si="71"/>
        <v>206000</v>
      </c>
    </row>
    <row r="335" spans="1:12" ht="14.85" customHeight="1" x14ac:dyDescent="0.25">
      <c r="A335" s="43" t="s">
        <v>30</v>
      </c>
      <c r="B335" s="52" t="s">
        <v>31</v>
      </c>
      <c r="C335" s="94">
        <v>610616032</v>
      </c>
      <c r="D335" s="94">
        <v>507153095.91000003</v>
      </c>
      <c r="E335" s="61">
        <f>F335-397659232.1</f>
        <v>32317092.129999995</v>
      </c>
      <c r="F335" s="96">
        <v>429976324.23000002</v>
      </c>
      <c r="G335" s="50">
        <f t="shared" si="68"/>
        <v>0.56126249185403521</v>
      </c>
      <c r="H335" s="45">
        <f t="shared" si="70"/>
        <v>77176771.680000007</v>
      </c>
      <c r="I335" s="45">
        <f>J335-218179744.34</f>
        <v>77072895.840000004</v>
      </c>
      <c r="J335" s="94">
        <v>295252640.18000001</v>
      </c>
      <c r="K335" s="45">
        <f t="shared" si="69"/>
        <v>0.4203351669721811</v>
      </c>
      <c r="L335" s="50">
        <f t="shared" si="71"/>
        <v>211900455.73000002</v>
      </c>
    </row>
    <row r="336" spans="1:12" ht="14.85" customHeight="1" x14ac:dyDescent="0.25">
      <c r="A336" s="43" t="s">
        <v>32</v>
      </c>
      <c r="B336" s="52" t="s">
        <v>33</v>
      </c>
      <c r="C336" s="94">
        <v>250000</v>
      </c>
      <c r="D336" s="94">
        <v>850000</v>
      </c>
      <c r="E336" s="61">
        <f>F336-104047.86</f>
        <v>0</v>
      </c>
      <c r="F336" s="96">
        <v>104047.86</v>
      </c>
      <c r="G336" s="50">
        <f t="shared" si="68"/>
        <v>1.3581715523583538E-4</v>
      </c>
      <c r="H336" s="45">
        <f t="shared" si="70"/>
        <v>745952.14</v>
      </c>
      <c r="I336" s="45">
        <f>J336-77551.2</f>
        <v>26496.660000000003</v>
      </c>
      <c r="J336" s="94">
        <v>104047.86</v>
      </c>
      <c r="K336" s="45">
        <f t="shared" si="69"/>
        <v>1.4812729389832114E-4</v>
      </c>
      <c r="L336" s="50">
        <f t="shared" si="71"/>
        <v>745952.14</v>
      </c>
    </row>
    <row r="337" spans="1:15" ht="14.85" customHeight="1" x14ac:dyDescent="0.25">
      <c r="A337" s="43" t="s">
        <v>34</v>
      </c>
      <c r="B337" s="52" t="s">
        <v>207</v>
      </c>
      <c r="C337" s="94">
        <v>305000</v>
      </c>
      <c r="D337" s="94">
        <v>416000</v>
      </c>
      <c r="E337" s="61">
        <f>F337-196900</f>
        <v>7950</v>
      </c>
      <c r="F337" s="96">
        <v>204850</v>
      </c>
      <c r="G337" s="50">
        <f t="shared" si="68"/>
        <v>2.6739756348723436E-4</v>
      </c>
      <c r="H337" s="45">
        <f t="shared" si="70"/>
        <v>211150</v>
      </c>
      <c r="I337" s="45">
        <f>J337-70900</f>
        <v>33090</v>
      </c>
      <c r="J337" s="94">
        <v>103990</v>
      </c>
      <c r="K337" s="45">
        <f t="shared" si="69"/>
        <v>1.4804492175510785E-4</v>
      </c>
      <c r="L337" s="50">
        <f t="shared" si="71"/>
        <v>312010</v>
      </c>
    </row>
    <row r="338" spans="1:15" ht="14.85" customHeight="1" x14ac:dyDescent="0.2">
      <c r="A338" s="40" t="s">
        <v>57</v>
      </c>
      <c r="B338" s="81" t="s">
        <v>58</v>
      </c>
      <c r="C338" s="42">
        <f>SUM(C339:C345)</f>
        <v>173314943</v>
      </c>
      <c r="D338" s="42">
        <f>SUM(D339:D345)</f>
        <v>141595497.86000001</v>
      </c>
      <c r="E338" s="98">
        <f>SUM(E339:E345)</f>
        <v>30816312.160000011</v>
      </c>
      <c r="F338" s="42">
        <f>SUM(F339:F345)</f>
        <v>114976735.53</v>
      </c>
      <c r="G338" s="80">
        <f t="shared" si="68"/>
        <v>0.15008298236972484</v>
      </c>
      <c r="H338" s="42">
        <f t="shared" si="70"/>
        <v>26618762.330000013</v>
      </c>
      <c r="I338" s="42">
        <f>SUM(I339:I345)</f>
        <v>28216111.240000002</v>
      </c>
      <c r="J338" s="42">
        <f>SUM(J339:J345)</f>
        <v>108258517.48</v>
      </c>
      <c r="K338" s="42">
        <f t="shared" si="69"/>
        <v>0.15412177853303757</v>
      </c>
      <c r="L338" s="80">
        <f t="shared" si="71"/>
        <v>33336980.38000001</v>
      </c>
    </row>
    <row r="339" spans="1:15" ht="14.85" customHeight="1" x14ac:dyDescent="0.25">
      <c r="A339" s="43" t="s">
        <v>30</v>
      </c>
      <c r="B339" s="52" t="s">
        <v>31</v>
      </c>
      <c r="C339" s="94">
        <v>173213743</v>
      </c>
      <c r="D339" s="94">
        <v>141552639.86000001</v>
      </c>
      <c r="E339" s="61">
        <f>F339-84119953.38</f>
        <v>30816312.160000011</v>
      </c>
      <c r="F339" s="96">
        <v>114936265.54000001</v>
      </c>
      <c r="G339" s="50">
        <f t="shared" si="68"/>
        <v>0.150030155536821</v>
      </c>
      <c r="H339" s="45">
        <f t="shared" si="70"/>
        <v>26616374.320000008</v>
      </c>
      <c r="I339" s="45">
        <f>J339-80024604.19</f>
        <v>28208990.420000002</v>
      </c>
      <c r="J339" s="94">
        <v>108233594.61</v>
      </c>
      <c r="K339" s="45">
        <f t="shared" si="69"/>
        <v>0.15408629719503331</v>
      </c>
      <c r="L339" s="50">
        <f t="shared" si="71"/>
        <v>33319045.250000015</v>
      </c>
    </row>
    <row r="340" spans="1:15" ht="14.85" customHeight="1" x14ac:dyDescent="0.25">
      <c r="A340" s="43" t="s">
        <v>61</v>
      </c>
      <c r="B340" s="52" t="s">
        <v>62</v>
      </c>
      <c r="C340" s="45">
        <v>0</v>
      </c>
      <c r="D340" s="45">
        <v>0</v>
      </c>
      <c r="E340" s="61">
        <f t="shared" ref="E340:E345" si="72">F340-0</f>
        <v>0</v>
      </c>
      <c r="F340" s="45">
        <v>0</v>
      </c>
      <c r="G340" s="50">
        <f t="shared" si="68"/>
        <v>0</v>
      </c>
      <c r="H340" s="45">
        <f t="shared" si="70"/>
        <v>0</v>
      </c>
      <c r="I340" s="45">
        <f t="shared" ref="I340:I345" si="73">J340-0</f>
        <v>0</v>
      </c>
      <c r="J340" s="45">
        <v>0</v>
      </c>
      <c r="K340" s="45">
        <f t="shared" si="69"/>
        <v>0</v>
      </c>
      <c r="L340" s="50">
        <f t="shared" si="71"/>
        <v>0</v>
      </c>
    </row>
    <row r="341" spans="1:15" ht="14.85" customHeight="1" x14ac:dyDescent="0.25">
      <c r="A341" s="43" t="s">
        <v>63</v>
      </c>
      <c r="B341" s="52" t="s">
        <v>64</v>
      </c>
      <c r="C341" s="45">
        <v>0</v>
      </c>
      <c r="D341" s="45">
        <v>0</v>
      </c>
      <c r="E341" s="61">
        <f t="shared" si="72"/>
        <v>0</v>
      </c>
      <c r="F341" s="45">
        <v>0</v>
      </c>
      <c r="G341" s="50">
        <f t="shared" si="68"/>
        <v>0</v>
      </c>
      <c r="H341" s="45">
        <f t="shared" si="70"/>
        <v>0</v>
      </c>
      <c r="I341" s="45">
        <f t="shared" si="73"/>
        <v>0</v>
      </c>
      <c r="J341" s="45">
        <v>0</v>
      </c>
      <c r="K341" s="45">
        <f t="shared" si="69"/>
        <v>0</v>
      </c>
      <c r="L341" s="50">
        <f t="shared" si="71"/>
        <v>0</v>
      </c>
      <c r="N341" s="114"/>
      <c r="O341" s="114"/>
    </row>
    <row r="342" spans="1:15" ht="14.85" customHeight="1" x14ac:dyDescent="0.25">
      <c r="A342" s="43" t="s">
        <v>65</v>
      </c>
      <c r="B342" s="52" t="s">
        <v>66</v>
      </c>
      <c r="C342" s="94">
        <v>101200</v>
      </c>
      <c r="D342" s="94">
        <v>42858</v>
      </c>
      <c r="E342" s="61">
        <f>F342-40469.99</f>
        <v>0</v>
      </c>
      <c r="F342" s="96">
        <v>40469.99</v>
      </c>
      <c r="G342" s="50">
        <f t="shared" si="68"/>
        <v>5.2826832903845454E-5</v>
      </c>
      <c r="H342" s="45">
        <f t="shared" si="70"/>
        <v>2388.010000000002</v>
      </c>
      <c r="I342" s="45">
        <f>J342-17802.05</f>
        <v>7120.82</v>
      </c>
      <c r="J342" s="45">
        <v>24922.87</v>
      </c>
      <c r="K342" s="45">
        <f t="shared" si="69"/>
        <v>3.5481338004257377E-5</v>
      </c>
      <c r="L342" s="50">
        <f t="shared" si="71"/>
        <v>17935.13</v>
      </c>
      <c r="N342" s="69"/>
      <c r="O342" s="69"/>
    </row>
    <row r="343" spans="1:15" ht="14.85" customHeight="1" x14ac:dyDescent="0.25">
      <c r="A343" s="43" t="s">
        <v>71</v>
      </c>
      <c r="B343" s="52" t="s">
        <v>72</v>
      </c>
      <c r="C343" s="45">
        <v>0</v>
      </c>
      <c r="D343" s="45">
        <v>0</v>
      </c>
      <c r="E343" s="61">
        <f t="shared" si="72"/>
        <v>0</v>
      </c>
      <c r="F343" s="45">
        <v>0</v>
      </c>
      <c r="G343" s="50">
        <f t="shared" si="68"/>
        <v>0</v>
      </c>
      <c r="H343" s="45">
        <f t="shared" si="70"/>
        <v>0</v>
      </c>
      <c r="I343" s="45">
        <f t="shared" si="73"/>
        <v>0</v>
      </c>
      <c r="J343" s="45">
        <v>0</v>
      </c>
      <c r="K343" s="45">
        <f t="shared" si="69"/>
        <v>0</v>
      </c>
      <c r="L343" s="50">
        <f t="shared" si="71"/>
        <v>0</v>
      </c>
    </row>
    <row r="344" spans="1:15" ht="14.85" customHeight="1" x14ac:dyDescent="0.25">
      <c r="A344" s="43" t="s">
        <v>87</v>
      </c>
      <c r="B344" s="52" t="s">
        <v>88</v>
      </c>
      <c r="C344" s="45">
        <v>0</v>
      </c>
      <c r="D344" s="45">
        <v>0</v>
      </c>
      <c r="E344" s="61">
        <f t="shared" si="72"/>
        <v>0</v>
      </c>
      <c r="F344" s="45">
        <v>0</v>
      </c>
      <c r="G344" s="50">
        <f t="shared" si="68"/>
        <v>0</v>
      </c>
      <c r="H344" s="45">
        <f t="shared" si="70"/>
        <v>0</v>
      </c>
      <c r="I344" s="45">
        <f t="shared" si="73"/>
        <v>0</v>
      </c>
      <c r="J344" s="45">
        <v>0</v>
      </c>
      <c r="K344" s="45">
        <f t="shared" si="69"/>
        <v>0</v>
      </c>
      <c r="L344" s="50">
        <f t="shared" si="71"/>
        <v>0</v>
      </c>
    </row>
    <row r="345" spans="1:15" ht="14.85" customHeight="1" x14ac:dyDescent="0.25">
      <c r="A345" s="43" t="s">
        <v>89</v>
      </c>
      <c r="B345" s="52" t="s">
        <v>90</v>
      </c>
      <c r="C345" s="45">
        <v>0</v>
      </c>
      <c r="D345" s="45">
        <v>0</v>
      </c>
      <c r="E345" s="61">
        <f t="shared" si="72"/>
        <v>0</v>
      </c>
      <c r="F345" s="45">
        <v>0</v>
      </c>
      <c r="G345" s="50">
        <f t="shared" si="68"/>
        <v>0</v>
      </c>
      <c r="H345" s="45">
        <f t="shared" si="70"/>
        <v>0</v>
      </c>
      <c r="I345" s="45">
        <f t="shared" si="73"/>
        <v>0</v>
      </c>
      <c r="J345" s="45">
        <v>0</v>
      </c>
      <c r="K345" s="45">
        <f t="shared" si="69"/>
        <v>0</v>
      </c>
      <c r="L345" s="50">
        <f t="shared" si="71"/>
        <v>0</v>
      </c>
    </row>
    <row r="346" spans="1:15" ht="14.85" customHeight="1" x14ac:dyDescent="0.2">
      <c r="A346" s="40" t="s">
        <v>101</v>
      </c>
      <c r="B346" s="81" t="s">
        <v>102</v>
      </c>
      <c r="C346" s="42">
        <f>SUM(C347:C351)</f>
        <v>793132860</v>
      </c>
      <c r="D346" s="42">
        <f>SUM(D347:D351)</f>
        <v>598261473.96000004</v>
      </c>
      <c r="E346" s="98">
        <f>SUM(E347:E351)</f>
        <v>116372517.05000001</v>
      </c>
      <c r="F346" s="42">
        <f>SUM(F347:F351)</f>
        <v>446509346.75999999</v>
      </c>
      <c r="G346" s="80">
        <f t="shared" si="68"/>
        <v>0.58284359969685451</v>
      </c>
      <c r="H346" s="42">
        <f t="shared" si="70"/>
        <v>151752127.20000005</v>
      </c>
      <c r="I346" s="42">
        <f>SUM(I347:I351)</f>
        <v>106468559.73999995</v>
      </c>
      <c r="J346" s="42">
        <f>SUM(J347:J351)</f>
        <v>430242157.89999998</v>
      </c>
      <c r="K346" s="42">
        <f t="shared" si="69"/>
        <v>0.61251242044479526</v>
      </c>
      <c r="L346" s="80">
        <f t="shared" si="71"/>
        <v>168019316.06000006</v>
      </c>
    </row>
    <row r="347" spans="1:15" ht="14.85" customHeight="1" x14ac:dyDescent="0.25">
      <c r="A347" s="43" t="s">
        <v>30</v>
      </c>
      <c r="B347" s="52" t="s">
        <v>31</v>
      </c>
      <c r="C347" s="94">
        <v>793132860</v>
      </c>
      <c r="D347" s="94">
        <v>587949377.96000004</v>
      </c>
      <c r="E347" s="61">
        <f>F347-330124733.71</f>
        <v>106120577.61000001</v>
      </c>
      <c r="F347" s="96">
        <v>436245311.31999999</v>
      </c>
      <c r="G347" s="50">
        <f t="shared" si="68"/>
        <v>0.56944561059164278</v>
      </c>
      <c r="H347" s="45">
        <f t="shared" si="70"/>
        <v>151704066.64000005</v>
      </c>
      <c r="I347" s="45">
        <f>J347-323761502.16</f>
        <v>106468559.73999995</v>
      </c>
      <c r="J347" s="94">
        <v>430230061.89999998</v>
      </c>
      <c r="K347" s="45">
        <f t="shared" si="69"/>
        <v>0.61249520002577851</v>
      </c>
      <c r="L347" s="50">
        <f t="shared" si="71"/>
        <v>157719316.06000006</v>
      </c>
    </row>
    <row r="348" spans="1:15" ht="14.85" customHeight="1" x14ac:dyDescent="0.25">
      <c r="A348" s="43" t="s">
        <v>65</v>
      </c>
      <c r="B348" s="52" t="s">
        <v>66</v>
      </c>
      <c r="C348" s="45">
        <v>0</v>
      </c>
      <c r="D348" s="45">
        <v>10300000</v>
      </c>
      <c r="E348" s="61">
        <f>F348-0</f>
        <v>10251939.439999999</v>
      </c>
      <c r="F348" s="42">
        <v>10251939.439999999</v>
      </c>
      <c r="G348" s="50">
        <f t="shared" si="68"/>
        <v>1.3382199791431203E-2</v>
      </c>
      <c r="H348" s="45">
        <f t="shared" si="70"/>
        <v>48060.560000000522</v>
      </c>
      <c r="I348" s="45">
        <f>J348-0</f>
        <v>0</v>
      </c>
      <c r="J348" s="45">
        <v>0</v>
      </c>
      <c r="K348" s="45">
        <f t="shared" si="69"/>
        <v>0</v>
      </c>
      <c r="L348" s="50">
        <f t="shared" si="71"/>
        <v>10300000</v>
      </c>
    </row>
    <row r="349" spans="1:15" ht="14.85" customHeight="1" x14ac:dyDescent="0.25">
      <c r="A349" s="43" t="s">
        <v>34</v>
      </c>
      <c r="B349" s="52" t="s">
        <v>35</v>
      </c>
      <c r="C349" s="45">
        <v>0</v>
      </c>
      <c r="D349" s="45">
        <v>0</v>
      </c>
      <c r="E349" s="61">
        <f>F349-0</f>
        <v>0</v>
      </c>
      <c r="F349" s="45">
        <v>0</v>
      </c>
      <c r="G349" s="50">
        <f t="shared" si="68"/>
        <v>0</v>
      </c>
      <c r="H349" s="45">
        <f t="shared" si="70"/>
        <v>0</v>
      </c>
      <c r="I349" s="45">
        <f>J349-0</f>
        <v>0</v>
      </c>
      <c r="J349" s="45">
        <v>0</v>
      </c>
      <c r="K349" s="45">
        <f t="shared" si="69"/>
        <v>0</v>
      </c>
      <c r="L349" s="50">
        <f t="shared" si="71"/>
        <v>0</v>
      </c>
    </row>
    <row r="350" spans="1:15" ht="14.85" customHeight="1" x14ac:dyDescent="0.25">
      <c r="A350" s="43" t="s">
        <v>104</v>
      </c>
      <c r="B350" s="52" t="s">
        <v>105</v>
      </c>
      <c r="C350" s="45">
        <v>0</v>
      </c>
      <c r="D350" s="45">
        <v>12096</v>
      </c>
      <c r="E350" s="61">
        <f>F350-12096</f>
        <v>0</v>
      </c>
      <c r="F350" s="45">
        <v>12096</v>
      </c>
      <c r="G350" s="50">
        <f t="shared" si="68"/>
        <v>1.578931378053008E-5</v>
      </c>
      <c r="H350" s="45">
        <f t="shared" si="70"/>
        <v>0</v>
      </c>
      <c r="I350" s="45">
        <f>J350-12096</f>
        <v>0</v>
      </c>
      <c r="J350" s="45">
        <v>12096</v>
      </c>
      <c r="K350" s="45">
        <f t="shared" si="69"/>
        <v>1.7220419016730307E-5</v>
      </c>
      <c r="L350" s="50">
        <f t="shared" si="71"/>
        <v>0</v>
      </c>
    </row>
    <row r="351" spans="1:15" ht="14.85" customHeight="1" x14ac:dyDescent="0.25">
      <c r="A351" s="43" t="s">
        <v>106</v>
      </c>
      <c r="B351" s="52" t="s">
        <v>107</v>
      </c>
      <c r="C351" s="45">
        <v>0</v>
      </c>
      <c r="D351" s="45">
        <v>0</v>
      </c>
      <c r="E351" s="61">
        <f>F351-0</f>
        <v>0</v>
      </c>
      <c r="F351" s="45">
        <v>0</v>
      </c>
      <c r="G351" s="50">
        <f t="shared" si="68"/>
        <v>0</v>
      </c>
      <c r="H351" s="45">
        <f t="shared" si="70"/>
        <v>0</v>
      </c>
      <c r="I351" s="45">
        <f>J351-0</f>
        <v>0</v>
      </c>
      <c r="J351" s="45">
        <v>0</v>
      </c>
      <c r="K351" s="45">
        <f t="shared" si="69"/>
        <v>0</v>
      </c>
      <c r="L351" s="50">
        <f t="shared" si="71"/>
        <v>0</v>
      </c>
    </row>
    <row r="352" spans="1:15" ht="14.85" customHeight="1" x14ac:dyDescent="0.2">
      <c r="A352" s="40" t="s">
        <v>134</v>
      </c>
      <c r="B352" s="81" t="s">
        <v>135</v>
      </c>
      <c r="C352" s="42">
        <f>SUM(C353:C355)</f>
        <v>3692131</v>
      </c>
      <c r="D352" s="42">
        <f>SUM(D353:D355)</f>
        <v>8713464.6600000001</v>
      </c>
      <c r="E352" s="98">
        <f>SUM(E353:E355)</f>
        <v>4612582.6199999992</v>
      </c>
      <c r="F352" s="42">
        <f>SUM(F353:F355)</f>
        <v>7513974.1399999997</v>
      </c>
      <c r="G352" s="80">
        <f t="shared" si="68"/>
        <v>9.8082420168029635E-3</v>
      </c>
      <c r="H352" s="42">
        <f t="shared" si="70"/>
        <v>1199490.5200000005</v>
      </c>
      <c r="I352" s="42">
        <f>SUM(I353:I355)</f>
        <v>4157462.5699999994</v>
      </c>
      <c r="J352" s="42">
        <f>SUM(J353:J355)</f>
        <v>6779191.0599999996</v>
      </c>
      <c r="K352" s="42">
        <f t="shared" si="69"/>
        <v>9.6511665548670699E-3</v>
      </c>
      <c r="L352" s="80">
        <f t="shared" si="71"/>
        <v>1934273.6000000006</v>
      </c>
    </row>
    <row r="353" spans="1:12" ht="14.85" customHeight="1" x14ac:dyDescent="0.25">
      <c r="A353" s="43" t="s">
        <v>30</v>
      </c>
      <c r="B353" s="52" t="s">
        <v>31</v>
      </c>
      <c r="C353" s="94">
        <v>3012131</v>
      </c>
      <c r="D353" s="94">
        <v>5320202.2</v>
      </c>
      <c r="E353" s="61">
        <f>F353-2723325.16</f>
        <v>1537028.0599999996</v>
      </c>
      <c r="F353" s="96">
        <v>4260353.22</v>
      </c>
      <c r="G353" s="50">
        <f t="shared" si="68"/>
        <v>5.5611816969635998E-3</v>
      </c>
      <c r="H353" s="45">
        <f t="shared" si="70"/>
        <v>1059848.9800000004</v>
      </c>
      <c r="I353" s="45">
        <f>J353-2511264.37</f>
        <v>1064062.4299999997</v>
      </c>
      <c r="J353" s="94">
        <v>3575326.8</v>
      </c>
      <c r="K353" s="45">
        <f t="shared" si="69"/>
        <v>5.0899988109908657E-3</v>
      </c>
      <c r="L353" s="50">
        <f t="shared" si="71"/>
        <v>1744875.4000000004</v>
      </c>
    </row>
    <row r="354" spans="1:12" ht="14.85" customHeight="1" x14ac:dyDescent="0.25">
      <c r="A354" s="43" t="s">
        <v>110</v>
      </c>
      <c r="B354" s="52" t="s">
        <v>111</v>
      </c>
      <c r="C354" s="94">
        <v>680000</v>
      </c>
      <c r="D354" s="94">
        <v>313288</v>
      </c>
      <c r="E354" s="61">
        <f>F354-131986.36</f>
        <v>41680.100000000006</v>
      </c>
      <c r="F354" s="96">
        <v>173666.46</v>
      </c>
      <c r="G354" s="50">
        <f t="shared" si="68"/>
        <v>2.2669264468368685E-4</v>
      </c>
      <c r="H354" s="45">
        <f t="shared" si="70"/>
        <v>139621.54</v>
      </c>
      <c r="I354" s="45">
        <f>J354-110464.12</f>
        <v>40325.679999999993</v>
      </c>
      <c r="J354" s="94">
        <v>150789.79999999999</v>
      </c>
      <c r="K354" s="45">
        <f t="shared" si="69"/>
        <v>2.1467125822164016E-4</v>
      </c>
      <c r="L354" s="50">
        <f t="shared" si="71"/>
        <v>162498.20000000001</v>
      </c>
    </row>
    <row r="355" spans="1:12" ht="14.85" customHeight="1" x14ac:dyDescent="0.25">
      <c r="A355" s="43" t="s">
        <v>112</v>
      </c>
      <c r="B355" s="52" t="s">
        <v>276</v>
      </c>
      <c r="C355" s="45">
        <v>0</v>
      </c>
      <c r="D355" s="45">
        <v>3079974.46</v>
      </c>
      <c r="E355" s="61">
        <f>F355-46080</f>
        <v>3033874.46</v>
      </c>
      <c r="F355" s="45">
        <v>3079954.46</v>
      </c>
      <c r="G355" s="50">
        <f t="shared" si="68"/>
        <v>4.0203676751556783E-3</v>
      </c>
      <c r="H355" s="45">
        <f t="shared" si="70"/>
        <v>20</v>
      </c>
      <c r="I355" s="45">
        <f>J355-0</f>
        <v>3053074.46</v>
      </c>
      <c r="J355" s="45">
        <v>3053074.46</v>
      </c>
      <c r="K355" s="45">
        <f t="shared" si="69"/>
        <v>4.3464964856545643E-3</v>
      </c>
      <c r="L355" s="50">
        <f t="shared" si="71"/>
        <v>26900</v>
      </c>
    </row>
    <row r="356" spans="1:12" ht="14.85" customHeight="1" x14ac:dyDescent="0.2">
      <c r="A356" s="40" t="s">
        <v>140</v>
      </c>
      <c r="B356" s="81" t="s">
        <v>141</v>
      </c>
      <c r="C356" s="42">
        <f>C357</f>
        <v>332837997</v>
      </c>
      <c r="D356" s="42">
        <f>D357</f>
        <v>413048824.95999998</v>
      </c>
      <c r="E356" s="98">
        <f>E357</f>
        <v>132152106.04999998</v>
      </c>
      <c r="F356" s="42">
        <f>F357</f>
        <v>332886024.39999998</v>
      </c>
      <c r="G356" s="80">
        <f t="shared" si="68"/>
        <v>0.43452727285092529</v>
      </c>
      <c r="H356" s="42">
        <f t="shared" si="70"/>
        <v>80162800.560000002</v>
      </c>
      <c r="I356" s="42">
        <f>I357</f>
        <v>66954235.450000018</v>
      </c>
      <c r="J356" s="42">
        <f>J357</f>
        <v>267334530.84</v>
      </c>
      <c r="K356" s="42">
        <f t="shared" si="69"/>
        <v>0.38058966920517612</v>
      </c>
      <c r="L356" s="80">
        <f t="shared" si="71"/>
        <v>145714294.11999997</v>
      </c>
    </row>
    <row r="357" spans="1:12" ht="14.85" customHeight="1" x14ac:dyDescent="0.25">
      <c r="A357" s="43" t="s">
        <v>30</v>
      </c>
      <c r="B357" s="52" t="s">
        <v>31</v>
      </c>
      <c r="C357" s="94">
        <v>332837997</v>
      </c>
      <c r="D357" s="94">
        <v>413048824.95999998</v>
      </c>
      <c r="E357" s="61">
        <f>F357-200733918.35</f>
        <v>132152106.04999998</v>
      </c>
      <c r="F357" s="96">
        <v>332886024.39999998</v>
      </c>
      <c r="G357" s="50">
        <f t="shared" si="68"/>
        <v>0.43452727285092529</v>
      </c>
      <c r="H357" s="45">
        <f t="shared" si="70"/>
        <v>80162800.560000002</v>
      </c>
      <c r="I357" s="45">
        <f>J357-200380295.39</f>
        <v>66954235.450000018</v>
      </c>
      <c r="J357" s="94">
        <v>267334530.84</v>
      </c>
      <c r="K357" s="45">
        <f t="shared" si="69"/>
        <v>0.38058966920517612</v>
      </c>
      <c r="L357" s="50">
        <f t="shared" si="71"/>
        <v>145714294.11999997</v>
      </c>
    </row>
    <row r="358" spans="1:12" ht="14.85" customHeight="1" x14ac:dyDescent="0.2">
      <c r="A358" s="40" t="s">
        <v>146</v>
      </c>
      <c r="B358" s="81" t="s">
        <v>147</v>
      </c>
      <c r="C358" s="42">
        <f>SUM(C359:C361)</f>
        <v>3201011981</v>
      </c>
      <c r="D358" s="42">
        <f>SUM(D359:D361)</f>
        <v>3225641868.3200002</v>
      </c>
      <c r="E358" s="98">
        <f>SUM(E359:E361)</f>
        <v>672652107.61999977</v>
      </c>
      <c r="F358" s="42">
        <f>SUM(F359:F361)</f>
        <v>2981570065.1599998</v>
      </c>
      <c r="G358" s="80">
        <f t="shared" si="68"/>
        <v>3.8919432306090238</v>
      </c>
      <c r="H358" s="42">
        <f t="shared" si="70"/>
        <v>244071803.16000032</v>
      </c>
      <c r="I358" s="42">
        <f>SUM(I359:I361)</f>
        <v>672582933.91999984</v>
      </c>
      <c r="J358" s="42">
        <f>SUM(J359:J361)</f>
        <v>2981193057.8899999</v>
      </c>
      <c r="K358" s="42">
        <f t="shared" si="69"/>
        <v>4.2441628328896597</v>
      </c>
      <c r="L358" s="80">
        <f t="shared" si="71"/>
        <v>244448810.43000031</v>
      </c>
    </row>
    <row r="359" spans="1:12" ht="14.85" customHeight="1" x14ac:dyDescent="0.25">
      <c r="A359" s="43" t="s">
        <v>30</v>
      </c>
      <c r="B359" s="52" t="s">
        <v>31</v>
      </c>
      <c r="C359" s="94">
        <v>138017610</v>
      </c>
      <c r="D359" s="94">
        <v>138831184.31999999</v>
      </c>
      <c r="E359" s="61">
        <f>F359-58417856.43</f>
        <v>20295727.380000003</v>
      </c>
      <c r="F359" s="96">
        <v>78713583.810000002</v>
      </c>
      <c r="G359" s="50">
        <f t="shared" si="68"/>
        <v>0.10274747631995226</v>
      </c>
      <c r="H359" s="45">
        <f t="shared" si="70"/>
        <v>60117600.50999999</v>
      </c>
      <c r="I359" s="45">
        <f>J359-58119973.86</f>
        <v>20226553.680000007</v>
      </c>
      <c r="J359" s="94">
        <v>78346527.540000007</v>
      </c>
      <c r="K359" s="45">
        <f t="shared" si="69"/>
        <v>0.11153770111975865</v>
      </c>
      <c r="L359" s="50">
        <f t="shared" si="71"/>
        <v>60484656.779999986</v>
      </c>
    </row>
    <row r="360" spans="1:12" ht="14.85" customHeight="1" x14ac:dyDescent="0.25">
      <c r="A360" s="43" t="s">
        <v>116</v>
      </c>
      <c r="B360" s="52" t="s">
        <v>117</v>
      </c>
      <c r="C360" s="94">
        <v>3062994371</v>
      </c>
      <c r="D360" s="94">
        <v>3086785635</v>
      </c>
      <c r="E360" s="61">
        <f>F360-2250490150.11</f>
        <v>652356380.23999977</v>
      </c>
      <c r="F360" s="96">
        <v>2902846530.3499999</v>
      </c>
      <c r="G360" s="50">
        <f t="shared" si="68"/>
        <v>3.7891827649156071</v>
      </c>
      <c r="H360" s="45">
        <f t="shared" si="70"/>
        <v>183939104.6500001</v>
      </c>
      <c r="I360" s="45">
        <f>J360-2250490150.11</f>
        <v>652356380.23999977</v>
      </c>
      <c r="J360" s="94">
        <v>2902846530.3499999</v>
      </c>
      <c r="K360" s="45">
        <f t="shared" si="69"/>
        <v>4.1326251317699016</v>
      </c>
      <c r="L360" s="50">
        <f t="shared" si="71"/>
        <v>183939104.6500001</v>
      </c>
    </row>
    <row r="361" spans="1:12" ht="14.85" customHeight="1" x14ac:dyDescent="0.25">
      <c r="A361" s="43" t="s">
        <v>150</v>
      </c>
      <c r="B361" s="52" t="s">
        <v>151</v>
      </c>
      <c r="C361" s="45">
        <v>0</v>
      </c>
      <c r="D361" s="45">
        <v>25049</v>
      </c>
      <c r="E361" s="61">
        <f>F361-9951</f>
        <v>0</v>
      </c>
      <c r="F361" s="45">
        <v>9951</v>
      </c>
      <c r="G361" s="50">
        <f t="shared" si="68"/>
        <v>1.2989373464786278E-5</v>
      </c>
      <c r="H361" s="45">
        <f t="shared" si="70"/>
        <v>15098</v>
      </c>
      <c r="I361" s="45">
        <f>J361-0</f>
        <v>0</v>
      </c>
      <c r="J361" s="45">
        <v>0</v>
      </c>
      <c r="K361" s="45">
        <f t="shared" si="69"/>
        <v>0</v>
      </c>
      <c r="L361" s="50">
        <f t="shared" si="71"/>
        <v>25049</v>
      </c>
    </row>
    <row r="362" spans="1:12" ht="14.85" customHeight="1" x14ac:dyDescent="0.2">
      <c r="A362" s="40" t="s">
        <v>153</v>
      </c>
      <c r="B362" s="81" t="s">
        <v>154</v>
      </c>
      <c r="C362" s="42">
        <f>C363+C364</f>
        <v>764361</v>
      </c>
      <c r="D362" s="42">
        <f>D363+D364</f>
        <v>1451037.92</v>
      </c>
      <c r="E362" s="98">
        <f>E363+E364</f>
        <v>512893.66000000003</v>
      </c>
      <c r="F362" s="42">
        <f>F363+F364</f>
        <v>1094117.28</v>
      </c>
      <c r="G362" s="80">
        <f t="shared" si="68"/>
        <v>1.4281879172139624E-3</v>
      </c>
      <c r="H362" s="42">
        <f t="shared" si="70"/>
        <v>356920.6399999999</v>
      </c>
      <c r="I362" s="42">
        <f>I363+I364</f>
        <v>277938.81000000006</v>
      </c>
      <c r="J362" s="42">
        <f>J363+J364</f>
        <v>825479.41</v>
      </c>
      <c r="K362" s="42">
        <f t="shared" si="69"/>
        <v>1.1751902554467026E-3</v>
      </c>
      <c r="L362" s="80">
        <f t="shared" si="71"/>
        <v>625558.50999999989</v>
      </c>
    </row>
    <row r="363" spans="1:12" ht="14.85" customHeight="1" x14ac:dyDescent="0.25">
      <c r="A363" s="43" t="s">
        <v>30</v>
      </c>
      <c r="B363" s="52" t="s">
        <v>31</v>
      </c>
      <c r="C363" s="94">
        <v>468361</v>
      </c>
      <c r="D363" s="94">
        <v>1155037.92</v>
      </c>
      <c r="E363" s="61">
        <f>F363-581223.62</f>
        <v>512893.66000000003</v>
      </c>
      <c r="F363" s="96">
        <v>1094117.28</v>
      </c>
      <c r="G363" s="50">
        <f t="shared" si="68"/>
        <v>1.4281879172139624E-3</v>
      </c>
      <c r="H363" s="45">
        <f t="shared" si="70"/>
        <v>60920.639999999898</v>
      </c>
      <c r="I363" s="45">
        <f>J363-547540.6</f>
        <v>277938.81000000006</v>
      </c>
      <c r="J363" s="94">
        <v>825479.41</v>
      </c>
      <c r="K363" s="45">
        <f t="shared" si="69"/>
        <v>1.1751902554467026E-3</v>
      </c>
      <c r="L363" s="50">
        <f t="shared" si="71"/>
        <v>329558.50999999989</v>
      </c>
    </row>
    <row r="364" spans="1:12" ht="14.85" customHeight="1" x14ac:dyDescent="0.25">
      <c r="A364" s="43" t="s">
        <v>158</v>
      </c>
      <c r="B364" s="52" t="s">
        <v>159</v>
      </c>
      <c r="C364" s="45">
        <v>296000</v>
      </c>
      <c r="D364" s="45">
        <v>296000</v>
      </c>
      <c r="E364" s="61">
        <f>F364-0</f>
        <v>0</v>
      </c>
      <c r="F364" s="45">
        <v>0</v>
      </c>
      <c r="G364" s="50">
        <f t="shared" si="68"/>
        <v>0</v>
      </c>
      <c r="H364" s="45">
        <f t="shared" si="70"/>
        <v>296000</v>
      </c>
      <c r="I364" s="45">
        <f>J364-0</f>
        <v>0</v>
      </c>
      <c r="J364" s="45">
        <v>0</v>
      </c>
      <c r="K364" s="45">
        <f t="shared" si="69"/>
        <v>0</v>
      </c>
      <c r="L364" s="50">
        <f t="shared" si="71"/>
        <v>296000</v>
      </c>
    </row>
    <row r="365" spans="1:12" ht="14.85" customHeight="1" x14ac:dyDescent="0.2">
      <c r="A365" s="40" t="s">
        <v>160</v>
      </c>
      <c r="B365" s="81" t="s">
        <v>161</v>
      </c>
      <c r="C365" s="42">
        <f>SUM(C366:C372)</f>
        <v>1218828253</v>
      </c>
      <c r="D365" s="42">
        <f>SUM(D366:D372)</f>
        <v>1237908107.3699999</v>
      </c>
      <c r="E365" s="98">
        <f>SUM(E366:E372)</f>
        <v>190612750.03000003</v>
      </c>
      <c r="F365" s="42">
        <f>SUM(F366:F372)</f>
        <v>749379194.18000007</v>
      </c>
      <c r="G365" s="80">
        <f t="shared" si="68"/>
        <v>0.9781897517781748</v>
      </c>
      <c r="H365" s="42">
        <f t="shared" si="70"/>
        <v>488528913.18999982</v>
      </c>
      <c r="I365" s="42">
        <f>SUM(I366:I372)</f>
        <v>191997344.78000003</v>
      </c>
      <c r="J365" s="42">
        <f>SUM(J366:J372)</f>
        <v>744962219.81000006</v>
      </c>
      <c r="K365" s="42">
        <f t="shared" si="69"/>
        <v>1.0605622996661499</v>
      </c>
      <c r="L365" s="80">
        <f t="shared" si="71"/>
        <v>492945887.55999982</v>
      </c>
    </row>
    <row r="366" spans="1:12" ht="14.85" customHeight="1" x14ac:dyDescent="0.25">
      <c r="A366" s="43" t="s">
        <v>30</v>
      </c>
      <c r="B366" s="52" t="s">
        <v>31</v>
      </c>
      <c r="C366" s="94">
        <v>551551778</v>
      </c>
      <c r="D366" s="94">
        <v>563123412.28999996</v>
      </c>
      <c r="E366" s="61">
        <f>F366-197314952.81</f>
        <v>66888818.449999988</v>
      </c>
      <c r="F366" s="96">
        <v>264203771.25999999</v>
      </c>
      <c r="G366" s="50">
        <f t="shared" si="68"/>
        <v>0.34487402830882402</v>
      </c>
      <c r="H366" s="45">
        <f t="shared" si="70"/>
        <v>298919641.02999997</v>
      </c>
      <c r="I366" s="45">
        <f>J366-191518802.76</f>
        <v>68272259.180000007</v>
      </c>
      <c r="J366" s="94">
        <v>259791061.94</v>
      </c>
      <c r="K366" s="45">
        <f t="shared" si="69"/>
        <v>0.36985044175001131</v>
      </c>
      <c r="L366" s="50">
        <f t="shared" si="71"/>
        <v>303332350.34999996</v>
      </c>
    </row>
    <row r="367" spans="1:12" ht="14.85" customHeight="1" x14ac:dyDescent="0.25">
      <c r="A367" s="43" t="s">
        <v>32</v>
      </c>
      <c r="B367" s="52" t="s">
        <v>33</v>
      </c>
      <c r="C367" s="45">
        <v>0</v>
      </c>
      <c r="D367" s="45">
        <v>6840.08</v>
      </c>
      <c r="E367" s="61">
        <f>F367-6840.08</f>
        <v>0</v>
      </c>
      <c r="F367" s="45">
        <v>6840.08</v>
      </c>
      <c r="G367" s="50">
        <f t="shared" si="68"/>
        <v>8.9285854335258096E-6</v>
      </c>
      <c r="H367" s="45">
        <f t="shared" si="70"/>
        <v>0</v>
      </c>
      <c r="I367" s="45">
        <f>J367-2801.01</f>
        <v>1154.02</v>
      </c>
      <c r="J367" s="45">
        <v>3955.03</v>
      </c>
      <c r="K367" s="45">
        <f t="shared" si="69"/>
        <v>5.6305616587085706E-6</v>
      </c>
      <c r="L367" s="50">
        <f t="shared" si="71"/>
        <v>2885.0499999999997</v>
      </c>
    </row>
    <row r="368" spans="1:12" ht="14.85" customHeight="1" x14ac:dyDescent="0.25">
      <c r="A368" s="43" t="s">
        <v>110</v>
      </c>
      <c r="B368" s="52" t="s">
        <v>111</v>
      </c>
      <c r="C368" s="45">
        <v>0</v>
      </c>
      <c r="D368" s="45">
        <v>0</v>
      </c>
      <c r="E368" s="61">
        <f t="shared" ref="E368:E372" si="74">F368-0</f>
        <v>0</v>
      </c>
      <c r="F368" s="45">
        <v>0</v>
      </c>
      <c r="G368" s="50">
        <f t="shared" si="68"/>
        <v>0</v>
      </c>
      <c r="H368" s="45">
        <f t="shared" si="70"/>
        <v>0</v>
      </c>
      <c r="I368" s="45">
        <f t="shared" ref="I368:I372" si="75">J368-0</f>
        <v>0</v>
      </c>
      <c r="J368" s="45">
        <v>0</v>
      </c>
      <c r="K368" s="45">
        <f t="shared" si="69"/>
        <v>0</v>
      </c>
      <c r="L368" s="50">
        <f t="shared" si="71"/>
        <v>0</v>
      </c>
    </row>
    <row r="369" spans="1:12" ht="14.85" customHeight="1" x14ac:dyDescent="0.25">
      <c r="A369" s="43" t="s">
        <v>162</v>
      </c>
      <c r="B369" s="52" t="s">
        <v>163</v>
      </c>
      <c r="C369" s="94">
        <v>241383916</v>
      </c>
      <c r="D369" s="94">
        <v>241383916</v>
      </c>
      <c r="E369" s="61">
        <f>F369-93826341.02</f>
        <v>15094970.850000009</v>
      </c>
      <c r="F369" s="96">
        <v>108921311.87</v>
      </c>
      <c r="G369" s="50">
        <f t="shared" si="68"/>
        <v>0.14217863512751369</v>
      </c>
      <c r="H369" s="45">
        <f t="shared" si="70"/>
        <v>132462604.13</v>
      </c>
      <c r="I369" s="45">
        <f>J369-93826341.02</f>
        <v>15094970.850000009</v>
      </c>
      <c r="J369" s="94">
        <v>108921311.87</v>
      </c>
      <c r="K369" s="45">
        <f t="shared" si="69"/>
        <v>0.15506536295084</v>
      </c>
      <c r="L369" s="50">
        <f t="shared" si="71"/>
        <v>132462604.13</v>
      </c>
    </row>
    <row r="370" spans="1:12" ht="14.85" customHeight="1" x14ac:dyDescent="0.25">
      <c r="A370" s="43" t="s">
        <v>164</v>
      </c>
      <c r="B370" s="52" t="s">
        <v>165</v>
      </c>
      <c r="C370" s="94">
        <v>425892559</v>
      </c>
      <c r="D370" s="94">
        <v>433392559</v>
      </c>
      <c r="E370" s="61">
        <f>F370-267616930.24</f>
        <v>108628960.73000002</v>
      </c>
      <c r="F370" s="96">
        <v>376245890.97000003</v>
      </c>
      <c r="G370" s="50">
        <f t="shared" si="68"/>
        <v>0.49112635839620039</v>
      </c>
      <c r="H370" s="45">
        <f t="shared" si="70"/>
        <v>57146668.029999971</v>
      </c>
      <c r="I370" s="45">
        <f>J370-267616930.24</f>
        <v>108628960.73000002</v>
      </c>
      <c r="J370" s="94">
        <v>376245890.97000003</v>
      </c>
      <c r="K370" s="45">
        <f t="shared" si="69"/>
        <v>0.53564086440363967</v>
      </c>
      <c r="L370" s="50">
        <f t="shared" si="71"/>
        <v>57146668.029999971</v>
      </c>
    </row>
    <row r="371" spans="1:12" ht="14.85" customHeight="1" x14ac:dyDescent="0.25">
      <c r="A371" s="43" t="s">
        <v>168</v>
      </c>
      <c r="B371" s="52" t="s">
        <v>169</v>
      </c>
      <c r="C371" s="94">
        <v>0</v>
      </c>
      <c r="D371" s="94">
        <v>1380</v>
      </c>
      <c r="E371" s="61">
        <f>F371-1380</f>
        <v>0</v>
      </c>
      <c r="F371" s="45">
        <v>1380</v>
      </c>
      <c r="G371" s="50">
        <f t="shared" si="68"/>
        <v>1.8013602031358721E-6</v>
      </c>
      <c r="H371" s="45">
        <f t="shared" si="70"/>
        <v>0</v>
      </c>
      <c r="I371" s="45">
        <f>J371-0</f>
        <v>0</v>
      </c>
      <c r="J371" s="45">
        <v>0</v>
      </c>
      <c r="K371" s="45">
        <f t="shared" si="69"/>
        <v>0</v>
      </c>
      <c r="L371" s="50">
        <f t="shared" si="71"/>
        <v>1380</v>
      </c>
    </row>
    <row r="372" spans="1:12" ht="14.85" customHeight="1" x14ac:dyDescent="0.25">
      <c r="A372" s="43" t="s">
        <v>172</v>
      </c>
      <c r="B372" s="52" t="s">
        <v>173</v>
      </c>
      <c r="C372" s="45">
        <v>0</v>
      </c>
      <c r="D372" s="45">
        <v>0</v>
      </c>
      <c r="E372" s="61">
        <f t="shared" si="74"/>
        <v>0</v>
      </c>
      <c r="F372" s="45">
        <v>0</v>
      </c>
      <c r="G372" s="50">
        <f t="shared" si="68"/>
        <v>0</v>
      </c>
      <c r="H372" s="45">
        <f t="shared" si="70"/>
        <v>0</v>
      </c>
      <c r="I372" s="45">
        <f t="shared" si="75"/>
        <v>0</v>
      </c>
      <c r="J372" s="45">
        <v>0</v>
      </c>
      <c r="K372" s="45">
        <f t="shared" si="69"/>
        <v>0</v>
      </c>
      <c r="L372" s="50">
        <f t="shared" si="71"/>
        <v>0</v>
      </c>
    </row>
    <row r="373" spans="1:12" ht="14.85" customHeight="1" x14ac:dyDescent="0.2">
      <c r="A373" s="40" t="s">
        <v>174</v>
      </c>
      <c r="B373" s="81" t="s">
        <v>175</v>
      </c>
      <c r="C373" s="42">
        <f>SUM(C374:C375)</f>
        <v>10607475</v>
      </c>
      <c r="D373" s="42">
        <f>SUM(D374:D375)</f>
        <v>10457239.9</v>
      </c>
      <c r="E373" s="98">
        <f>SUM(E374:E375)</f>
        <v>1510006.9500000002</v>
      </c>
      <c r="F373" s="42">
        <f>SUM(F374:F375)</f>
        <v>5919296.9800000004</v>
      </c>
      <c r="G373" s="80">
        <f t="shared" si="68"/>
        <v>7.7266565292133027E-3</v>
      </c>
      <c r="H373" s="42">
        <f t="shared" si="70"/>
        <v>4537942.92</v>
      </c>
      <c r="I373" s="42">
        <f>SUM(I374:I375)</f>
        <v>1463023.2700000005</v>
      </c>
      <c r="J373" s="42">
        <f>SUM(J374:J375)</f>
        <v>5835230.8600000003</v>
      </c>
      <c r="K373" s="42">
        <f t="shared" si="69"/>
        <v>8.3073016260379919E-3</v>
      </c>
      <c r="L373" s="80">
        <f t="shared" si="71"/>
        <v>4622009.04</v>
      </c>
    </row>
    <row r="374" spans="1:12" ht="14.85" customHeight="1" x14ac:dyDescent="0.25">
      <c r="A374" s="43" t="s">
        <v>30</v>
      </c>
      <c r="B374" s="52" t="s">
        <v>31</v>
      </c>
      <c r="C374" s="94">
        <v>10607475</v>
      </c>
      <c r="D374" s="94">
        <v>10457239.9</v>
      </c>
      <c r="E374" s="61">
        <f>F374-4409290.03</f>
        <v>1510006.9500000002</v>
      </c>
      <c r="F374" s="96">
        <v>5919296.9800000004</v>
      </c>
      <c r="G374" s="50">
        <f t="shared" si="68"/>
        <v>7.7266565292133027E-3</v>
      </c>
      <c r="H374" s="45">
        <f t="shared" si="70"/>
        <v>4537942.92</v>
      </c>
      <c r="I374" s="45">
        <f>J374-4372207.59</f>
        <v>1463023.2700000005</v>
      </c>
      <c r="J374" s="45">
        <v>5835230.8600000003</v>
      </c>
      <c r="K374" s="45">
        <f t="shared" si="69"/>
        <v>8.3073016260379919E-3</v>
      </c>
      <c r="L374" s="50">
        <f t="shared" si="71"/>
        <v>4622009.04</v>
      </c>
    </row>
    <row r="375" spans="1:12" ht="14.85" customHeight="1" x14ac:dyDescent="0.25">
      <c r="A375" s="43" t="s">
        <v>38</v>
      </c>
      <c r="B375" s="52" t="s">
        <v>39</v>
      </c>
      <c r="C375" s="45">
        <v>0</v>
      </c>
      <c r="D375" s="45">
        <v>0</v>
      </c>
      <c r="E375" s="61">
        <f>F375-0</f>
        <v>0</v>
      </c>
      <c r="F375" s="45">
        <v>0</v>
      </c>
      <c r="G375" s="50">
        <f t="shared" si="68"/>
        <v>0</v>
      </c>
      <c r="H375" s="45">
        <f t="shared" si="70"/>
        <v>0</v>
      </c>
      <c r="I375" s="45">
        <f>J375-0</f>
        <v>0</v>
      </c>
      <c r="J375" s="45">
        <v>0</v>
      </c>
      <c r="K375" s="45">
        <f t="shared" si="69"/>
        <v>0</v>
      </c>
      <c r="L375" s="50">
        <f t="shared" si="71"/>
        <v>0</v>
      </c>
    </row>
    <row r="376" spans="1:12" ht="14.85" customHeight="1" x14ac:dyDescent="0.2">
      <c r="A376" s="40" t="s">
        <v>180</v>
      </c>
      <c r="B376" s="81" t="s">
        <v>181</v>
      </c>
      <c r="C376" s="42">
        <f>SUM(C377:C379)</f>
        <v>3898483</v>
      </c>
      <c r="D376" s="42">
        <f>SUM(D377:D379)</f>
        <v>4262211</v>
      </c>
      <c r="E376" s="98">
        <f>SUM(E377:E379)</f>
        <v>644233.72</v>
      </c>
      <c r="F376" s="42">
        <f>SUM(F377:F379)</f>
        <v>1623616.07</v>
      </c>
      <c r="G376" s="80">
        <f t="shared" si="68"/>
        <v>2.1193604157028019E-3</v>
      </c>
      <c r="H376" s="42">
        <f t="shared" si="70"/>
        <v>2638594.9299999997</v>
      </c>
      <c r="I376" s="42">
        <f>SUM(I377:I379)</f>
        <v>311483.55000000005</v>
      </c>
      <c r="J376" s="42">
        <f>SUM(J377:J379)</f>
        <v>1234354.48</v>
      </c>
      <c r="K376" s="42">
        <f t="shared" si="69"/>
        <v>1.7572835119691011E-3</v>
      </c>
      <c r="L376" s="80">
        <f t="shared" si="71"/>
        <v>3027856.52</v>
      </c>
    </row>
    <row r="377" spans="1:12" ht="14.85" customHeight="1" x14ac:dyDescent="0.25">
      <c r="A377" s="43" t="s">
        <v>30</v>
      </c>
      <c r="B377" s="52" t="s">
        <v>31</v>
      </c>
      <c r="C377" s="94">
        <v>3720517</v>
      </c>
      <c r="D377" s="94">
        <v>3754017</v>
      </c>
      <c r="E377" s="61">
        <f>F377-875859.89</f>
        <v>264692.37</v>
      </c>
      <c r="F377" s="96">
        <v>1140552.26</v>
      </c>
      <c r="G377" s="50">
        <f t="shared" si="68"/>
        <v>1.4888010512758539E-3</v>
      </c>
      <c r="H377" s="45">
        <f t="shared" si="70"/>
        <v>2613464.7400000002</v>
      </c>
      <c r="I377" s="45">
        <f>J377-855735.79</f>
        <v>266714.04000000004</v>
      </c>
      <c r="J377" s="94">
        <v>1122449.83</v>
      </c>
      <c r="K377" s="45">
        <f t="shared" si="69"/>
        <v>1.5979709323625745E-3</v>
      </c>
      <c r="L377" s="50">
        <f t="shared" si="71"/>
        <v>2631567.17</v>
      </c>
    </row>
    <row r="378" spans="1:12" ht="14.85" customHeight="1" x14ac:dyDescent="0.25">
      <c r="A378" s="43" t="s">
        <v>40</v>
      </c>
      <c r="B378" s="44" t="s">
        <v>41</v>
      </c>
      <c r="C378" s="96">
        <v>177966</v>
      </c>
      <c r="D378" s="94">
        <v>508194</v>
      </c>
      <c r="E378" s="61">
        <f>F378-103522.46</f>
        <v>379541.35</v>
      </c>
      <c r="F378" s="45">
        <v>483063.81</v>
      </c>
      <c r="G378" s="50">
        <f t="shared" si="68"/>
        <v>6.3055936442694819E-4</v>
      </c>
      <c r="H378" s="45">
        <f t="shared" si="70"/>
        <v>25130.190000000002</v>
      </c>
      <c r="I378" s="45">
        <f>J378-67135.14</f>
        <v>44769.509999999995</v>
      </c>
      <c r="J378" s="45">
        <v>111904.65</v>
      </c>
      <c r="K378" s="45">
        <f t="shared" si="69"/>
        <v>1.5931257960652689E-4</v>
      </c>
      <c r="L378" s="50">
        <f t="shared" si="71"/>
        <v>396289.35</v>
      </c>
    </row>
    <row r="379" spans="1:12" ht="14.85" customHeight="1" x14ac:dyDescent="0.25">
      <c r="A379" s="43" t="s">
        <v>65</v>
      </c>
      <c r="B379" s="52" t="s">
        <v>66</v>
      </c>
      <c r="C379" s="45">
        <v>0</v>
      </c>
      <c r="D379" s="45">
        <v>0</v>
      </c>
      <c r="E379" s="61">
        <f>F379-0</f>
        <v>0</v>
      </c>
      <c r="F379" s="45">
        <v>0</v>
      </c>
      <c r="G379" s="50">
        <f t="shared" si="68"/>
        <v>0</v>
      </c>
      <c r="H379" s="45">
        <f t="shared" si="70"/>
        <v>0</v>
      </c>
      <c r="I379" s="45">
        <f>J379-0</f>
        <v>0</v>
      </c>
      <c r="J379" s="45">
        <v>0</v>
      </c>
      <c r="K379" s="45">
        <f t="shared" si="69"/>
        <v>0</v>
      </c>
      <c r="L379" s="50">
        <f t="shared" si="71"/>
        <v>0</v>
      </c>
    </row>
    <row r="380" spans="1:12" ht="14.85" customHeight="1" x14ac:dyDescent="0.2">
      <c r="A380" s="40" t="s">
        <v>183</v>
      </c>
      <c r="B380" s="81" t="s">
        <v>184</v>
      </c>
      <c r="C380" s="42">
        <f>C381+C382</f>
        <v>1059958</v>
      </c>
      <c r="D380" s="42">
        <f>D381+D382</f>
        <v>1137726.3999999999</v>
      </c>
      <c r="E380" s="98">
        <f>E381+E382</f>
        <v>95627.959999999963</v>
      </c>
      <c r="F380" s="42">
        <f>F381+F382</f>
        <v>912821.86</v>
      </c>
      <c r="G380" s="80">
        <f t="shared" si="68"/>
        <v>1.1915369356206267E-3</v>
      </c>
      <c r="H380" s="42">
        <f t="shared" si="70"/>
        <v>224904.53999999992</v>
      </c>
      <c r="I380" s="42">
        <f>I381+I382</f>
        <v>162620.38999999996</v>
      </c>
      <c r="J380" s="42">
        <f>J381+J382</f>
        <v>540100.35</v>
      </c>
      <c r="K380" s="42">
        <f t="shared" si="69"/>
        <v>7.6891156895524918E-4</v>
      </c>
      <c r="L380" s="80">
        <f t="shared" si="71"/>
        <v>597626.04999999993</v>
      </c>
    </row>
    <row r="381" spans="1:12" ht="14.85" customHeight="1" x14ac:dyDescent="0.25">
      <c r="A381" s="54" t="s">
        <v>30</v>
      </c>
      <c r="B381" s="48" t="s">
        <v>31</v>
      </c>
      <c r="C381" s="94">
        <v>1059958</v>
      </c>
      <c r="D381" s="94">
        <v>1137726.3999999999</v>
      </c>
      <c r="E381" s="61">
        <f>F381-817193.9</f>
        <v>95627.959999999963</v>
      </c>
      <c r="F381" s="96">
        <v>912821.86</v>
      </c>
      <c r="G381" s="50">
        <f t="shared" si="68"/>
        <v>1.1915369356206267E-3</v>
      </c>
      <c r="H381" s="45">
        <f t="shared" si="70"/>
        <v>224904.53999999992</v>
      </c>
      <c r="I381" s="45">
        <f>J381-377479.96</f>
        <v>162620.38999999996</v>
      </c>
      <c r="J381" s="45">
        <v>540100.35</v>
      </c>
      <c r="K381" s="45">
        <f t="shared" si="69"/>
        <v>7.6891156895524918E-4</v>
      </c>
      <c r="L381" s="50">
        <f t="shared" si="71"/>
        <v>597626.04999999993</v>
      </c>
    </row>
    <row r="382" spans="1:12" ht="14.85" customHeight="1" x14ac:dyDescent="0.25">
      <c r="A382" s="54" t="s">
        <v>77</v>
      </c>
      <c r="B382" s="48" t="s">
        <v>78</v>
      </c>
      <c r="C382" s="45">
        <v>0</v>
      </c>
      <c r="D382" s="45">
        <v>0</v>
      </c>
      <c r="E382" s="61">
        <f>F382-0</f>
        <v>0</v>
      </c>
      <c r="F382" s="45">
        <v>0</v>
      </c>
      <c r="G382" s="50">
        <f t="shared" si="68"/>
        <v>0</v>
      </c>
      <c r="H382" s="45">
        <f t="shared" si="70"/>
        <v>0</v>
      </c>
      <c r="I382" s="45">
        <f>J382-0</f>
        <v>0</v>
      </c>
      <c r="J382" s="45">
        <v>0</v>
      </c>
      <c r="K382" s="45">
        <f t="shared" si="69"/>
        <v>0</v>
      </c>
      <c r="L382" s="50">
        <f t="shared" si="71"/>
        <v>0</v>
      </c>
    </row>
    <row r="383" spans="1:12" ht="14.85" customHeight="1" x14ac:dyDescent="0.2">
      <c r="A383" s="83" t="s">
        <v>189</v>
      </c>
      <c r="B383" s="84" t="s">
        <v>190</v>
      </c>
      <c r="C383" s="42">
        <f>C384</f>
        <v>449824</v>
      </c>
      <c r="D383" s="42">
        <f>D384</f>
        <v>2156472</v>
      </c>
      <c r="E383" s="98">
        <f>E384</f>
        <v>87482.399999999907</v>
      </c>
      <c r="F383" s="42">
        <f>F384</f>
        <v>2004828.65</v>
      </c>
      <c r="G383" s="80">
        <f t="shared" si="68"/>
        <v>2.6169699595772586E-3</v>
      </c>
      <c r="H383" s="42">
        <f t="shared" si="70"/>
        <v>151643.35000000009</v>
      </c>
      <c r="I383" s="42">
        <f>I384</f>
        <v>71246.639999999898</v>
      </c>
      <c r="J383" s="42">
        <f>J384</f>
        <v>1987450.49</v>
      </c>
      <c r="K383" s="42">
        <f t="shared" si="69"/>
        <v>2.8294254474872656E-3</v>
      </c>
      <c r="L383" s="80">
        <f t="shared" si="71"/>
        <v>169021.51</v>
      </c>
    </row>
    <row r="384" spans="1:12" ht="14.85" customHeight="1" x14ac:dyDescent="0.25">
      <c r="A384" s="54" t="s">
        <v>30</v>
      </c>
      <c r="B384" s="48" t="s">
        <v>31</v>
      </c>
      <c r="C384" s="94">
        <v>449824</v>
      </c>
      <c r="D384" s="94">
        <v>2156472</v>
      </c>
      <c r="E384" s="61">
        <f>F384-1917346.25</f>
        <v>87482.399999999907</v>
      </c>
      <c r="F384" s="96">
        <v>2004828.65</v>
      </c>
      <c r="G384" s="50">
        <f t="shared" si="68"/>
        <v>2.6169699595772586E-3</v>
      </c>
      <c r="H384" s="45">
        <f t="shared" si="70"/>
        <v>151643.35000000009</v>
      </c>
      <c r="I384" s="45">
        <f>J384-1916203.85</f>
        <v>71246.639999999898</v>
      </c>
      <c r="J384" s="45">
        <v>1987450.49</v>
      </c>
      <c r="K384" s="45">
        <f t="shared" si="69"/>
        <v>2.8294254474872656E-3</v>
      </c>
      <c r="L384" s="50">
        <f t="shared" si="71"/>
        <v>169021.51</v>
      </c>
    </row>
    <row r="385" spans="1:12" ht="14.85" customHeight="1" x14ac:dyDescent="0.2">
      <c r="A385" s="40" t="s">
        <v>191</v>
      </c>
      <c r="B385" s="70" t="s">
        <v>192</v>
      </c>
      <c r="C385" s="42">
        <f>C386</f>
        <v>0</v>
      </c>
      <c r="D385" s="42">
        <f>D386</f>
        <v>0</v>
      </c>
      <c r="E385" s="98">
        <f>E386</f>
        <v>0</v>
      </c>
      <c r="F385" s="42">
        <f>F386</f>
        <v>0</v>
      </c>
      <c r="G385" s="80">
        <f t="shared" si="68"/>
        <v>0</v>
      </c>
      <c r="H385" s="42">
        <f t="shared" si="70"/>
        <v>0</v>
      </c>
      <c r="I385" s="42">
        <f>I386</f>
        <v>0</v>
      </c>
      <c r="J385" s="42">
        <f>J386</f>
        <v>0</v>
      </c>
      <c r="K385" s="42">
        <f t="shared" si="69"/>
        <v>0</v>
      </c>
      <c r="L385" s="80">
        <f t="shared" si="71"/>
        <v>0</v>
      </c>
    </row>
    <row r="386" spans="1:12" ht="14.85" customHeight="1" x14ac:dyDescent="0.25">
      <c r="A386" s="54" t="s">
        <v>91</v>
      </c>
      <c r="B386" s="48" t="s">
        <v>92</v>
      </c>
      <c r="C386" s="45">
        <v>0</v>
      </c>
      <c r="D386" s="45">
        <v>0</v>
      </c>
      <c r="E386" s="61">
        <f>F386-0</f>
        <v>0</v>
      </c>
      <c r="F386" s="45">
        <v>0</v>
      </c>
      <c r="G386" s="50">
        <f t="shared" si="68"/>
        <v>0</v>
      </c>
      <c r="H386" s="45">
        <f t="shared" si="70"/>
        <v>0</v>
      </c>
      <c r="I386" s="45">
        <f>J386-0</f>
        <v>0</v>
      </c>
      <c r="J386" s="45">
        <v>0</v>
      </c>
      <c r="K386" s="45">
        <f t="shared" si="69"/>
        <v>0</v>
      </c>
      <c r="L386" s="50">
        <f t="shared" si="71"/>
        <v>0</v>
      </c>
    </row>
    <row r="387" spans="1:12" ht="14.85" customHeight="1" x14ac:dyDescent="0.2">
      <c r="A387" s="83" t="s">
        <v>195</v>
      </c>
      <c r="B387" s="84" t="s">
        <v>196</v>
      </c>
      <c r="C387" s="42">
        <f>C388</f>
        <v>12219018</v>
      </c>
      <c r="D387" s="42">
        <f>D388</f>
        <v>13205453.58</v>
      </c>
      <c r="E387" s="98">
        <f>E388</f>
        <v>1815836.7599999998</v>
      </c>
      <c r="F387" s="42">
        <f>F388</f>
        <v>7845031.2599999998</v>
      </c>
      <c r="G387" s="80">
        <f t="shared" si="68"/>
        <v>1.0240381959507876E-2</v>
      </c>
      <c r="H387" s="42">
        <f t="shared" si="70"/>
        <v>5360422.32</v>
      </c>
      <c r="I387" s="42">
        <f>I388</f>
        <v>1815836.7599999998</v>
      </c>
      <c r="J387" s="42">
        <f>J388</f>
        <v>7803082.75</v>
      </c>
      <c r="K387" s="42">
        <f t="shared" si="69"/>
        <v>1.1108825609889239E-2</v>
      </c>
      <c r="L387" s="80">
        <f t="shared" si="71"/>
        <v>5402370.8300000001</v>
      </c>
    </row>
    <row r="388" spans="1:12" ht="14.85" customHeight="1" x14ac:dyDescent="0.25">
      <c r="A388" s="54" t="s">
        <v>30</v>
      </c>
      <c r="B388" s="48" t="s">
        <v>31</v>
      </c>
      <c r="C388" s="94">
        <v>12219018</v>
      </c>
      <c r="D388" s="94">
        <v>13205453.58</v>
      </c>
      <c r="E388" s="61">
        <f>F388-6029194.5</f>
        <v>1815836.7599999998</v>
      </c>
      <c r="F388" s="96">
        <v>7845031.2599999998</v>
      </c>
      <c r="G388" s="50">
        <f t="shared" ref="G388:G422" si="76">(F388/$F$307)*100</f>
        <v>1.0240381959507876E-2</v>
      </c>
      <c r="H388" s="45">
        <f t="shared" si="70"/>
        <v>5360422.32</v>
      </c>
      <c r="I388" s="45">
        <f>J388-5987245.99</f>
        <v>1815836.7599999998</v>
      </c>
      <c r="J388" s="94">
        <v>7803082.75</v>
      </c>
      <c r="K388" s="45">
        <f t="shared" ref="K388:K422" si="77">(J388/$J$307)*100</f>
        <v>1.1108825609889239E-2</v>
      </c>
      <c r="L388" s="50">
        <f t="shared" si="71"/>
        <v>5402370.8300000001</v>
      </c>
    </row>
    <row r="389" spans="1:12" ht="14.85" customHeight="1" x14ac:dyDescent="0.2">
      <c r="A389" s="83" t="s">
        <v>201</v>
      </c>
      <c r="B389" s="84" t="s">
        <v>202</v>
      </c>
      <c r="C389" s="42">
        <f>SUM(C390:C396)</f>
        <v>197630489</v>
      </c>
      <c r="D389" s="42">
        <f>SUM(D390:D396)</f>
        <v>193322494.44</v>
      </c>
      <c r="E389" s="98">
        <f>SUM(E390:E396)</f>
        <v>51009978.740000002</v>
      </c>
      <c r="F389" s="42">
        <f>SUM(F390:F396)</f>
        <v>160869662.28999999</v>
      </c>
      <c r="G389" s="80">
        <f t="shared" si="76"/>
        <v>0.20998855618921272</v>
      </c>
      <c r="H389" s="42">
        <f t="shared" ref="H389:H423" si="78">D389-F389</f>
        <v>32452832.150000006</v>
      </c>
      <c r="I389" s="42">
        <f>SUM(I390:I396)</f>
        <v>51118723.759999998</v>
      </c>
      <c r="J389" s="42">
        <f>SUM(J390:J396)</f>
        <v>160677070.53999999</v>
      </c>
      <c r="K389" s="42">
        <f t="shared" si="77"/>
        <v>0.22874722892522592</v>
      </c>
      <c r="L389" s="80">
        <f t="shared" ref="L389:L422" si="79">D389-J389</f>
        <v>32645423.900000006</v>
      </c>
    </row>
    <row r="390" spans="1:12" ht="14.85" customHeight="1" x14ac:dyDescent="0.25">
      <c r="A390" s="54" t="s">
        <v>30</v>
      </c>
      <c r="B390" s="48" t="s">
        <v>31</v>
      </c>
      <c r="C390" s="94">
        <v>11247533</v>
      </c>
      <c r="D390" s="94">
        <v>6689538.4400000004</v>
      </c>
      <c r="E390" s="61">
        <f>F390-3587120.2</f>
        <v>1009978.7400000002</v>
      </c>
      <c r="F390" s="96">
        <v>4597098.9400000004</v>
      </c>
      <c r="G390" s="50">
        <f t="shared" si="76"/>
        <v>6.0007471597058725E-3</v>
      </c>
      <c r="H390" s="45">
        <f t="shared" si="78"/>
        <v>2092439.5</v>
      </c>
      <c r="I390" s="45">
        <f>J390-3451014.03</f>
        <v>1062791.0100000002</v>
      </c>
      <c r="J390" s="94">
        <v>4513805.04</v>
      </c>
      <c r="K390" s="45">
        <f t="shared" si="77"/>
        <v>6.4260593707530676E-3</v>
      </c>
      <c r="L390" s="50">
        <f t="shared" si="79"/>
        <v>2175733.4000000004</v>
      </c>
    </row>
    <row r="391" spans="1:12" ht="14.85" customHeight="1" x14ac:dyDescent="0.25">
      <c r="A391" s="54" t="s">
        <v>32</v>
      </c>
      <c r="B391" s="48" t="s">
        <v>33</v>
      </c>
      <c r="C391" s="45">
        <v>0</v>
      </c>
      <c r="D391" s="45">
        <v>0</v>
      </c>
      <c r="E391" s="61">
        <v>0</v>
      </c>
      <c r="F391" s="45">
        <v>0</v>
      </c>
      <c r="G391" s="80">
        <f t="shared" si="76"/>
        <v>0</v>
      </c>
      <c r="H391" s="45">
        <f t="shared" si="78"/>
        <v>0</v>
      </c>
      <c r="I391" s="45">
        <f t="shared" ref="I391:I395" si="80">J391-0</f>
        <v>0</v>
      </c>
      <c r="J391" s="45">
        <v>0</v>
      </c>
      <c r="K391" s="45">
        <f t="shared" si="77"/>
        <v>0</v>
      </c>
      <c r="L391" s="50">
        <f t="shared" si="79"/>
        <v>0</v>
      </c>
    </row>
    <row r="392" spans="1:12" ht="14.85" customHeight="1" x14ac:dyDescent="0.25">
      <c r="A392" s="54" t="s">
        <v>67</v>
      </c>
      <c r="B392" s="48" t="s">
        <v>68</v>
      </c>
      <c r="C392" s="45">
        <v>0</v>
      </c>
      <c r="D392" s="45">
        <v>250000</v>
      </c>
      <c r="E392" s="61">
        <f>F392-221163.35</f>
        <v>0</v>
      </c>
      <c r="F392" s="45">
        <v>221163.35</v>
      </c>
      <c r="G392" s="80">
        <f t="shared" si="76"/>
        <v>2.8869192542189134E-4</v>
      </c>
      <c r="H392" s="45">
        <f t="shared" si="78"/>
        <v>28836.649999999994</v>
      </c>
      <c r="I392" s="45">
        <f>J392-55932.75</f>
        <v>55932.75</v>
      </c>
      <c r="J392" s="45">
        <v>111865.5</v>
      </c>
      <c r="K392" s="45">
        <f t="shared" si="77"/>
        <v>1.5925684387533434E-4</v>
      </c>
      <c r="L392" s="50">
        <f t="shared" si="79"/>
        <v>138134.5</v>
      </c>
    </row>
    <row r="393" spans="1:12" ht="14.85" customHeight="1" x14ac:dyDescent="0.25">
      <c r="A393" s="54" t="s">
        <v>87</v>
      </c>
      <c r="B393" s="48" t="s">
        <v>88</v>
      </c>
      <c r="C393" s="45">
        <v>0</v>
      </c>
      <c r="D393" s="45">
        <v>0</v>
      </c>
      <c r="E393" s="61">
        <f>F393-0</f>
        <v>0</v>
      </c>
      <c r="F393" s="45">
        <v>0</v>
      </c>
      <c r="G393" s="80">
        <f t="shared" si="76"/>
        <v>0</v>
      </c>
      <c r="H393" s="45">
        <f t="shared" si="78"/>
        <v>0</v>
      </c>
      <c r="I393" s="45">
        <f t="shared" si="80"/>
        <v>0</v>
      </c>
      <c r="J393" s="45">
        <v>0</v>
      </c>
      <c r="K393" s="45">
        <f t="shared" si="77"/>
        <v>0</v>
      </c>
      <c r="L393" s="50">
        <f t="shared" si="79"/>
        <v>0</v>
      </c>
    </row>
    <row r="394" spans="1:12" ht="14.85" customHeight="1" x14ac:dyDescent="0.25">
      <c r="A394" s="54" t="s">
        <v>89</v>
      </c>
      <c r="B394" s="48" t="s">
        <v>90</v>
      </c>
      <c r="C394" s="45">
        <v>186382956</v>
      </c>
      <c r="D394" s="45">
        <v>186382956</v>
      </c>
      <c r="E394" s="61">
        <f>F394-106051400</f>
        <v>50000000</v>
      </c>
      <c r="F394" s="45">
        <v>156051400</v>
      </c>
      <c r="G394" s="80">
        <f t="shared" si="76"/>
        <v>0.20369911710408495</v>
      </c>
      <c r="H394" s="45">
        <f t="shared" si="78"/>
        <v>30331556</v>
      </c>
      <c r="I394" s="45">
        <f>J394-106051400</f>
        <v>50000000</v>
      </c>
      <c r="J394" s="45">
        <v>156051400</v>
      </c>
      <c r="K394" s="45">
        <f t="shared" si="77"/>
        <v>0.22216191271059751</v>
      </c>
      <c r="L394" s="50">
        <f t="shared" si="79"/>
        <v>30331556</v>
      </c>
    </row>
    <row r="395" spans="1:12" ht="14.85" customHeight="1" x14ac:dyDescent="0.25">
      <c r="A395" s="54" t="s">
        <v>104</v>
      </c>
      <c r="B395" s="48" t="s">
        <v>105</v>
      </c>
      <c r="C395" s="45">
        <v>0</v>
      </c>
      <c r="D395" s="45">
        <v>0</v>
      </c>
      <c r="E395" s="61">
        <f>F395-0</f>
        <v>0</v>
      </c>
      <c r="F395" s="45">
        <v>0</v>
      </c>
      <c r="G395" s="80">
        <f t="shared" si="76"/>
        <v>0</v>
      </c>
      <c r="H395" s="45">
        <f t="shared" si="78"/>
        <v>0</v>
      </c>
      <c r="I395" s="45">
        <f t="shared" si="80"/>
        <v>0</v>
      </c>
      <c r="J395" s="45">
        <v>0</v>
      </c>
      <c r="K395" s="45">
        <f t="shared" si="77"/>
        <v>0</v>
      </c>
      <c r="L395" s="50">
        <f t="shared" si="79"/>
        <v>0</v>
      </c>
    </row>
    <row r="396" spans="1:12" ht="14.85" customHeight="1" x14ac:dyDescent="0.25">
      <c r="A396" s="54" t="s">
        <v>89</v>
      </c>
      <c r="B396" s="48" t="s">
        <v>90</v>
      </c>
      <c r="C396" s="45">
        <v>0</v>
      </c>
      <c r="D396" s="45">
        <v>0</v>
      </c>
      <c r="E396" s="61">
        <f>F396-0</f>
        <v>0</v>
      </c>
      <c r="F396" s="45">
        <v>0</v>
      </c>
      <c r="G396" s="80">
        <f t="shared" si="76"/>
        <v>0</v>
      </c>
      <c r="H396" s="45">
        <f t="shared" si="78"/>
        <v>0</v>
      </c>
      <c r="I396" s="45">
        <f>J396-0</f>
        <v>0</v>
      </c>
      <c r="J396" s="45">
        <v>0</v>
      </c>
      <c r="K396" s="45">
        <f t="shared" si="77"/>
        <v>0</v>
      </c>
      <c r="L396" s="50">
        <f t="shared" si="79"/>
        <v>0</v>
      </c>
    </row>
    <row r="397" spans="1:12" ht="14.85" customHeight="1" x14ac:dyDescent="0.2">
      <c r="A397" s="83" t="s">
        <v>205</v>
      </c>
      <c r="B397" s="84" t="s">
        <v>206</v>
      </c>
      <c r="C397" s="42">
        <f>SUM(C398:C401)</f>
        <v>7181456</v>
      </c>
      <c r="D397" s="42">
        <f>SUM(D398:D401)</f>
        <v>7167039.2799999993</v>
      </c>
      <c r="E397" s="98">
        <f>SUM(E398:E401)</f>
        <v>931861.56999999983</v>
      </c>
      <c r="F397" s="42">
        <f>SUM(F398:F401)</f>
        <v>3818065.64</v>
      </c>
      <c r="G397" s="80">
        <f t="shared" si="76"/>
        <v>4.9838489107655757E-3</v>
      </c>
      <c r="H397" s="42">
        <f t="shared" si="78"/>
        <v>3348973.6399999992</v>
      </c>
      <c r="I397" s="42">
        <f>SUM(I398:I401)</f>
        <v>912091.56000000029</v>
      </c>
      <c r="J397" s="42">
        <f>SUM(J398:J401)</f>
        <v>3698273.54</v>
      </c>
      <c r="K397" s="42">
        <f t="shared" si="77"/>
        <v>5.2650314151195862E-3</v>
      </c>
      <c r="L397" s="80">
        <f t="shared" si="79"/>
        <v>3468765.7399999993</v>
      </c>
    </row>
    <row r="398" spans="1:12" ht="14.85" customHeight="1" x14ac:dyDescent="0.25">
      <c r="A398" s="43" t="s">
        <v>30</v>
      </c>
      <c r="B398" s="44" t="s">
        <v>31</v>
      </c>
      <c r="C398" s="94">
        <v>7181456</v>
      </c>
      <c r="D398" s="94">
        <v>6990291.8899999997</v>
      </c>
      <c r="E398" s="61">
        <f>F398-2749656.68</f>
        <v>931861.56999999983</v>
      </c>
      <c r="F398" s="96">
        <v>3681518.25</v>
      </c>
      <c r="G398" s="50">
        <f t="shared" si="76"/>
        <v>4.8056090309191455E-3</v>
      </c>
      <c r="H398" s="45">
        <f t="shared" si="78"/>
        <v>3308773.6399999997</v>
      </c>
      <c r="I398" s="45">
        <f>J398-2694945.03</f>
        <v>875596.78000000026</v>
      </c>
      <c r="J398" s="94">
        <v>3570541.81</v>
      </c>
      <c r="K398" s="45">
        <f t="shared" si="77"/>
        <v>5.0831866803037907E-3</v>
      </c>
      <c r="L398" s="50">
        <f t="shared" si="79"/>
        <v>3419750.0799999996</v>
      </c>
    </row>
    <row r="399" spans="1:12" ht="14.85" customHeight="1" x14ac:dyDescent="0.25">
      <c r="A399" s="43" t="s">
        <v>87</v>
      </c>
      <c r="B399" s="44" t="s">
        <v>88</v>
      </c>
      <c r="C399" s="45">
        <v>0</v>
      </c>
      <c r="D399" s="45">
        <v>0</v>
      </c>
      <c r="E399" s="61">
        <f>F399-0</f>
        <v>0</v>
      </c>
      <c r="F399" s="45">
        <v>0</v>
      </c>
      <c r="G399" s="50">
        <f t="shared" si="76"/>
        <v>0</v>
      </c>
      <c r="H399" s="45">
        <f t="shared" si="78"/>
        <v>0</v>
      </c>
      <c r="I399" s="45">
        <f>J399-0</f>
        <v>0</v>
      </c>
      <c r="J399" s="45">
        <v>0</v>
      </c>
      <c r="K399" s="45">
        <f t="shared" si="77"/>
        <v>0</v>
      </c>
      <c r="L399" s="50">
        <f t="shared" si="79"/>
        <v>0</v>
      </c>
    </row>
    <row r="400" spans="1:12" ht="14.85" customHeight="1" x14ac:dyDescent="0.25">
      <c r="A400" s="43" t="s">
        <v>216</v>
      </c>
      <c r="B400" s="44" t="s">
        <v>217</v>
      </c>
      <c r="C400" s="45">
        <v>0</v>
      </c>
      <c r="D400" s="45">
        <v>0</v>
      </c>
      <c r="E400" s="61">
        <f>F400-0</f>
        <v>0</v>
      </c>
      <c r="F400" s="45">
        <v>0</v>
      </c>
      <c r="G400" s="50">
        <f t="shared" si="76"/>
        <v>0</v>
      </c>
      <c r="H400" s="45">
        <f t="shared" si="78"/>
        <v>0</v>
      </c>
      <c r="I400" s="45">
        <f>J400-0</f>
        <v>0</v>
      </c>
      <c r="J400" s="45">
        <v>0</v>
      </c>
      <c r="K400" s="45">
        <f t="shared" si="77"/>
        <v>0</v>
      </c>
      <c r="L400" s="50">
        <f t="shared" si="79"/>
        <v>0</v>
      </c>
    </row>
    <row r="401" spans="1:12" ht="14.85" customHeight="1" x14ac:dyDescent="0.25">
      <c r="A401" s="43" t="s">
        <v>218</v>
      </c>
      <c r="B401" s="44" t="s">
        <v>219</v>
      </c>
      <c r="C401" s="45">
        <v>0</v>
      </c>
      <c r="D401" s="94">
        <v>176747.39</v>
      </c>
      <c r="E401" s="61">
        <f>F401-136547.39</f>
        <v>0</v>
      </c>
      <c r="F401" s="45">
        <v>136547.39000000001</v>
      </c>
      <c r="G401" s="50">
        <f t="shared" si="76"/>
        <v>1.7823987984642986E-4</v>
      </c>
      <c r="H401" s="45">
        <f t="shared" si="78"/>
        <v>40200</v>
      </c>
      <c r="I401" s="45">
        <f>J401-91236.95</f>
        <v>36494.78</v>
      </c>
      <c r="J401" s="45">
        <v>127731.73</v>
      </c>
      <c r="K401" s="45">
        <f t="shared" si="77"/>
        <v>1.8184473481579539E-4</v>
      </c>
      <c r="L401" s="50">
        <f t="shared" si="79"/>
        <v>49015.660000000018</v>
      </c>
    </row>
    <row r="402" spans="1:12" ht="14.85" customHeight="1" x14ac:dyDescent="0.2">
      <c r="A402" s="83" t="s">
        <v>222</v>
      </c>
      <c r="B402" s="84" t="s">
        <v>223</v>
      </c>
      <c r="C402" s="42">
        <f>C403</f>
        <v>2794323</v>
      </c>
      <c r="D402" s="42">
        <f>D403</f>
        <v>4223795.2000000002</v>
      </c>
      <c r="E402" s="98">
        <f>E403</f>
        <v>288468.38</v>
      </c>
      <c r="F402" s="42">
        <f>F403</f>
        <v>1249971.3</v>
      </c>
      <c r="G402" s="80">
        <f t="shared" si="76"/>
        <v>1.6316293875956597E-3</v>
      </c>
      <c r="H402" s="42">
        <f t="shared" si="78"/>
        <v>2973823.9000000004</v>
      </c>
      <c r="I402" s="42">
        <f>I403</f>
        <v>273613.82000000007</v>
      </c>
      <c r="J402" s="42">
        <f>J403</f>
        <v>1151814.8</v>
      </c>
      <c r="K402" s="42">
        <f t="shared" si="77"/>
        <v>1.6397762471619889E-3</v>
      </c>
      <c r="L402" s="80">
        <f t="shared" si="79"/>
        <v>3071980.4000000004</v>
      </c>
    </row>
    <row r="403" spans="1:12" ht="14.85" customHeight="1" x14ac:dyDescent="0.25">
      <c r="A403" s="54" t="s">
        <v>30</v>
      </c>
      <c r="B403" s="48" t="s">
        <v>31</v>
      </c>
      <c r="C403" s="94">
        <v>2794323</v>
      </c>
      <c r="D403" s="94">
        <v>4223795.2000000002</v>
      </c>
      <c r="E403" s="61">
        <f>F403-961502.92</f>
        <v>288468.38</v>
      </c>
      <c r="F403" s="96">
        <v>1249971.3</v>
      </c>
      <c r="G403" s="50">
        <f t="shared" si="76"/>
        <v>1.6316293875956597E-3</v>
      </c>
      <c r="H403" s="45">
        <f t="shared" si="78"/>
        <v>2973823.9000000004</v>
      </c>
      <c r="I403" s="45">
        <f>J403-878200.98</f>
        <v>273613.82000000007</v>
      </c>
      <c r="J403" s="94">
        <v>1151814.8</v>
      </c>
      <c r="K403" s="45">
        <f t="shared" si="77"/>
        <v>1.6397762471619889E-3</v>
      </c>
      <c r="L403" s="50">
        <f t="shared" si="79"/>
        <v>3071980.4000000004</v>
      </c>
    </row>
    <row r="404" spans="1:12" ht="14.85" customHeight="1" x14ac:dyDescent="0.2">
      <c r="A404" s="83" t="s">
        <v>226</v>
      </c>
      <c r="B404" s="84" t="s">
        <v>227</v>
      </c>
      <c r="C404" s="42">
        <f>C405+C406</f>
        <v>5187642</v>
      </c>
      <c r="D404" s="42">
        <f>D405+D406</f>
        <v>5749519.8700000001</v>
      </c>
      <c r="E404" s="98">
        <f>E405+E406</f>
        <v>927450.54</v>
      </c>
      <c r="F404" s="42">
        <f>F405+F406</f>
        <v>3267116.38</v>
      </c>
      <c r="G404" s="80">
        <f t="shared" si="76"/>
        <v>4.264676395612562E-3</v>
      </c>
      <c r="H404" s="42">
        <f t="shared" si="78"/>
        <v>2482403.4900000002</v>
      </c>
      <c r="I404" s="42">
        <f>I405+I406</f>
        <v>944633.54999999981</v>
      </c>
      <c r="J404" s="42">
        <f>J405+J406</f>
        <v>3223564.53</v>
      </c>
      <c r="K404" s="42">
        <f t="shared" si="77"/>
        <v>4.5892139495758346E-3</v>
      </c>
      <c r="L404" s="80">
        <f t="shared" si="79"/>
        <v>2525955.3400000003</v>
      </c>
    </row>
    <row r="405" spans="1:12" ht="14.85" customHeight="1" x14ac:dyDescent="0.25">
      <c r="A405" s="54" t="s">
        <v>30</v>
      </c>
      <c r="B405" s="48" t="s">
        <v>31</v>
      </c>
      <c r="C405" s="94">
        <v>5187642</v>
      </c>
      <c r="D405" s="94">
        <v>5749519.8700000001</v>
      </c>
      <c r="E405" s="61">
        <f>F405-2339665.84</f>
        <v>927450.54</v>
      </c>
      <c r="F405" s="96">
        <v>3267116.38</v>
      </c>
      <c r="G405" s="50">
        <f t="shared" si="76"/>
        <v>4.264676395612562E-3</v>
      </c>
      <c r="H405" s="45">
        <f t="shared" si="78"/>
        <v>2482403.4900000002</v>
      </c>
      <c r="I405" s="45">
        <f>J405-2278930.98</f>
        <v>944633.54999999981</v>
      </c>
      <c r="J405" s="94">
        <v>3223564.53</v>
      </c>
      <c r="K405" s="45">
        <f t="shared" si="77"/>
        <v>4.5892139495758346E-3</v>
      </c>
      <c r="L405" s="50">
        <f t="shared" si="79"/>
        <v>2525955.3400000003</v>
      </c>
    </row>
    <row r="406" spans="1:12" ht="14.85" customHeight="1" x14ac:dyDescent="0.25">
      <c r="A406" s="54" t="s">
        <v>32</v>
      </c>
      <c r="B406" s="48" t="s">
        <v>33</v>
      </c>
      <c r="C406" s="45">
        <v>0</v>
      </c>
      <c r="D406" s="45">
        <v>0</v>
      </c>
      <c r="E406" s="61">
        <f>F406-0</f>
        <v>0</v>
      </c>
      <c r="F406" s="45">
        <v>0</v>
      </c>
      <c r="G406" s="50">
        <f t="shared" si="76"/>
        <v>0</v>
      </c>
      <c r="H406" s="45">
        <f t="shared" si="78"/>
        <v>0</v>
      </c>
      <c r="I406" s="45">
        <f>J406-0</f>
        <v>0</v>
      </c>
      <c r="J406" s="45">
        <v>0</v>
      </c>
      <c r="K406" s="45">
        <f t="shared" si="77"/>
        <v>0</v>
      </c>
      <c r="L406" s="50">
        <f t="shared" si="79"/>
        <v>0</v>
      </c>
    </row>
    <row r="407" spans="1:12" ht="14.85" customHeight="1" x14ac:dyDescent="0.2">
      <c r="A407" s="83" t="s">
        <v>238</v>
      </c>
      <c r="B407" s="84" t="s">
        <v>239</v>
      </c>
      <c r="C407" s="42">
        <f>SUM(C408:C409)</f>
        <v>6747485</v>
      </c>
      <c r="D407" s="42">
        <f>SUM(D408:D409)</f>
        <v>6527485</v>
      </c>
      <c r="E407" s="98">
        <f>SUM(E408:E409)</f>
        <v>1011541.5500000003</v>
      </c>
      <c r="F407" s="42">
        <f>SUM(F408:F409)</f>
        <v>3772316.35</v>
      </c>
      <c r="G407" s="80">
        <f t="shared" si="76"/>
        <v>4.9241308308179514E-3</v>
      </c>
      <c r="H407" s="42">
        <f t="shared" si="78"/>
        <v>2755168.65</v>
      </c>
      <c r="I407" s="42">
        <f>SUM(I408:I409)</f>
        <v>815922.79</v>
      </c>
      <c r="J407" s="42">
        <f>SUM(J408:J409)</f>
        <v>3150296.57</v>
      </c>
      <c r="K407" s="42">
        <f t="shared" si="77"/>
        <v>4.4849063295608676E-3</v>
      </c>
      <c r="L407" s="80">
        <f t="shared" si="79"/>
        <v>3377188.43</v>
      </c>
    </row>
    <row r="408" spans="1:12" ht="14.85" customHeight="1" x14ac:dyDescent="0.25">
      <c r="A408" s="54" t="s">
        <v>30</v>
      </c>
      <c r="B408" s="48" t="s">
        <v>31</v>
      </c>
      <c r="C408" s="94">
        <v>6747485</v>
      </c>
      <c r="D408" s="94">
        <v>6527485</v>
      </c>
      <c r="E408" s="61">
        <f>F408-2760774.8</f>
        <v>1011541.5500000003</v>
      </c>
      <c r="F408" s="96">
        <v>3772316.35</v>
      </c>
      <c r="G408" s="50">
        <f t="shared" si="76"/>
        <v>4.9241308308179514E-3</v>
      </c>
      <c r="H408" s="45">
        <f t="shared" si="78"/>
        <v>2755168.65</v>
      </c>
      <c r="I408" s="45">
        <f>J408-2334373.78</f>
        <v>815922.79</v>
      </c>
      <c r="J408" s="94">
        <v>3150296.57</v>
      </c>
      <c r="K408" s="45">
        <f t="shared" si="77"/>
        <v>4.4849063295608676E-3</v>
      </c>
      <c r="L408" s="50">
        <f t="shared" si="79"/>
        <v>3377188.43</v>
      </c>
    </row>
    <row r="409" spans="1:12" ht="14.85" customHeight="1" x14ac:dyDescent="0.25">
      <c r="A409" s="54" t="s">
        <v>95</v>
      </c>
      <c r="B409" s="48" t="s">
        <v>96</v>
      </c>
      <c r="C409" s="45">
        <v>0</v>
      </c>
      <c r="D409" s="45">
        <v>0</v>
      </c>
      <c r="E409" s="61">
        <f>F409-0</f>
        <v>0</v>
      </c>
      <c r="F409" s="45">
        <v>0</v>
      </c>
      <c r="G409" s="50">
        <f t="shared" si="76"/>
        <v>0</v>
      </c>
      <c r="H409" s="45">
        <f t="shared" si="78"/>
        <v>0</v>
      </c>
      <c r="I409" s="45">
        <f>J409-0</f>
        <v>0</v>
      </c>
      <c r="J409" s="45">
        <v>0</v>
      </c>
      <c r="K409" s="45">
        <f t="shared" si="77"/>
        <v>0</v>
      </c>
      <c r="L409" s="50">
        <f t="shared" si="79"/>
        <v>0</v>
      </c>
    </row>
    <row r="410" spans="1:12" ht="14.85" customHeight="1" x14ac:dyDescent="0.25">
      <c r="A410" s="83" t="s">
        <v>244</v>
      </c>
      <c r="B410" s="85" t="s">
        <v>245</v>
      </c>
      <c r="C410" s="42">
        <f>SUM(C411:C412)</f>
        <v>36250</v>
      </c>
      <c r="D410" s="42">
        <f>SUM(D411:D412)</f>
        <v>47706</v>
      </c>
      <c r="E410" s="98">
        <f>SUM(E411:E412)</f>
        <v>0</v>
      </c>
      <c r="F410" s="42">
        <f>SUM(F411:F412)</f>
        <v>23770.799999999999</v>
      </c>
      <c r="G410" s="50">
        <f t="shared" si="76"/>
        <v>3.1028821099059555E-5</v>
      </c>
      <c r="H410" s="42">
        <f t="shared" si="78"/>
        <v>23935.200000000001</v>
      </c>
      <c r="I410" s="42">
        <f>J410-0</f>
        <v>0</v>
      </c>
      <c r="J410" s="42">
        <f>SUM(J411:J412)</f>
        <v>0</v>
      </c>
      <c r="K410" s="45">
        <f>(J410/$J$307)*100</f>
        <v>0</v>
      </c>
      <c r="L410" s="80">
        <f t="shared" si="79"/>
        <v>47706</v>
      </c>
    </row>
    <row r="411" spans="1:12" ht="14.85" customHeight="1" x14ac:dyDescent="0.25">
      <c r="A411" s="54" t="s">
        <v>30</v>
      </c>
      <c r="B411" s="48" t="s">
        <v>31</v>
      </c>
      <c r="C411" s="94">
        <v>36250</v>
      </c>
      <c r="D411" s="94">
        <v>47706</v>
      </c>
      <c r="E411" s="61">
        <f>F411-23770.8</f>
        <v>0</v>
      </c>
      <c r="F411" s="45">
        <v>23770.799999999999</v>
      </c>
      <c r="G411" s="50">
        <f t="shared" si="76"/>
        <v>3.1028821099059555E-5</v>
      </c>
      <c r="H411" s="45">
        <f t="shared" si="78"/>
        <v>23935.200000000001</v>
      </c>
      <c r="I411" s="45">
        <f>J411-0</f>
        <v>0</v>
      </c>
      <c r="J411" s="45">
        <v>0</v>
      </c>
      <c r="K411" s="45">
        <f>(J411/$J$307)*100</f>
        <v>0</v>
      </c>
      <c r="L411" s="50">
        <f t="shared" si="79"/>
        <v>47706</v>
      </c>
    </row>
    <row r="412" spans="1:12" ht="14.85" customHeight="1" x14ac:dyDescent="0.25">
      <c r="A412" s="54" t="s">
        <v>32</v>
      </c>
      <c r="B412" s="48" t="s">
        <v>33</v>
      </c>
      <c r="C412" s="45">
        <v>0</v>
      </c>
      <c r="D412" s="45">
        <v>0</v>
      </c>
      <c r="E412" s="61">
        <f>F412-0</f>
        <v>0</v>
      </c>
      <c r="F412" s="45">
        <v>0</v>
      </c>
      <c r="G412" s="50">
        <f t="shared" si="76"/>
        <v>0</v>
      </c>
      <c r="H412" s="45">
        <f t="shared" si="78"/>
        <v>0</v>
      </c>
      <c r="I412" s="45">
        <f>J412-0</f>
        <v>0</v>
      </c>
      <c r="J412" s="45">
        <v>0</v>
      </c>
      <c r="K412" s="45">
        <f>(J412/$J$307)*100</f>
        <v>0</v>
      </c>
      <c r="L412" s="50">
        <f t="shared" si="79"/>
        <v>0</v>
      </c>
    </row>
    <row r="413" spans="1:12" ht="14.85" customHeight="1" x14ac:dyDescent="0.2">
      <c r="A413" s="83" t="s">
        <v>246</v>
      </c>
      <c r="B413" s="84" t="s">
        <v>247</v>
      </c>
      <c r="C413" s="42">
        <f>SUM(C414:C416)</f>
        <v>31506828</v>
      </c>
      <c r="D413" s="42">
        <f>SUM(D414:D416)</f>
        <v>11996657.630000001</v>
      </c>
      <c r="E413" s="98">
        <f>SUM(E414:E416)</f>
        <v>1024229.2800000003</v>
      </c>
      <c r="F413" s="42">
        <f>SUM(F414:F416)</f>
        <v>4717553.66</v>
      </c>
      <c r="G413" s="80">
        <f t="shared" si="76"/>
        <v>6.1579807386101292E-3</v>
      </c>
      <c r="H413" s="42">
        <f t="shared" si="78"/>
        <v>7279103.9700000007</v>
      </c>
      <c r="I413" s="42">
        <f>SUM(I414:I416)</f>
        <v>1089296.1600000001</v>
      </c>
      <c r="J413" s="42">
        <f>SUM(J414:J416)</f>
        <v>4523899.49</v>
      </c>
      <c r="K413" s="42">
        <f t="shared" si="77"/>
        <v>6.4404302916147935E-3</v>
      </c>
      <c r="L413" s="80">
        <f t="shared" si="79"/>
        <v>7472758.1400000006</v>
      </c>
    </row>
    <row r="414" spans="1:12" ht="14.85" customHeight="1" x14ac:dyDescent="0.25">
      <c r="A414" s="54" t="s">
        <v>30</v>
      </c>
      <c r="B414" s="48" t="s">
        <v>31</v>
      </c>
      <c r="C414" s="94">
        <v>31506828</v>
      </c>
      <c r="D414" s="94">
        <v>11996657.630000001</v>
      </c>
      <c r="E414" s="61">
        <f>F414-3693324.38</f>
        <v>1024229.2800000003</v>
      </c>
      <c r="F414" s="96">
        <v>4717553.66</v>
      </c>
      <c r="G414" s="50">
        <f t="shared" si="76"/>
        <v>6.1579807386101292E-3</v>
      </c>
      <c r="H414" s="45">
        <f t="shared" si="78"/>
        <v>7279103.9700000007</v>
      </c>
      <c r="I414" s="45">
        <f>J414-3434603.33</f>
        <v>1089296.1600000001</v>
      </c>
      <c r="J414" s="94">
        <v>4523899.49</v>
      </c>
      <c r="K414" s="45">
        <f t="shared" si="77"/>
        <v>6.4404302916147935E-3</v>
      </c>
      <c r="L414" s="50">
        <f t="shared" si="79"/>
        <v>7472758.1400000006</v>
      </c>
    </row>
    <row r="415" spans="1:12" ht="14.85" customHeight="1" x14ac:dyDescent="0.25">
      <c r="A415" s="54" t="s">
        <v>112</v>
      </c>
      <c r="B415" s="48" t="s">
        <v>113</v>
      </c>
      <c r="C415" s="45">
        <v>0</v>
      </c>
      <c r="D415" s="45">
        <v>0</v>
      </c>
      <c r="E415" s="61">
        <f>F415-0</f>
        <v>0</v>
      </c>
      <c r="F415" s="45">
        <v>0</v>
      </c>
      <c r="G415" s="80">
        <f t="shared" si="76"/>
        <v>0</v>
      </c>
      <c r="H415" s="45">
        <f t="shared" si="78"/>
        <v>0</v>
      </c>
      <c r="I415" s="45">
        <f>J415-0</f>
        <v>0</v>
      </c>
      <c r="J415" s="45">
        <v>0</v>
      </c>
      <c r="K415" s="45">
        <f t="shared" si="77"/>
        <v>0</v>
      </c>
      <c r="L415" s="50">
        <f t="shared" si="79"/>
        <v>0</v>
      </c>
    </row>
    <row r="416" spans="1:12" ht="14.85" customHeight="1" x14ac:dyDescent="0.25">
      <c r="A416" s="54" t="s">
        <v>79</v>
      </c>
      <c r="B416" s="44" t="s">
        <v>80</v>
      </c>
      <c r="C416" s="45">
        <v>0</v>
      </c>
      <c r="D416" s="45">
        <v>0</v>
      </c>
      <c r="E416" s="61">
        <f>F416-0</f>
        <v>0</v>
      </c>
      <c r="F416" s="45">
        <v>0</v>
      </c>
      <c r="G416" s="80">
        <f t="shared" si="76"/>
        <v>0</v>
      </c>
      <c r="H416" s="45">
        <f t="shared" si="78"/>
        <v>0</v>
      </c>
      <c r="I416" s="45">
        <f>J416-0</f>
        <v>0</v>
      </c>
      <c r="J416" s="45">
        <v>0</v>
      </c>
      <c r="K416" s="45">
        <f t="shared" si="77"/>
        <v>0</v>
      </c>
      <c r="L416" s="50">
        <f t="shared" si="79"/>
        <v>0</v>
      </c>
    </row>
    <row r="417" spans="1:12" ht="14.85" customHeight="1" x14ac:dyDescent="0.2">
      <c r="A417" s="83" t="s">
        <v>248</v>
      </c>
      <c r="B417" s="84" t="s">
        <v>249</v>
      </c>
      <c r="C417" s="42">
        <f>SUM(C418:C419)</f>
        <v>1197083</v>
      </c>
      <c r="D417" s="42">
        <f>SUM(D418:D419)</f>
        <v>1589849.66</v>
      </c>
      <c r="E417" s="98">
        <f>SUM(E418:E419)</f>
        <v>320022.33999999997</v>
      </c>
      <c r="F417" s="42">
        <f>SUM(F418:F419)</f>
        <v>1058930.6099999999</v>
      </c>
      <c r="G417" s="80">
        <f t="shared" si="76"/>
        <v>1.3822575787944876E-3</v>
      </c>
      <c r="H417" s="42">
        <f t="shared" si="78"/>
        <v>530919.05000000005</v>
      </c>
      <c r="I417" s="42">
        <f>SUM(I418:I419)</f>
        <v>223600.83000000002</v>
      </c>
      <c r="J417" s="42">
        <f>SUM(J418:J419)</f>
        <v>876809.57000000007</v>
      </c>
      <c r="K417" s="42">
        <f t="shared" si="77"/>
        <v>1.2482662196824674E-3</v>
      </c>
      <c r="L417" s="80">
        <f t="shared" si="79"/>
        <v>713040.08999999985</v>
      </c>
    </row>
    <row r="418" spans="1:12" ht="14.85" customHeight="1" x14ac:dyDescent="0.25">
      <c r="A418" s="54" t="s">
        <v>30</v>
      </c>
      <c r="B418" s="48" t="s">
        <v>31</v>
      </c>
      <c r="C418" s="94">
        <v>847083</v>
      </c>
      <c r="D418" s="94">
        <v>1230539.6599999999</v>
      </c>
      <c r="E418" s="61">
        <f>F418-580205.11</f>
        <v>140022.33999999997</v>
      </c>
      <c r="F418" s="96">
        <v>720227.45</v>
      </c>
      <c r="G418" s="50">
        <f t="shared" si="76"/>
        <v>9.4013700408408058E-4</v>
      </c>
      <c r="H418" s="45">
        <f t="shared" si="78"/>
        <v>510312.20999999996</v>
      </c>
      <c r="I418" s="45">
        <f>J418-522969.53</f>
        <v>167084.63</v>
      </c>
      <c r="J418" s="94">
        <v>690054.16</v>
      </c>
      <c r="K418" s="45">
        <f t="shared" si="77"/>
        <v>9.8239267356463778E-4</v>
      </c>
      <c r="L418" s="50">
        <f t="shared" si="79"/>
        <v>540485.49999999988</v>
      </c>
    </row>
    <row r="419" spans="1:12" ht="14.85" customHeight="1" x14ac:dyDescent="0.25">
      <c r="A419" s="54" t="s">
        <v>132</v>
      </c>
      <c r="B419" s="48" t="s">
        <v>133</v>
      </c>
      <c r="C419" s="94">
        <v>350000</v>
      </c>
      <c r="D419" s="94">
        <v>359310</v>
      </c>
      <c r="E419" s="61">
        <f>F419-158703.16</f>
        <v>179999.99999999997</v>
      </c>
      <c r="F419" s="96">
        <v>338703.16</v>
      </c>
      <c r="G419" s="50">
        <f t="shared" si="76"/>
        <v>4.4212057471040714E-4</v>
      </c>
      <c r="H419" s="45">
        <f t="shared" si="78"/>
        <v>20606.840000000026</v>
      </c>
      <c r="I419" s="45">
        <f>J419-130239.21</f>
        <v>56516.2</v>
      </c>
      <c r="J419" s="94">
        <v>186755.41</v>
      </c>
      <c r="K419" s="45">
        <f t="shared" si="77"/>
        <v>2.6587354611782947E-4</v>
      </c>
      <c r="L419" s="50">
        <f t="shared" si="79"/>
        <v>172554.59</v>
      </c>
    </row>
    <row r="420" spans="1:12" ht="14.85" customHeight="1" x14ac:dyDescent="0.2">
      <c r="A420" s="83" t="s">
        <v>254</v>
      </c>
      <c r="B420" s="84" t="s">
        <v>255</v>
      </c>
      <c r="C420" s="42">
        <f>SUM(C421:C422)</f>
        <v>386615868</v>
      </c>
      <c r="D420" s="42">
        <f>SUM(D421:D422)</f>
        <v>922338856.44000006</v>
      </c>
      <c r="E420" s="98">
        <f>SUM(E421:E422)</f>
        <v>87742772.120000005</v>
      </c>
      <c r="F420" s="42">
        <f>SUM(F421:F422)</f>
        <v>739875259.37</v>
      </c>
      <c r="G420" s="80">
        <f t="shared" si="76"/>
        <v>0.9657839474738763</v>
      </c>
      <c r="H420" s="42">
        <f t="shared" si="78"/>
        <v>182463597.07000005</v>
      </c>
      <c r="I420" s="42">
        <f>SUM(I421:I422)</f>
        <v>87262710.629999995</v>
      </c>
      <c r="J420" s="42">
        <f>SUM(J421:J422)</f>
        <v>700639377.79999995</v>
      </c>
      <c r="K420" s="42">
        <f t="shared" si="77"/>
        <v>0.99746227392007347</v>
      </c>
      <c r="L420" s="80">
        <f t="shared" si="79"/>
        <v>221699478.6400001</v>
      </c>
    </row>
    <row r="421" spans="1:12" ht="14.85" customHeight="1" x14ac:dyDescent="0.25">
      <c r="A421" s="54" t="s">
        <v>61</v>
      </c>
      <c r="B421" s="48" t="s">
        <v>62</v>
      </c>
      <c r="C421" s="94">
        <v>386615868</v>
      </c>
      <c r="D421" s="94">
        <v>922338856.44000006</v>
      </c>
      <c r="E421" s="61">
        <f>F421-652132487.25</f>
        <v>87742772.120000005</v>
      </c>
      <c r="F421" s="96">
        <v>739875259.37</v>
      </c>
      <c r="G421" s="50">
        <f t="shared" si="76"/>
        <v>0.9657839474738763</v>
      </c>
      <c r="H421" s="45">
        <f t="shared" si="78"/>
        <v>182463597.07000005</v>
      </c>
      <c r="I421" s="45">
        <f>J421-613376667.17</f>
        <v>87262710.629999995</v>
      </c>
      <c r="J421" s="94">
        <v>700639377.79999995</v>
      </c>
      <c r="K421" s="45">
        <f t="shared" si="77"/>
        <v>0.99746227392007347</v>
      </c>
      <c r="L421" s="50">
        <f>D421-J421</f>
        <v>221699478.6400001</v>
      </c>
    </row>
    <row r="422" spans="1:12" ht="14.85" customHeight="1" x14ac:dyDescent="0.25">
      <c r="A422" s="43" t="s">
        <v>262</v>
      </c>
      <c r="B422" s="44" t="s">
        <v>263</v>
      </c>
      <c r="C422" s="45">
        <v>0</v>
      </c>
      <c r="D422" s="45">
        <v>0</v>
      </c>
      <c r="E422" s="61">
        <f>F422-0</f>
        <v>0</v>
      </c>
      <c r="F422" s="45">
        <v>0</v>
      </c>
      <c r="G422" s="50">
        <f t="shared" si="76"/>
        <v>0</v>
      </c>
      <c r="H422" s="45">
        <f t="shared" si="78"/>
        <v>0</v>
      </c>
      <c r="I422" s="45">
        <f>J422-0</f>
        <v>0</v>
      </c>
      <c r="J422" s="45">
        <v>0</v>
      </c>
      <c r="K422" s="45">
        <f t="shared" si="77"/>
        <v>0</v>
      </c>
      <c r="L422" s="50">
        <f t="shared" si="79"/>
        <v>0</v>
      </c>
    </row>
    <row r="423" spans="1:12" ht="14.85" customHeight="1" x14ac:dyDescent="0.25">
      <c r="A423" s="86" t="s">
        <v>264</v>
      </c>
      <c r="B423" s="87" t="s">
        <v>265</v>
      </c>
      <c r="C423" s="88">
        <v>0</v>
      </c>
      <c r="D423" s="88">
        <v>0</v>
      </c>
      <c r="E423" s="106">
        <f>F423-0</f>
        <v>0</v>
      </c>
      <c r="F423" s="89"/>
      <c r="G423" s="89"/>
      <c r="H423" s="88">
        <f t="shared" si="78"/>
        <v>0</v>
      </c>
      <c r="I423" s="89"/>
      <c r="J423" s="89"/>
      <c r="K423" s="89"/>
      <c r="L423" s="90">
        <f>D423-J423</f>
        <v>0</v>
      </c>
    </row>
    <row r="424" spans="1:12" ht="15.75" x14ac:dyDescent="0.25">
      <c r="A424" s="39" t="s">
        <v>277</v>
      </c>
      <c r="B424" s="22"/>
      <c r="C424" s="22"/>
      <c r="D424" s="22"/>
      <c r="E424" s="3"/>
      <c r="F424" s="36"/>
      <c r="G424" s="33"/>
      <c r="H424" s="22"/>
      <c r="I424" s="22"/>
      <c r="J424" s="22"/>
      <c r="K424" s="22"/>
      <c r="L424" s="55" t="s">
        <v>278</v>
      </c>
    </row>
    <row r="425" spans="1:12" ht="15.75" x14ac:dyDescent="0.25">
      <c r="A425" s="39" t="s">
        <v>279</v>
      </c>
      <c r="B425" s="22"/>
      <c r="C425" s="22"/>
      <c r="D425" s="22"/>
      <c r="E425" s="3"/>
      <c r="F425" s="22"/>
      <c r="G425" s="22"/>
      <c r="H425" s="22"/>
      <c r="I425" s="36"/>
      <c r="J425" s="22"/>
      <c r="K425" s="22"/>
      <c r="L425" s="22"/>
    </row>
    <row r="426" spans="1:12" ht="15.75" x14ac:dyDescent="0.25">
      <c r="A426" s="39" t="s">
        <v>280</v>
      </c>
      <c r="B426" s="22"/>
      <c r="C426" s="22"/>
      <c r="D426" s="22"/>
      <c r="E426" s="3"/>
      <c r="F426" s="22"/>
      <c r="G426" s="22"/>
      <c r="H426" s="22"/>
      <c r="I426" s="22"/>
      <c r="J426" s="36"/>
      <c r="K426" s="22"/>
      <c r="L426" s="22"/>
    </row>
    <row r="427" spans="1:12" ht="15.75" x14ac:dyDescent="0.25">
      <c r="A427" s="39"/>
      <c r="B427" s="22"/>
      <c r="C427" s="22"/>
      <c r="D427" s="22"/>
      <c r="E427" s="3"/>
      <c r="F427" s="22"/>
      <c r="G427" s="22"/>
      <c r="H427" s="22"/>
      <c r="I427" s="22"/>
      <c r="J427" s="22"/>
      <c r="K427" s="22"/>
      <c r="L427" s="22"/>
    </row>
    <row r="428" spans="1:12" ht="15.75" x14ac:dyDescent="0.25">
      <c r="A428" s="39"/>
      <c r="B428" s="22"/>
      <c r="C428" s="68"/>
      <c r="D428" s="68"/>
      <c r="E428" s="111"/>
      <c r="F428" s="68"/>
      <c r="G428" s="68"/>
      <c r="H428" s="68"/>
      <c r="I428" s="68"/>
      <c r="J428" s="68"/>
      <c r="K428" s="68"/>
      <c r="L428" s="68"/>
    </row>
    <row r="429" spans="1:12" ht="15.75" x14ac:dyDescent="0.25">
      <c r="A429" s="39"/>
      <c r="B429" s="22"/>
      <c r="C429" s="22"/>
      <c r="D429" s="22"/>
      <c r="E429" s="3"/>
      <c r="F429" s="22"/>
      <c r="G429" s="22"/>
      <c r="H429" s="22"/>
      <c r="I429" s="22"/>
      <c r="J429" s="22"/>
      <c r="K429" s="22"/>
      <c r="L429" s="22"/>
    </row>
    <row r="430" spans="1:12" ht="15.75" x14ac:dyDescent="0.25">
      <c r="A430" s="39"/>
      <c r="B430" s="22"/>
      <c r="C430" s="68"/>
      <c r="D430" s="68"/>
      <c r="E430" s="111"/>
      <c r="F430" s="68"/>
      <c r="G430" s="68"/>
      <c r="H430" s="68"/>
      <c r="I430" s="68"/>
      <c r="J430" s="68"/>
      <c r="K430" s="68"/>
      <c r="L430" s="68"/>
    </row>
    <row r="431" spans="1:12" ht="15.75" x14ac:dyDescent="0.25">
      <c r="A431" s="39"/>
      <c r="B431" s="22"/>
      <c r="C431" s="68"/>
      <c r="D431" s="68"/>
      <c r="E431" s="111"/>
      <c r="F431" s="68"/>
      <c r="G431" s="68"/>
      <c r="H431" s="68"/>
      <c r="I431" s="68"/>
      <c r="J431" s="68"/>
      <c r="K431" s="68"/>
      <c r="L431" s="68"/>
    </row>
    <row r="432" spans="1:12" ht="15.75" x14ac:dyDescent="0.25">
      <c r="A432" s="39"/>
      <c r="B432" s="22"/>
      <c r="C432" s="68"/>
      <c r="D432" s="68"/>
      <c r="E432" s="111"/>
      <c r="F432" s="68"/>
      <c r="G432" s="68"/>
      <c r="H432" s="68"/>
      <c r="I432" s="68"/>
      <c r="J432" s="68"/>
      <c r="K432" s="68"/>
      <c r="L432" s="68"/>
    </row>
    <row r="433" spans="1:13" ht="15.75" x14ac:dyDescent="0.25">
      <c r="A433" s="39"/>
      <c r="B433" s="22"/>
      <c r="C433" s="22"/>
      <c r="D433" s="22"/>
      <c r="E433" s="3"/>
      <c r="F433" s="22"/>
      <c r="G433" s="22"/>
      <c r="H433" s="22"/>
      <c r="I433" s="22"/>
      <c r="J433" s="22"/>
      <c r="K433" s="22"/>
      <c r="L433" s="22"/>
    </row>
    <row r="434" spans="1:13" ht="15.75" x14ac:dyDescent="0.25">
      <c r="A434" s="26"/>
      <c r="B434" s="22"/>
      <c r="C434" s="22"/>
      <c r="D434" s="22"/>
      <c r="E434" s="108"/>
      <c r="F434" s="22"/>
      <c r="G434" s="22"/>
      <c r="H434" s="22"/>
      <c r="I434" s="36"/>
      <c r="J434" s="22"/>
      <c r="K434" s="22"/>
      <c r="L434" s="22"/>
      <c r="M434" s="92"/>
    </row>
    <row r="435" spans="1:13" x14ac:dyDescent="0.2">
      <c r="A435" s="34"/>
      <c r="B435" s="31"/>
      <c r="C435" s="31"/>
      <c r="D435" s="31"/>
      <c r="F435" s="31"/>
      <c r="G435" s="31"/>
      <c r="H435" s="31"/>
      <c r="I435" s="31"/>
      <c r="J435" s="31"/>
      <c r="K435" s="31"/>
      <c r="L435" s="31"/>
      <c r="M435" s="92"/>
    </row>
    <row r="436" spans="1:13" x14ac:dyDescent="0.2">
      <c r="A436" s="34"/>
      <c r="B436" s="31"/>
      <c r="C436" s="31"/>
      <c r="D436" s="31"/>
      <c r="F436" s="31"/>
      <c r="G436" s="31"/>
      <c r="H436" s="31"/>
      <c r="I436" s="31"/>
      <c r="J436" s="31"/>
      <c r="K436" s="31"/>
      <c r="L436" s="31"/>
      <c r="M436" s="92"/>
    </row>
    <row r="437" spans="1:13" ht="15.75" x14ac:dyDescent="0.25">
      <c r="A437" s="112" t="s">
        <v>281</v>
      </c>
      <c r="B437" s="112"/>
      <c r="C437" s="113" t="s">
        <v>282</v>
      </c>
      <c r="D437" s="113"/>
      <c r="E437" s="113"/>
      <c r="F437" s="113"/>
      <c r="G437" s="113"/>
      <c r="H437" s="113"/>
      <c r="I437" s="113" t="s">
        <v>283</v>
      </c>
      <c r="J437" s="113"/>
      <c r="K437" s="113"/>
      <c r="L437" s="113"/>
      <c r="M437" s="92"/>
    </row>
    <row r="438" spans="1:13" ht="15.75" x14ac:dyDescent="0.25">
      <c r="A438" s="112" t="s">
        <v>284</v>
      </c>
      <c r="B438" s="112"/>
      <c r="C438" s="113" t="s">
        <v>285</v>
      </c>
      <c r="D438" s="113"/>
      <c r="E438" s="113"/>
      <c r="F438" s="113"/>
      <c r="G438" s="113"/>
      <c r="H438" s="113"/>
      <c r="I438" s="116" t="s">
        <v>286</v>
      </c>
      <c r="J438" s="116"/>
      <c r="K438" s="116"/>
      <c r="L438" s="116"/>
      <c r="M438" s="92"/>
    </row>
    <row r="439" spans="1:13" ht="15.75" x14ac:dyDescent="0.25">
      <c r="A439" s="112" t="s">
        <v>287</v>
      </c>
      <c r="B439" s="112"/>
      <c r="C439" s="113" t="s">
        <v>288</v>
      </c>
      <c r="D439" s="113"/>
      <c r="E439" s="113"/>
      <c r="F439" s="113"/>
      <c r="G439" s="113"/>
      <c r="H439" s="113"/>
      <c r="I439" s="113" t="s">
        <v>289</v>
      </c>
      <c r="J439" s="113"/>
      <c r="K439" s="113"/>
      <c r="L439" s="113"/>
      <c r="M439" s="92"/>
    </row>
    <row r="440" spans="1:13" x14ac:dyDescent="0.2">
      <c r="A440" s="34"/>
      <c r="B440" s="31"/>
      <c r="C440" s="31"/>
      <c r="D440" s="31"/>
      <c r="F440" s="31"/>
      <c r="G440" s="31"/>
      <c r="H440" s="31"/>
      <c r="I440" s="31"/>
      <c r="J440" s="31"/>
      <c r="K440" s="31"/>
      <c r="L440" s="31"/>
      <c r="M440" s="92"/>
    </row>
    <row r="441" spans="1:13" x14ac:dyDescent="0.2">
      <c r="A441" s="34"/>
      <c r="B441" s="31"/>
      <c r="C441" s="31"/>
      <c r="D441" s="31"/>
      <c r="F441" s="31"/>
      <c r="G441" s="31"/>
      <c r="H441" s="31"/>
      <c r="I441" s="31"/>
      <c r="J441" s="31"/>
      <c r="K441" s="31"/>
      <c r="L441" s="31"/>
      <c r="M441" s="92"/>
    </row>
    <row r="442" spans="1:13" x14ac:dyDescent="0.2">
      <c r="A442" s="31"/>
      <c r="B442" s="31"/>
      <c r="C442" s="31"/>
      <c r="D442" s="31"/>
      <c r="F442" s="31"/>
      <c r="G442" s="31"/>
      <c r="H442" s="31"/>
      <c r="I442" s="31"/>
      <c r="J442" s="31"/>
      <c r="K442" s="31"/>
      <c r="L442" s="31"/>
    </row>
    <row r="443" spans="1:13" x14ac:dyDescent="0.2">
      <c r="A443" s="31"/>
      <c r="B443" s="31"/>
      <c r="C443" s="31"/>
      <c r="D443" s="31"/>
      <c r="F443" s="31"/>
      <c r="G443" s="31"/>
      <c r="H443" s="31"/>
      <c r="I443" s="31"/>
      <c r="J443" s="31"/>
      <c r="K443" s="31"/>
      <c r="L443" s="31"/>
    </row>
    <row r="444" spans="1:13" x14ac:dyDescent="0.2">
      <c r="A444" s="31"/>
      <c r="B444" s="31"/>
      <c r="C444" s="93"/>
      <c r="D444" s="93"/>
      <c r="E444" s="107"/>
      <c r="F444" s="93"/>
      <c r="G444" s="93"/>
      <c r="H444" s="93"/>
      <c r="I444" s="93"/>
      <c r="J444" s="93"/>
      <c r="K444" s="93"/>
      <c r="L444" s="93"/>
    </row>
    <row r="445" spans="1:13" ht="15" x14ac:dyDescent="0.25">
      <c r="A445" s="38"/>
      <c r="B445" s="30"/>
      <c r="C445" s="30"/>
      <c r="D445" s="30"/>
      <c r="E445" s="5"/>
      <c r="F445" s="30"/>
      <c r="G445" s="30"/>
      <c r="H445" s="30"/>
      <c r="I445" s="30"/>
      <c r="J445" s="30"/>
      <c r="K445" s="30"/>
      <c r="L445" s="30"/>
    </row>
    <row r="446" spans="1:13" x14ac:dyDescent="0.2">
      <c r="A446" s="34"/>
      <c r="B446" s="31"/>
      <c r="C446" s="63"/>
      <c r="D446" s="63"/>
      <c r="E446" s="110"/>
      <c r="F446" s="63"/>
      <c r="G446" s="63"/>
      <c r="H446" s="63"/>
      <c r="I446" s="63"/>
      <c r="J446" s="63"/>
      <c r="K446" s="63"/>
      <c r="L446" s="63"/>
    </row>
    <row r="447" spans="1:13" x14ac:dyDescent="0.2">
      <c r="A447" s="34"/>
      <c r="B447" s="31"/>
      <c r="C447" s="31"/>
      <c r="D447" s="31"/>
      <c r="F447" s="31"/>
      <c r="G447" s="31"/>
      <c r="H447" s="31"/>
      <c r="I447" s="31"/>
      <c r="J447" s="31"/>
      <c r="K447" s="31"/>
      <c r="L447" s="31"/>
    </row>
    <row r="448" spans="1:13" x14ac:dyDescent="0.2">
      <c r="A448" s="34"/>
      <c r="B448" s="31"/>
      <c r="C448" s="31"/>
      <c r="D448" s="31"/>
      <c r="F448" s="31"/>
      <c r="G448" s="31"/>
      <c r="H448" s="31"/>
      <c r="I448" s="31"/>
      <c r="J448" s="31"/>
      <c r="K448" s="31"/>
      <c r="L448" s="31"/>
    </row>
    <row r="449" spans="1:12" x14ac:dyDescent="0.2">
      <c r="A449" s="34"/>
      <c r="B449" s="31"/>
      <c r="C449" s="31"/>
      <c r="D449" s="31"/>
      <c r="F449" s="31"/>
      <c r="G449" s="31"/>
      <c r="H449" s="31"/>
      <c r="I449" s="31"/>
      <c r="J449" s="31"/>
      <c r="K449" s="31"/>
      <c r="L449" s="31"/>
    </row>
    <row r="450" spans="1:12" x14ac:dyDescent="0.2">
      <c r="A450" s="34"/>
      <c r="B450" s="31"/>
      <c r="C450" s="31"/>
      <c r="D450" s="31"/>
      <c r="F450" s="31"/>
      <c r="G450" s="31"/>
      <c r="H450" s="31"/>
      <c r="I450" s="31"/>
      <c r="J450" s="31"/>
      <c r="K450" s="31"/>
      <c r="L450" s="31"/>
    </row>
    <row r="451" spans="1:12" x14ac:dyDescent="0.2">
      <c r="A451" s="34"/>
      <c r="B451" s="31"/>
      <c r="C451" s="31"/>
      <c r="D451" s="31"/>
      <c r="F451" s="31"/>
      <c r="G451" s="31"/>
      <c r="H451" s="31"/>
      <c r="I451" s="31"/>
      <c r="J451" s="31"/>
      <c r="K451" s="31"/>
      <c r="L451" s="31"/>
    </row>
    <row r="452" spans="1:12" x14ac:dyDescent="0.2">
      <c r="A452" s="34"/>
      <c r="B452" s="31"/>
      <c r="C452" s="31"/>
      <c r="D452" s="31"/>
      <c r="F452" s="31"/>
      <c r="G452" s="31"/>
      <c r="H452" s="31"/>
      <c r="I452" s="31"/>
      <c r="J452" s="31"/>
      <c r="K452" s="31"/>
      <c r="L452" s="31"/>
    </row>
    <row r="453" spans="1:12" x14ac:dyDescent="0.2">
      <c r="A453" s="34"/>
      <c r="B453" s="31"/>
      <c r="C453" s="31"/>
      <c r="D453" s="31"/>
      <c r="F453" s="31"/>
      <c r="G453" s="31"/>
      <c r="H453" s="31"/>
      <c r="I453" s="31"/>
      <c r="J453" s="31"/>
      <c r="K453" s="31"/>
      <c r="L453" s="31"/>
    </row>
    <row r="454" spans="1:12" x14ac:dyDescent="0.2">
      <c r="A454" s="34"/>
      <c r="B454" s="31"/>
      <c r="C454" s="31"/>
      <c r="D454" s="31"/>
      <c r="F454" s="31"/>
      <c r="G454" s="31"/>
      <c r="H454" s="31"/>
      <c r="I454" s="31"/>
      <c r="J454" s="31"/>
      <c r="K454" s="31"/>
      <c r="L454" s="31"/>
    </row>
    <row r="455" spans="1:12" x14ac:dyDescent="0.2">
      <c r="A455" s="34"/>
      <c r="B455" s="31"/>
      <c r="C455" s="31"/>
      <c r="D455" s="31"/>
      <c r="F455" s="31"/>
      <c r="G455" s="31"/>
      <c r="H455" s="31"/>
      <c r="I455" s="31"/>
      <c r="J455" s="31"/>
      <c r="K455" s="31"/>
      <c r="L455" s="31"/>
    </row>
    <row r="456" spans="1:12" x14ac:dyDescent="0.2">
      <c r="A456" s="34"/>
      <c r="B456" s="31"/>
      <c r="C456" s="31"/>
      <c r="D456" s="31"/>
      <c r="F456" s="31"/>
      <c r="G456" s="31"/>
      <c r="H456" s="31"/>
      <c r="I456" s="31"/>
      <c r="J456" s="31"/>
      <c r="K456" s="31"/>
      <c r="L456" s="31"/>
    </row>
    <row r="457" spans="1:12" x14ac:dyDescent="0.2">
      <c r="A457" s="34"/>
      <c r="B457" s="31"/>
      <c r="C457" s="31"/>
      <c r="D457" s="31"/>
      <c r="F457" s="31"/>
      <c r="G457" s="31"/>
      <c r="H457" s="31"/>
      <c r="I457" s="31"/>
      <c r="J457" s="31"/>
      <c r="K457" s="31"/>
      <c r="L457" s="31"/>
    </row>
    <row r="458" spans="1:12" x14ac:dyDescent="0.2">
      <c r="A458" s="34"/>
      <c r="B458" s="31"/>
      <c r="C458" s="31"/>
      <c r="D458" s="31"/>
      <c r="F458" s="31"/>
      <c r="G458" s="31"/>
      <c r="H458" s="31"/>
      <c r="I458" s="31"/>
      <c r="J458" s="31"/>
      <c r="K458" s="31"/>
      <c r="L458" s="31"/>
    </row>
    <row r="459" spans="1:12" x14ac:dyDescent="0.2">
      <c r="A459" s="34"/>
      <c r="B459" s="31"/>
      <c r="C459" s="31"/>
      <c r="D459" s="31"/>
      <c r="F459" s="31"/>
      <c r="G459" s="31"/>
      <c r="H459" s="31"/>
      <c r="I459" s="31"/>
      <c r="J459" s="31"/>
      <c r="K459" s="31"/>
      <c r="L459" s="31"/>
    </row>
    <row r="460" spans="1:12" x14ac:dyDescent="0.2">
      <c r="A460" s="34"/>
      <c r="B460" s="31"/>
      <c r="C460" s="31"/>
      <c r="D460" s="31"/>
      <c r="F460" s="31"/>
      <c r="G460" s="31"/>
      <c r="H460" s="31"/>
      <c r="I460" s="31"/>
      <c r="J460" s="31"/>
      <c r="K460" s="31"/>
      <c r="L460" s="31"/>
    </row>
    <row r="461" spans="1:12" x14ac:dyDescent="0.2">
      <c r="A461" s="34"/>
      <c r="B461" s="31"/>
      <c r="C461" s="31"/>
      <c r="D461" s="31"/>
      <c r="F461" s="31"/>
      <c r="G461" s="31"/>
      <c r="H461" s="31"/>
      <c r="I461" s="31"/>
      <c r="J461" s="31"/>
      <c r="K461" s="31"/>
      <c r="L461" s="31"/>
    </row>
    <row r="462" spans="1:12" x14ac:dyDescent="0.2">
      <c r="A462" s="34"/>
      <c r="B462" s="31"/>
      <c r="C462" s="31"/>
      <c r="D462" s="31"/>
      <c r="F462" s="31"/>
      <c r="G462" s="31"/>
      <c r="H462" s="31"/>
      <c r="I462" s="31"/>
      <c r="J462" s="31"/>
      <c r="K462" s="31"/>
      <c r="L462" s="31"/>
    </row>
    <row r="463" spans="1:12" x14ac:dyDescent="0.2">
      <c r="A463" s="34"/>
      <c r="B463" s="31"/>
      <c r="C463" s="31"/>
      <c r="D463" s="31"/>
      <c r="F463" s="31"/>
      <c r="G463" s="31"/>
      <c r="H463" s="31"/>
      <c r="I463" s="31"/>
      <c r="J463" s="31"/>
      <c r="K463" s="31"/>
      <c r="L463" s="31"/>
    </row>
    <row r="464" spans="1:12" x14ac:dyDescent="0.2">
      <c r="A464" s="34"/>
      <c r="B464" s="31"/>
      <c r="C464" s="31"/>
      <c r="D464" s="31"/>
      <c r="F464" s="31"/>
      <c r="G464" s="31"/>
      <c r="H464" s="31"/>
      <c r="I464" s="31"/>
      <c r="J464" s="31"/>
      <c r="K464" s="31"/>
      <c r="L464" s="31"/>
    </row>
    <row r="465" spans="1:12" x14ac:dyDescent="0.2">
      <c r="A465" s="34"/>
      <c r="B465" s="31"/>
      <c r="C465" s="31"/>
      <c r="D465" s="31"/>
      <c r="F465" s="31"/>
      <c r="G465" s="31"/>
      <c r="H465" s="31"/>
      <c r="I465" s="31"/>
      <c r="J465" s="31"/>
      <c r="K465" s="31"/>
      <c r="L465" s="31"/>
    </row>
    <row r="466" spans="1:12" x14ac:dyDescent="0.2">
      <c r="A466" s="34"/>
      <c r="B466" s="31"/>
      <c r="C466" s="31"/>
      <c r="D466" s="31"/>
      <c r="F466" s="31"/>
      <c r="G466" s="31"/>
      <c r="H466" s="31"/>
      <c r="I466" s="31"/>
      <c r="J466" s="31"/>
      <c r="K466" s="31"/>
      <c r="L466" s="31"/>
    </row>
    <row r="467" spans="1:12" x14ac:dyDescent="0.2">
      <c r="A467" s="34"/>
      <c r="B467" s="31"/>
      <c r="C467" s="31"/>
      <c r="D467" s="31"/>
      <c r="F467" s="31"/>
      <c r="G467" s="31"/>
      <c r="H467" s="31"/>
      <c r="I467" s="31"/>
      <c r="J467" s="31"/>
      <c r="K467" s="31"/>
      <c r="L467" s="31"/>
    </row>
    <row r="468" spans="1:12" x14ac:dyDescent="0.2">
      <c r="A468" s="34"/>
      <c r="B468" s="31"/>
      <c r="C468" s="31"/>
      <c r="D468" s="31"/>
      <c r="F468" s="31"/>
      <c r="G468" s="31"/>
      <c r="H468" s="31"/>
      <c r="I468" s="31"/>
      <c r="J468" s="31"/>
      <c r="K468" s="31"/>
      <c r="L468" s="31"/>
    </row>
    <row r="469" spans="1:12" x14ac:dyDescent="0.2">
      <c r="A469" s="34"/>
      <c r="B469" s="31"/>
      <c r="C469" s="31"/>
      <c r="D469" s="31"/>
      <c r="F469" s="31"/>
      <c r="G469" s="31"/>
      <c r="H469" s="31"/>
      <c r="I469" s="31"/>
      <c r="J469" s="31"/>
      <c r="K469" s="31"/>
      <c r="L469" s="31"/>
    </row>
    <row r="470" spans="1:12" x14ac:dyDescent="0.2">
      <c r="A470" s="34"/>
      <c r="B470" s="31"/>
      <c r="C470" s="31"/>
      <c r="D470" s="31"/>
      <c r="F470" s="31"/>
      <c r="G470" s="31"/>
      <c r="H470" s="31"/>
      <c r="I470" s="31"/>
      <c r="J470" s="31"/>
      <c r="K470" s="31"/>
      <c r="L470" s="31"/>
    </row>
    <row r="471" spans="1:12" x14ac:dyDescent="0.2">
      <c r="A471" s="34"/>
      <c r="B471" s="31"/>
      <c r="C471" s="31"/>
      <c r="D471" s="31"/>
      <c r="F471" s="31"/>
      <c r="G471" s="31"/>
      <c r="H471" s="31"/>
      <c r="I471" s="31"/>
      <c r="J471" s="31"/>
      <c r="K471" s="31"/>
      <c r="L471" s="31"/>
    </row>
    <row r="472" spans="1:12" x14ac:dyDescent="0.2">
      <c r="A472" s="34"/>
      <c r="B472" s="31"/>
      <c r="C472" s="31"/>
      <c r="D472" s="31"/>
      <c r="F472" s="31"/>
      <c r="G472" s="31"/>
      <c r="H472" s="31"/>
      <c r="I472" s="31"/>
      <c r="J472" s="31"/>
      <c r="K472" s="31"/>
      <c r="L472" s="31"/>
    </row>
    <row r="473" spans="1:12" x14ac:dyDescent="0.2">
      <c r="A473" s="34"/>
      <c r="B473" s="31"/>
      <c r="C473" s="31"/>
      <c r="D473" s="31"/>
      <c r="F473" s="31"/>
      <c r="G473" s="31"/>
      <c r="H473" s="31"/>
      <c r="I473" s="31"/>
      <c r="J473" s="31"/>
      <c r="K473" s="31"/>
      <c r="L473" s="31"/>
    </row>
    <row r="474" spans="1:12" x14ac:dyDescent="0.2">
      <c r="A474" s="34"/>
      <c r="B474" s="31"/>
      <c r="C474" s="31"/>
      <c r="D474" s="31"/>
      <c r="F474" s="31"/>
      <c r="G474" s="31"/>
      <c r="H474" s="31"/>
      <c r="I474" s="31"/>
      <c r="J474" s="31"/>
      <c r="K474" s="31"/>
      <c r="L474" s="31"/>
    </row>
    <row r="475" spans="1:12" x14ac:dyDescent="0.2">
      <c r="A475" s="34"/>
      <c r="B475" s="31"/>
      <c r="C475" s="31"/>
      <c r="D475" s="31"/>
      <c r="F475" s="31"/>
      <c r="G475" s="31"/>
      <c r="H475" s="31"/>
      <c r="I475" s="31"/>
      <c r="J475" s="31"/>
      <c r="K475" s="31"/>
      <c r="L475" s="31"/>
    </row>
    <row r="476" spans="1:12" x14ac:dyDescent="0.2">
      <c r="A476" s="34"/>
      <c r="B476" s="31"/>
      <c r="C476" s="31"/>
      <c r="D476" s="31"/>
      <c r="F476" s="31"/>
      <c r="G476" s="31"/>
      <c r="H476" s="31"/>
      <c r="I476" s="31"/>
      <c r="J476" s="31"/>
      <c r="K476" s="31"/>
      <c r="L476" s="31"/>
    </row>
    <row r="477" spans="1:12" x14ac:dyDescent="0.2">
      <c r="A477" s="34"/>
      <c r="B477" s="31"/>
      <c r="C477" s="31"/>
      <c r="D477" s="31"/>
      <c r="F477" s="31"/>
      <c r="G477" s="31"/>
      <c r="H477" s="31"/>
      <c r="I477" s="31"/>
      <c r="J477" s="31"/>
      <c r="K477" s="31"/>
      <c r="L477" s="31"/>
    </row>
    <row r="478" spans="1:12" x14ac:dyDescent="0.2">
      <c r="A478" s="34"/>
      <c r="B478" s="31"/>
      <c r="C478" s="31"/>
      <c r="D478" s="31"/>
      <c r="F478" s="31"/>
      <c r="G478" s="31"/>
      <c r="H478" s="31"/>
      <c r="I478" s="31"/>
      <c r="J478" s="31"/>
      <c r="K478" s="31"/>
      <c r="L478" s="31"/>
    </row>
    <row r="479" spans="1:12" x14ac:dyDescent="0.2">
      <c r="A479" s="34"/>
      <c r="B479" s="31"/>
      <c r="C479" s="31"/>
      <c r="D479" s="31"/>
      <c r="F479" s="31"/>
      <c r="G479" s="31"/>
      <c r="H479" s="31"/>
      <c r="I479" s="31"/>
      <c r="J479" s="31"/>
      <c r="K479" s="31"/>
      <c r="L479" s="31"/>
    </row>
    <row r="480" spans="1:12" x14ac:dyDescent="0.2">
      <c r="A480" s="34"/>
      <c r="B480" s="31"/>
      <c r="C480" s="31"/>
      <c r="D480" s="31"/>
      <c r="F480" s="31"/>
      <c r="G480" s="31"/>
      <c r="H480" s="31"/>
      <c r="I480" s="31"/>
      <c r="J480" s="31"/>
      <c r="K480" s="31"/>
      <c r="L480" s="31"/>
    </row>
    <row r="481" spans="1:12" x14ac:dyDescent="0.2">
      <c r="A481" s="34"/>
      <c r="B481" s="31"/>
      <c r="C481" s="31"/>
      <c r="D481" s="31"/>
      <c r="F481" s="31"/>
      <c r="G481" s="31"/>
      <c r="H481" s="31"/>
      <c r="I481" s="31"/>
      <c r="J481" s="31"/>
      <c r="K481" s="31"/>
      <c r="L481" s="31"/>
    </row>
    <row r="482" spans="1:12" x14ac:dyDescent="0.2">
      <c r="A482" s="34"/>
      <c r="B482" s="31"/>
      <c r="C482" s="31"/>
      <c r="D482" s="31"/>
      <c r="F482" s="31"/>
      <c r="G482" s="31"/>
      <c r="H482" s="31"/>
      <c r="I482" s="31"/>
      <c r="J482" s="31"/>
      <c r="K482" s="31"/>
      <c r="L482" s="31"/>
    </row>
    <row r="483" spans="1:12" x14ac:dyDescent="0.2">
      <c r="A483" s="34"/>
      <c r="B483" s="31"/>
      <c r="C483" s="31"/>
      <c r="D483" s="31"/>
      <c r="F483" s="31"/>
      <c r="G483" s="31"/>
      <c r="H483" s="31"/>
      <c r="I483" s="31"/>
      <c r="J483" s="31"/>
      <c r="K483" s="31"/>
      <c r="L483" s="31"/>
    </row>
    <row r="484" spans="1:12" x14ac:dyDescent="0.2">
      <c r="A484" s="34"/>
      <c r="B484" s="31"/>
      <c r="C484" s="31"/>
      <c r="D484" s="31"/>
      <c r="F484" s="31"/>
      <c r="G484" s="31"/>
      <c r="H484" s="31"/>
      <c r="I484" s="31"/>
      <c r="J484" s="31"/>
      <c r="K484" s="31"/>
      <c r="L484" s="31"/>
    </row>
    <row r="485" spans="1:12" x14ac:dyDescent="0.2">
      <c r="A485" s="34"/>
      <c r="B485" s="31"/>
      <c r="C485" s="31"/>
      <c r="D485" s="31"/>
      <c r="F485" s="31"/>
      <c r="G485" s="31"/>
      <c r="H485" s="31"/>
      <c r="I485" s="31"/>
      <c r="J485" s="31"/>
      <c r="K485" s="31"/>
      <c r="L485" s="31"/>
    </row>
    <row r="486" spans="1:12" x14ac:dyDescent="0.2">
      <c r="A486" s="34"/>
      <c r="B486" s="31"/>
      <c r="C486" s="31"/>
      <c r="D486" s="31"/>
      <c r="F486" s="31"/>
      <c r="G486" s="31"/>
      <c r="H486" s="31"/>
      <c r="I486" s="31"/>
      <c r="J486" s="31"/>
      <c r="K486" s="31"/>
      <c r="L486" s="31"/>
    </row>
    <row r="487" spans="1:12" x14ac:dyDescent="0.2">
      <c r="A487" s="34"/>
      <c r="B487" s="31"/>
      <c r="C487" s="31"/>
      <c r="D487" s="31"/>
      <c r="F487" s="31"/>
      <c r="G487" s="31"/>
      <c r="H487" s="31"/>
      <c r="I487" s="31"/>
      <c r="J487" s="31"/>
      <c r="K487" s="31"/>
      <c r="L487" s="31"/>
    </row>
  </sheetData>
  <mergeCells count="33">
    <mergeCell ref="E10:G10"/>
    <mergeCell ref="I10:K10"/>
    <mergeCell ref="A317:L317"/>
    <mergeCell ref="A157:L157"/>
    <mergeCell ref="A158:L158"/>
    <mergeCell ref="A159:L159"/>
    <mergeCell ref="A160:L160"/>
    <mergeCell ref="A161:L161"/>
    <mergeCell ref="A307:B307"/>
    <mergeCell ref="A3:L3"/>
    <mergeCell ref="A4:L4"/>
    <mergeCell ref="A5:L5"/>
    <mergeCell ref="A6:L6"/>
    <mergeCell ref="A7:L7"/>
    <mergeCell ref="N341:O341"/>
    <mergeCell ref="M184:O184"/>
    <mergeCell ref="I438:L438"/>
    <mergeCell ref="I164:K164"/>
    <mergeCell ref="E164:G164"/>
    <mergeCell ref="E320:G320"/>
    <mergeCell ref="I320:K320"/>
    <mergeCell ref="A313:L313"/>
    <mergeCell ref="A314:L314"/>
    <mergeCell ref="A315:L315"/>
    <mergeCell ref="A316:L316"/>
    <mergeCell ref="A438:B438"/>
    <mergeCell ref="C438:H438"/>
    <mergeCell ref="I437:L437"/>
    <mergeCell ref="A439:B439"/>
    <mergeCell ref="C439:H439"/>
    <mergeCell ref="I439:L439"/>
    <mergeCell ref="A437:B437"/>
    <mergeCell ref="C437:H437"/>
  </mergeCells>
  <printOptions horizontalCentered="1" verticalCentered="1"/>
  <pageMargins left="0.23622047244094491" right="0.23622047244094491" top="0" bottom="0" header="0" footer="0"/>
  <pageSetup paperSize="9" scale="34" fitToHeight="0" orientation="portrait" r:id="rId1"/>
  <rowBreaks count="2" manualBreakCount="2">
    <brk id="152" max="11" man="1"/>
    <brk id="308" max="11" man="1"/>
  </rowBreaks>
  <ignoredErrors>
    <ignoredError sqref="J271 J333 I325 C420:D420 J420 F420 J192" formulaRange="1"/>
    <ignoredError sqref="E25 E307 E29:F29 E35:F35 E106:F106 E147:F147 E242:F242 E280:F280 E352:F352 E356:F356 E358:F358 J387 I358:J358 I356:J356 I352:J352 I346:J346 H307:J307 I242:J242 I101 I106:J106 I147:J147 I240 I117 E199 I87 E399 E397 I199 I280:J280 I226:I228 I271 I283 E271:E275 I397 I399 I402:J402 E402:F402 E117 E210 E177:F177 I177:J177 E223:F223 I223 E383:F383 I383:J383 E380:F380 E379 I382 E382 I379:I380 E218 E194:F194 I186:J186 E184:F186 I218 I62:I63 I296:J296 I291:J291 E296:F296 E291:F291 I57 E188:E189 I188:I189 I194 E295 I295 E333:E334 E332:F332 E346:F346 E329:F329 E344 I340:I342 J35 I51:I53 I29:J29 I25 I35:I36 E230:E231 E44 I47 E78:E80 E85:E87 E96:E97 E220 I344 E257:F259 I261:J261 I263:I264 I266 E263:E264 E266 I250:I252 E251:E252 E47 E340:E342 E51:E53 E62:E63 E89:E90 I44 E404 E57:E58 E101 I210 E246:F246 I246 E327 E338 I338 I404 E407 I407 I184:I185 I230:I231 I255 E146 I197 E413 I413 I409 E409:E410 E415:E417 I415:I417 I420 E60 E73 E93 H119 E124:E125 H123 H127 E141 H134:H140 H144:H145 I257:I259 E362 E365 E373 I376 I373 I365 I362 I275 I332 H121 E393:E394 H122 H120 H124:I126 H146:I146 H141:I141 H128 H182 E75 E133 H129 H131 H130 H133:I133 H132 E261:F261 E192 E376 E385:E387 F387 E389:F389 H387 F385:F386 H384 H389 H385:H386 H388 H390 E120 E122 E119 E123 E121 I120 I122 I119 I123 I121 E350 I350 I389 I385:I387 I391 I393 I384 I394 I392 I388 I390 E22" formula="1"/>
    <ignoredError sqref="A14:A20 A21:B21 A33:B33 A97:B97 A125:B125 A133:B133 B188 A201:B201 A202:A208 A209:B209 A225:B225 A268:A273 A354:B354 M354:IV354 A147:A151 A217:A224 A274:B275 A226:A232 A280:A286 A287:A289 A423 A324:A353 A22:A32 A121 A126:A129 A34:A54 A98:A102 A214 A210:A212 A134:A141 A397:A421 A379:A385 A167:A172 A355:A366 A393:A394 A387:A391 A63:A96 A56:A61 A55 A62 A103 A104:A120 A122:A124 A130:A132 A144:A145 A142:A143 A146 A174:A200 A234:A267 A290:A292 A293:A306 A368:A377" numberStoredAsText="1"/>
    <ignoredError sqref="G307 K307 G132 G133 G130 G131 G129 G128 G141 G146 G124:G126 G120 G122 G121 G144:G145 G134:G140 G127 G123 G119 K121:K129 K144:K146 K119:K120 G182 K130:K141 G384:G390" evalError="1" formula="1"/>
    <ignoredError sqref="G323 K323 K13 G13:G102 G142:G143 G147:G151 K14:K102 K147:K151 K142:K143 G167 G183:G267 G168:G181 K167:K192 K193:K267 K306 G306 G324:G383 K324:K394 G103 K103 G104:G109 K104:K109 G110:G118 K110:K118 G268:G286 K268:K286 G287:G289 K287:K289 G290:G292 K290:K292 G293:G301 K293:K301 G391:G394 K395:K422 G395:G422" evalError="1"/>
    <ignoredError sqref="J199 J329 I329 I333 I334 I327 E420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18A38-DC03-4CBA-ACD2-129A1875E6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D4B545-DE12-4DEF-8288-D5823A37CCEB}">
  <ds:schemaRefs>
    <ds:schemaRef ds:uri="http://purl.org/dc/dcmitype/"/>
    <ds:schemaRef ds:uri="http://schemas.microsoft.com/office/2006/metadata/properties"/>
    <ds:schemaRef ds:uri="http://purl.org/dc/terms/"/>
    <ds:schemaRef ds:uri="ebfcc7d6-e1dc-4701-b230-8bbb8f498e60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876F15-E85A-424F-8095-36979AFF81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 - 4º BIM</vt:lpstr>
      <vt:lpstr>'Anexo II - 4º BIM'!Area_de_impressao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2025-09-17T16:53:47Z</cp:lastPrinted>
  <dcterms:created xsi:type="dcterms:W3CDTF">2005-03-08T15:13:02Z</dcterms:created>
  <dcterms:modified xsi:type="dcterms:W3CDTF">2025-09-29T18:03:11Z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