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B8530DE9-2CA2-43FA-B58F-5612FE947AC5}" xr6:coauthVersionLast="47" xr6:coauthVersionMax="47" xr10:uidLastSave="{00000000-0000-0000-0000-000000000000}"/>
  <bookViews>
    <workbookView xWindow="-120" yWindow="-120" windowWidth="29040" windowHeight="15720" xr2:uid="{104F4C16-10C8-42A2-AB95-74E34E87F8C0}"/>
  </bookViews>
  <sheets>
    <sheet name="Anexo II - 3º BIM" sheetId="5" r:id="rId1"/>
  </sheets>
  <definedNames>
    <definedName name="_xlnm.Print_Area" localSheetId="0">'Anexo II - 3º BIM'!$A$1:$L$473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3" i="5" l="1"/>
  <c r="I422" i="5"/>
  <c r="I420" i="5"/>
  <c r="I419" i="5"/>
  <c r="I415" i="5"/>
  <c r="I409" i="5"/>
  <c r="I406" i="5"/>
  <c r="I404" i="5"/>
  <c r="I402" i="5"/>
  <c r="I399" i="5"/>
  <c r="I394" i="5"/>
  <c r="I392" i="5"/>
  <c r="I390" i="5"/>
  <c r="I388" i="5"/>
  <c r="I384" i="5"/>
  <c r="I381" i="5"/>
  <c r="I378" i="5"/>
  <c r="I377" i="5"/>
  <c r="I374" i="5"/>
  <c r="I370" i="5"/>
  <c r="I369" i="5"/>
  <c r="I367" i="5"/>
  <c r="I366" i="5"/>
  <c r="I363" i="5"/>
  <c r="I360" i="5"/>
  <c r="I359" i="5"/>
  <c r="I357" i="5"/>
  <c r="I354" i="5"/>
  <c r="I353" i="5"/>
  <c r="I350" i="5"/>
  <c r="I347" i="5"/>
  <c r="I342" i="5"/>
  <c r="I339" i="5"/>
  <c r="I337" i="5"/>
  <c r="I336" i="5"/>
  <c r="I335" i="5"/>
  <c r="I331" i="5"/>
  <c r="I330" i="5"/>
  <c r="I326" i="5"/>
  <c r="E422" i="5"/>
  <c r="E420" i="5"/>
  <c r="E419" i="5"/>
  <c r="E415" i="5"/>
  <c r="E409" i="5"/>
  <c r="E406" i="5"/>
  <c r="E404" i="5"/>
  <c r="E402" i="5"/>
  <c r="E399" i="5"/>
  <c r="E394" i="5"/>
  <c r="E392" i="5"/>
  <c r="E390" i="5"/>
  <c r="E388" i="5"/>
  <c r="E384" i="5"/>
  <c r="E381" i="5"/>
  <c r="E378" i="5"/>
  <c r="E377" i="5"/>
  <c r="E374" i="5"/>
  <c r="E370" i="5"/>
  <c r="E369" i="5"/>
  <c r="E367" i="5"/>
  <c r="E366" i="5"/>
  <c r="E363" i="5"/>
  <c r="E360" i="5"/>
  <c r="E359" i="5"/>
  <c r="E357" i="5"/>
  <c r="E355" i="5"/>
  <c r="E354" i="5"/>
  <c r="E353" i="5"/>
  <c r="E350" i="5"/>
  <c r="E347" i="5"/>
  <c r="E342" i="5"/>
  <c r="E339" i="5"/>
  <c r="E337" i="5"/>
  <c r="E336" i="5"/>
  <c r="E335" i="5"/>
  <c r="E331" i="5"/>
  <c r="E326" i="5"/>
  <c r="I301" i="5"/>
  <c r="I299" i="5"/>
  <c r="I298" i="5"/>
  <c r="I297" i="5"/>
  <c r="I294" i="5"/>
  <c r="I293" i="5"/>
  <c r="I292" i="5"/>
  <c r="I290" i="5"/>
  <c r="I288" i="5"/>
  <c r="I286" i="5"/>
  <c r="I285" i="5"/>
  <c r="I281" i="5"/>
  <c r="I278" i="5"/>
  <c r="I276" i="5"/>
  <c r="I270" i="5"/>
  <c r="I267" i="5"/>
  <c r="I265" i="5"/>
  <c r="I262" i="5"/>
  <c r="I260" i="5"/>
  <c r="I256" i="5"/>
  <c r="I254" i="5"/>
  <c r="I253" i="5"/>
  <c r="I249" i="5"/>
  <c r="I247" i="5"/>
  <c r="I245" i="5"/>
  <c r="I243" i="5"/>
  <c r="I241" i="5"/>
  <c r="I239" i="5"/>
  <c r="I238" i="5"/>
  <c r="I237" i="5"/>
  <c r="I236" i="5"/>
  <c r="I233" i="5"/>
  <c r="I224" i="5"/>
  <c r="I221" i="5"/>
  <c r="I215" i="5"/>
  <c r="I213" i="5"/>
  <c r="I212" i="5"/>
  <c r="I211" i="5"/>
  <c r="I208" i="5"/>
  <c r="I207" i="5"/>
  <c r="I206" i="5"/>
  <c r="I205" i="5"/>
  <c r="I204" i="5"/>
  <c r="I203" i="5"/>
  <c r="I200" i="5"/>
  <c r="I195" i="5"/>
  <c r="I191" i="5"/>
  <c r="I190" i="5"/>
  <c r="I187" i="5"/>
  <c r="I182" i="5"/>
  <c r="I178" i="5"/>
  <c r="I176" i="5"/>
  <c r="I170" i="5"/>
  <c r="I169" i="5"/>
  <c r="I150" i="5"/>
  <c r="I149" i="5"/>
  <c r="I148" i="5"/>
  <c r="I145" i="5"/>
  <c r="I144" i="5"/>
  <c r="I140" i="5"/>
  <c r="I139" i="5"/>
  <c r="I138" i="5"/>
  <c r="I137" i="5"/>
  <c r="I136" i="5"/>
  <c r="I135" i="5"/>
  <c r="I134" i="5"/>
  <c r="I132" i="5"/>
  <c r="I130" i="5"/>
  <c r="I129" i="5"/>
  <c r="I128" i="5"/>
  <c r="I127" i="5"/>
  <c r="I123" i="5"/>
  <c r="I121" i="5"/>
  <c r="I119" i="5"/>
  <c r="I114" i="5"/>
  <c r="I113" i="5"/>
  <c r="I112" i="5"/>
  <c r="I111" i="5"/>
  <c r="I110" i="5"/>
  <c r="I109" i="5"/>
  <c r="I108" i="5"/>
  <c r="I107" i="5"/>
  <c r="I104" i="5"/>
  <c r="I103" i="5"/>
  <c r="I102" i="5"/>
  <c r="I99" i="5"/>
  <c r="I98" i="5"/>
  <c r="I95" i="5"/>
  <c r="I94" i="5"/>
  <c r="I92" i="5"/>
  <c r="I91" i="5"/>
  <c r="I88" i="5"/>
  <c r="I83" i="5"/>
  <c r="I82" i="5"/>
  <c r="I81" i="5"/>
  <c r="I77" i="5"/>
  <c r="I76" i="5"/>
  <c r="I71" i="5"/>
  <c r="I70" i="5"/>
  <c r="I69" i="5"/>
  <c r="I68" i="5"/>
  <c r="I67" i="5"/>
  <c r="I66" i="5"/>
  <c r="I65" i="5"/>
  <c r="I59" i="5"/>
  <c r="I55" i="5"/>
  <c r="I50" i="5"/>
  <c r="I46" i="5"/>
  <c r="I45" i="5"/>
  <c r="I43" i="5"/>
  <c r="I42" i="5"/>
  <c r="I41" i="5"/>
  <c r="I40" i="5"/>
  <c r="I39" i="5"/>
  <c r="I38" i="5"/>
  <c r="I37" i="5"/>
  <c r="I34" i="5"/>
  <c r="I33" i="5"/>
  <c r="I32" i="5"/>
  <c r="I31" i="5"/>
  <c r="I30" i="5"/>
  <c r="I27" i="5"/>
  <c r="I26" i="5"/>
  <c r="I22" i="5"/>
  <c r="I19" i="5"/>
  <c r="I18" i="5"/>
  <c r="I17" i="5"/>
  <c r="I16" i="5"/>
  <c r="E301" i="5"/>
  <c r="E299" i="5"/>
  <c r="E298" i="5"/>
  <c r="E297" i="5"/>
  <c r="E294" i="5"/>
  <c r="E293" i="5"/>
  <c r="E292" i="5"/>
  <c r="E290" i="5"/>
  <c r="E288" i="5"/>
  <c r="E286" i="5"/>
  <c r="E285" i="5"/>
  <c r="E281" i="5"/>
  <c r="E278" i="5"/>
  <c r="E276" i="5"/>
  <c r="E270" i="5"/>
  <c r="E267" i="5"/>
  <c r="E265" i="5"/>
  <c r="E262" i="5"/>
  <c r="E260" i="5"/>
  <c r="E254" i="5"/>
  <c r="E253" i="5"/>
  <c r="E249" i="5"/>
  <c r="E247" i="5"/>
  <c r="E245" i="5"/>
  <c r="E243" i="5"/>
  <c r="E241" i="5"/>
  <c r="E239" i="5"/>
  <c r="E238" i="5"/>
  <c r="E237" i="5"/>
  <c r="E236" i="5"/>
  <c r="E233" i="5"/>
  <c r="E224" i="5"/>
  <c r="E221" i="5"/>
  <c r="E215" i="5"/>
  <c r="E213" i="5"/>
  <c r="E212" i="5"/>
  <c r="E211" i="5"/>
  <c r="E208" i="5"/>
  <c r="E207" i="5"/>
  <c r="E206" i="5"/>
  <c r="E205" i="5"/>
  <c r="E204" i="5"/>
  <c r="E203" i="5"/>
  <c r="E200" i="5"/>
  <c r="E195" i="5"/>
  <c r="E191" i="5"/>
  <c r="E190" i="5"/>
  <c r="E187" i="5"/>
  <c r="E182" i="5"/>
  <c r="E178" i="5"/>
  <c r="E176" i="5"/>
  <c r="E170" i="5"/>
  <c r="E169" i="5"/>
  <c r="E150" i="5"/>
  <c r="E149" i="5"/>
  <c r="E148" i="5"/>
  <c r="E145" i="5"/>
  <c r="E144" i="5"/>
  <c r="E140" i="5"/>
  <c r="E139" i="5"/>
  <c r="E138" i="5"/>
  <c r="E137" i="5"/>
  <c r="E136" i="5"/>
  <c r="E135" i="5"/>
  <c r="E134" i="5"/>
  <c r="E132" i="5"/>
  <c r="E131" i="5"/>
  <c r="E130" i="5"/>
  <c r="E129" i="5"/>
  <c r="E128" i="5"/>
  <c r="E127" i="5"/>
  <c r="E123" i="5"/>
  <c r="E121" i="5"/>
  <c r="E119" i="5"/>
  <c r="E114" i="5"/>
  <c r="E113" i="5"/>
  <c r="E112" i="5"/>
  <c r="E111" i="5"/>
  <c r="E110" i="5"/>
  <c r="E109" i="5"/>
  <c r="E108" i="5"/>
  <c r="E107" i="5"/>
  <c r="E104" i="5"/>
  <c r="E103" i="5"/>
  <c r="E102" i="5"/>
  <c r="E99" i="5"/>
  <c r="E98" i="5"/>
  <c r="E95" i="5"/>
  <c r="E94" i="5"/>
  <c r="E92" i="5"/>
  <c r="E91" i="5"/>
  <c r="E88" i="5"/>
  <c r="E83" i="5"/>
  <c r="E82" i="5"/>
  <c r="E81" i="5"/>
  <c r="E77" i="5"/>
  <c r="E76" i="5"/>
  <c r="E71" i="5"/>
  <c r="E70" i="5"/>
  <c r="E69" i="5"/>
  <c r="E68" i="5"/>
  <c r="E67" i="5"/>
  <c r="E66" i="5"/>
  <c r="E65" i="5"/>
  <c r="E59" i="5"/>
  <c r="E55" i="5"/>
  <c r="E50" i="5"/>
  <c r="E46" i="5"/>
  <c r="E45" i="5"/>
  <c r="E43" i="5"/>
  <c r="E42" i="5"/>
  <c r="E41" i="5"/>
  <c r="E40" i="5"/>
  <c r="E39" i="5"/>
  <c r="E38" i="5"/>
  <c r="E37" i="5"/>
  <c r="E34" i="5"/>
  <c r="E33" i="5"/>
  <c r="E32" i="5"/>
  <c r="E31" i="5"/>
  <c r="E30" i="5"/>
  <c r="E27" i="5"/>
  <c r="E26" i="5"/>
  <c r="E22" i="5"/>
  <c r="E19" i="5"/>
  <c r="E18" i="5"/>
  <c r="E17" i="5"/>
  <c r="E16" i="5"/>
  <c r="E302" i="5"/>
  <c r="E371" i="5" l="1"/>
  <c r="E361" i="5"/>
  <c r="E330" i="5"/>
  <c r="I269" i="5"/>
  <c r="I268" i="5"/>
  <c r="I24" i="5"/>
  <c r="E269" i="5"/>
  <c r="E268" i="5"/>
  <c r="E256" i="5"/>
  <c r="E24" i="5"/>
  <c r="I397" i="5"/>
  <c r="E397" i="5"/>
  <c r="I371" i="5"/>
  <c r="I348" i="5"/>
  <c r="E348" i="5"/>
  <c r="I328" i="5"/>
  <c r="E328" i="5"/>
  <c r="E287" i="5"/>
  <c r="I287" i="5"/>
  <c r="I229" i="5"/>
  <c r="E229" i="5"/>
  <c r="I214" i="5"/>
  <c r="E214" i="5"/>
  <c r="I198" i="5"/>
  <c r="E198" i="5"/>
  <c r="I74" i="5"/>
  <c r="E74" i="5"/>
  <c r="I23" i="5"/>
  <c r="E23" i="5" l="1"/>
  <c r="E36" i="5"/>
  <c r="E44" i="5"/>
  <c r="E47" i="5"/>
  <c r="E48" i="5"/>
  <c r="E49" i="5"/>
  <c r="E51" i="5"/>
  <c r="E52" i="5"/>
  <c r="E53" i="5"/>
  <c r="E54" i="5"/>
  <c r="E56" i="5"/>
  <c r="E57" i="5"/>
  <c r="E58" i="5"/>
  <c r="E60" i="5"/>
  <c r="E61" i="5"/>
  <c r="E62" i="5"/>
  <c r="I418" i="5"/>
  <c r="E403" i="5"/>
  <c r="I387" i="5"/>
  <c r="E387" i="5"/>
  <c r="I356" i="5"/>
  <c r="E29" i="5"/>
  <c r="E25" i="5"/>
  <c r="J324" i="5"/>
  <c r="I383" i="5"/>
  <c r="E356" i="5"/>
  <c r="F338" i="5"/>
  <c r="C389" i="5"/>
  <c r="J389" i="5"/>
  <c r="F389" i="5"/>
  <c r="D389" i="5"/>
  <c r="L397" i="5"/>
  <c r="L392" i="5"/>
  <c r="H397" i="5"/>
  <c r="H392" i="5"/>
  <c r="D329" i="5"/>
  <c r="J421" i="5"/>
  <c r="I403" i="5"/>
  <c r="E383" i="5"/>
  <c r="I361" i="5"/>
  <c r="I358" i="5" s="1"/>
  <c r="E396" i="5"/>
  <c r="L396" i="5"/>
  <c r="L395" i="5"/>
  <c r="I396" i="5"/>
  <c r="I395" i="5"/>
  <c r="H396" i="5"/>
  <c r="H395" i="5"/>
  <c r="L378" i="5"/>
  <c r="L276" i="5"/>
  <c r="L279" i="5"/>
  <c r="L278" i="5"/>
  <c r="L198" i="5"/>
  <c r="E329" i="5"/>
  <c r="E279" i="5"/>
  <c r="E277" i="5"/>
  <c r="H198" i="5"/>
  <c r="E193" i="5"/>
  <c r="E168" i="5"/>
  <c r="I20" i="5"/>
  <c r="H378" i="5"/>
  <c r="L143" i="5"/>
  <c r="I143" i="5"/>
  <c r="H143" i="5"/>
  <c r="E143" i="5"/>
  <c r="L142" i="5"/>
  <c r="I142" i="5"/>
  <c r="H142" i="5"/>
  <c r="E142" i="5"/>
  <c r="J126" i="5"/>
  <c r="F126" i="5"/>
  <c r="D126" i="5"/>
  <c r="C126" i="5"/>
  <c r="J376" i="5"/>
  <c r="F376" i="5"/>
  <c r="D376" i="5"/>
  <c r="C376" i="5"/>
  <c r="C373" i="5"/>
  <c r="H413" i="5"/>
  <c r="H412" i="5"/>
  <c r="F411" i="5"/>
  <c r="D411" i="5"/>
  <c r="C411" i="5"/>
  <c r="E413" i="5"/>
  <c r="E412" i="5"/>
  <c r="J275" i="5"/>
  <c r="F275" i="5"/>
  <c r="I279" i="5"/>
  <c r="H276" i="5"/>
  <c r="H279" i="5"/>
  <c r="H278" i="5"/>
  <c r="D275" i="5"/>
  <c r="C275" i="5"/>
  <c r="I216" i="5"/>
  <c r="L216" i="5"/>
  <c r="L215" i="5"/>
  <c r="H215" i="5"/>
  <c r="L213" i="5"/>
  <c r="H213" i="5"/>
  <c r="E216" i="5"/>
  <c r="H216" i="5"/>
  <c r="J192" i="5"/>
  <c r="F192" i="5"/>
  <c r="D192" i="5"/>
  <c r="C192" i="5"/>
  <c r="J167" i="5"/>
  <c r="F167" i="5"/>
  <c r="D167" i="5"/>
  <c r="C167" i="5"/>
  <c r="L168" i="5"/>
  <c r="H168" i="5"/>
  <c r="I146" i="5"/>
  <c r="L146" i="5"/>
  <c r="E146" i="5"/>
  <c r="H146" i="5"/>
  <c r="L55" i="5"/>
  <c r="H55" i="5"/>
  <c r="E15" i="5"/>
  <c r="L424" i="5"/>
  <c r="L423" i="5"/>
  <c r="L422" i="5"/>
  <c r="L420" i="5"/>
  <c r="L419" i="5"/>
  <c r="L417" i="5"/>
  <c r="L416" i="5"/>
  <c r="L415" i="5"/>
  <c r="L410" i="5"/>
  <c r="L409" i="5"/>
  <c r="L407" i="5"/>
  <c r="L406" i="5"/>
  <c r="L404" i="5"/>
  <c r="L402" i="5"/>
  <c r="L401" i="5"/>
  <c r="L400" i="5"/>
  <c r="L399" i="5"/>
  <c r="L394" i="5"/>
  <c r="L393" i="5"/>
  <c r="L391" i="5"/>
  <c r="L390" i="5"/>
  <c r="L388" i="5"/>
  <c r="L386" i="5"/>
  <c r="L384" i="5"/>
  <c r="L382" i="5"/>
  <c r="L381" i="5"/>
  <c r="L379" i="5"/>
  <c r="L377" i="5"/>
  <c r="L375" i="5"/>
  <c r="L374" i="5"/>
  <c r="L372" i="5"/>
  <c r="L371" i="5"/>
  <c r="L370" i="5"/>
  <c r="L369" i="5"/>
  <c r="L368" i="5"/>
  <c r="L367" i="5"/>
  <c r="L366" i="5"/>
  <c r="L364" i="5"/>
  <c r="L363" i="5"/>
  <c r="L361" i="5"/>
  <c r="L360" i="5"/>
  <c r="L359" i="5"/>
  <c r="L357" i="5"/>
  <c r="L355" i="5"/>
  <c r="L354" i="5"/>
  <c r="L353" i="5"/>
  <c r="L351" i="5"/>
  <c r="L350" i="5"/>
  <c r="L349" i="5"/>
  <c r="L348" i="5"/>
  <c r="L347" i="5"/>
  <c r="L345" i="5"/>
  <c r="L344" i="5"/>
  <c r="L343" i="5"/>
  <c r="L342" i="5"/>
  <c r="L341" i="5"/>
  <c r="L340" i="5"/>
  <c r="L339" i="5"/>
  <c r="L337" i="5"/>
  <c r="L336" i="5"/>
  <c r="L335" i="5"/>
  <c r="L334" i="5"/>
  <c r="L333" i="5"/>
  <c r="L331" i="5"/>
  <c r="L330" i="5"/>
  <c r="L328" i="5"/>
  <c r="L327" i="5"/>
  <c r="L326" i="5"/>
  <c r="L325" i="5"/>
  <c r="H424" i="5"/>
  <c r="H423" i="5"/>
  <c r="H422" i="5"/>
  <c r="H420" i="5"/>
  <c r="H419" i="5"/>
  <c r="H417" i="5"/>
  <c r="H416" i="5"/>
  <c r="H415" i="5"/>
  <c r="H410" i="5"/>
  <c r="H409" i="5"/>
  <c r="H407" i="5"/>
  <c r="H406" i="5"/>
  <c r="H404" i="5"/>
  <c r="H402" i="5"/>
  <c r="H401" i="5"/>
  <c r="H400" i="5"/>
  <c r="H399" i="5"/>
  <c r="H394" i="5"/>
  <c r="H393" i="5"/>
  <c r="H391" i="5"/>
  <c r="H390" i="5"/>
  <c r="H388" i="5"/>
  <c r="H386" i="5"/>
  <c r="H384" i="5"/>
  <c r="H382" i="5"/>
  <c r="H381" i="5"/>
  <c r="H379" i="5"/>
  <c r="H377" i="5"/>
  <c r="H375" i="5"/>
  <c r="H374" i="5"/>
  <c r="H372" i="5"/>
  <c r="H371" i="5"/>
  <c r="H370" i="5"/>
  <c r="H369" i="5"/>
  <c r="H368" i="5"/>
  <c r="H367" i="5"/>
  <c r="H366" i="5"/>
  <c r="H364" i="5"/>
  <c r="H363" i="5"/>
  <c r="H361" i="5"/>
  <c r="H360" i="5"/>
  <c r="H359" i="5"/>
  <c r="H357" i="5"/>
  <c r="H355" i="5"/>
  <c r="H354" i="5"/>
  <c r="H353" i="5"/>
  <c r="H351" i="5"/>
  <c r="H350" i="5"/>
  <c r="H349" i="5"/>
  <c r="H348" i="5"/>
  <c r="H347" i="5"/>
  <c r="H345" i="5"/>
  <c r="H344" i="5"/>
  <c r="H343" i="5"/>
  <c r="H342" i="5"/>
  <c r="H341" i="5"/>
  <c r="H340" i="5"/>
  <c r="H339" i="5"/>
  <c r="H337" i="5"/>
  <c r="H336" i="5"/>
  <c r="H335" i="5"/>
  <c r="H334" i="5"/>
  <c r="H333" i="5"/>
  <c r="H331" i="5"/>
  <c r="H330" i="5"/>
  <c r="H328" i="5"/>
  <c r="H327" i="5"/>
  <c r="H326" i="5"/>
  <c r="H325" i="5"/>
  <c r="L305" i="5"/>
  <c r="L304" i="5"/>
  <c r="L303" i="5"/>
  <c r="L301" i="5"/>
  <c r="L300" i="5"/>
  <c r="L299" i="5"/>
  <c r="L298" i="5"/>
  <c r="L297" i="5"/>
  <c r="L295" i="5"/>
  <c r="L294" i="5"/>
  <c r="L293" i="5"/>
  <c r="L292" i="5"/>
  <c r="L290" i="5"/>
  <c r="L289" i="5"/>
  <c r="L288" i="5"/>
  <c r="L287" i="5"/>
  <c r="L286" i="5"/>
  <c r="L285" i="5"/>
  <c r="L284" i="5"/>
  <c r="L283" i="5"/>
  <c r="L282" i="5"/>
  <c r="L281" i="5"/>
  <c r="L277" i="5"/>
  <c r="L274" i="5"/>
  <c r="L273" i="5"/>
  <c r="L272" i="5"/>
  <c r="L270" i="5"/>
  <c r="L269" i="5"/>
  <c r="L268" i="5"/>
  <c r="L267" i="5"/>
  <c r="L266" i="5"/>
  <c r="L265" i="5"/>
  <c r="L264" i="5"/>
  <c r="L263" i="5"/>
  <c r="L262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2" i="5"/>
  <c r="L221" i="5"/>
  <c r="L220" i="5"/>
  <c r="L219" i="5"/>
  <c r="L218" i="5"/>
  <c r="L217" i="5"/>
  <c r="L214" i="5"/>
  <c r="L212" i="5"/>
  <c r="L211" i="5"/>
  <c r="L209" i="5"/>
  <c r="L208" i="5"/>
  <c r="L207" i="5"/>
  <c r="L206" i="5"/>
  <c r="L205" i="5"/>
  <c r="L204" i="5"/>
  <c r="L203" i="5"/>
  <c r="L202" i="5"/>
  <c r="L201" i="5"/>
  <c r="L200" i="5"/>
  <c r="L197" i="5"/>
  <c r="L196" i="5"/>
  <c r="L195" i="5"/>
  <c r="L194" i="5"/>
  <c r="L191" i="5"/>
  <c r="L190" i="5"/>
  <c r="L189" i="5"/>
  <c r="L188" i="5"/>
  <c r="L187" i="5"/>
  <c r="L185" i="5"/>
  <c r="L184" i="5"/>
  <c r="L183" i="5"/>
  <c r="L182" i="5"/>
  <c r="L181" i="5"/>
  <c r="L180" i="5"/>
  <c r="L179" i="5"/>
  <c r="L178" i="5"/>
  <c r="L176" i="5"/>
  <c r="L175" i="5"/>
  <c r="L174" i="5"/>
  <c r="L173" i="5"/>
  <c r="L172" i="5"/>
  <c r="L171" i="5"/>
  <c r="L170" i="5"/>
  <c r="L169" i="5"/>
  <c r="H305" i="5"/>
  <c r="H304" i="5"/>
  <c r="H303" i="5"/>
  <c r="H301" i="5"/>
  <c r="H300" i="5"/>
  <c r="H299" i="5"/>
  <c r="H298" i="5"/>
  <c r="H297" i="5"/>
  <c r="H295" i="5"/>
  <c r="H294" i="5"/>
  <c r="H293" i="5"/>
  <c r="H292" i="5"/>
  <c r="H290" i="5"/>
  <c r="H289" i="5"/>
  <c r="H288" i="5"/>
  <c r="H287" i="5"/>
  <c r="H286" i="5"/>
  <c r="H285" i="5"/>
  <c r="H284" i="5"/>
  <c r="H283" i="5"/>
  <c r="H282" i="5"/>
  <c r="H281" i="5"/>
  <c r="H277" i="5"/>
  <c r="H274" i="5"/>
  <c r="H273" i="5"/>
  <c r="H272" i="5"/>
  <c r="H270" i="5"/>
  <c r="H269" i="5"/>
  <c r="H268" i="5"/>
  <c r="H267" i="5"/>
  <c r="H266" i="5"/>
  <c r="H265" i="5"/>
  <c r="H264" i="5"/>
  <c r="H263" i="5"/>
  <c r="H262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5" i="5"/>
  <c r="H244" i="5"/>
  <c r="H243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2" i="5"/>
  <c r="H221" i="5"/>
  <c r="H220" i="5"/>
  <c r="H219" i="5"/>
  <c r="H218" i="5"/>
  <c r="H217" i="5"/>
  <c r="H214" i="5"/>
  <c r="H212" i="5"/>
  <c r="H211" i="5"/>
  <c r="H209" i="5"/>
  <c r="H208" i="5"/>
  <c r="H207" i="5"/>
  <c r="H206" i="5"/>
  <c r="H205" i="5"/>
  <c r="H204" i="5"/>
  <c r="H203" i="5"/>
  <c r="H202" i="5"/>
  <c r="H201" i="5"/>
  <c r="H200" i="5"/>
  <c r="H197" i="5"/>
  <c r="H196" i="5"/>
  <c r="H195" i="5"/>
  <c r="H194" i="5"/>
  <c r="H191" i="5"/>
  <c r="H190" i="5"/>
  <c r="H189" i="5"/>
  <c r="H188" i="5"/>
  <c r="H187" i="5"/>
  <c r="H185" i="5"/>
  <c r="H184" i="5"/>
  <c r="H183" i="5"/>
  <c r="H182" i="5"/>
  <c r="H181" i="5"/>
  <c r="H180" i="5"/>
  <c r="H179" i="5"/>
  <c r="H178" i="5"/>
  <c r="H176" i="5"/>
  <c r="H175" i="5"/>
  <c r="H174" i="5"/>
  <c r="H173" i="5"/>
  <c r="H172" i="5"/>
  <c r="H171" i="5"/>
  <c r="H170" i="5"/>
  <c r="H169" i="5"/>
  <c r="H151" i="5"/>
  <c r="H150" i="5"/>
  <c r="H149" i="5"/>
  <c r="H148" i="5"/>
  <c r="H145" i="5"/>
  <c r="H144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5" i="5"/>
  <c r="H124" i="5"/>
  <c r="H123" i="5"/>
  <c r="H122" i="5"/>
  <c r="H121" i="5"/>
  <c r="H120" i="5"/>
  <c r="H119" i="5"/>
  <c r="H118" i="5"/>
  <c r="H116" i="5"/>
  <c r="H115" i="5"/>
  <c r="H114" i="5"/>
  <c r="H113" i="5"/>
  <c r="H112" i="5"/>
  <c r="H111" i="5"/>
  <c r="H110" i="5"/>
  <c r="H109" i="5"/>
  <c r="H108" i="5"/>
  <c r="H107" i="5"/>
  <c r="H105" i="5"/>
  <c r="H104" i="5"/>
  <c r="H103" i="5"/>
  <c r="H102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2" i="5"/>
  <c r="H61" i="5"/>
  <c r="H60" i="5"/>
  <c r="H59" i="5"/>
  <c r="H58" i="5"/>
  <c r="H57" i="5"/>
  <c r="H56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8" i="5"/>
  <c r="H27" i="5"/>
  <c r="H26" i="5"/>
  <c r="H24" i="5"/>
  <c r="H23" i="5"/>
  <c r="H22" i="5"/>
  <c r="H21" i="5"/>
  <c r="H20" i="5"/>
  <c r="H19" i="5"/>
  <c r="H18" i="5"/>
  <c r="H17" i="5"/>
  <c r="H16" i="5"/>
  <c r="H15" i="5"/>
  <c r="L151" i="5"/>
  <c r="L150" i="5"/>
  <c r="L149" i="5"/>
  <c r="L148" i="5"/>
  <c r="L145" i="5"/>
  <c r="L144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5" i="5"/>
  <c r="L124" i="5"/>
  <c r="L123" i="5"/>
  <c r="L122" i="5"/>
  <c r="L121" i="5"/>
  <c r="L120" i="5"/>
  <c r="L119" i="5"/>
  <c r="L118" i="5"/>
  <c r="L116" i="5"/>
  <c r="L115" i="5"/>
  <c r="L114" i="5"/>
  <c r="L113" i="5"/>
  <c r="L112" i="5"/>
  <c r="L111" i="5"/>
  <c r="L110" i="5"/>
  <c r="L109" i="5"/>
  <c r="L108" i="5"/>
  <c r="L107" i="5"/>
  <c r="L105" i="5"/>
  <c r="L104" i="5"/>
  <c r="L103" i="5"/>
  <c r="L102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2" i="5"/>
  <c r="L61" i="5"/>
  <c r="L60" i="5"/>
  <c r="L59" i="5"/>
  <c r="L58" i="5"/>
  <c r="L57" i="5"/>
  <c r="L56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I183" i="5"/>
  <c r="E183" i="5"/>
  <c r="I175" i="5"/>
  <c r="E175" i="5"/>
  <c r="E105" i="5"/>
  <c r="I105" i="5"/>
  <c r="J101" i="5"/>
  <c r="F101" i="5"/>
  <c r="D101" i="5"/>
  <c r="C101" i="5"/>
  <c r="I61" i="5"/>
  <c r="I49" i="5"/>
  <c r="I48" i="5"/>
  <c r="I28" i="5"/>
  <c r="I25" i="5" s="1"/>
  <c r="J25" i="5"/>
  <c r="F25" i="5"/>
  <c r="D25" i="5"/>
  <c r="C25" i="5"/>
  <c r="E28" i="5"/>
  <c r="I368" i="5"/>
  <c r="I349" i="5"/>
  <c r="I343" i="5"/>
  <c r="E416" i="5"/>
  <c r="E368" i="5"/>
  <c r="E349" i="5"/>
  <c r="E343" i="5"/>
  <c r="E325" i="5"/>
  <c r="I289" i="5"/>
  <c r="I277" i="5"/>
  <c r="I244" i="5"/>
  <c r="I232" i="5"/>
  <c r="I225" i="5"/>
  <c r="I219" i="5"/>
  <c r="I217" i="5"/>
  <c r="I181" i="5"/>
  <c r="I141" i="5"/>
  <c r="I131" i="5"/>
  <c r="I124" i="5"/>
  <c r="I84" i="5"/>
  <c r="I56" i="5"/>
  <c r="I54" i="5"/>
  <c r="I21" i="5"/>
  <c r="I15" i="5"/>
  <c r="E289" i="5"/>
  <c r="E255" i="5"/>
  <c r="E250" i="5"/>
  <c r="E244" i="5"/>
  <c r="E242" i="5" s="1"/>
  <c r="E232" i="5"/>
  <c r="E225" i="5"/>
  <c r="E219" i="5"/>
  <c r="E217" i="5"/>
  <c r="E181" i="5"/>
  <c r="E141" i="5"/>
  <c r="E124" i="5"/>
  <c r="E84" i="5"/>
  <c r="E21" i="5"/>
  <c r="J332" i="5"/>
  <c r="I423" i="5"/>
  <c r="I421" i="5" s="1"/>
  <c r="E423" i="5"/>
  <c r="E421" i="5" s="1"/>
  <c r="E345" i="5"/>
  <c r="I345" i="5"/>
  <c r="J338" i="5"/>
  <c r="D338" i="5"/>
  <c r="C338" i="5"/>
  <c r="I407" i="5"/>
  <c r="I405" i="5" s="1"/>
  <c r="E407" i="5"/>
  <c r="E405" i="5" s="1"/>
  <c r="J405" i="5"/>
  <c r="F405" i="5"/>
  <c r="D405" i="5"/>
  <c r="C405" i="5"/>
  <c r="I180" i="5"/>
  <c r="D421" i="5"/>
  <c r="F421" i="5"/>
  <c r="C421" i="5"/>
  <c r="D418" i="5"/>
  <c r="F418" i="5"/>
  <c r="C418" i="5"/>
  <c r="J414" i="5"/>
  <c r="D414" i="5"/>
  <c r="F414" i="5"/>
  <c r="C414" i="5"/>
  <c r="J408" i="5"/>
  <c r="D408" i="5"/>
  <c r="F408" i="5"/>
  <c r="C408" i="5"/>
  <c r="J373" i="5"/>
  <c r="D373" i="5"/>
  <c r="F373" i="5"/>
  <c r="D302" i="5"/>
  <c r="L302" i="5" s="1"/>
  <c r="C302" i="5"/>
  <c r="I417" i="5"/>
  <c r="E417" i="5"/>
  <c r="I410" i="5"/>
  <c r="I408" i="5" s="1"/>
  <c r="E410" i="5"/>
  <c r="E408" i="5" s="1"/>
  <c r="I401" i="5"/>
  <c r="E401" i="5"/>
  <c r="I375" i="5"/>
  <c r="I373" i="5" s="1"/>
  <c r="E375" i="5"/>
  <c r="E373" i="5" s="1"/>
  <c r="I196" i="5"/>
  <c r="E196" i="5"/>
  <c r="J177" i="5"/>
  <c r="F177" i="5"/>
  <c r="D177" i="5"/>
  <c r="C177" i="5"/>
  <c r="I185" i="5"/>
  <c r="E185" i="5"/>
  <c r="E180" i="5"/>
  <c r="I89" i="5"/>
  <c r="E89" i="5"/>
  <c r="J63" i="5"/>
  <c r="F63" i="5"/>
  <c r="D63" i="5"/>
  <c r="C63" i="5"/>
  <c r="I86" i="5"/>
  <c r="E86" i="5"/>
  <c r="I75" i="5"/>
  <c r="E75" i="5"/>
  <c r="I72" i="5"/>
  <c r="E72" i="5"/>
  <c r="I364" i="5"/>
  <c r="I362" i="5" s="1"/>
  <c r="E364" i="5"/>
  <c r="E362" i="5" s="1"/>
  <c r="I220" i="5"/>
  <c r="E220" i="5"/>
  <c r="I93" i="5"/>
  <c r="I78" i="5"/>
  <c r="I64" i="5"/>
  <c r="I36" i="5"/>
  <c r="E93" i="5"/>
  <c r="E78" i="5"/>
  <c r="E64" i="5"/>
  <c r="J418" i="5"/>
  <c r="J117" i="5"/>
  <c r="F117" i="5"/>
  <c r="J380" i="5"/>
  <c r="I382" i="5"/>
  <c r="I380" i="5" s="1"/>
  <c r="C380" i="5"/>
  <c r="D380" i="5"/>
  <c r="F380" i="5"/>
  <c r="E382" i="5"/>
  <c r="E380" i="5" s="1"/>
  <c r="I379" i="5"/>
  <c r="E379" i="5"/>
  <c r="E376" i="5" s="1"/>
  <c r="J362" i="5"/>
  <c r="F362" i="5"/>
  <c r="I416" i="5"/>
  <c r="F403" i="5"/>
  <c r="I341" i="5"/>
  <c r="E341" i="5"/>
  <c r="F324" i="5"/>
  <c r="C324" i="5"/>
  <c r="D324" i="5"/>
  <c r="I96" i="5"/>
  <c r="I391" i="5"/>
  <c r="J365" i="5"/>
  <c r="F365" i="5"/>
  <c r="D365" i="5"/>
  <c r="C365" i="5"/>
  <c r="I372" i="5"/>
  <c r="E372" i="5"/>
  <c r="D362" i="5"/>
  <c r="C362" i="5"/>
  <c r="E344" i="5"/>
  <c r="I344" i="5"/>
  <c r="I284" i="5"/>
  <c r="I282" i="5"/>
  <c r="E284" i="5"/>
  <c r="E282" i="5"/>
  <c r="J246" i="5"/>
  <c r="F246" i="5"/>
  <c r="D246" i="5"/>
  <c r="C246" i="5"/>
  <c r="I248" i="5"/>
  <c r="E248" i="5"/>
  <c r="J223" i="5"/>
  <c r="F223" i="5"/>
  <c r="D223" i="5"/>
  <c r="C223" i="5"/>
  <c r="I230" i="5"/>
  <c r="E230" i="5"/>
  <c r="J210" i="5"/>
  <c r="F210" i="5"/>
  <c r="D210" i="5"/>
  <c r="C210" i="5"/>
  <c r="E222" i="5"/>
  <c r="I179" i="5"/>
  <c r="E179" i="5"/>
  <c r="I118" i="5"/>
  <c r="I120" i="5"/>
  <c r="E120" i="5"/>
  <c r="D117" i="5"/>
  <c r="C117" i="5"/>
  <c r="E118" i="5"/>
  <c r="I90" i="5"/>
  <c r="E96" i="5"/>
  <c r="E90" i="5"/>
  <c r="I53" i="5"/>
  <c r="I52" i="5"/>
  <c r="E20" i="5"/>
  <c r="I351" i="5"/>
  <c r="I325" i="5"/>
  <c r="E351" i="5"/>
  <c r="I295" i="5"/>
  <c r="I274" i="5"/>
  <c r="I273" i="5"/>
  <c r="I272" i="5"/>
  <c r="I264" i="5"/>
  <c r="I255" i="5"/>
  <c r="I252" i="5"/>
  <c r="I73" i="5"/>
  <c r="I60" i="5"/>
  <c r="I57" i="5"/>
  <c r="E295" i="5"/>
  <c r="E274" i="5"/>
  <c r="E273" i="5"/>
  <c r="E272" i="5"/>
  <c r="E264" i="5"/>
  <c r="E252" i="5"/>
  <c r="E151" i="5"/>
  <c r="E147" i="5" s="1"/>
  <c r="E133" i="5"/>
  <c r="E73" i="5"/>
  <c r="J271" i="5"/>
  <c r="I218" i="5"/>
  <c r="E218" i="5"/>
  <c r="I333" i="5"/>
  <c r="E333" i="5"/>
  <c r="F332" i="5"/>
  <c r="C332" i="5"/>
  <c r="D332" i="5"/>
  <c r="J14" i="5"/>
  <c r="F14" i="5"/>
  <c r="C14" i="5"/>
  <c r="D14" i="5"/>
  <c r="D261" i="5"/>
  <c r="I174" i="5"/>
  <c r="I100" i="5"/>
  <c r="I97" i="5"/>
  <c r="I85" i="5"/>
  <c r="I80" i="5"/>
  <c r="I79" i="5"/>
  <c r="E189" i="5"/>
  <c r="I400" i="5"/>
  <c r="E400" i="5"/>
  <c r="J398" i="5"/>
  <c r="D398" i="5"/>
  <c r="F398" i="5"/>
  <c r="C398" i="5"/>
  <c r="I393" i="5"/>
  <c r="E393" i="5"/>
  <c r="E386" i="5"/>
  <c r="E385" i="5" s="1"/>
  <c r="I355" i="5"/>
  <c r="I352" i="5" s="1"/>
  <c r="E352" i="5"/>
  <c r="I340" i="5"/>
  <c r="E340" i="5"/>
  <c r="E338" i="5" s="1"/>
  <c r="E334" i="5"/>
  <c r="I334" i="5"/>
  <c r="E327" i="5"/>
  <c r="I300" i="5"/>
  <c r="E300" i="5"/>
  <c r="E296" i="5" s="1"/>
  <c r="I283" i="5"/>
  <c r="E283" i="5"/>
  <c r="D271" i="5"/>
  <c r="L271" i="5" s="1"/>
  <c r="F271" i="5"/>
  <c r="C271" i="5"/>
  <c r="I266" i="5"/>
  <c r="E266" i="5"/>
  <c r="E263" i="5"/>
  <c r="E259" i="5"/>
  <c r="E258" i="5"/>
  <c r="E257" i="5"/>
  <c r="E251" i="5"/>
  <c r="I250" i="5"/>
  <c r="I259" i="5"/>
  <c r="I258" i="5"/>
  <c r="E240" i="5"/>
  <c r="E231" i="5"/>
  <c r="E234" i="5"/>
  <c r="E235" i="5"/>
  <c r="E226" i="5"/>
  <c r="E227" i="5"/>
  <c r="E228" i="5"/>
  <c r="I235" i="5"/>
  <c r="I234" i="5"/>
  <c r="I228" i="5"/>
  <c r="I227" i="5"/>
  <c r="I201" i="5"/>
  <c r="I202" i="5"/>
  <c r="I209" i="5"/>
  <c r="E201" i="5"/>
  <c r="E202" i="5"/>
  <c r="E209" i="5"/>
  <c r="D199" i="5"/>
  <c r="F199" i="5"/>
  <c r="C199" i="5"/>
  <c r="E197" i="5"/>
  <c r="E194" i="5"/>
  <c r="I194" i="5"/>
  <c r="I188" i="5"/>
  <c r="E188" i="5"/>
  <c r="E184" i="5"/>
  <c r="I171" i="5"/>
  <c r="E174" i="5"/>
  <c r="E173" i="5"/>
  <c r="E172" i="5"/>
  <c r="E171" i="5"/>
  <c r="I151" i="5"/>
  <c r="I147" i="5" s="1"/>
  <c r="I133" i="5"/>
  <c r="J87" i="5"/>
  <c r="D87" i="5"/>
  <c r="F87" i="5"/>
  <c r="C87" i="5"/>
  <c r="I122" i="5"/>
  <c r="I125" i="5"/>
  <c r="I115" i="5"/>
  <c r="I116" i="5"/>
  <c r="E122" i="5"/>
  <c r="E125" i="5"/>
  <c r="E115" i="5"/>
  <c r="E116" i="5"/>
  <c r="E97" i="5"/>
  <c r="E100" i="5"/>
  <c r="E85" i="5"/>
  <c r="E80" i="5"/>
  <c r="E79" i="5"/>
  <c r="I47" i="5"/>
  <c r="I44" i="5"/>
  <c r="J358" i="5"/>
  <c r="I386" i="5"/>
  <c r="I385" i="5" s="1"/>
  <c r="J385" i="5"/>
  <c r="F385" i="5"/>
  <c r="D385" i="5"/>
  <c r="C385" i="5"/>
  <c r="A161" i="5"/>
  <c r="A317" i="5" s="1"/>
  <c r="L162" i="5"/>
  <c r="L318" i="5" s="1"/>
  <c r="J403" i="5"/>
  <c r="D403" i="5"/>
  <c r="C403" i="5"/>
  <c r="J387" i="5"/>
  <c r="F387" i="5"/>
  <c r="D387" i="5"/>
  <c r="C387" i="5"/>
  <c r="J383" i="5"/>
  <c r="F383" i="5"/>
  <c r="D383" i="5"/>
  <c r="C383" i="5"/>
  <c r="F358" i="5"/>
  <c r="D358" i="5"/>
  <c r="C358" i="5"/>
  <c r="J356" i="5"/>
  <c r="F356" i="5"/>
  <c r="D356" i="5"/>
  <c r="C356" i="5"/>
  <c r="J352" i="5"/>
  <c r="F352" i="5"/>
  <c r="D352" i="5"/>
  <c r="C352" i="5"/>
  <c r="J346" i="5"/>
  <c r="F346" i="5"/>
  <c r="D346" i="5"/>
  <c r="C346" i="5"/>
  <c r="J329" i="5"/>
  <c r="F329" i="5"/>
  <c r="C329" i="5"/>
  <c r="I327" i="5"/>
  <c r="J296" i="5"/>
  <c r="F296" i="5"/>
  <c r="D296" i="5"/>
  <c r="C296" i="5"/>
  <c r="J291" i="5"/>
  <c r="F291" i="5"/>
  <c r="D291" i="5"/>
  <c r="C291" i="5"/>
  <c r="J280" i="5"/>
  <c r="F280" i="5"/>
  <c r="D280" i="5"/>
  <c r="C280" i="5"/>
  <c r="I263" i="5"/>
  <c r="J261" i="5"/>
  <c r="F261" i="5"/>
  <c r="C261" i="5"/>
  <c r="I257" i="5"/>
  <c r="I251" i="5"/>
  <c r="J242" i="5"/>
  <c r="F242" i="5"/>
  <c r="D242" i="5"/>
  <c r="C242" i="5"/>
  <c r="I240" i="5"/>
  <c r="I231" i="5"/>
  <c r="I226" i="5"/>
  <c r="J199" i="5"/>
  <c r="I197" i="5"/>
  <c r="I189" i="5"/>
  <c r="J186" i="5"/>
  <c r="F186" i="5"/>
  <c r="D186" i="5"/>
  <c r="C186" i="5"/>
  <c r="I184" i="5"/>
  <c r="I173" i="5"/>
  <c r="I172" i="5"/>
  <c r="J147" i="5"/>
  <c r="F147" i="5"/>
  <c r="D147" i="5"/>
  <c r="C147" i="5"/>
  <c r="J106" i="5"/>
  <c r="F106" i="5"/>
  <c r="D106" i="5"/>
  <c r="C106" i="5"/>
  <c r="I62" i="5"/>
  <c r="I51" i="5"/>
  <c r="J35" i="5"/>
  <c r="F35" i="5"/>
  <c r="D35" i="5"/>
  <c r="C35" i="5"/>
  <c r="J29" i="5"/>
  <c r="F29" i="5"/>
  <c r="D29" i="5"/>
  <c r="C29" i="5"/>
  <c r="I413" i="5"/>
  <c r="L413" i="5"/>
  <c r="J411" i="5"/>
  <c r="I411" i="5" s="1"/>
  <c r="I412" i="5"/>
  <c r="L412" i="5"/>
  <c r="I329" i="5"/>
  <c r="E358" i="5"/>
  <c r="H362" i="5" l="1"/>
  <c r="H275" i="5"/>
  <c r="L324" i="5"/>
  <c r="E101" i="5"/>
  <c r="L352" i="5"/>
  <c r="I398" i="5"/>
  <c r="E365" i="5"/>
  <c r="E346" i="5"/>
  <c r="H192" i="5"/>
  <c r="I271" i="5"/>
  <c r="I210" i="5"/>
  <c r="I414" i="5"/>
  <c r="E411" i="5"/>
  <c r="H302" i="5"/>
  <c r="E271" i="5"/>
  <c r="E414" i="5"/>
  <c r="L385" i="5"/>
  <c r="I167" i="5"/>
  <c r="I177" i="5"/>
  <c r="E177" i="5"/>
  <c r="I192" i="5"/>
  <c r="I365" i="5"/>
  <c r="H271" i="5"/>
  <c r="I332" i="5"/>
  <c r="I117" i="5"/>
  <c r="H101" i="5"/>
  <c r="I186" i="5"/>
  <c r="E167" i="5"/>
  <c r="E261" i="5"/>
  <c r="L362" i="5"/>
  <c r="I275" i="5"/>
  <c r="H338" i="5"/>
  <c r="I346" i="5"/>
  <c r="I324" i="5"/>
  <c r="H373" i="5"/>
  <c r="L411" i="5"/>
  <c r="H14" i="5"/>
  <c r="H383" i="5"/>
  <c r="L373" i="5"/>
  <c r="L358" i="5"/>
  <c r="H356" i="5"/>
  <c r="H352" i="5"/>
  <c r="L338" i="5"/>
  <c r="L332" i="5"/>
  <c r="E332" i="5"/>
  <c r="E324" i="5"/>
  <c r="L405" i="5"/>
  <c r="H405" i="5"/>
  <c r="H380" i="5"/>
  <c r="H358" i="5"/>
  <c r="C323" i="5"/>
  <c r="C306" i="5" s="1"/>
  <c r="I242" i="5"/>
  <c r="H223" i="5"/>
  <c r="E210" i="5"/>
  <c r="E199" i="5"/>
  <c r="L199" i="5"/>
  <c r="E186" i="5"/>
  <c r="L117" i="5"/>
  <c r="E117" i="5"/>
  <c r="I101" i="5"/>
  <c r="I87" i="5"/>
  <c r="E87" i="5"/>
  <c r="I63" i="5"/>
  <c r="E63" i="5"/>
  <c r="E14" i="5"/>
  <c r="I29" i="5"/>
  <c r="L29" i="5"/>
  <c r="C13" i="5"/>
  <c r="H421" i="5"/>
  <c r="H411" i="5"/>
  <c r="L403" i="5"/>
  <c r="L398" i="5"/>
  <c r="E398" i="5"/>
  <c r="H398" i="5"/>
  <c r="E389" i="5"/>
  <c r="H389" i="5"/>
  <c r="H387" i="5"/>
  <c r="L346" i="5"/>
  <c r="H346" i="5"/>
  <c r="H332" i="5"/>
  <c r="H324" i="5"/>
  <c r="I291" i="5"/>
  <c r="E291" i="5"/>
  <c r="H291" i="5"/>
  <c r="L275" i="5"/>
  <c r="E275" i="5"/>
  <c r="I223" i="5"/>
  <c r="E223" i="5"/>
  <c r="H210" i="5"/>
  <c r="I199" i="5"/>
  <c r="H199" i="5"/>
  <c r="E192" i="5"/>
  <c r="H186" i="5"/>
  <c r="L177" i="5"/>
  <c r="L147" i="5"/>
  <c r="I126" i="5"/>
  <c r="H126" i="5"/>
  <c r="I106" i="5"/>
  <c r="E106" i="5"/>
  <c r="H87" i="5"/>
  <c r="H63" i="5"/>
  <c r="I14" i="5"/>
  <c r="L421" i="5"/>
  <c r="H418" i="5"/>
  <c r="E418" i="5"/>
  <c r="H414" i="5"/>
  <c r="H408" i="5"/>
  <c r="L389" i="5"/>
  <c r="L387" i="5"/>
  <c r="L383" i="5"/>
  <c r="H376" i="5"/>
  <c r="L376" i="5"/>
  <c r="H365" i="5"/>
  <c r="L365" i="5"/>
  <c r="L356" i="5"/>
  <c r="L296" i="5"/>
  <c r="L291" i="5"/>
  <c r="L280" i="5"/>
  <c r="H261" i="5"/>
  <c r="E246" i="5"/>
  <c r="L223" i="5"/>
  <c r="L192" i="5"/>
  <c r="H177" i="5"/>
  <c r="H117" i="5"/>
  <c r="H106" i="5"/>
  <c r="L63" i="5"/>
  <c r="H29" i="5"/>
  <c r="L418" i="5"/>
  <c r="L414" i="5"/>
  <c r="L408" i="5"/>
  <c r="H403" i="5"/>
  <c r="D323" i="5"/>
  <c r="D306" i="5" s="1"/>
  <c r="I389" i="5"/>
  <c r="H385" i="5"/>
  <c r="L380" i="5"/>
  <c r="I376" i="5"/>
  <c r="F323" i="5"/>
  <c r="F306" i="5" s="1"/>
  <c r="I338" i="5"/>
  <c r="H329" i="5"/>
  <c r="I296" i="5"/>
  <c r="H296" i="5"/>
  <c r="I280" i="5"/>
  <c r="E280" i="5"/>
  <c r="H280" i="5"/>
  <c r="I261" i="5"/>
  <c r="L261" i="5"/>
  <c r="I246" i="5"/>
  <c r="H246" i="5"/>
  <c r="L246" i="5"/>
  <c r="H242" i="5"/>
  <c r="L242" i="5"/>
  <c r="L210" i="5"/>
  <c r="L186" i="5"/>
  <c r="H167" i="5"/>
  <c r="L167" i="5"/>
  <c r="H147" i="5"/>
  <c r="E126" i="5"/>
  <c r="L126" i="5"/>
  <c r="L106" i="5"/>
  <c r="L101" i="5"/>
  <c r="L87" i="5"/>
  <c r="E35" i="5"/>
  <c r="H35" i="5"/>
  <c r="J323" i="5"/>
  <c r="L329" i="5"/>
  <c r="J13" i="5"/>
  <c r="I35" i="5"/>
  <c r="L35" i="5"/>
  <c r="F13" i="5"/>
  <c r="H25" i="5"/>
  <c r="L25" i="5"/>
  <c r="D13" i="5"/>
  <c r="L14" i="5"/>
  <c r="E306" i="5" l="1"/>
  <c r="C307" i="5"/>
  <c r="I13" i="5"/>
  <c r="E13" i="5"/>
  <c r="D307" i="5"/>
  <c r="L323" i="5"/>
  <c r="H306" i="5"/>
  <c r="H323" i="5"/>
  <c r="F307" i="5"/>
  <c r="J306" i="5"/>
  <c r="L306" i="5" s="1"/>
  <c r="L13" i="5"/>
  <c r="H13" i="5"/>
  <c r="G113" i="5" l="1"/>
  <c r="G168" i="5"/>
  <c r="E307" i="5"/>
  <c r="G147" i="5"/>
  <c r="G51" i="5"/>
  <c r="G109" i="5"/>
  <c r="G13" i="5"/>
  <c r="G249" i="5"/>
  <c r="G134" i="5"/>
  <c r="G119" i="5"/>
  <c r="G281" i="5"/>
  <c r="G288" i="5"/>
  <c r="G193" i="5"/>
  <c r="G96" i="5"/>
  <c r="H307" i="5"/>
  <c r="G266" i="5"/>
  <c r="G173" i="5"/>
  <c r="G341" i="5"/>
  <c r="G273" i="5"/>
  <c r="G393" i="5"/>
  <c r="G224" i="5"/>
  <c r="G258" i="5"/>
  <c r="G122" i="5"/>
  <c r="G47" i="5"/>
  <c r="G398" i="5"/>
  <c r="G252" i="5"/>
  <c r="G137" i="5"/>
  <c r="G200" i="5"/>
  <c r="G199" i="5"/>
  <c r="G407" i="5"/>
  <c r="G337" i="5"/>
  <c r="G82" i="5"/>
  <c r="G347" i="5"/>
  <c r="G20" i="5"/>
  <c r="G342" i="5"/>
  <c r="G291" i="5"/>
  <c r="G297" i="5"/>
  <c r="G94" i="5"/>
  <c r="G404" i="5"/>
  <c r="G34" i="5"/>
  <c r="G211" i="5"/>
  <c r="G188" i="5"/>
  <c r="G360" i="5"/>
  <c r="G128" i="5"/>
  <c r="G38" i="5"/>
  <c r="G370" i="5"/>
  <c r="G14" i="5"/>
  <c r="G388" i="5"/>
  <c r="G185" i="5"/>
  <c r="G181" i="5"/>
  <c r="G143" i="5"/>
  <c r="G248" i="5"/>
  <c r="G176" i="5"/>
  <c r="G338" i="5"/>
  <c r="G420" i="5"/>
  <c r="G138" i="5"/>
  <c r="G73" i="5"/>
  <c r="G378" i="5"/>
  <c r="G417" i="5"/>
  <c r="G274" i="5"/>
  <c r="G55" i="5"/>
  <c r="G377" i="5"/>
  <c r="G306" i="5"/>
  <c r="G150" i="5"/>
  <c r="G167" i="5"/>
  <c r="G33" i="5"/>
  <c r="G403" i="5"/>
  <c r="G359" i="5"/>
  <c r="G39" i="5"/>
  <c r="G81" i="5"/>
  <c r="G410" i="5"/>
  <c r="G64" i="5"/>
  <c r="G203" i="5"/>
  <c r="G367" i="5"/>
  <c r="G333" i="5"/>
  <c r="G334" i="5"/>
  <c r="G120" i="5"/>
  <c r="G240" i="5"/>
  <c r="G53" i="5"/>
  <c r="G90" i="5"/>
  <c r="G242" i="5"/>
  <c r="G62" i="5"/>
  <c r="G40" i="5"/>
  <c r="G107" i="5"/>
  <c r="G414" i="5"/>
  <c r="G227" i="5"/>
  <c r="G345" i="5"/>
  <c r="G74" i="5"/>
  <c r="G231" i="5"/>
  <c r="G189" i="5"/>
  <c r="G43" i="5"/>
  <c r="G184" i="5"/>
  <c r="G376" i="5"/>
  <c r="G369" i="5"/>
  <c r="G387" i="5"/>
  <c r="G340" i="5"/>
  <c r="G131" i="5"/>
  <c r="G346" i="5"/>
  <c r="G351" i="5"/>
  <c r="G368" i="5"/>
  <c r="G358" i="5"/>
  <c r="G415" i="5"/>
  <c r="G255" i="5"/>
  <c r="G108" i="5"/>
  <c r="G323" i="5"/>
  <c r="G379" i="5"/>
  <c r="G92" i="5"/>
  <c r="G382" i="5"/>
  <c r="G222" i="5"/>
  <c r="G67" i="5"/>
  <c r="G269" i="5"/>
  <c r="G336" i="5"/>
  <c r="G204" i="5"/>
  <c r="G26" i="5"/>
  <c r="G296" i="5"/>
  <c r="G135" i="5"/>
  <c r="G68" i="5"/>
  <c r="G363" i="5"/>
  <c r="G115" i="5"/>
  <c r="G327" i="5"/>
  <c r="G46" i="5"/>
  <c r="G344" i="5"/>
  <c r="G244" i="5"/>
  <c r="G383" i="5"/>
  <c r="G93" i="5"/>
  <c r="G235" i="5"/>
  <c r="G52" i="5"/>
  <c r="G352" i="5"/>
  <c r="G29" i="5"/>
  <c r="G98" i="5"/>
  <c r="G141" i="5"/>
  <c r="G149" i="5"/>
  <c r="G170" i="5"/>
  <c r="G66" i="5"/>
  <c r="G332" i="5"/>
  <c r="G145" i="5"/>
  <c r="G103" i="5"/>
  <c r="G324" i="5"/>
  <c r="G177" i="5"/>
  <c r="G355" i="5"/>
  <c r="G399" i="5"/>
  <c r="G299" i="5"/>
  <c r="G207" i="5"/>
  <c r="G276" i="5"/>
  <c r="G84" i="5"/>
  <c r="G223" i="5"/>
  <c r="G408" i="5"/>
  <c r="G35" i="5"/>
  <c r="G206" i="5"/>
  <c r="G21" i="5"/>
  <c r="G275" i="5"/>
  <c r="G401" i="5"/>
  <c r="G374" i="5"/>
  <c r="G186" i="5"/>
  <c r="G132" i="5"/>
  <c r="G48" i="5"/>
  <c r="G220" i="5"/>
  <c r="G37" i="5"/>
  <c r="G172" i="5"/>
  <c r="G125" i="5"/>
  <c r="G139" i="5"/>
  <c r="G409" i="5"/>
  <c r="G233" i="5"/>
  <c r="G335" i="5"/>
  <c r="G243" i="5"/>
  <c r="G395" i="5"/>
  <c r="G191" i="5"/>
  <c r="G129" i="5"/>
  <c r="G180" i="5"/>
  <c r="G284" i="5"/>
  <c r="G70" i="5"/>
  <c r="G83" i="5"/>
  <c r="G217" i="5"/>
  <c r="G405" i="5"/>
  <c r="G127" i="5"/>
  <c r="G365" i="5"/>
  <c r="G357" i="5"/>
  <c r="G106" i="5"/>
  <c r="G88" i="5"/>
  <c r="G190" i="5"/>
  <c r="G63" i="5"/>
  <c r="G212" i="5"/>
  <c r="G396" i="5"/>
  <c r="G229" i="5"/>
  <c r="G228" i="5"/>
  <c r="G298" i="5"/>
  <c r="G27" i="5"/>
  <c r="G105" i="5"/>
  <c r="G50" i="5"/>
  <c r="G187" i="5"/>
  <c r="G91" i="5"/>
  <c r="G293" i="5"/>
  <c r="G198" i="5"/>
  <c r="G142" i="5"/>
  <c r="G196" i="5"/>
  <c r="G245" i="5"/>
  <c r="G195" i="5"/>
  <c r="G101" i="5"/>
  <c r="G238" i="5"/>
  <c r="G416" i="5"/>
  <c r="G282" i="5"/>
  <c r="G391" i="5"/>
  <c r="G372" i="5"/>
  <c r="G197" i="5"/>
  <c r="G232" i="5"/>
  <c r="G262" i="5"/>
  <c r="G247" i="5"/>
  <c r="G271" i="5"/>
  <c r="G422" i="5"/>
  <c r="G213" i="5"/>
  <c r="G356" i="5"/>
  <c r="G86" i="5"/>
  <c r="G116" i="5"/>
  <c r="G28" i="5"/>
  <c r="G201" i="5"/>
  <c r="G354" i="5"/>
  <c r="G112" i="5"/>
  <c r="G192" i="5"/>
  <c r="G411" i="5"/>
  <c r="I323" i="5" s="1"/>
  <c r="I306" i="5" s="1"/>
  <c r="I307" i="5" s="1"/>
  <c r="G392" i="5"/>
  <c r="G400" i="5"/>
  <c r="G31" i="5"/>
  <c r="G326" i="5"/>
  <c r="G366" i="5"/>
  <c r="G80" i="5"/>
  <c r="G44" i="5"/>
  <c r="G348" i="5"/>
  <c r="G144" i="5"/>
  <c r="G385" i="5"/>
  <c r="G71" i="5"/>
  <c r="G78" i="5"/>
  <c r="G126" i="5"/>
  <c r="G259" i="5"/>
  <c r="G97" i="5"/>
  <c r="G285" i="5"/>
  <c r="G277" i="5"/>
  <c r="G45" i="5"/>
  <c r="G339" i="5"/>
  <c r="G230" i="5"/>
  <c r="G59" i="5"/>
  <c r="G136" i="5"/>
  <c r="G87" i="5"/>
  <c r="G362" i="5"/>
  <c r="G394" i="5"/>
  <c r="G75" i="5"/>
  <c r="G17" i="5"/>
  <c r="G361" i="5"/>
  <c r="G218" i="5"/>
  <c r="G69" i="5"/>
  <c r="G270" i="5"/>
  <c r="G169" i="5"/>
  <c r="G60" i="5"/>
  <c r="G179" i="5"/>
  <c r="G151" i="5"/>
  <c r="G289" i="5"/>
  <c r="G263" i="5"/>
  <c r="G406" i="5"/>
  <c r="G130" i="5"/>
  <c r="G99" i="5"/>
  <c r="G41" i="5"/>
  <c r="G257" i="5"/>
  <c r="G178" i="5"/>
  <c r="G117" i="5"/>
  <c r="G290" i="5"/>
  <c r="G104" i="5"/>
  <c r="G286" i="5"/>
  <c r="G18" i="5"/>
  <c r="G329" i="5"/>
  <c r="G353" i="5"/>
  <c r="G418" i="5"/>
  <c r="G140" i="5"/>
  <c r="G210" i="5"/>
  <c r="G124" i="5"/>
  <c r="G221" i="5"/>
  <c r="G36" i="5"/>
  <c r="G241" i="5"/>
  <c r="G261" i="5"/>
  <c r="G72" i="5"/>
  <c r="G343" i="5"/>
  <c r="G85" i="5"/>
  <c r="G237" i="5"/>
  <c r="G264" i="5"/>
  <c r="G111" i="5"/>
  <c r="G272" i="5"/>
  <c r="G118" i="5"/>
  <c r="G253" i="5"/>
  <c r="G325" i="5"/>
  <c r="G364" i="5"/>
  <c r="G61" i="5"/>
  <c r="G294" i="5"/>
  <c r="G280" i="5"/>
  <c r="G397" i="5"/>
  <c r="G300" i="5"/>
  <c r="G174" i="5"/>
  <c r="G148" i="5"/>
  <c r="G175" i="5"/>
  <c r="G215" i="5"/>
  <c r="G384" i="5"/>
  <c r="G205" i="5"/>
  <c r="G260" i="5"/>
  <c r="G19" i="5"/>
  <c r="G421" i="5"/>
  <c r="G423" i="5"/>
  <c r="G208" i="5"/>
  <c r="G287" i="5"/>
  <c r="G412" i="5"/>
  <c r="G77" i="5"/>
  <c r="G219" i="5"/>
  <c r="G234" i="5"/>
  <c r="G42" i="5"/>
  <c r="G389" i="5"/>
  <c r="G133" i="5"/>
  <c r="G110" i="5"/>
  <c r="G23" i="5"/>
  <c r="G419" i="5"/>
  <c r="G254" i="5"/>
  <c r="G32" i="5"/>
  <c r="G390" i="5"/>
  <c r="G413" i="5"/>
  <c r="G57" i="5"/>
  <c r="G89" i="5"/>
  <c r="G301" i="5"/>
  <c r="G380" i="5"/>
  <c r="G15" i="5"/>
  <c r="G373" i="5"/>
  <c r="G183" i="5"/>
  <c r="G216" i="5"/>
  <c r="G202" i="5"/>
  <c r="G65" i="5"/>
  <c r="G225" i="5"/>
  <c r="G267" i="5"/>
  <c r="G330" i="5"/>
  <c r="G265" i="5"/>
  <c r="G49" i="5"/>
  <c r="G16" i="5"/>
  <c r="G381" i="5"/>
  <c r="G279" i="5"/>
  <c r="G30" i="5"/>
  <c r="G268" i="5"/>
  <c r="G182" i="5"/>
  <c r="G194" i="5"/>
  <c r="G24" i="5"/>
  <c r="G295" i="5"/>
  <c r="G58" i="5"/>
  <c r="G292" i="5"/>
  <c r="G350" i="5"/>
  <c r="G54" i="5"/>
  <c r="G56" i="5"/>
  <c r="G402" i="5"/>
  <c r="G250" i="5"/>
  <c r="G283" i="5"/>
  <c r="G209" i="5"/>
  <c r="G239" i="5"/>
  <c r="G375" i="5"/>
  <c r="G22" i="5"/>
  <c r="G114" i="5"/>
  <c r="G386" i="5"/>
  <c r="G328" i="5"/>
  <c r="G214" i="5"/>
  <c r="G246" i="5"/>
  <c r="G278" i="5"/>
  <c r="G256" i="5"/>
  <c r="G236" i="5"/>
  <c r="G146" i="5"/>
  <c r="G371" i="5"/>
  <c r="G121" i="5"/>
  <c r="G226" i="5"/>
  <c r="G331" i="5"/>
  <c r="G95" i="5"/>
  <c r="G100" i="5"/>
  <c r="G171" i="5"/>
  <c r="G123" i="5"/>
  <c r="G76" i="5"/>
  <c r="G79" i="5"/>
  <c r="G102" i="5"/>
  <c r="G251" i="5"/>
  <c r="G349" i="5"/>
  <c r="G25" i="5"/>
  <c r="L307" i="5"/>
  <c r="J307" i="5"/>
  <c r="K92" i="5" l="1"/>
  <c r="K207" i="5"/>
  <c r="K198" i="5"/>
  <c r="K193" i="5"/>
  <c r="K324" i="5"/>
  <c r="K392" i="5"/>
  <c r="G307" i="5"/>
  <c r="K169" i="5"/>
  <c r="K336" i="5"/>
  <c r="K56" i="5"/>
  <c r="K367" i="5"/>
  <c r="K408" i="5"/>
  <c r="K137" i="5"/>
  <c r="K134" i="5"/>
  <c r="K25" i="5"/>
  <c r="K403" i="5"/>
  <c r="K288" i="5"/>
  <c r="K139" i="5"/>
  <c r="K170" i="5"/>
  <c r="K233" i="5"/>
  <c r="K185" i="5"/>
  <c r="K262" i="5"/>
  <c r="K216" i="5"/>
  <c r="K81" i="5"/>
  <c r="K76" i="5"/>
  <c r="K114" i="5"/>
  <c r="K228" i="5"/>
  <c r="K343" i="5"/>
  <c r="K72" i="5"/>
  <c r="K186" i="5"/>
  <c r="K30" i="5"/>
  <c r="K232" i="5"/>
  <c r="K195" i="5"/>
  <c r="K85" i="5"/>
  <c r="K375" i="5"/>
  <c r="K363" i="5"/>
  <c r="K111" i="5"/>
  <c r="K271" i="5"/>
  <c r="K209" i="5"/>
  <c r="K246" i="5"/>
  <c r="K329" i="5"/>
  <c r="K256" i="5"/>
  <c r="K244" i="5"/>
  <c r="K420" i="5"/>
  <c r="K95" i="5"/>
  <c r="K354" i="5"/>
  <c r="K177" i="5"/>
  <c r="K386" i="5"/>
  <c r="K66" i="5"/>
  <c r="K306" i="5"/>
  <c r="K417" i="5"/>
  <c r="K123" i="5"/>
  <c r="K59" i="5"/>
  <c r="K339" i="5"/>
  <c r="K73" i="5"/>
  <c r="K131" i="5"/>
  <c r="K278" i="5"/>
  <c r="K422" i="5"/>
  <c r="K199" i="5"/>
  <c r="K253" i="5"/>
  <c r="K334" i="5"/>
  <c r="K16" i="5"/>
  <c r="K379" i="5"/>
  <c r="K290" i="5"/>
  <c r="K147" i="5"/>
  <c r="K225" i="5"/>
  <c r="K388" i="5"/>
  <c r="K397" i="5"/>
  <c r="K393" i="5"/>
  <c r="K136" i="5"/>
  <c r="K130" i="5"/>
  <c r="K37" i="5"/>
  <c r="K179" i="5"/>
  <c r="K97" i="5"/>
  <c r="K340" i="5"/>
  <c r="K151" i="5"/>
  <c r="K390" i="5"/>
  <c r="K213" i="5"/>
  <c r="K269" i="5"/>
  <c r="K176" i="5"/>
  <c r="K229" i="5"/>
  <c r="K205" i="5"/>
  <c r="K96" i="5"/>
  <c r="K63" i="5"/>
  <c r="K100" i="5"/>
  <c r="K87" i="5"/>
  <c r="K71" i="5"/>
  <c r="K74" i="5"/>
  <c r="K361" i="5"/>
  <c r="K243" i="5"/>
  <c r="K86" i="5"/>
  <c r="K142" i="5"/>
  <c r="K257" i="5"/>
  <c r="K138" i="5"/>
  <c r="K125" i="5"/>
  <c r="K332" i="5"/>
  <c r="K236" i="5"/>
  <c r="K173" i="5"/>
  <c r="K341" i="5"/>
  <c r="K204" i="5"/>
  <c r="K289" i="5"/>
  <c r="K346" i="5"/>
  <c r="K39" i="5"/>
  <c r="K79" i="5"/>
  <c r="K328" i="5"/>
  <c r="K405" i="5"/>
  <c r="K172" i="5"/>
  <c r="K220" i="5"/>
  <c r="K175" i="5"/>
  <c r="K275" i="5"/>
  <c r="K351" i="5"/>
  <c r="K124" i="5"/>
  <c r="K360" i="5"/>
  <c r="K382" i="5"/>
  <c r="K50" i="5"/>
  <c r="K280" i="5"/>
  <c r="K258" i="5"/>
  <c r="K31" i="5"/>
  <c r="K42" i="5"/>
  <c r="K129" i="5"/>
  <c r="K344" i="5"/>
  <c r="K121" i="5"/>
  <c r="K358" i="5"/>
  <c r="K32" i="5"/>
  <c r="K148" i="5"/>
  <c r="K57" i="5"/>
  <c r="K183" i="5"/>
  <c r="K132" i="5"/>
  <c r="K126" i="5"/>
  <c r="K377" i="5"/>
  <c r="K338" i="5"/>
  <c r="K221" i="5"/>
  <c r="K398" i="5"/>
  <c r="K84" i="5"/>
  <c r="K349" i="5"/>
  <c r="K238" i="5"/>
  <c r="K402" i="5"/>
  <c r="K249" i="5"/>
  <c r="K265" i="5"/>
  <c r="K17" i="5"/>
  <c r="K53" i="5"/>
  <c r="K75" i="5"/>
  <c r="K226" i="5"/>
  <c r="K287" i="5"/>
  <c r="K104" i="5"/>
  <c r="K194" i="5"/>
  <c r="K112" i="5"/>
  <c r="K122" i="5"/>
  <c r="K400" i="5"/>
  <c r="K99" i="5"/>
  <c r="K27" i="5"/>
  <c r="K167" i="5"/>
  <c r="K406" i="5"/>
  <c r="K20" i="5"/>
  <c r="K90" i="5"/>
  <c r="K399" i="5"/>
  <c r="K109" i="5"/>
  <c r="K120" i="5"/>
  <c r="K407" i="5"/>
  <c r="K364" i="5"/>
  <c r="K203" i="5"/>
  <c r="K327" i="5"/>
  <c r="K108" i="5"/>
  <c r="K414" i="5"/>
  <c r="K251" i="5"/>
  <c r="K333" i="5"/>
  <c r="K412" i="5"/>
  <c r="K348" i="5"/>
  <c r="K423" i="5"/>
  <c r="K184" i="5"/>
  <c r="K283" i="5"/>
  <c r="K98" i="5"/>
  <c r="K192" i="5"/>
  <c r="K299" i="5"/>
  <c r="K300" i="5"/>
  <c r="K145" i="5"/>
  <c r="K51" i="5"/>
  <c r="K282" i="5"/>
  <c r="K384" i="5"/>
  <c r="K52" i="5"/>
  <c r="K35" i="5"/>
  <c r="K295" i="5"/>
  <c r="K189" i="5"/>
  <c r="K268" i="5"/>
  <c r="K187" i="5"/>
  <c r="K419" i="5"/>
  <c r="K82" i="5"/>
  <c r="K266" i="5"/>
  <c r="K254" i="5"/>
  <c r="K274" i="5"/>
  <c r="K43" i="5"/>
  <c r="K150" i="5"/>
  <c r="K36" i="5"/>
  <c r="K350" i="5"/>
  <c r="K102" i="5"/>
  <c r="K359" i="5"/>
  <c r="K231" i="5"/>
  <c r="K374" i="5"/>
  <c r="K103" i="5"/>
  <c r="K107" i="5"/>
  <c r="K353" i="5"/>
  <c r="K378" i="5"/>
  <c r="K26" i="5"/>
  <c r="K146" i="5"/>
  <c r="K48" i="5"/>
  <c r="K94" i="5"/>
  <c r="K325" i="5"/>
  <c r="K416" i="5"/>
  <c r="K281" i="5"/>
  <c r="K357" i="5"/>
  <c r="K219" i="5"/>
  <c r="K201" i="5"/>
  <c r="K33" i="5"/>
  <c r="K285" i="5"/>
  <c r="K118" i="5"/>
  <c r="K365" i="5"/>
  <c r="K116" i="5"/>
  <c r="K83" i="5"/>
  <c r="K241" i="5"/>
  <c r="K119" i="5"/>
  <c r="K45" i="5"/>
  <c r="K168" i="5"/>
  <c r="K190" i="5"/>
  <c r="K385" i="5"/>
  <c r="K292" i="5"/>
  <c r="K77" i="5"/>
  <c r="K410" i="5"/>
  <c r="K206" i="5"/>
  <c r="K78" i="5"/>
  <c r="K224" i="5"/>
  <c r="K171" i="5"/>
  <c r="K259" i="5"/>
  <c r="K235" i="5"/>
  <c r="K64" i="5"/>
  <c r="K272" i="5"/>
  <c r="K409" i="5"/>
  <c r="K261" i="5"/>
  <c r="K421" i="5"/>
  <c r="K46" i="5"/>
  <c r="K298" i="5"/>
  <c r="K240" i="5"/>
  <c r="K181" i="5"/>
  <c r="K28" i="5"/>
  <c r="K415" i="5"/>
  <c r="K270" i="5"/>
  <c r="K115" i="5"/>
  <c r="K44" i="5"/>
  <c r="K227" i="5"/>
  <c r="K245" i="5"/>
  <c r="K376" i="5"/>
  <c r="K255" i="5"/>
  <c r="K273" i="5"/>
  <c r="K331" i="5"/>
  <c r="K279" i="5"/>
  <c r="K69" i="5"/>
  <c r="K67" i="5"/>
  <c r="K330" i="5"/>
  <c r="K89" i="5"/>
  <c r="K387" i="5"/>
  <c r="K133" i="5"/>
  <c r="K68" i="5"/>
  <c r="K174" i="5"/>
  <c r="K296" i="5"/>
  <c r="K267" i="5"/>
  <c r="K368" i="5"/>
  <c r="K223" i="5"/>
  <c r="K200" i="5"/>
  <c r="K294" i="5"/>
  <c r="K291" i="5"/>
  <c r="K18" i="5"/>
  <c r="K22" i="5"/>
  <c r="K196" i="5"/>
  <c r="K15" i="5"/>
  <c r="K352" i="5"/>
  <c r="K101" i="5"/>
  <c r="K182" i="5"/>
  <c r="K276" i="5"/>
  <c r="K202" i="5"/>
  <c r="K277" i="5"/>
  <c r="K264" i="5"/>
  <c r="K396" i="5"/>
  <c r="K373" i="5"/>
  <c r="K143" i="5"/>
  <c r="K24" i="5"/>
  <c r="K362" i="5"/>
  <c r="K230" i="5"/>
  <c r="K215" i="5"/>
  <c r="K140" i="5"/>
  <c r="K54" i="5"/>
  <c r="K413" i="5"/>
  <c r="K23" i="5"/>
  <c r="K65" i="5"/>
  <c r="K117" i="5"/>
  <c r="K248" i="5"/>
  <c r="K208" i="5"/>
  <c r="K93" i="5"/>
  <c r="K372" i="5"/>
  <c r="K401" i="5"/>
  <c r="K252" i="5"/>
  <c r="K395" i="5"/>
  <c r="K345" i="5"/>
  <c r="K335" i="5"/>
  <c r="K383" i="5"/>
  <c r="K404" i="5"/>
  <c r="K284" i="5"/>
  <c r="K38" i="5"/>
  <c r="K418" i="5"/>
  <c r="K342" i="5"/>
  <c r="K347" i="5"/>
  <c r="K105" i="5"/>
  <c r="K389" i="5"/>
  <c r="K180" i="5"/>
  <c r="K91" i="5"/>
  <c r="K210" i="5"/>
  <c r="K237" i="5"/>
  <c r="K34" i="5"/>
  <c r="K212" i="5"/>
  <c r="K239" i="5"/>
  <c r="K61" i="5"/>
  <c r="K250" i="5"/>
  <c r="K337" i="5"/>
  <c r="K49" i="5"/>
  <c r="K113" i="5"/>
  <c r="K260" i="5"/>
  <c r="K40" i="5"/>
  <c r="K128" i="5"/>
  <c r="K21" i="5"/>
  <c r="K218" i="5"/>
  <c r="K297" i="5"/>
  <c r="K286" i="5"/>
  <c r="K394" i="5"/>
  <c r="K14" i="5"/>
  <c r="K366" i="5"/>
  <c r="K247" i="5"/>
  <c r="K29" i="5"/>
  <c r="K144" i="5"/>
  <c r="K381" i="5"/>
  <c r="K301" i="5"/>
  <c r="K371" i="5"/>
  <c r="K355" i="5"/>
  <c r="K263" i="5"/>
  <c r="K55" i="5"/>
  <c r="K369" i="5"/>
  <c r="K242" i="5"/>
  <c r="K211" i="5"/>
  <c r="K47" i="5"/>
  <c r="K356" i="5"/>
  <c r="K80" i="5"/>
  <c r="K214" i="5"/>
  <c r="K41" i="5"/>
  <c r="K88" i="5"/>
  <c r="K178" i="5"/>
  <c r="K197" i="5"/>
  <c r="K191" i="5"/>
  <c r="K326" i="5"/>
  <c r="K188" i="5"/>
  <c r="K58" i="5"/>
  <c r="K149" i="5"/>
  <c r="K234" i="5"/>
  <c r="K411" i="5"/>
  <c r="K222" i="5"/>
  <c r="K135" i="5"/>
  <c r="K391" i="5"/>
  <c r="K19" i="5"/>
  <c r="K70" i="5"/>
  <c r="K127" i="5"/>
  <c r="K217" i="5"/>
  <c r="K106" i="5"/>
  <c r="K293" i="5"/>
  <c r="K13" i="5"/>
  <c r="K323" i="5"/>
  <c r="K380" i="5"/>
  <c r="K110" i="5"/>
  <c r="K60" i="5"/>
  <c r="K62" i="5"/>
  <c r="K370" i="5"/>
  <c r="K141" i="5"/>
  <c r="K307" i="5" l="1"/>
</calcChain>
</file>

<file path=xl/sharedStrings.xml><?xml version="1.0" encoding="utf-8"?>
<sst xmlns="http://schemas.openxmlformats.org/spreadsheetml/2006/main" count="863" uniqueCount="292">
  <si>
    <t>GOVERNO DO ESTADO DO RIO DE JANEIRO</t>
  </si>
  <si>
    <t>RELATÓRIO RESUMIDO DA EXECUÇÃO ORÇAMENTÁRIA</t>
  </si>
  <si>
    <t>DEMONSTRATIVO DA EXECUÇÃO DAS DESPESAS POR FUNÇÃO/SUBFUNÇÃO</t>
  </si>
  <si>
    <t>ORÇAMENTOS FISCAL E DA SEGURIDADE SOCIAL</t>
  </si>
  <si>
    <t>RREO - Anexo 2 (LRF, Art 52, inciso II, alínea "c")</t>
  </si>
  <si>
    <t>DOTAÇÃO</t>
  </si>
  <si>
    <t>DESPESAS EMPENHADAS</t>
  </si>
  <si>
    <t>SALDO</t>
  </si>
  <si>
    <t>DESPESAS LIQUIDADAS</t>
  </si>
  <si>
    <t>COD</t>
  </si>
  <si>
    <t>FUNÇÃO/SUBFUNÇÃO</t>
  </si>
  <si>
    <t>INICIAL</t>
  </si>
  <si>
    <t>ATUALIZADA</t>
  </si>
  <si>
    <t>No Bimestre</t>
  </si>
  <si>
    <t>Até o Bimestre</t>
  </si>
  <si>
    <t>%</t>
  </si>
  <si>
    <t>(a)</t>
  </si>
  <si>
    <t>(b)</t>
  </si>
  <si>
    <t>(b/total b)</t>
  </si>
  <si>
    <t>(c) = (a - b)</t>
  </si>
  <si>
    <t>(d)</t>
  </si>
  <si>
    <t>(d/total d)</t>
  </si>
  <si>
    <t>(e) = (a - d)</t>
  </si>
  <si>
    <t>DESPESAS (EXCETO INTRA-ORÇAMENTÁRIAS) (I)</t>
  </si>
  <si>
    <t>01</t>
  </si>
  <si>
    <t>Legislativa</t>
  </si>
  <si>
    <t>031</t>
  </si>
  <si>
    <t>Ação Legislativa</t>
  </si>
  <si>
    <t>032</t>
  </si>
  <si>
    <t>Controle Externo</t>
  </si>
  <si>
    <t>122</t>
  </si>
  <si>
    <t>Administração Geral</t>
  </si>
  <si>
    <t>126</t>
  </si>
  <si>
    <t>Tecnologia da Informação</t>
  </si>
  <si>
    <t>128</t>
  </si>
  <si>
    <t>Formação de Recursos Humanos</t>
  </si>
  <si>
    <t>131</t>
  </si>
  <si>
    <t>Comunicação Social</t>
  </si>
  <si>
    <t>392</t>
  </si>
  <si>
    <t>Difusão Cultural</t>
  </si>
  <si>
    <t>422</t>
  </si>
  <si>
    <t>Direitos Individuais, Coletivos e Difusos</t>
  </si>
  <si>
    <t>542</t>
  </si>
  <si>
    <t>Controle Ambiental</t>
  </si>
  <si>
    <t>572</t>
  </si>
  <si>
    <t>Desenvolvimento Tecnológico e Engenharia</t>
  </si>
  <si>
    <t>02</t>
  </si>
  <si>
    <t>Judiciária</t>
  </si>
  <si>
    <t>061</t>
  </si>
  <si>
    <t>Ação Judiciária</t>
  </si>
  <si>
    <t>03</t>
  </si>
  <si>
    <t>Essencial à Justiça</t>
  </si>
  <si>
    <t>091</t>
  </si>
  <si>
    <t>Defesa da Ordem Jurídica</t>
  </si>
  <si>
    <t>092</t>
  </si>
  <si>
    <t>Representação Judicial e Extrajudicial</t>
  </si>
  <si>
    <t xml:space="preserve"> Tecnologia da Informação</t>
  </si>
  <si>
    <t>04</t>
  </si>
  <si>
    <t>Administração</t>
  </si>
  <si>
    <t>121</t>
  </si>
  <si>
    <t>Planejamento e Orçamento</t>
  </si>
  <si>
    <t>123</t>
  </si>
  <si>
    <t>Administração Financeira</t>
  </si>
  <si>
    <t>124</t>
  </si>
  <si>
    <t>Controle Interno</t>
  </si>
  <si>
    <t>125</t>
  </si>
  <si>
    <t>Normatização e Fiscalização</t>
  </si>
  <si>
    <t>127</t>
  </si>
  <si>
    <t>Ordenamento Territorial</t>
  </si>
  <si>
    <t>129</t>
  </si>
  <si>
    <t>Administração de Receitas</t>
  </si>
  <si>
    <t>130</t>
  </si>
  <si>
    <t>Administração de Concessões</t>
  </si>
  <si>
    <t>183</t>
  </si>
  <si>
    <t>Informação e Inteligência</t>
  </si>
  <si>
    <t>421</t>
  </si>
  <si>
    <t>Custódia e Reintegração Social</t>
  </si>
  <si>
    <t>451</t>
  </si>
  <si>
    <t>Infraestrutura Urbana</t>
  </si>
  <si>
    <t>453</t>
  </si>
  <si>
    <t>Transportes Coletivos Urbanos</t>
  </si>
  <si>
    <t>482</t>
  </si>
  <si>
    <t>Habitação Urbana</t>
  </si>
  <si>
    <t>512</t>
  </si>
  <si>
    <t>Saneamento Básico Urbano</t>
  </si>
  <si>
    <t>541</t>
  </si>
  <si>
    <t>Preservação e Conservação Ambiental</t>
  </si>
  <si>
    <t>571</t>
  </si>
  <si>
    <t>Desenvolvimento Científico</t>
  </si>
  <si>
    <t>573</t>
  </si>
  <si>
    <t>Difusão do Conhecimento Científico e Tecnológico</t>
  </si>
  <si>
    <t>661</t>
  </si>
  <si>
    <t>Promoção Industrial</t>
  </si>
  <si>
    <t>694</t>
  </si>
  <si>
    <t>Serviços Financeiros</t>
  </si>
  <si>
    <t>695</t>
  </si>
  <si>
    <t>Turismo</t>
  </si>
  <si>
    <t>783</t>
  </si>
  <si>
    <t>Transporte Ferroviário</t>
  </si>
  <si>
    <t>845</t>
  </si>
  <si>
    <t>Outras Transferências</t>
  </si>
  <si>
    <t>06</t>
  </si>
  <si>
    <t>Segurança Pública</t>
  </si>
  <si>
    <t>Ação judiciária</t>
  </si>
  <si>
    <t>181</t>
  </si>
  <si>
    <t>Policiamento</t>
  </si>
  <si>
    <t>182</t>
  </si>
  <si>
    <t>Defesa Civil</t>
  </si>
  <si>
    <t>242</t>
  </si>
  <si>
    <t>Assistência ao Portador de Deficiência</t>
  </si>
  <si>
    <t>243</t>
  </si>
  <si>
    <t>Assistência à Criança e ao Adolescente</t>
  </si>
  <si>
    <t>244</t>
  </si>
  <si>
    <t>Assistência Comunitária</t>
  </si>
  <si>
    <t>301</t>
  </si>
  <si>
    <t>Atenção Básica</t>
  </si>
  <si>
    <t>302</t>
  </si>
  <si>
    <t>Assistência Hospitalar e Ambulatorial</t>
  </si>
  <si>
    <t>306</t>
  </si>
  <si>
    <t>Alimentação e Nutrição</t>
  </si>
  <si>
    <t>332</t>
  </si>
  <si>
    <t>Relações de Trabalho</t>
  </si>
  <si>
    <t>334</t>
  </si>
  <si>
    <t>Fomento ao Trabalho</t>
  </si>
  <si>
    <t>366</t>
  </si>
  <si>
    <t>Educação de Jovens e Adultos</t>
  </si>
  <si>
    <t>781</t>
  </si>
  <si>
    <t>Transporte Aéreo</t>
  </si>
  <si>
    <t>782</t>
  </si>
  <si>
    <t>Transporte Rodoviário</t>
  </si>
  <si>
    <t>784</t>
  </si>
  <si>
    <t>Transporte Hidroviário</t>
  </si>
  <si>
    <t>812</t>
  </si>
  <si>
    <t>Desporto Comunitário</t>
  </si>
  <si>
    <t>08</t>
  </si>
  <si>
    <t>Assistência Social</t>
  </si>
  <si>
    <t>241</t>
  </si>
  <si>
    <t>Assistência ao Idoso</t>
  </si>
  <si>
    <t>303</t>
  </si>
  <si>
    <t>Suporte Profilático e Terapêutico</t>
  </si>
  <si>
    <t>09</t>
  </si>
  <si>
    <t>Previdência Social</t>
  </si>
  <si>
    <t>272</t>
  </si>
  <si>
    <t>Previdência do Regime Estatutário</t>
  </si>
  <si>
    <t>273</t>
  </si>
  <si>
    <t>Previdência Complementar</t>
  </si>
  <si>
    <t>10</t>
  </si>
  <si>
    <t>Saúde</t>
  </si>
  <si>
    <t>304</t>
  </si>
  <si>
    <t>Vigilância Sanitária</t>
  </si>
  <si>
    <t>305</t>
  </si>
  <si>
    <t>Vigilância Epidemiológica</t>
  </si>
  <si>
    <t>Difusão do Conhecimento Científ e Tecnológ</t>
  </si>
  <si>
    <t>11</t>
  </si>
  <si>
    <t>Trabalho</t>
  </si>
  <si>
    <t>Serviços Socioassistenciais</t>
  </si>
  <si>
    <t>245</t>
  </si>
  <si>
    <t>Proteção e Benefícios ao Trabalhador</t>
  </si>
  <si>
    <t>333</t>
  </si>
  <si>
    <t>Empregabilidade</t>
  </si>
  <si>
    <t>12</t>
  </si>
  <si>
    <t>Educação</t>
  </si>
  <si>
    <t>361</t>
  </si>
  <si>
    <t>Ensino Fundamental</t>
  </si>
  <si>
    <t>362</t>
  </si>
  <si>
    <t>Ensino Médio</t>
  </si>
  <si>
    <t>363</t>
  </si>
  <si>
    <t>Ensino Profissional</t>
  </si>
  <si>
    <t>364</t>
  </si>
  <si>
    <t>Ensino Superior</t>
  </si>
  <si>
    <t>367</t>
  </si>
  <si>
    <t>Educação Especial</t>
  </si>
  <si>
    <t>368</t>
  </si>
  <si>
    <t>Educação Básica</t>
  </si>
  <si>
    <t>13</t>
  </si>
  <si>
    <t>Cultura</t>
  </si>
  <si>
    <t>391</t>
  </si>
  <si>
    <t>Patrimônio Histór, Artístico e Arqueológico</t>
  </si>
  <si>
    <t>Continua (1/3)</t>
  </si>
  <si>
    <t>Continuação</t>
  </si>
  <si>
    <t>14</t>
  </si>
  <si>
    <t>Direitos da Cidadania</t>
  </si>
  <si>
    <t>Patrimônio Histórico, Artístico e Arqueológico</t>
  </si>
  <si>
    <t>15</t>
  </si>
  <si>
    <t>Urbanismo</t>
  </si>
  <si>
    <t>452</t>
  </si>
  <si>
    <t>Serviços Urbanos</t>
  </si>
  <si>
    <t>481</t>
  </si>
  <si>
    <t>Habitação Rural</t>
  </si>
  <si>
    <t>16</t>
  </si>
  <si>
    <t>Habitação</t>
  </si>
  <si>
    <t>17</t>
  </si>
  <si>
    <t>Saneamento</t>
  </si>
  <si>
    <t>544</t>
  </si>
  <si>
    <t>Recursos Hídricos</t>
  </si>
  <si>
    <t>18</t>
  </si>
  <si>
    <t>Gestão Ambiental</t>
  </si>
  <si>
    <t>543</t>
  </si>
  <si>
    <t>Recuperação de Áreas Degradadas</t>
  </si>
  <si>
    <t>785</t>
  </si>
  <si>
    <t>Transportes Especiais</t>
  </si>
  <si>
    <t>19</t>
  </si>
  <si>
    <t>Ciência e Tecnologia</t>
  </si>
  <si>
    <t>751</t>
  </si>
  <si>
    <t>Conservação de Energia</t>
  </si>
  <si>
    <t>20</t>
  </si>
  <si>
    <t>Agricultura</t>
  </si>
  <si>
    <t xml:space="preserve"> Formação de Recursos Humanos</t>
  </si>
  <si>
    <t>602</t>
  </si>
  <si>
    <t>Promoção da Produção Animal</t>
  </si>
  <si>
    <t>604</t>
  </si>
  <si>
    <t>Defesa Sanitária Animal</t>
  </si>
  <si>
    <t>605</t>
  </si>
  <si>
    <t>Abastecimento</t>
  </si>
  <si>
    <t>606</t>
  </si>
  <si>
    <t>Extensão Rural</t>
  </si>
  <si>
    <t>608</t>
  </si>
  <si>
    <t>Promoção da Produção Agropecuária</t>
  </si>
  <si>
    <t>609</t>
  </si>
  <si>
    <t>Defesa Agropecuária</t>
  </si>
  <si>
    <t>692</t>
  </si>
  <si>
    <t>Comercialização</t>
  </si>
  <si>
    <t>21</t>
  </si>
  <si>
    <t>Organização Agrária</t>
  </si>
  <si>
    <t>631</t>
  </si>
  <si>
    <t>Reforma Agrária</t>
  </si>
  <si>
    <t>22</t>
  </si>
  <si>
    <t>Indústria</t>
  </si>
  <si>
    <t>663</t>
  </si>
  <si>
    <t>Mineração</t>
  </si>
  <si>
    <t>665</t>
  </si>
  <si>
    <t>Normalização e Qualidade</t>
  </si>
  <si>
    <t>691</t>
  </si>
  <si>
    <t>Promoção Comercial</t>
  </si>
  <si>
    <t>752</t>
  </si>
  <si>
    <t>Energia Elétrica</t>
  </si>
  <si>
    <t>753</t>
  </si>
  <si>
    <t>Combustíveis Minerais</t>
  </si>
  <si>
    <t>23</t>
  </si>
  <si>
    <t>Comércio e Serviços</t>
  </si>
  <si>
    <t>693</t>
  </si>
  <si>
    <t>Comércio Exterior</t>
  </si>
  <si>
    <t>24</t>
  </si>
  <si>
    <t>Comunicações</t>
  </si>
  <si>
    <t>25</t>
  </si>
  <si>
    <t>Energia</t>
  </si>
  <si>
    <t>26</t>
  </si>
  <si>
    <t>Transporte</t>
  </si>
  <si>
    <t>27</t>
  </si>
  <si>
    <t>Desporto e Lazer</t>
  </si>
  <si>
    <t>811</t>
  </si>
  <si>
    <t>Desporto de Rendimento</t>
  </si>
  <si>
    <t>813</t>
  </si>
  <si>
    <t>Lazer</t>
  </si>
  <si>
    <t>28</t>
  </si>
  <si>
    <t>Encargos Especiais</t>
  </si>
  <si>
    <t>841</t>
  </si>
  <si>
    <t>Refinanciamento da Dívida Interna</t>
  </si>
  <si>
    <t>843</t>
  </si>
  <si>
    <t>Serviço da Dívida Interna</t>
  </si>
  <si>
    <t>844</t>
  </si>
  <si>
    <t>Serviço da Dívida Externa</t>
  </si>
  <si>
    <t>846</t>
  </si>
  <si>
    <t>Outros Encargos Especiais</t>
  </si>
  <si>
    <t>99</t>
  </si>
  <si>
    <t>Reserva de Contingência</t>
  </si>
  <si>
    <t>997</t>
  </si>
  <si>
    <t>Reserva do Regime Próprio de Previdência do Servidor - RPPS</t>
  </si>
  <si>
    <t>999</t>
  </si>
  <si>
    <t>Reserva de Contingência do RPPS</t>
  </si>
  <si>
    <t>DESPESAS (INTRA-ORÇAMENTÁRIAS) (II)</t>
  </si>
  <si>
    <t>TOTAL (III) = (I) + (II)</t>
  </si>
  <si>
    <t>Continua (2/3)</t>
  </si>
  <si>
    <t>FUNÇÃO/SUBFUNÇÃO - INTRA-ORÇAMENTÁRIAS</t>
  </si>
  <si>
    <t>(b/III b)</t>
  </si>
  <si>
    <t>(d/III d)</t>
  </si>
  <si>
    <t xml:space="preserve"> Assistência Comunitária</t>
  </si>
  <si>
    <t>FONTE: Siafe-Rio - Secretaria de Estado de Fazenda.</t>
  </si>
  <si>
    <t>(3/3)</t>
  </si>
  <si>
    <t>Obs.:  1 - Excluídas a Imprensa Oficial, a CEDAE e a AGERIO por não se enquadrarem no conceito de Empresa Dependente.</t>
  </si>
  <si>
    <t xml:space="preserve">          2 - Imprensa Oficial, CEDAE e AGERIO não constam nos Orçamentos Fiscal e da Seguridade Social no exercício de 2025.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</si>
  <si>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</si>
  <si>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</si>
  <si>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</si>
  <si>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</si>
  <si>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</si>
  <si>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</si>
  <si>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 xml:space="preserve">     Contador - CRC-RJ-097281/O-6</t>
  </si>
  <si>
    <t xml:space="preserve">Contador - CRC-RJ-079208/O-8 </t>
  </si>
  <si>
    <t>Contadora - CRC-RJ-114428/O-0</t>
  </si>
  <si>
    <t>JANEIRO A JUNHO  2025/BIMESTRE MAIO - JUNHO</t>
  </si>
  <si>
    <t>Emissão: 22/07/2025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</si>
</sst>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000000"/>
        <bgColor rgb="FFFFFFFF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67" fontId="3" fillId="0" borderId="0" xfId="2" applyNumberFormat="1" applyFont="1" applyFill="1"/>
    <xf numFmtId="167" fontId="3" fillId="0" borderId="0" xfId="0" applyNumberFormat="1" applyFo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49" fontId="5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center"/>
    </xf>
    <xf numFmtId="167" fontId="5" fillId="4" borderId="0" xfId="2" applyNumberFormat="1" applyFont="1" applyFill="1" applyBorder="1"/>
    <xf numFmtId="164" fontId="5" fillId="4" borderId="0" xfId="2" applyFont="1" applyFill="1" applyBorder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/>
    <xf numFmtId="167" fontId="6" fillId="4" borderId="0" xfId="2" applyNumberFormat="1" applyFont="1" applyFill="1" applyBorder="1"/>
    <xf numFmtId="164" fontId="6" fillId="4" borderId="0" xfId="2" applyFont="1" applyFill="1" applyBorder="1"/>
    <xf numFmtId="49" fontId="2" fillId="4" borderId="0" xfId="0" applyNumberFormat="1" applyFont="1" applyFill="1" applyAlignment="1">
      <alignment horizontal="center"/>
    </xf>
    <xf numFmtId="164" fontId="5" fillId="4" borderId="0" xfId="2" applyFont="1" applyFill="1" applyAlignment="1">
      <alignment horizontal="center"/>
    </xf>
    <xf numFmtId="167" fontId="5" fillId="4" borderId="0" xfId="0" applyNumberFormat="1" applyFont="1" applyFill="1"/>
    <xf numFmtId="167" fontId="5" fillId="4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center"/>
    </xf>
    <xf numFmtId="0" fontId="7" fillId="4" borderId="2" xfId="0" applyFont="1" applyFill="1" applyBorder="1"/>
    <xf numFmtId="164" fontId="7" fillId="4" borderId="5" xfId="2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5" xfId="0" applyFont="1" applyFill="1" applyBorder="1"/>
    <xf numFmtId="164" fontId="8" fillId="4" borderId="5" xfId="2" applyFont="1" applyFill="1" applyBorder="1"/>
    <xf numFmtId="49" fontId="8" fillId="4" borderId="10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0" xfId="0" applyFont="1" applyFill="1"/>
    <xf numFmtId="167" fontId="8" fillId="4" borderId="0" xfId="2" applyNumberFormat="1" applyFont="1" applyFill="1" applyBorder="1"/>
    <xf numFmtId="164" fontId="8" fillId="4" borderId="0" xfId="2" applyFont="1" applyFill="1" applyBorder="1"/>
    <xf numFmtId="167" fontId="8" fillId="4" borderId="0" xfId="2" applyNumberFormat="1" applyFont="1" applyFill="1" applyBorder="1" applyAlignment="1">
      <alignment horizontal="right"/>
    </xf>
    <xf numFmtId="0" fontId="8" fillId="4" borderId="6" xfId="0" applyFont="1" applyFill="1" applyBorder="1"/>
    <xf numFmtId="164" fontId="8" fillId="4" borderId="6" xfId="2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64" fontId="8" fillId="4" borderId="8" xfId="2" applyFont="1" applyFill="1" applyBorder="1"/>
    <xf numFmtId="164" fontId="7" fillId="4" borderId="6" xfId="2" applyFont="1" applyFill="1" applyBorder="1"/>
    <xf numFmtId="164" fontId="8" fillId="4" borderId="4" xfId="2" applyFont="1" applyFill="1" applyBorder="1"/>
    <xf numFmtId="164" fontId="7" fillId="4" borderId="11" xfId="2" applyFont="1" applyFill="1" applyBorder="1"/>
    <xf numFmtId="164" fontId="7" fillId="4" borderId="12" xfId="2" applyFont="1" applyFill="1" applyBorder="1"/>
    <xf numFmtId="164" fontId="8" fillId="0" borderId="5" xfId="2" applyFont="1" applyFill="1" applyBorder="1"/>
    <xf numFmtId="43" fontId="8" fillId="4" borderId="0" xfId="0" applyNumberFormat="1" applyFont="1" applyFill="1"/>
    <xf numFmtId="43" fontId="4" fillId="4" borderId="0" xfId="0" applyNumberFormat="1" applyFont="1" applyFill="1"/>
    <xf numFmtId="49" fontId="8" fillId="0" borderId="0" xfId="0" applyNumberFormat="1" applyFont="1" applyAlignment="1">
      <alignment horizontal="center"/>
    </xf>
    <xf numFmtId="0" fontId="8" fillId="0" borderId="5" xfId="0" applyFont="1" applyBorder="1"/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4" borderId="0" xfId="0" applyNumberFormat="1" applyFont="1" applyFill="1"/>
    <xf numFmtId="0" fontId="4" fillId="0" borderId="0" xfId="0" applyFont="1" applyAlignment="1">
      <alignment horizontal="center"/>
    </xf>
    <xf numFmtId="0" fontId="7" fillId="0" borderId="5" xfId="0" applyFont="1" applyBorder="1"/>
    <xf numFmtId="0" fontId="7" fillId="4" borderId="5" xfId="0" applyFont="1" applyFill="1" applyBorder="1"/>
    <xf numFmtId="164" fontId="7" fillId="4" borderId="5" xfId="2" applyFont="1" applyFill="1" applyBorder="1" applyAlignment="1"/>
    <xf numFmtId="164" fontId="7" fillId="4" borderId="5" xfId="2" applyFont="1" applyFill="1" applyBorder="1" applyAlignment="1">
      <alignment horizontal="center"/>
    </xf>
    <xf numFmtId="164" fontId="7" fillId="4" borderId="6" xfId="2" applyFont="1" applyFill="1" applyBorder="1" applyAlignment="1">
      <alignment horizontal="center"/>
    </xf>
    <xf numFmtId="164" fontId="8" fillId="4" borderId="5" xfId="2" applyFont="1" applyFill="1" applyBorder="1" applyAlignment="1">
      <alignment horizontal="center"/>
    </xf>
    <xf numFmtId="164" fontId="8" fillId="4" borderId="9" xfId="2" applyFont="1" applyFill="1" applyBorder="1"/>
    <xf numFmtId="164" fontId="8" fillId="5" borderId="5" xfId="2" applyFont="1" applyFill="1" applyBorder="1" applyAlignment="1"/>
    <xf numFmtId="0" fontId="7" fillId="4" borderId="6" xfId="0" applyFont="1" applyFill="1" applyBorder="1"/>
    <xf numFmtId="164" fontId="7" fillId="4" borderId="2" xfId="2" applyFont="1" applyFill="1" applyBorder="1"/>
    <xf numFmtId="164" fontId="7" fillId="4" borderId="0" xfId="2" applyFont="1" applyFill="1" applyBorder="1"/>
    <xf numFmtId="0" fontId="7" fillId="0" borderId="6" xfId="0" applyFont="1" applyBorder="1"/>
    <xf numFmtId="0" fontId="8" fillId="0" borderId="6" xfId="0" applyFont="1" applyBorder="1"/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/>
    <xf numFmtId="49" fontId="7" fillId="4" borderId="10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4" borderId="8" xfId="2" applyFont="1" applyFill="1" applyBorder="1"/>
    <xf numFmtId="164" fontId="8" fillId="5" borderId="8" xfId="2" applyFont="1" applyFill="1" applyBorder="1" applyAlignment="1"/>
    <xf numFmtId="164" fontId="7" fillId="4" borderId="9" xfId="2" applyFont="1" applyFill="1" applyBorder="1"/>
    <xf numFmtId="0" fontId="9" fillId="0" borderId="0" xfId="0" applyFont="1" applyAlignment="1">
      <alignment horizontal="center"/>
    </xf>
    <xf numFmtId="0" fontId="1" fillId="0" borderId="0" xfId="0" applyFont="1"/>
    <xf numFmtId="164" fontId="4" fillId="4" borderId="0" xfId="2" applyFont="1" applyFill="1"/>
    <xf numFmtId="164" fontId="8" fillId="2" borderId="13" xfId="2" applyFont="1" applyFill="1" applyBorder="1" applyAlignment="1">
      <alignment horizontal="right" vertical="top" wrapText="1"/>
    </xf>
    <xf numFmtId="164" fontId="8" fillId="4" borderId="13" xfId="2" applyFont="1" applyFill="1" applyBorder="1" applyAlignment="1">
      <alignment horizontal="right" vertical="top" wrapText="1"/>
    </xf>
    <xf numFmtId="164" fontId="8" fillId="4" borderId="5" xfId="2" applyFont="1" applyFill="1" applyBorder="1" applyAlignment="1">
      <alignment horizontal="right" vertical="top" wrapText="1"/>
    </xf>
    <xf numFmtId="164" fontId="7" fillId="0" borderId="5" xfId="2" applyFont="1" applyFill="1" applyBorder="1" applyAlignment="1"/>
    <xf numFmtId="164" fontId="7" fillId="0" borderId="5" xfId="2" applyFont="1" applyFill="1" applyBorder="1"/>
    <xf numFmtId="164" fontId="8" fillId="0" borderId="8" xfId="2" applyFont="1" applyFill="1" applyBorder="1"/>
    <xf numFmtId="167" fontId="8" fillId="0" borderId="0" xfId="2" applyNumberFormat="1" applyFont="1" applyFill="1" applyBorder="1"/>
    <xf numFmtId="167" fontId="5" fillId="0" borderId="0" xfId="2" applyNumberFormat="1" applyFont="1" applyFill="1" applyBorder="1"/>
    <xf numFmtId="164" fontId="8" fillId="0" borderId="6" xfId="2" applyFont="1" applyFill="1" applyBorder="1"/>
    <xf numFmtId="164" fontId="8" fillId="0" borderId="5" xfId="2" applyFont="1" applyFill="1" applyBorder="1" applyAlignment="1"/>
    <xf numFmtId="164" fontId="7" fillId="0" borderId="11" xfId="2" applyFont="1" applyFill="1" applyBorder="1"/>
    <xf numFmtId="164" fontId="7" fillId="0" borderId="2" xfId="2" applyFont="1" applyFill="1" applyBorder="1"/>
    <xf numFmtId="164" fontId="8" fillId="0" borderId="8" xfId="2" applyFont="1" applyFill="1" applyBorder="1" applyAlignment="1"/>
    <xf numFmtId="164" fontId="4" fillId="0" borderId="0" xfId="2" applyFont="1" applyFill="1"/>
    <xf numFmtId="167" fontId="5" fillId="0" borderId="0" xfId="0" applyNumberFormat="1" applyFont="1"/>
    <xf numFmtId="43" fontId="8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0" xfId="1" applyFont="1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49" fontId="7" fillId="4" borderId="14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</cellXfs>
  <cellStyles count="3">
    <cellStyle name="Normal" xfId="0" builtinId="0"/>
    <cellStyle name="Normal 4 2 3" xfId="1" xr:uid="{3C2EFF80-DAAA-4D9D-AB95-8C29CD71875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519117</xdr:colOff>
      <xdr:row>0</xdr:row>
      <xdr:rowOff>23814</xdr:rowOff>
    </xdr:from>
    <xdr:to>
      <xdr:col>4</xdr:col>
      <xdr:colOff>1178722</xdr:colOff>
      <xdr:row>1</xdr:row>
      <xdr:rowOff>333377</xdr:rowOff>
    </xdr:to>
    <xdr:pic>
      <xdr:nvPicPr>
        <xdr:cNvPr id="6865" name="Picture 1">
          <a:extLst>
            <a:ext uri="{FF2B5EF4-FFF2-40B4-BE49-F238E27FC236}">
              <a16:creationId xmlns:a16="http://schemas.microsoft.com/office/drawing/2014/main" id="{88A6B375-8B5F-EF1F-5EE4-6D73F0F7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5" y="23814"/>
          <a:ext cx="659605" cy="51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511971</xdr:colOff>
      <xdr:row>153</xdr:row>
      <xdr:rowOff>73816</xdr:rowOff>
    </xdr:from>
    <xdr:to>
      <xdr:col>4</xdr:col>
      <xdr:colOff>1166814</xdr:colOff>
      <xdr:row>155</xdr:row>
      <xdr:rowOff>173828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60E24-3BD3-400B-8860-6450C1C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1159" y="27755847"/>
          <a:ext cx="654843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573885</xdr:colOff>
      <xdr:row>309</xdr:row>
      <xdr:rowOff>38097</xdr:rowOff>
    </xdr:from>
    <xdr:to>
      <xdr:col>4</xdr:col>
      <xdr:colOff>1238250</xdr:colOff>
      <xdr:row>311</xdr:row>
      <xdr:rowOff>171447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54B7043-E58D-4FDA-871F-F1CCFBC8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3073" y="55830785"/>
          <a:ext cx="664365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345A-D510-4AD8-A032-456C64E72250}">
  <sheetPr>
    <pageSetUpPr fitToPage="1"/>
  </sheetPr>
  <dimension ref="A1:O488"/>
  <sheetViews>
    <sheetView showGridLines="0" tabSelected="1" topLeftCell="A413" zoomScale="80" zoomScaleNormal="80" workbookViewId="0">
      <selection activeCell="C448" sqref="C448"/>
    </sheetView>
  </sheetViews>
  <sheetFormatPr defaultColWidth="9.140625" defaultRowHeight="12.75" x14ac:dyDescent="0.2"/>
  <cols>
    <col min="1" max="1" width="5.85546875" style="1" customWidth="1"/>
    <col min="2" max="2" width="62.28515625" style="2" customWidth="1"/>
    <col min="3" max="3" width="31.7109375" style="2" bestFit="1" customWidth="1"/>
    <col min="4" max="4" width="31" style="2" bestFit="1" customWidth="1"/>
    <col min="5" max="5" width="22.85546875" style="2" customWidth="1"/>
    <col min="6" max="6" width="29.28515625" style="2" bestFit="1" customWidth="1"/>
    <col min="7" max="7" width="11.140625" style="2" customWidth="1"/>
    <col min="8" max="8" width="23.140625" style="2" customWidth="1"/>
    <col min="9" max="9" width="22.85546875" style="2" customWidth="1"/>
    <col min="10" max="10" width="21.7109375" style="2" customWidth="1"/>
    <col min="11" max="11" width="10.42578125" style="2" customWidth="1"/>
    <col min="12" max="12" width="21.28515625" style="2" customWidth="1"/>
    <col min="13" max="14" width="9.140625" style="2"/>
    <col min="15" max="15" width="8.42578125" style="2" customWidth="1"/>
    <col min="16" max="16" width="14.85546875" style="2" bestFit="1" customWidth="1"/>
    <col min="17" max="17" width="13.42578125" style="2" bestFit="1" customWidth="1"/>
    <col min="18" max="18" width="9.28515625" style="2" bestFit="1" customWidth="1"/>
    <col min="19" max="16384" width="9.140625" style="2"/>
  </cols>
  <sheetData>
    <row r="1" spans="1:13" ht="15.75" x14ac:dyDescent="0.25">
      <c r="A1" s="26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7.75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3" customFormat="1" ht="16.5" customHeight="1" x14ac:dyDescent="0.25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s="3" customFormat="1" ht="15.75" x14ac:dyDescent="0.25">
      <c r="A4" s="113" t="s">
        <v>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3" s="3" customFormat="1" ht="15.75" x14ac:dyDescent="0.25">
      <c r="A5" s="120" t="s">
        <v>2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4"/>
    </row>
    <row r="6" spans="1:13" s="3" customFormat="1" ht="15.75" x14ac:dyDescent="0.25">
      <c r="A6" s="113" t="s">
        <v>3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3" s="3" customFormat="1" ht="15.75" x14ac:dyDescent="0.25">
      <c r="A7" s="113" t="s">
        <v>290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</row>
    <row r="8" spans="1:13" ht="15.75" x14ac:dyDescent="0.25">
      <c r="A8" s="67"/>
      <c r="B8" s="26"/>
      <c r="C8" s="35"/>
      <c r="D8" s="35"/>
      <c r="E8" s="22"/>
      <c r="F8" s="35"/>
      <c r="G8" s="35"/>
      <c r="H8" s="35"/>
      <c r="I8" s="35"/>
      <c r="J8" s="35"/>
      <c r="K8" s="26"/>
      <c r="L8" s="21" t="s">
        <v>291</v>
      </c>
    </row>
    <row r="9" spans="1:13" s="5" customFormat="1" ht="15.75" x14ac:dyDescent="0.25">
      <c r="A9" s="23" t="s">
        <v>4</v>
      </c>
      <c r="B9" s="22"/>
      <c r="C9" s="36"/>
      <c r="D9" s="36"/>
      <c r="E9" s="108"/>
      <c r="F9" s="36"/>
      <c r="G9" s="36"/>
      <c r="H9" s="36"/>
      <c r="I9" s="36"/>
      <c r="J9" s="36"/>
      <c r="K9" s="37"/>
      <c r="L9" s="25">
        <v>1</v>
      </c>
    </row>
    <row r="10" spans="1:13" s="5" customFormat="1" ht="13.5" customHeight="1" x14ac:dyDescent="0.25">
      <c r="A10" s="8"/>
      <c r="B10" s="9"/>
      <c r="C10" s="10" t="s">
        <v>5</v>
      </c>
      <c r="D10" s="10" t="s">
        <v>5</v>
      </c>
      <c r="E10" s="117" t="s">
        <v>6</v>
      </c>
      <c r="F10" s="118"/>
      <c r="G10" s="119"/>
      <c r="H10" s="10" t="s">
        <v>7</v>
      </c>
      <c r="I10" s="117" t="s">
        <v>8</v>
      </c>
      <c r="J10" s="118"/>
      <c r="K10" s="118"/>
      <c r="L10" s="11" t="s">
        <v>7</v>
      </c>
    </row>
    <row r="11" spans="1:13" s="5" customFormat="1" ht="14.25" customHeight="1" x14ac:dyDescent="0.25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4"/>
      <c r="I11" s="13" t="s">
        <v>13</v>
      </c>
      <c r="J11" s="13" t="s">
        <v>14</v>
      </c>
      <c r="K11" s="13" t="s">
        <v>15</v>
      </c>
      <c r="L11" s="15"/>
    </row>
    <row r="12" spans="1:13" s="5" customFormat="1" ht="13.5" customHeight="1" x14ac:dyDescent="0.25">
      <c r="A12" s="16"/>
      <c r="B12" s="17"/>
      <c r="C12" s="17"/>
      <c r="D12" s="18" t="s">
        <v>16</v>
      </c>
      <c r="E12" s="18"/>
      <c r="F12" s="18" t="s">
        <v>17</v>
      </c>
      <c r="G12" s="18" t="s">
        <v>18</v>
      </c>
      <c r="H12" s="19" t="s">
        <v>19</v>
      </c>
      <c r="I12" s="18"/>
      <c r="J12" s="18" t="s">
        <v>20</v>
      </c>
      <c r="K12" s="18" t="s">
        <v>21</v>
      </c>
      <c r="L12" s="20" t="s">
        <v>22</v>
      </c>
    </row>
    <row r="13" spans="1:13" s="5" customFormat="1" ht="14.85" customHeight="1" x14ac:dyDescent="0.25">
      <c r="A13" s="40"/>
      <c r="B13" s="41" t="s">
        <v>23</v>
      </c>
      <c r="C13" s="72">
        <f>C14+C25+C29+C35+C63+C87+C101+C106+C117+C126+C147+C167+C177+C186+C192+C199+C210+C223+C242+C246+C261+C271+C275+C280+C291+C296+C302</f>
        <v>114232985204</v>
      </c>
      <c r="D13" s="72">
        <f>D14+D25+D29+D35+D63+D87+D101+D106+D117+D126+D147+D167+D177+D186+D192+D199+D210+D223+D242+D246+D261+D271+D275+D280+D291+D296+D302</f>
        <v>120417864284.81001</v>
      </c>
      <c r="E13" s="97">
        <f>E14+E25+E29+E35+E63+E87+E101+E106+E117+E126+E147+E167+E177+E186+E192+E199+E210+E223+E242+E246+E261+E271+E275+E280+E291+E296+E302</f>
        <v>17923414491.939999</v>
      </c>
      <c r="F13" s="72">
        <f>F14+F25+F29+F35+F63+F87+F101+F106+F117+F126+F147+F167+F177+F186+F192+F199+F210+F223+F242+F246+F261+F271+F275+F280+F291+F296+F302</f>
        <v>53189696350.530006</v>
      </c>
      <c r="G13" s="73">
        <f t="shared" ref="G13:G44" si="0">(F13/$F$307)*100</f>
        <v>91.14487358263176</v>
      </c>
      <c r="H13" s="73">
        <f>D13-F13</f>
        <v>67228167934.280006</v>
      </c>
      <c r="I13" s="73">
        <f>I14+I25+I29+I35+I63+I87+I101+I106+I117+I126+I147+I167+I177+I186+I192+I199+I210+I223+I242+I246+I261+I271+I275+I280+I291+I296+I302</f>
        <v>18116492870.560001</v>
      </c>
      <c r="J13" s="73">
        <f>J14+J25+J29+J35+J63+J87+J101+J106+J117+J126+J147+J167+J177+J186+J192+J199+J210+J223+J242+J246+J261+J271+J275+J280+J291+J296+J302</f>
        <v>46990912486.87999</v>
      </c>
      <c r="K13" s="73">
        <f t="shared" ref="K13:K44" si="1">(J13/$J$307)*100</f>
        <v>90.640373519866031</v>
      </c>
      <c r="L13" s="74">
        <f>D13-J13</f>
        <v>73426951797.930023</v>
      </c>
    </row>
    <row r="14" spans="1:13" s="5" customFormat="1" ht="14.85" customHeight="1" x14ac:dyDescent="0.25">
      <c r="A14" s="40" t="s">
        <v>24</v>
      </c>
      <c r="B14" s="70" t="s">
        <v>25</v>
      </c>
      <c r="C14" s="42">
        <f>SUM(C15:C24)</f>
        <v>2587526372</v>
      </c>
      <c r="D14" s="42">
        <f>SUM(D15:D24)</f>
        <v>2542709974</v>
      </c>
      <c r="E14" s="98">
        <f>SUM(E15:E24)</f>
        <v>523377868.32000005</v>
      </c>
      <c r="F14" s="42">
        <f>SUM(F15:F24)</f>
        <v>1946721603.3800001</v>
      </c>
      <c r="G14" s="73">
        <f t="shared" si="0"/>
        <v>3.3358659028870403</v>
      </c>
      <c r="H14" s="42">
        <f t="shared" ref="H14:H78" si="2">D14-F14</f>
        <v>595988370.61999989</v>
      </c>
      <c r="I14" s="42">
        <f>SUM(I15:I24)</f>
        <v>413900672.80000001</v>
      </c>
      <c r="J14" s="42">
        <f>SUM(J15:J24)</f>
        <v>953921339.92999995</v>
      </c>
      <c r="K14" s="42">
        <f t="shared" si="1"/>
        <v>1.8400108017474068</v>
      </c>
      <c r="L14" s="57">
        <f t="shared" ref="L14:L78" si="3">D14-J14</f>
        <v>1588788634.0700002</v>
      </c>
    </row>
    <row r="15" spans="1:13" s="5" customFormat="1" ht="14.85" customHeight="1" x14ac:dyDescent="0.25">
      <c r="A15" s="43" t="s">
        <v>26</v>
      </c>
      <c r="B15" s="44" t="s">
        <v>27</v>
      </c>
      <c r="C15" s="45">
        <v>259845</v>
      </c>
      <c r="D15" s="45">
        <v>259845</v>
      </c>
      <c r="E15" s="61">
        <f t="shared" ref="E15:E21" si="4">F15-0</f>
        <v>0</v>
      </c>
      <c r="F15" s="45">
        <v>0</v>
      </c>
      <c r="G15" s="75">
        <f t="shared" si="0"/>
        <v>0</v>
      </c>
      <c r="H15" s="45">
        <f t="shared" si="2"/>
        <v>259845</v>
      </c>
      <c r="I15" s="45">
        <f t="shared" ref="I15:I21" si="5">J15-0</f>
        <v>0</v>
      </c>
      <c r="J15" s="45">
        <v>0</v>
      </c>
      <c r="K15" s="45">
        <f t="shared" si="1"/>
        <v>0</v>
      </c>
      <c r="L15" s="53">
        <f t="shared" si="3"/>
        <v>259845</v>
      </c>
    </row>
    <row r="16" spans="1:13" s="5" customFormat="1" ht="14.85" customHeight="1" x14ac:dyDescent="0.25">
      <c r="A16" s="43" t="s">
        <v>28</v>
      </c>
      <c r="B16" s="44" t="s">
        <v>29</v>
      </c>
      <c r="C16" s="45">
        <v>78246981</v>
      </c>
      <c r="D16" s="45">
        <v>78246981</v>
      </c>
      <c r="E16" s="61">
        <f>F16-8215198.14</f>
        <v>4648087.1700000009</v>
      </c>
      <c r="F16" s="45">
        <v>12863285.310000001</v>
      </c>
      <c r="G16" s="45">
        <f t="shared" si="0"/>
        <v>2.2042286267452842E-2</v>
      </c>
      <c r="H16" s="45">
        <f t="shared" si="2"/>
        <v>65383695.689999998</v>
      </c>
      <c r="I16" s="45">
        <f>J16-364547.32</f>
        <v>962994.06999999983</v>
      </c>
      <c r="J16" s="45">
        <v>1327541.3899999999</v>
      </c>
      <c r="K16" s="45">
        <f t="shared" si="1"/>
        <v>2.5606833552397675E-3</v>
      </c>
      <c r="L16" s="53">
        <f t="shared" si="3"/>
        <v>76919439.609999999</v>
      </c>
    </row>
    <row r="17" spans="1:12" s="5" customFormat="1" ht="14.85" customHeight="1" x14ac:dyDescent="0.25">
      <c r="A17" s="43" t="s">
        <v>30</v>
      </c>
      <c r="B17" s="44" t="s">
        <v>31</v>
      </c>
      <c r="C17" s="45">
        <v>2411753468</v>
      </c>
      <c r="D17" s="45">
        <v>2367340846</v>
      </c>
      <c r="E17" s="61">
        <f>F17-1400423837.95</f>
        <v>514425769.68000007</v>
      </c>
      <c r="F17" s="45">
        <v>1914849607.6300001</v>
      </c>
      <c r="G17" s="45">
        <f t="shared" si="0"/>
        <v>3.2812506442415379</v>
      </c>
      <c r="H17" s="45">
        <f t="shared" si="2"/>
        <v>452491238.36999989</v>
      </c>
      <c r="I17" s="45">
        <f>J17-530247811.32</f>
        <v>410660269.06999999</v>
      </c>
      <c r="J17" s="45">
        <v>940908080.38999999</v>
      </c>
      <c r="K17" s="45">
        <f t="shared" si="1"/>
        <v>1.8149096355220038</v>
      </c>
      <c r="L17" s="53">
        <f t="shared" si="3"/>
        <v>1426432765.6100001</v>
      </c>
    </row>
    <row r="18" spans="1:12" s="5" customFormat="1" ht="14.85" customHeight="1" x14ac:dyDescent="0.25">
      <c r="A18" s="43" t="s">
        <v>32</v>
      </c>
      <c r="B18" s="44" t="s">
        <v>33</v>
      </c>
      <c r="C18" s="45">
        <v>29379588</v>
      </c>
      <c r="D18" s="45">
        <v>28975812</v>
      </c>
      <c r="E18" s="61">
        <f>F18-4353124.92</f>
        <v>659846.58999999985</v>
      </c>
      <c r="F18" s="45">
        <v>5012971.51</v>
      </c>
      <c r="G18" s="45">
        <f t="shared" si="0"/>
        <v>8.5901346670825985E-3</v>
      </c>
      <c r="H18" s="45">
        <f t="shared" si="2"/>
        <v>23962840.490000002</v>
      </c>
      <c r="I18" s="45">
        <f>J18-1214109.61</f>
        <v>525828.15999999992</v>
      </c>
      <c r="J18" s="45">
        <v>1739937.77</v>
      </c>
      <c r="K18" s="45">
        <f t="shared" si="1"/>
        <v>3.3561512434591577E-3</v>
      </c>
      <c r="L18" s="53">
        <f t="shared" si="3"/>
        <v>27235874.23</v>
      </c>
    </row>
    <row r="19" spans="1:12" s="5" customFormat="1" ht="14.85" customHeight="1" x14ac:dyDescent="0.25">
      <c r="A19" s="43" t="s">
        <v>34</v>
      </c>
      <c r="B19" s="44" t="s">
        <v>35</v>
      </c>
      <c r="C19" s="45">
        <v>37741100</v>
      </c>
      <c r="D19" s="45">
        <v>37741100</v>
      </c>
      <c r="E19" s="61">
        <f>F19-3819362.59</f>
        <v>3631608.4000000004</v>
      </c>
      <c r="F19" s="45">
        <v>7450970.9900000002</v>
      </c>
      <c r="G19" s="45">
        <f t="shared" si="0"/>
        <v>1.2767845194601108E-2</v>
      </c>
      <c r="H19" s="45">
        <f t="shared" si="2"/>
        <v>30290129.009999998</v>
      </c>
      <c r="I19" s="45">
        <f>J19-1661987.42</f>
        <v>1739025.02</v>
      </c>
      <c r="J19" s="45">
        <v>3401012.44</v>
      </c>
      <c r="K19" s="45">
        <f t="shared" si="1"/>
        <v>6.5601841205654527E-3</v>
      </c>
      <c r="L19" s="53">
        <f t="shared" si="3"/>
        <v>34340087.560000002</v>
      </c>
    </row>
    <row r="20" spans="1:12" s="5" customFormat="1" ht="14.85" customHeight="1" x14ac:dyDescent="0.25">
      <c r="A20" s="43" t="s">
        <v>36</v>
      </c>
      <c r="B20" s="44" t="s">
        <v>37</v>
      </c>
      <c r="C20" s="45">
        <v>0</v>
      </c>
      <c r="D20" s="45">
        <v>0</v>
      </c>
      <c r="E20" s="61">
        <f t="shared" si="4"/>
        <v>0</v>
      </c>
      <c r="F20" s="45">
        <v>0</v>
      </c>
      <c r="G20" s="45">
        <f t="shared" si="0"/>
        <v>0</v>
      </c>
      <c r="H20" s="45">
        <f t="shared" si="2"/>
        <v>0</v>
      </c>
      <c r="I20" s="45">
        <f>J20-0</f>
        <v>0</v>
      </c>
      <c r="J20" s="45">
        <v>0</v>
      </c>
      <c r="K20" s="45">
        <f t="shared" si="1"/>
        <v>0</v>
      </c>
      <c r="L20" s="53">
        <f t="shared" si="3"/>
        <v>0</v>
      </c>
    </row>
    <row r="21" spans="1:12" s="5" customFormat="1" ht="14.85" customHeight="1" x14ac:dyDescent="0.25">
      <c r="A21" s="43" t="s">
        <v>38</v>
      </c>
      <c r="B21" s="44" t="s">
        <v>39</v>
      </c>
      <c r="C21" s="45">
        <v>0</v>
      </c>
      <c r="D21" s="45">
        <v>0</v>
      </c>
      <c r="E21" s="61">
        <f t="shared" si="4"/>
        <v>0</v>
      </c>
      <c r="F21" s="45">
        <v>0</v>
      </c>
      <c r="G21" s="45">
        <f t="shared" si="0"/>
        <v>0</v>
      </c>
      <c r="H21" s="45">
        <f t="shared" si="2"/>
        <v>0</v>
      </c>
      <c r="I21" s="45">
        <f t="shared" si="5"/>
        <v>0</v>
      </c>
      <c r="J21" s="45">
        <v>0</v>
      </c>
      <c r="K21" s="45">
        <f t="shared" si="1"/>
        <v>0</v>
      </c>
      <c r="L21" s="53">
        <f t="shared" si="3"/>
        <v>0</v>
      </c>
    </row>
    <row r="22" spans="1:12" s="5" customFormat="1" ht="14.85" customHeight="1" x14ac:dyDescent="0.25">
      <c r="A22" s="43" t="s">
        <v>40</v>
      </c>
      <c r="B22" s="44" t="s">
        <v>41</v>
      </c>
      <c r="C22" s="45">
        <v>468126</v>
      </c>
      <c r="D22" s="45">
        <v>468126</v>
      </c>
      <c r="E22" s="61">
        <f>F22-4287.57</f>
        <v>12556.48</v>
      </c>
      <c r="F22" s="45">
        <v>16844.05</v>
      </c>
      <c r="G22" s="45">
        <f t="shared" si="0"/>
        <v>2.8863650541487444E-5</v>
      </c>
      <c r="H22" s="45">
        <f t="shared" si="2"/>
        <v>451281.95</v>
      </c>
      <c r="I22" s="45">
        <f>J22-4287.57</f>
        <v>12556.48</v>
      </c>
      <c r="J22" s="45">
        <v>16844.05</v>
      </c>
      <c r="K22" s="45">
        <f t="shared" si="1"/>
        <v>3.2490345532523399E-5</v>
      </c>
      <c r="L22" s="53">
        <f t="shared" si="3"/>
        <v>451281.95</v>
      </c>
    </row>
    <row r="23" spans="1:12" s="5" customFormat="1" ht="14.85" customHeight="1" x14ac:dyDescent="0.25">
      <c r="A23" s="43" t="s">
        <v>42</v>
      </c>
      <c r="B23" s="44" t="s">
        <v>43</v>
      </c>
      <c r="C23" s="45">
        <v>207264</v>
      </c>
      <c r="D23" s="45">
        <v>207264</v>
      </c>
      <c r="E23" s="61">
        <f>F23-0</f>
        <v>0</v>
      </c>
      <c r="F23" s="45">
        <v>0</v>
      </c>
      <c r="G23" s="45">
        <f t="shared" si="0"/>
        <v>0</v>
      </c>
      <c r="H23" s="45">
        <f t="shared" si="2"/>
        <v>207264</v>
      </c>
      <c r="I23" s="45">
        <f>J23-0</f>
        <v>0</v>
      </c>
      <c r="J23" s="45">
        <v>0</v>
      </c>
      <c r="K23" s="45">
        <f t="shared" si="1"/>
        <v>0</v>
      </c>
      <c r="L23" s="53">
        <f t="shared" si="3"/>
        <v>207264</v>
      </c>
    </row>
    <row r="24" spans="1:12" s="5" customFormat="1" ht="14.85" customHeight="1" x14ac:dyDescent="0.25">
      <c r="A24" s="43" t="s">
        <v>44</v>
      </c>
      <c r="B24" s="44" t="s">
        <v>45</v>
      </c>
      <c r="C24" s="45">
        <v>29470000</v>
      </c>
      <c r="D24" s="45">
        <v>29470000</v>
      </c>
      <c r="E24" s="61">
        <f>F24-6527923.89</f>
        <v>0</v>
      </c>
      <c r="F24" s="45">
        <v>6527923.8899999997</v>
      </c>
      <c r="G24" s="45">
        <f t="shared" si="0"/>
        <v>1.1186128865824273E-2</v>
      </c>
      <c r="H24" s="45">
        <f t="shared" si="2"/>
        <v>22942076.109999999</v>
      </c>
      <c r="I24" s="45">
        <f>J24-6527923.89</f>
        <v>0</v>
      </c>
      <c r="J24" s="45">
        <v>6527923.8899999997</v>
      </c>
      <c r="K24" s="45">
        <f t="shared" si="1"/>
        <v>1.2591657160606522E-2</v>
      </c>
      <c r="L24" s="53">
        <f t="shared" si="3"/>
        <v>22942076.109999999</v>
      </c>
    </row>
    <row r="25" spans="1:12" s="5" customFormat="1" ht="14.85" customHeight="1" x14ac:dyDescent="0.25">
      <c r="A25" s="40" t="s">
        <v>46</v>
      </c>
      <c r="B25" s="70" t="s">
        <v>47</v>
      </c>
      <c r="C25" s="42">
        <f>SUM(C26:C28)</f>
        <v>7754286286</v>
      </c>
      <c r="D25" s="42">
        <f>SUM(D26:D28)</f>
        <v>8073584543.7399998</v>
      </c>
      <c r="E25" s="98">
        <f>SUM(E26:E27)</f>
        <v>1121920592.9200001</v>
      </c>
      <c r="F25" s="42">
        <f>SUM(F26:F28)</f>
        <v>4289180761.8400002</v>
      </c>
      <c r="G25" s="45">
        <f t="shared" si="0"/>
        <v>7.3498603138212406</v>
      </c>
      <c r="H25" s="42">
        <f t="shared" si="2"/>
        <v>3784403781.8999996</v>
      </c>
      <c r="I25" s="42">
        <f>SUM(I26:I28)</f>
        <v>1370306794.1200001</v>
      </c>
      <c r="J25" s="42">
        <f>SUM(J26:J28)</f>
        <v>3473232871.3600001</v>
      </c>
      <c r="K25" s="42">
        <f t="shared" si="1"/>
        <v>6.6994894995802561</v>
      </c>
      <c r="L25" s="57">
        <f t="shared" si="3"/>
        <v>4600351672.3799992</v>
      </c>
    </row>
    <row r="26" spans="1:12" s="5" customFormat="1" ht="14.85" customHeight="1" x14ac:dyDescent="0.25">
      <c r="A26" s="43" t="s">
        <v>48</v>
      </c>
      <c r="B26" s="44" t="s">
        <v>49</v>
      </c>
      <c r="C26" s="45">
        <v>2912619000</v>
      </c>
      <c r="D26" s="45">
        <v>3231917257.7399998</v>
      </c>
      <c r="E26" s="61">
        <f>F26-1721907368.45</f>
        <v>287728726.83999991</v>
      </c>
      <c r="F26" s="45">
        <v>2009636095.29</v>
      </c>
      <c r="G26" s="45">
        <f t="shared" si="0"/>
        <v>3.4436750051210918</v>
      </c>
      <c r="H26" s="45">
        <f t="shared" si="2"/>
        <v>1222281162.4499998</v>
      </c>
      <c r="I26" s="45">
        <f>J26-657573276.77</f>
        <v>536114928.03999996</v>
      </c>
      <c r="J26" s="45">
        <v>1193688204.8099999</v>
      </c>
      <c r="K26" s="45">
        <f t="shared" si="1"/>
        <v>2.3024950788186014</v>
      </c>
      <c r="L26" s="53">
        <f t="shared" si="3"/>
        <v>2038229052.9299998</v>
      </c>
    </row>
    <row r="27" spans="1:12" s="5" customFormat="1" ht="14.85" customHeight="1" x14ac:dyDescent="0.25">
      <c r="A27" s="43" t="s">
        <v>30</v>
      </c>
      <c r="B27" s="44" t="s">
        <v>31</v>
      </c>
      <c r="C27" s="45">
        <v>4841667286</v>
      </c>
      <c r="D27" s="45">
        <v>4841667286</v>
      </c>
      <c r="E27" s="61">
        <f>F27-1445352800.47</f>
        <v>834191866.08000016</v>
      </c>
      <c r="F27" s="45">
        <v>2279544666.5500002</v>
      </c>
      <c r="G27" s="45">
        <f t="shared" si="0"/>
        <v>3.9061853087001488</v>
      </c>
      <c r="H27" s="45">
        <f t="shared" si="2"/>
        <v>2562122619.4499998</v>
      </c>
      <c r="I27" s="45">
        <f>J27-1445352800.47</f>
        <v>834191866.08000016</v>
      </c>
      <c r="J27" s="45">
        <v>2279544666.5500002</v>
      </c>
      <c r="K27" s="45">
        <f t="shared" si="1"/>
        <v>4.3969944207616543</v>
      </c>
      <c r="L27" s="53">
        <f t="shared" si="3"/>
        <v>2562122619.4499998</v>
      </c>
    </row>
    <row r="28" spans="1:12" s="5" customFormat="1" ht="14.85" customHeight="1" x14ac:dyDescent="0.25">
      <c r="A28" s="43" t="s">
        <v>38</v>
      </c>
      <c r="B28" s="44" t="s">
        <v>39</v>
      </c>
      <c r="C28" s="45">
        <v>0</v>
      </c>
      <c r="D28" s="45">
        <v>0</v>
      </c>
      <c r="E28" s="61">
        <f>F28-0</f>
        <v>0</v>
      </c>
      <c r="F28" s="45">
        <v>0</v>
      </c>
      <c r="G28" s="45">
        <f t="shared" si="0"/>
        <v>0</v>
      </c>
      <c r="H28" s="45">
        <f t="shared" si="2"/>
        <v>0</v>
      </c>
      <c r="I28" s="45">
        <f>J28-0</f>
        <v>0</v>
      </c>
      <c r="J28" s="45">
        <v>0</v>
      </c>
      <c r="K28" s="45">
        <f t="shared" si="1"/>
        <v>0</v>
      </c>
      <c r="L28" s="53">
        <f t="shared" si="3"/>
        <v>0</v>
      </c>
    </row>
    <row r="29" spans="1:12" s="5" customFormat="1" ht="14.85" customHeight="1" x14ac:dyDescent="0.25">
      <c r="A29" s="40" t="s">
        <v>50</v>
      </c>
      <c r="B29" s="70" t="s">
        <v>51</v>
      </c>
      <c r="C29" s="42">
        <f>SUM(C30:C34)</f>
        <v>5011265780</v>
      </c>
      <c r="D29" s="42">
        <f>SUM(D30:D34)</f>
        <v>5428626272.4300003</v>
      </c>
      <c r="E29" s="98">
        <f>SUM(E30:E34)</f>
        <v>712177748.44000006</v>
      </c>
      <c r="F29" s="42">
        <f>SUM(F30:F34)</f>
        <v>3421575973.54</v>
      </c>
      <c r="G29" s="42">
        <f t="shared" si="0"/>
        <v>5.8631488983592588</v>
      </c>
      <c r="H29" s="42">
        <f t="shared" si="2"/>
        <v>2007050298.8900003</v>
      </c>
      <c r="I29" s="42">
        <f>SUM(I30:I34)</f>
        <v>797703864.15999985</v>
      </c>
      <c r="J29" s="42">
        <f>SUM(J30:J34)</f>
        <v>2183482789.4200001</v>
      </c>
      <c r="K29" s="42">
        <f t="shared" si="1"/>
        <v>4.2117014787164511</v>
      </c>
      <c r="L29" s="57">
        <f t="shared" si="3"/>
        <v>3245143483.0100002</v>
      </c>
    </row>
    <row r="30" spans="1:12" s="5" customFormat="1" ht="14.85" customHeight="1" x14ac:dyDescent="0.25">
      <c r="A30" s="43" t="s">
        <v>52</v>
      </c>
      <c r="B30" s="44" t="s">
        <v>53</v>
      </c>
      <c r="C30" s="45">
        <v>451654074</v>
      </c>
      <c r="D30" s="45">
        <v>451654074</v>
      </c>
      <c r="E30" s="61">
        <f>F30-87119084.22</f>
        <v>9270853</v>
      </c>
      <c r="F30" s="45">
        <v>96389937.219999999</v>
      </c>
      <c r="G30" s="45">
        <f t="shared" si="0"/>
        <v>0.16517200219863953</v>
      </c>
      <c r="H30" s="45">
        <f t="shared" si="2"/>
        <v>355264136.77999997</v>
      </c>
      <c r="I30" s="45">
        <f>J30-8185534.35</f>
        <v>12993617.930000002</v>
      </c>
      <c r="J30" s="45">
        <v>21179152.280000001</v>
      </c>
      <c r="K30" s="45">
        <f t="shared" si="1"/>
        <v>4.0852287642409682E-2</v>
      </c>
      <c r="L30" s="53">
        <f t="shared" si="3"/>
        <v>430474921.72000003</v>
      </c>
    </row>
    <row r="31" spans="1:12" s="5" customFormat="1" ht="14.85" customHeight="1" x14ac:dyDescent="0.25">
      <c r="A31" s="43" t="s">
        <v>54</v>
      </c>
      <c r="B31" s="44" t="s">
        <v>55</v>
      </c>
      <c r="C31" s="45">
        <v>152931480</v>
      </c>
      <c r="D31" s="45">
        <v>314045358.38</v>
      </c>
      <c r="E31" s="61">
        <f>F31-48563394.73</f>
        <v>37477169.68</v>
      </c>
      <c r="F31" s="45">
        <v>86040564.409999996</v>
      </c>
      <c r="G31" s="45">
        <f t="shared" si="0"/>
        <v>0.14743750959671706</v>
      </c>
      <c r="H31" s="45">
        <f t="shared" si="2"/>
        <v>228004793.97</v>
      </c>
      <c r="I31" s="45">
        <f>J31-47809921.43</f>
        <v>36951085.639999993</v>
      </c>
      <c r="J31" s="45">
        <v>84761007.069999993</v>
      </c>
      <c r="K31" s="45">
        <f t="shared" si="1"/>
        <v>0.16349478939975592</v>
      </c>
      <c r="L31" s="53">
        <f t="shared" si="3"/>
        <v>229284351.31</v>
      </c>
    </row>
    <row r="32" spans="1:12" s="5" customFormat="1" ht="14.85" customHeight="1" x14ac:dyDescent="0.25">
      <c r="A32" s="43" t="s">
        <v>30</v>
      </c>
      <c r="B32" s="44" t="s">
        <v>31</v>
      </c>
      <c r="C32" s="45">
        <v>4321555205</v>
      </c>
      <c r="D32" s="45">
        <v>4539536819.0500002</v>
      </c>
      <c r="E32" s="61">
        <f>F32-2539828850.43</f>
        <v>656537611.94000006</v>
      </c>
      <c r="F32" s="45">
        <v>3196366462.3699999</v>
      </c>
      <c r="G32" s="45">
        <f t="shared" si="0"/>
        <v>5.4772340721131894</v>
      </c>
      <c r="H32" s="45">
        <f t="shared" si="2"/>
        <v>1343170356.6800003</v>
      </c>
      <c r="I32" s="45">
        <f>J32-1319677959.31</f>
        <v>739952784.04999995</v>
      </c>
      <c r="J32" s="45">
        <v>2059630743.3599999</v>
      </c>
      <c r="K32" s="45">
        <f t="shared" si="1"/>
        <v>3.9728043149464902</v>
      </c>
      <c r="L32" s="53">
        <f t="shared" si="3"/>
        <v>2479906075.6900005</v>
      </c>
    </row>
    <row r="33" spans="1:12" s="5" customFormat="1" ht="14.85" customHeight="1" x14ac:dyDescent="0.25">
      <c r="A33" s="43" t="s">
        <v>32</v>
      </c>
      <c r="B33" s="44" t="s">
        <v>56</v>
      </c>
      <c r="C33" s="45">
        <v>77249052</v>
      </c>
      <c r="D33" s="45">
        <v>112759052</v>
      </c>
      <c r="E33" s="61">
        <f>F33-32678790.89</f>
        <v>8682989.9900000021</v>
      </c>
      <c r="F33" s="45">
        <v>41361780.880000003</v>
      </c>
      <c r="G33" s="45">
        <f t="shared" si="0"/>
        <v>7.087677779951361E-2</v>
      </c>
      <c r="H33" s="45">
        <f t="shared" si="2"/>
        <v>71397271.120000005</v>
      </c>
      <c r="I33" s="45">
        <f>J33-9355452.28</f>
        <v>7480862.9000000004</v>
      </c>
      <c r="J33" s="45">
        <v>16836315.18</v>
      </c>
      <c r="K33" s="45">
        <f t="shared" si="1"/>
        <v>3.2475425903667407E-2</v>
      </c>
      <c r="L33" s="53">
        <f t="shared" si="3"/>
        <v>95922736.819999993</v>
      </c>
    </row>
    <row r="34" spans="1:12" s="5" customFormat="1" ht="14.85" customHeight="1" x14ac:dyDescent="0.25">
      <c r="A34" s="43" t="s">
        <v>34</v>
      </c>
      <c r="B34" s="44" t="s">
        <v>35</v>
      </c>
      <c r="C34" s="45">
        <v>7875969</v>
      </c>
      <c r="D34" s="45">
        <v>10630969</v>
      </c>
      <c r="E34" s="61">
        <f>F34-1208104.83</f>
        <v>209123.82999999984</v>
      </c>
      <c r="F34" s="45">
        <v>1417228.66</v>
      </c>
      <c r="G34" s="45">
        <f t="shared" si="0"/>
        <v>2.4285366511985259E-3</v>
      </c>
      <c r="H34" s="45">
        <f t="shared" si="2"/>
        <v>9213740.3399999999</v>
      </c>
      <c r="I34" s="45">
        <f>J34-750057.89</f>
        <v>325513.64</v>
      </c>
      <c r="J34" s="45">
        <v>1075571.53</v>
      </c>
      <c r="K34" s="45">
        <f t="shared" si="1"/>
        <v>2.0746608241275027E-3</v>
      </c>
      <c r="L34" s="53">
        <f t="shared" si="3"/>
        <v>9555397.4700000007</v>
      </c>
    </row>
    <row r="35" spans="1:12" s="5" customFormat="1" ht="14.85" customHeight="1" x14ac:dyDescent="0.25">
      <c r="A35" s="40" t="s">
        <v>57</v>
      </c>
      <c r="B35" s="70" t="s">
        <v>58</v>
      </c>
      <c r="C35" s="42">
        <f>SUM(C36:C62)</f>
        <v>6595891520</v>
      </c>
      <c r="D35" s="42">
        <f>SUM(D36:D62)</f>
        <v>6504437247.21</v>
      </c>
      <c r="E35" s="98">
        <f>SUM(E36:E62)</f>
        <v>766387500.92999983</v>
      </c>
      <c r="F35" s="42">
        <f>SUM(F36:F62)</f>
        <v>1978033895.5</v>
      </c>
      <c r="G35" s="42">
        <f t="shared" si="0"/>
        <v>3.3895220638106101</v>
      </c>
      <c r="H35" s="42">
        <f t="shared" si="2"/>
        <v>4526403351.71</v>
      </c>
      <c r="I35" s="42">
        <f>SUM(I36:I62)</f>
        <v>721592569.42000008</v>
      </c>
      <c r="J35" s="42">
        <f>SUM(J36:J62)</f>
        <v>1782306618.6299999</v>
      </c>
      <c r="K35" s="42">
        <f t="shared" si="1"/>
        <v>3.4378761571113898</v>
      </c>
      <c r="L35" s="57">
        <f t="shared" si="3"/>
        <v>4722130628.5799999</v>
      </c>
    </row>
    <row r="36" spans="1:12" s="5" customFormat="1" ht="14.85" customHeight="1" x14ac:dyDescent="0.25">
      <c r="A36" s="43" t="s">
        <v>59</v>
      </c>
      <c r="B36" s="44" t="s">
        <v>60</v>
      </c>
      <c r="C36" s="45">
        <v>245022337</v>
      </c>
      <c r="D36" s="45">
        <v>185363214.22999999</v>
      </c>
      <c r="E36" s="61">
        <f t="shared" ref="E36:E62" si="6">F36-0</f>
        <v>0</v>
      </c>
      <c r="F36" s="45">
        <v>0</v>
      </c>
      <c r="G36" s="45">
        <f t="shared" si="0"/>
        <v>0</v>
      </c>
      <c r="H36" s="45">
        <f t="shared" si="2"/>
        <v>185363214.22999999</v>
      </c>
      <c r="I36" s="45">
        <f t="shared" ref="I36" si="7">J36-0</f>
        <v>0</v>
      </c>
      <c r="J36" s="45">
        <v>0</v>
      </c>
      <c r="K36" s="45">
        <f t="shared" si="1"/>
        <v>0</v>
      </c>
      <c r="L36" s="53">
        <f t="shared" si="3"/>
        <v>185363214.22999999</v>
      </c>
    </row>
    <row r="37" spans="1:12" s="5" customFormat="1" ht="14.85" customHeight="1" x14ac:dyDescent="0.25">
      <c r="A37" s="43" t="s">
        <v>30</v>
      </c>
      <c r="B37" s="44" t="s">
        <v>31</v>
      </c>
      <c r="C37" s="45">
        <v>4253623840</v>
      </c>
      <c r="D37" s="45">
        <v>4137139228.2800002</v>
      </c>
      <c r="E37" s="61">
        <f>F37-557433387.34</f>
        <v>404320414.96999991</v>
      </c>
      <c r="F37" s="45">
        <v>961753802.30999994</v>
      </c>
      <c r="G37" s="45">
        <f t="shared" si="0"/>
        <v>1.6480434133609581</v>
      </c>
      <c r="H37" s="45">
        <f t="shared" si="2"/>
        <v>3175385425.9700003</v>
      </c>
      <c r="I37" s="45">
        <f>J37-490968749.46</f>
        <v>377644233.15000004</v>
      </c>
      <c r="J37" s="45">
        <v>868612982.61000001</v>
      </c>
      <c r="K37" s="45">
        <f t="shared" si="1"/>
        <v>1.6754602330813932</v>
      </c>
      <c r="L37" s="53">
        <f t="shared" si="3"/>
        <v>3268526245.6700001</v>
      </c>
    </row>
    <row r="38" spans="1:12" s="5" customFormat="1" ht="14.85" customHeight="1" x14ac:dyDescent="0.25">
      <c r="A38" s="43" t="s">
        <v>61</v>
      </c>
      <c r="B38" s="44" t="s">
        <v>62</v>
      </c>
      <c r="C38" s="45">
        <v>11656952</v>
      </c>
      <c r="D38" s="45">
        <v>26307923.949999999</v>
      </c>
      <c r="E38" s="61">
        <f>F38-1174978.66</f>
        <v>17387623.34</v>
      </c>
      <c r="F38" s="45">
        <v>18562602</v>
      </c>
      <c r="G38" s="45">
        <f t="shared" si="0"/>
        <v>3.1808529259217115E-2</v>
      </c>
      <c r="H38" s="45">
        <f t="shared" si="2"/>
        <v>7745321.9499999993</v>
      </c>
      <c r="I38" s="45">
        <f>J38-542317.72</f>
        <v>8140041.7999999998</v>
      </c>
      <c r="J38" s="45">
        <v>8682359.5199999996</v>
      </c>
      <c r="K38" s="45">
        <f t="shared" si="1"/>
        <v>1.6747329819277075E-2</v>
      </c>
      <c r="L38" s="53">
        <f t="shared" si="3"/>
        <v>17625564.43</v>
      </c>
    </row>
    <row r="39" spans="1:12" s="5" customFormat="1" ht="14.85" customHeight="1" x14ac:dyDescent="0.25">
      <c r="A39" s="43" t="s">
        <v>63</v>
      </c>
      <c r="B39" s="44" t="s">
        <v>64</v>
      </c>
      <c r="C39" s="45">
        <v>400505</v>
      </c>
      <c r="D39" s="45">
        <v>400505</v>
      </c>
      <c r="E39" s="61">
        <f>F39-24966.64</f>
        <v>18027.230000000003</v>
      </c>
      <c r="F39" s="45">
        <v>42993.87</v>
      </c>
      <c r="G39" s="45">
        <f t="shared" si="0"/>
        <v>7.3673495335512595E-5</v>
      </c>
      <c r="H39" s="45">
        <f t="shared" si="2"/>
        <v>357511.13</v>
      </c>
      <c r="I39" s="45">
        <f>J39-24966.64</f>
        <v>5087.2299999999996</v>
      </c>
      <c r="J39" s="45">
        <v>30053.87</v>
      </c>
      <c r="K39" s="45">
        <f t="shared" si="1"/>
        <v>5.7970655566181481E-5</v>
      </c>
      <c r="L39" s="53">
        <f t="shared" si="3"/>
        <v>370451.13</v>
      </c>
    </row>
    <row r="40" spans="1:12" s="5" customFormat="1" ht="14.85" customHeight="1" x14ac:dyDescent="0.25">
      <c r="A40" s="43" t="s">
        <v>65</v>
      </c>
      <c r="B40" s="44" t="s">
        <v>66</v>
      </c>
      <c r="C40" s="45">
        <v>7130020</v>
      </c>
      <c r="D40" s="45">
        <v>6018557</v>
      </c>
      <c r="E40" s="61">
        <f>F40-4326222.14</f>
        <v>727861.5</v>
      </c>
      <c r="F40" s="45">
        <v>5054083.6399999997</v>
      </c>
      <c r="G40" s="45">
        <f t="shared" si="0"/>
        <v>8.6605836477811962E-3</v>
      </c>
      <c r="H40" s="45">
        <f t="shared" si="2"/>
        <v>964473.36000000034</v>
      </c>
      <c r="I40" s="45">
        <f>J40-960309.53</f>
        <v>1304559.2</v>
      </c>
      <c r="J40" s="45">
        <v>2264868.73</v>
      </c>
      <c r="K40" s="45">
        <f t="shared" si="1"/>
        <v>4.3686861309190752E-3</v>
      </c>
      <c r="L40" s="53">
        <f t="shared" si="3"/>
        <v>3753688.27</v>
      </c>
    </row>
    <row r="41" spans="1:12" s="5" customFormat="1" ht="14.85" customHeight="1" x14ac:dyDescent="0.25">
      <c r="A41" s="43" t="s">
        <v>32</v>
      </c>
      <c r="B41" s="44" t="s">
        <v>33</v>
      </c>
      <c r="C41" s="45">
        <v>154776698</v>
      </c>
      <c r="D41" s="45">
        <v>172150598.53999999</v>
      </c>
      <c r="E41" s="61">
        <f>F41-64714126.25</f>
        <v>6557353.25</v>
      </c>
      <c r="F41" s="45">
        <v>71271479.5</v>
      </c>
      <c r="G41" s="45">
        <f t="shared" si="0"/>
        <v>0.12212948060963881</v>
      </c>
      <c r="H41" s="45">
        <f t="shared" si="2"/>
        <v>100879119.03999999</v>
      </c>
      <c r="I41" s="45">
        <f>J41-15622420.96</f>
        <v>8922502.5299999975</v>
      </c>
      <c r="J41" s="45">
        <v>24544923.489999998</v>
      </c>
      <c r="K41" s="45">
        <f t="shared" si="1"/>
        <v>4.7344495252593655E-2</v>
      </c>
      <c r="L41" s="53">
        <f t="shared" si="3"/>
        <v>147605675.04999998</v>
      </c>
    </row>
    <row r="42" spans="1:12" s="5" customFormat="1" ht="14.85" customHeight="1" x14ac:dyDescent="0.25">
      <c r="A42" s="43" t="s">
        <v>67</v>
      </c>
      <c r="B42" s="44" t="s">
        <v>68</v>
      </c>
      <c r="C42" s="45">
        <v>26277185</v>
      </c>
      <c r="D42" s="45">
        <v>97047385.230000004</v>
      </c>
      <c r="E42" s="61">
        <f>F42-36598579.52</f>
        <v>16673378.509999998</v>
      </c>
      <c r="F42" s="45">
        <v>53271958.030000001</v>
      </c>
      <c r="G42" s="45">
        <f t="shared" si="0"/>
        <v>9.1285835665336199E-2</v>
      </c>
      <c r="H42" s="45">
        <f t="shared" si="2"/>
        <v>43775427.200000003</v>
      </c>
      <c r="I42" s="45">
        <f>J42-10303892.4</f>
        <v>10872192.15</v>
      </c>
      <c r="J42" s="45">
        <v>21176084.550000001</v>
      </c>
      <c r="K42" s="45">
        <f t="shared" si="1"/>
        <v>4.0846370323967832E-2</v>
      </c>
      <c r="L42" s="53">
        <f t="shared" si="3"/>
        <v>75871300.680000007</v>
      </c>
    </row>
    <row r="43" spans="1:12" s="5" customFormat="1" ht="14.85" customHeight="1" x14ac:dyDescent="0.25">
      <c r="A43" s="43" t="s">
        <v>34</v>
      </c>
      <c r="B43" s="44" t="s">
        <v>35</v>
      </c>
      <c r="C43" s="45">
        <v>37602158</v>
      </c>
      <c r="D43" s="45">
        <v>30020176.390000001</v>
      </c>
      <c r="E43" s="61">
        <f>F43-1102196.57</f>
        <v>473669.32999999984</v>
      </c>
      <c r="F43" s="45">
        <v>1575865.9</v>
      </c>
      <c r="G43" s="45">
        <f t="shared" si="0"/>
        <v>2.7003744727572407E-3</v>
      </c>
      <c r="H43" s="45">
        <f t="shared" si="2"/>
        <v>28444310.490000002</v>
      </c>
      <c r="I43" s="45">
        <f>J43-325569.48</f>
        <v>79131.040000000037</v>
      </c>
      <c r="J43" s="45">
        <v>404700.52</v>
      </c>
      <c r="K43" s="45">
        <f t="shared" si="1"/>
        <v>7.8062340897776369E-4</v>
      </c>
      <c r="L43" s="53">
        <f t="shared" si="3"/>
        <v>29615475.870000001</v>
      </c>
    </row>
    <row r="44" spans="1:12" s="5" customFormat="1" ht="14.85" customHeight="1" x14ac:dyDescent="0.25">
      <c r="A44" s="43" t="s">
        <v>69</v>
      </c>
      <c r="B44" s="44" t="s">
        <v>70</v>
      </c>
      <c r="C44" s="45">
        <v>0</v>
      </c>
      <c r="D44" s="45">
        <v>0</v>
      </c>
      <c r="E44" s="61">
        <f t="shared" si="6"/>
        <v>0</v>
      </c>
      <c r="F44" s="45">
        <v>0</v>
      </c>
      <c r="G44" s="45">
        <f t="shared" si="0"/>
        <v>0</v>
      </c>
      <c r="H44" s="45">
        <f t="shared" si="2"/>
        <v>0</v>
      </c>
      <c r="I44" s="45">
        <f t="shared" ref="I44:I57" si="8">J44-0</f>
        <v>0</v>
      </c>
      <c r="J44" s="45">
        <v>0</v>
      </c>
      <c r="K44" s="45">
        <f t="shared" si="1"/>
        <v>0</v>
      </c>
      <c r="L44" s="53">
        <f t="shared" si="3"/>
        <v>0</v>
      </c>
    </row>
    <row r="45" spans="1:12" s="5" customFormat="1" ht="14.85" customHeight="1" x14ac:dyDescent="0.25">
      <c r="A45" s="43" t="s">
        <v>71</v>
      </c>
      <c r="B45" s="44" t="s">
        <v>72</v>
      </c>
      <c r="C45" s="45">
        <v>21244327</v>
      </c>
      <c r="D45" s="45">
        <v>22114520.399999999</v>
      </c>
      <c r="E45" s="61">
        <f>F45-3323888.21</f>
        <v>7818826.3899999997</v>
      </c>
      <c r="F45" s="94">
        <v>11142714.6</v>
      </c>
      <c r="G45" s="45">
        <f t="shared" ref="G45:G76" si="9">(F45/$F$307)*100</f>
        <v>1.9093948325843851E-2</v>
      </c>
      <c r="H45" s="45">
        <f t="shared" si="2"/>
        <v>10971805.799999999</v>
      </c>
      <c r="I45" s="45">
        <f>J45-2193151.24</f>
        <v>4505838.43</v>
      </c>
      <c r="J45" s="94">
        <v>6698989.6699999999</v>
      </c>
      <c r="K45" s="45">
        <f t="shared" ref="K45:K76" si="10">(J45/$J$307)*100</f>
        <v>1.2921624496312047E-2</v>
      </c>
      <c r="L45" s="53">
        <f t="shared" si="3"/>
        <v>15415530.729999999</v>
      </c>
    </row>
    <row r="46" spans="1:12" s="5" customFormat="1" ht="14.85" customHeight="1" x14ac:dyDescent="0.25">
      <c r="A46" s="43" t="s">
        <v>36</v>
      </c>
      <c r="B46" s="44" t="s">
        <v>37</v>
      </c>
      <c r="C46" s="45">
        <v>5425140</v>
      </c>
      <c r="D46" s="45">
        <v>15185555.890000001</v>
      </c>
      <c r="E46" s="61">
        <f>F46-5719721.65</f>
        <v>4509416.74</v>
      </c>
      <c r="F46" s="94">
        <v>10229138.390000001</v>
      </c>
      <c r="G46" s="45">
        <f t="shared" si="9"/>
        <v>1.7528461137877979E-2</v>
      </c>
      <c r="H46" s="45">
        <f t="shared" si="2"/>
        <v>4956417.5</v>
      </c>
      <c r="I46" s="45">
        <f>J46-2544344.19</f>
        <v>2218054.2200000002</v>
      </c>
      <c r="J46" s="94">
        <v>4762398.41</v>
      </c>
      <c r="K46" s="45">
        <f t="shared" si="10"/>
        <v>9.1861499998183369E-3</v>
      </c>
      <c r="L46" s="53">
        <f t="shared" si="3"/>
        <v>10423157.48</v>
      </c>
    </row>
    <row r="47" spans="1:12" s="5" customFormat="1" ht="14.85" customHeight="1" x14ac:dyDescent="0.25">
      <c r="A47" s="43" t="s">
        <v>73</v>
      </c>
      <c r="B47" s="44" t="s">
        <v>74</v>
      </c>
      <c r="C47" s="45">
        <v>0</v>
      </c>
      <c r="D47" s="45">
        <v>0</v>
      </c>
      <c r="E47" s="61">
        <f t="shared" si="6"/>
        <v>0</v>
      </c>
      <c r="F47" s="45">
        <v>0</v>
      </c>
      <c r="G47" s="45">
        <f t="shared" si="9"/>
        <v>0</v>
      </c>
      <c r="H47" s="45">
        <f t="shared" si="2"/>
        <v>0</v>
      </c>
      <c r="I47" s="45">
        <f t="shared" si="8"/>
        <v>0</v>
      </c>
      <c r="J47" s="45">
        <v>0</v>
      </c>
      <c r="K47" s="45">
        <f t="shared" si="10"/>
        <v>0</v>
      </c>
      <c r="L47" s="53">
        <f t="shared" si="3"/>
        <v>0</v>
      </c>
    </row>
    <row r="48" spans="1:12" s="5" customFormat="1" ht="14.85" customHeight="1" x14ac:dyDescent="0.25">
      <c r="A48" s="43" t="s">
        <v>38</v>
      </c>
      <c r="B48" s="44" t="s">
        <v>39</v>
      </c>
      <c r="C48" s="45">
        <v>0</v>
      </c>
      <c r="D48" s="45">
        <v>0</v>
      </c>
      <c r="E48" s="61">
        <f>F48-0</f>
        <v>0</v>
      </c>
      <c r="F48" s="45">
        <v>0</v>
      </c>
      <c r="G48" s="45">
        <f t="shared" si="9"/>
        <v>0</v>
      </c>
      <c r="H48" s="45">
        <f t="shared" si="2"/>
        <v>0</v>
      </c>
      <c r="I48" s="45">
        <f t="shared" si="8"/>
        <v>0</v>
      </c>
      <c r="J48" s="45">
        <v>0</v>
      </c>
      <c r="K48" s="45">
        <f t="shared" si="10"/>
        <v>0</v>
      </c>
      <c r="L48" s="53">
        <f t="shared" si="3"/>
        <v>0</v>
      </c>
    </row>
    <row r="49" spans="1:12" s="5" customFormat="1" ht="14.85" customHeight="1" x14ac:dyDescent="0.25">
      <c r="A49" s="43" t="s">
        <v>75</v>
      </c>
      <c r="B49" s="44" t="s">
        <v>76</v>
      </c>
      <c r="C49" s="45">
        <v>0</v>
      </c>
      <c r="D49" s="45">
        <v>0</v>
      </c>
      <c r="E49" s="61">
        <f>F49-0</f>
        <v>0</v>
      </c>
      <c r="F49" s="45">
        <v>0</v>
      </c>
      <c r="G49" s="45">
        <f t="shared" si="9"/>
        <v>0</v>
      </c>
      <c r="H49" s="45">
        <f t="shared" si="2"/>
        <v>0</v>
      </c>
      <c r="I49" s="45">
        <f t="shared" si="8"/>
        <v>0</v>
      </c>
      <c r="J49" s="45">
        <v>0</v>
      </c>
      <c r="K49" s="45">
        <f t="shared" si="10"/>
        <v>0</v>
      </c>
      <c r="L49" s="53">
        <f t="shared" si="3"/>
        <v>0</v>
      </c>
    </row>
    <row r="50" spans="1:12" s="5" customFormat="1" ht="14.85" customHeight="1" x14ac:dyDescent="0.25">
      <c r="A50" s="43" t="s">
        <v>40</v>
      </c>
      <c r="B50" s="44" t="s">
        <v>41</v>
      </c>
      <c r="C50" s="45">
        <v>67201251</v>
      </c>
      <c r="D50" s="45">
        <v>47158475.299999997</v>
      </c>
      <c r="E50" s="61">
        <f>F50-45698100</f>
        <v>486150</v>
      </c>
      <c r="F50" s="94">
        <v>46184250</v>
      </c>
      <c r="G50" s="45">
        <f t="shared" si="9"/>
        <v>7.9140471117141759E-2</v>
      </c>
      <c r="H50" s="45">
        <f t="shared" si="2"/>
        <v>974225.29999999702</v>
      </c>
      <c r="I50" s="45">
        <f>J50-45698100</f>
        <v>486150</v>
      </c>
      <c r="J50" s="94">
        <v>46184250</v>
      </c>
      <c r="K50" s="45">
        <f t="shared" si="10"/>
        <v>8.9084409073853621E-2</v>
      </c>
      <c r="L50" s="53">
        <f t="shared" si="3"/>
        <v>974225.29999999702</v>
      </c>
    </row>
    <row r="51" spans="1:12" s="5" customFormat="1" ht="14.85" customHeight="1" x14ac:dyDescent="0.25">
      <c r="A51" s="64" t="s">
        <v>77</v>
      </c>
      <c r="B51" s="44" t="s">
        <v>78</v>
      </c>
      <c r="C51" s="45">
        <v>0</v>
      </c>
      <c r="D51" s="45">
        <v>0</v>
      </c>
      <c r="E51" s="61">
        <f t="shared" si="6"/>
        <v>0</v>
      </c>
      <c r="F51" s="45">
        <v>0</v>
      </c>
      <c r="G51" s="45">
        <f t="shared" si="9"/>
        <v>0</v>
      </c>
      <c r="H51" s="45">
        <f t="shared" si="2"/>
        <v>0</v>
      </c>
      <c r="I51" s="45">
        <f t="shared" si="8"/>
        <v>0</v>
      </c>
      <c r="J51" s="45">
        <v>0</v>
      </c>
      <c r="K51" s="45">
        <f t="shared" si="10"/>
        <v>0</v>
      </c>
      <c r="L51" s="53">
        <f t="shared" si="3"/>
        <v>0</v>
      </c>
    </row>
    <row r="52" spans="1:12" s="5" customFormat="1" ht="14.85" customHeight="1" x14ac:dyDescent="0.25">
      <c r="A52" s="43" t="s">
        <v>79</v>
      </c>
      <c r="B52" s="44" t="s">
        <v>80</v>
      </c>
      <c r="C52" s="45">
        <v>0</v>
      </c>
      <c r="D52" s="45">
        <v>0</v>
      </c>
      <c r="E52" s="61">
        <f t="shared" si="6"/>
        <v>0</v>
      </c>
      <c r="F52" s="45">
        <v>0</v>
      </c>
      <c r="G52" s="45">
        <f t="shared" si="9"/>
        <v>0</v>
      </c>
      <c r="H52" s="45">
        <f t="shared" si="2"/>
        <v>0</v>
      </c>
      <c r="I52" s="45">
        <f t="shared" si="8"/>
        <v>0</v>
      </c>
      <c r="J52" s="45">
        <v>0</v>
      </c>
      <c r="K52" s="45">
        <f t="shared" si="10"/>
        <v>0</v>
      </c>
      <c r="L52" s="53">
        <f t="shared" si="3"/>
        <v>0</v>
      </c>
    </row>
    <row r="53" spans="1:12" s="5" customFormat="1" ht="14.85" customHeight="1" x14ac:dyDescent="0.25">
      <c r="A53" s="43" t="s">
        <v>81</v>
      </c>
      <c r="B53" s="44" t="s">
        <v>82</v>
      </c>
      <c r="C53" s="45">
        <v>0</v>
      </c>
      <c r="D53" s="45">
        <v>0</v>
      </c>
      <c r="E53" s="61">
        <f t="shared" si="6"/>
        <v>0</v>
      </c>
      <c r="F53" s="45">
        <v>0</v>
      </c>
      <c r="G53" s="45">
        <f t="shared" si="9"/>
        <v>0</v>
      </c>
      <c r="H53" s="45">
        <f t="shared" si="2"/>
        <v>0</v>
      </c>
      <c r="I53" s="45">
        <f t="shared" si="8"/>
        <v>0</v>
      </c>
      <c r="J53" s="45">
        <v>0</v>
      </c>
      <c r="K53" s="45">
        <f t="shared" si="10"/>
        <v>0</v>
      </c>
      <c r="L53" s="53">
        <f t="shared" si="3"/>
        <v>0</v>
      </c>
    </row>
    <row r="54" spans="1:12" s="5" customFormat="1" ht="14.85" customHeight="1" x14ac:dyDescent="0.25">
      <c r="A54" s="43" t="s">
        <v>83</v>
      </c>
      <c r="B54" s="44" t="s">
        <v>84</v>
      </c>
      <c r="C54" s="45">
        <v>0</v>
      </c>
      <c r="D54" s="45">
        <v>0</v>
      </c>
      <c r="E54" s="61">
        <f t="shared" si="6"/>
        <v>0</v>
      </c>
      <c r="F54" s="45">
        <v>0</v>
      </c>
      <c r="G54" s="45">
        <f t="shared" si="9"/>
        <v>0</v>
      </c>
      <c r="H54" s="45">
        <f t="shared" si="2"/>
        <v>0</v>
      </c>
      <c r="I54" s="45">
        <f t="shared" si="8"/>
        <v>0</v>
      </c>
      <c r="J54" s="45">
        <v>0</v>
      </c>
      <c r="K54" s="45">
        <f t="shared" si="10"/>
        <v>0</v>
      </c>
      <c r="L54" s="53">
        <f t="shared" si="3"/>
        <v>0</v>
      </c>
    </row>
    <row r="55" spans="1:12" s="5" customFormat="1" ht="14.85" customHeight="1" x14ac:dyDescent="0.25">
      <c r="A55" s="43" t="s">
        <v>85</v>
      </c>
      <c r="B55" s="44" t="s">
        <v>86</v>
      </c>
      <c r="C55" s="45">
        <v>107253</v>
      </c>
      <c r="D55" s="45">
        <v>107253</v>
      </c>
      <c r="E55" s="61">
        <f>F55-978.5</f>
        <v>3168</v>
      </c>
      <c r="F55" s="45">
        <v>4146.5</v>
      </c>
      <c r="G55" s="45">
        <f t="shared" si="9"/>
        <v>7.1053652162204283E-6</v>
      </c>
      <c r="H55" s="45">
        <f t="shared" si="2"/>
        <v>103106.5</v>
      </c>
      <c r="I55" s="45">
        <f>J55-978.5</f>
        <v>3168</v>
      </c>
      <c r="J55" s="45">
        <v>4146.5</v>
      </c>
      <c r="K55" s="45">
        <f t="shared" si="10"/>
        <v>7.9981487677018474E-6</v>
      </c>
      <c r="L55" s="53">
        <f t="shared" si="3"/>
        <v>103106.5</v>
      </c>
    </row>
    <row r="56" spans="1:12" s="5" customFormat="1" ht="14.85" customHeight="1" x14ac:dyDescent="0.25">
      <c r="A56" s="43" t="s">
        <v>87</v>
      </c>
      <c r="B56" s="44" t="s">
        <v>88</v>
      </c>
      <c r="C56" s="45">
        <v>0</v>
      </c>
      <c r="D56" s="45">
        <v>0</v>
      </c>
      <c r="E56" s="61">
        <f t="shared" si="6"/>
        <v>0</v>
      </c>
      <c r="F56" s="45">
        <v>0</v>
      </c>
      <c r="G56" s="45">
        <f t="shared" si="9"/>
        <v>0</v>
      </c>
      <c r="H56" s="45">
        <f t="shared" si="2"/>
        <v>0</v>
      </c>
      <c r="I56" s="45">
        <f t="shared" si="8"/>
        <v>0</v>
      </c>
      <c r="J56" s="45">
        <v>0</v>
      </c>
      <c r="K56" s="45">
        <f t="shared" si="10"/>
        <v>0</v>
      </c>
      <c r="L56" s="53">
        <f t="shared" si="3"/>
        <v>0</v>
      </c>
    </row>
    <row r="57" spans="1:12" s="5" customFormat="1" ht="14.85" customHeight="1" x14ac:dyDescent="0.25">
      <c r="A57" s="43" t="s">
        <v>89</v>
      </c>
      <c r="B57" s="44" t="s">
        <v>90</v>
      </c>
      <c r="C57" s="45">
        <v>0</v>
      </c>
      <c r="D57" s="45">
        <v>0</v>
      </c>
      <c r="E57" s="61">
        <f t="shared" si="6"/>
        <v>0</v>
      </c>
      <c r="F57" s="45">
        <v>0</v>
      </c>
      <c r="G57" s="45">
        <f t="shared" si="9"/>
        <v>0</v>
      </c>
      <c r="H57" s="45">
        <f t="shared" si="2"/>
        <v>0</v>
      </c>
      <c r="I57" s="45">
        <f t="shared" si="8"/>
        <v>0</v>
      </c>
      <c r="J57" s="45">
        <v>0</v>
      </c>
      <c r="K57" s="45">
        <f t="shared" si="10"/>
        <v>0</v>
      </c>
      <c r="L57" s="53">
        <f t="shared" si="3"/>
        <v>0</v>
      </c>
    </row>
    <row r="58" spans="1:12" s="5" customFormat="1" ht="14.85" customHeight="1" x14ac:dyDescent="0.25">
      <c r="A58" s="43" t="s">
        <v>91</v>
      </c>
      <c r="B58" s="44" t="s">
        <v>92</v>
      </c>
      <c r="C58" s="45">
        <v>0</v>
      </c>
      <c r="D58" s="45">
        <v>0</v>
      </c>
      <c r="E58" s="61">
        <f t="shared" si="6"/>
        <v>0</v>
      </c>
      <c r="F58" s="45">
        <v>0</v>
      </c>
      <c r="G58" s="45">
        <f t="shared" si="9"/>
        <v>0</v>
      </c>
      <c r="H58" s="45">
        <f t="shared" si="2"/>
        <v>0</v>
      </c>
      <c r="I58" s="45">
        <v>0</v>
      </c>
      <c r="J58" s="45">
        <v>0</v>
      </c>
      <c r="K58" s="45">
        <f t="shared" si="10"/>
        <v>0</v>
      </c>
      <c r="L58" s="53">
        <f t="shared" si="3"/>
        <v>0</v>
      </c>
    </row>
    <row r="59" spans="1:12" s="5" customFormat="1" ht="14.85" customHeight="1" x14ac:dyDescent="0.25">
      <c r="A59" s="43" t="s">
        <v>93</v>
      </c>
      <c r="B59" s="44" t="s">
        <v>94</v>
      </c>
      <c r="C59" s="45">
        <v>1746033188</v>
      </c>
      <c r="D59" s="45">
        <v>1746033188</v>
      </c>
      <c r="E59" s="61">
        <f>F59-491529249.09</f>
        <v>307411611.67000002</v>
      </c>
      <c r="F59" s="94">
        <v>798940860.75999999</v>
      </c>
      <c r="G59" s="45">
        <f t="shared" si="9"/>
        <v>1.3690501873535059</v>
      </c>
      <c r="H59" s="45">
        <f t="shared" si="2"/>
        <v>947092327.24000001</v>
      </c>
      <c r="I59" s="45">
        <f>J59-491529249.09</f>
        <v>307411611.67000002</v>
      </c>
      <c r="J59" s="94">
        <v>798940860.75999999</v>
      </c>
      <c r="K59" s="45">
        <f t="shared" si="10"/>
        <v>1.5410702667199436</v>
      </c>
      <c r="L59" s="53">
        <f t="shared" si="3"/>
        <v>947092327.24000001</v>
      </c>
    </row>
    <row r="60" spans="1:12" s="5" customFormat="1" ht="14.85" customHeight="1" x14ac:dyDescent="0.25">
      <c r="A60" s="43" t="s">
        <v>95</v>
      </c>
      <c r="B60" s="44" t="s">
        <v>96</v>
      </c>
      <c r="C60" s="45">
        <v>0</v>
      </c>
      <c r="D60" s="45">
        <v>0</v>
      </c>
      <c r="E60" s="61">
        <f t="shared" si="6"/>
        <v>0</v>
      </c>
      <c r="F60" s="45">
        <v>0</v>
      </c>
      <c r="G60" s="45">
        <f t="shared" si="9"/>
        <v>0</v>
      </c>
      <c r="H60" s="45">
        <f t="shared" si="2"/>
        <v>0</v>
      </c>
      <c r="I60" s="45">
        <f>J60-0</f>
        <v>0</v>
      </c>
      <c r="J60" s="45">
        <v>0</v>
      </c>
      <c r="K60" s="45">
        <f t="shared" si="10"/>
        <v>0</v>
      </c>
      <c r="L60" s="53">
        <f t="shared" si="3"/>
        <v>0</v>
      </c>
    </row>
    <row r="61" spans="1:12" s="5" customFormat="1" ht="14.85" customHeight="1" x14ac:dyDescent="0.25">
      <c r="A61" s="43" t="s">
        <v>97</v>
      </c>
      <c r="B61" s="44" t="s">
        <v>98</v>
      </c>
      <c r="C61" s="45">
        <v>0</v>
      </c>
      <c r="D61" s="45">
        <v>0</v>
      </c>
      <c r="E61" s="61">
        <f>F61-0</f>
        <v>0</v>
      </c>
      <c r="F61" s="45">
        <v>0</v>
      </c>
      <c r="G61" s="45">
        <f t="shared" si="9"/>
        <v>0</v>
      </c>
      <c r="H61" s="45">
        <f t="shared" si="2"/>
        <v>0</v>
      </c>
      <c r="I61" s="45">
        <f>J61-0</f>
        <v>0</v>
      </c>
      <c r="J61" s="45">
        <v>0</v>
      </c>
      <c r="K61" s="45">
        <f t="shared" si="10"/>
        <v>0</v>
      </c>
      <c r="L61" s="53">
        <f t="shared" si="3"/>
        <v>0</v>
      </c>
    </row>
    <row r="62" spans="1:12" s="5" customFormat="1" ht="14.85" customHeight="1" x14ac:dyDescent="0.25">
      <c r="A62" s="43" t="s">
        <v>99</v>
      </c>
      <c r="B62" s="44" t="s">
        <v>100</v>
      </c>
      <c r="C62" s="45">
        <v>19390666</v>
      </c>
      <c r="D62" s="45">
        <v>19390666</v>
      </c>
      <c r="E62" s="61">
        <f t="shared" si="6"/>
        <v>0</v>
      </c>
      <c r="F62" s="45">
        <v>0</v>
      </c>
      <c r="G62" s="45">
        <f t="shared" si="9"/>
        <v>0</v>
      </c>
      <c r="H62" s="45">
        <f t="shared" si="2"/>
        <v>19390666</v>
      </c>
      <c r="I62" s="45">
        <f>J62-0</f>
        <v>0</v>
      </c>
      <c r="J62" s="45">
        <v>0</v>
      </c>
      <c r="K62" s="45">
        <f t="shared" si="10"/>
        <v>0</v>
      </c>
      <c r="L62" s="53">
        <f t="shared" si="3"/>
        <v>19390666</v>
      </c>
    </row>
    <row r="63" spans="1:12" s="5" customFormat="1" ht="14.85" customHeight="1" x14ac:dyDescent="0.25">
      <c r="A63" s="66" t="s">
        <v>101</v>
      </c>
      <c r="B63" s="70" t="s">
        <v>102</v>
      </c>
      <c r="C63" s="42">
        <f>SUM(C64:C86)</f>
        <v>18654364401</v>
      </c>
      <c r="D63" s="42">
        <f>SUM(D64:D86)</f>
        <v>19337093685.119999</v>
      </c>
      <c r="E63" s="98">
        <f>SUM(E64:E86)</f>
        <v>3343267395.1599994</v>
      </c>
      <c r="F63" s="42">
        <f>SUM(F64:F86)</f>
        <v>8910719924.5899982</v>
      </c>
      <c r="G63" s="42">
        <f t="shared" si="9"/>
        <v>15.269243796856166</v>
      </c>
      <c r="H63" s="42">
        <f t="shared" si="2"/>
        <v>10426373760.530001</v>
      </c>
      <c r="I63" s="42">
        <f>SUM(I64:I86)</f>
        <v>3216772185.0500002</v>
      </c>
      <c r="J63" s="42">
        <f>SUM(J64:J86)</f>
        <v>8144700392.6099987</v>
      </c>
      <c r="K63" s="42">
        <f t="shared" si="10"/>
        <v>15.71024367742781</v>
      </c>
      <c r="L63" s="57">
        <f t="shared" si="3"/>
        <v>11192393292.51</v>
      </c>
    </row>
    <row r="64" spans="1:12" s="5" customFormat="1" ht="14.85" customHeight="1" x14ac:dyDescent="0.25">
      <c r="A64" s="43" t="s">
        <v>48</v>
      </c>
      <c r="B64" s="44" t="s">
        <v>103</v>
      </c>
      <c r="C64" s="45">
        <v>0</v>
      </c>
      <c r="D64" s="45">
        <v>0</v>
      </c>
      <c r="E64" s="61">
        <f t="shared" ref="E64:E86" si="11">F64-0</f>
        <v>0</v>
      </c>
      <c r="F64" s="45">
        <v>0</v>
      </c>
      <c r="G64" s="45">
        <f t="shared" si="9"/>
        <v>0</v>
      </c>
      <c r="H64" s="45">
        <f t="shared" si="2"/>
        <v>0</v>
      </c>
      <c r="I64" s="45">
        <f t="shared" ref="I64:I86" si="12">J64-0</f>
        <v>0</v>
      </c>
      <c r="J64" s="45">
        <v>0</v>
      </c>
      <c r="K64" s="45">
        <f t="shared" si="10"/>
        <v>0</v>
      </c>
      <c r="L64" s="53">
        <f t="shared" si="3"/>
        <v>0</v>
      </c>
    </row>
    <row r="65" spans="1:12" s="5" customFormat="1" ht="14.85" customHeight="1" x14ac:dyDescent="0.25">
      <c r="A65" s="43" t="s">
        <v>30</v>
      </c>
      <c r="B65" s="44" t="s">
        <v>31</v>
      </c>
      <c r="C65" s="94">
        <v>16175115986</v>
      </c>
      <c r="D65" s="94">
        <v>16635908436.67</v>
      </c>
      <c r="E65" s="61">
        <f>F65-4844931000.23</f>
        <v>2862657820.3800001</v>
      </c>
      <c r="F65" s="45">
        <v>7707588820.6099997</v>
      </c>
      <c r="G65" s="45">
        <f t="shared" si="9"/>
        <v>13.207580732398824</v>
      </c>
      <c r="H65" s="45">
        <f t="shared" si="2"/>
        <v>8928319616.0600014</v>
      </c>
      <c r="I65" s="45">
        <f>J65-4641972334.88</f>
        <v>2835671596.8699999</v>
      </c>
      <c r="J65" s="45">
        <v>7477643931.75</v>
      </c>
      <c r="K65" s="45">
        <f t="shared" si="10"/>
        <v>14.423564113840456</v>
      </c>
      <c r="L65" s="53">
        <f t="shared" si="3"/>
        <v>9158264504.9200001</v>
      </c>
    </row>
    <row r="66" spans="1:12" s="5" customFormat="1" ht="14.85" customHeight="1" x14ac:dyDescent="0.25">
      <c r="A66" s="43" t="s">
        <v>65</v>
      </c>
      <c r="B66" s="44" t="s">
        <v>66</v>
      </c>
      <c r="C66" s="45">
        <v>747482909</v>
      </c>
      <c r="D66" s="45">
        <v>620058873.54999995</v>
      </c>
      <c r="E66" s="61">
        <f>F66-125623835.23</f>
        <v>79715151.209999993</v>
      </c>
      <c r="F66" s="45">
        <v>205338986.44</v>
      </c>
      <c r="G66" s="45">
        <f t="shared" si="9"/>
        <v>0.35186506494265868</v>
      </c>
      <c r="H66" s="45">
        <f t="shared" si="2"/>
        <v>414719887.10999995</v>
      </c>
      <c r="I66" s="45">
        <f>J66-47993553.19</f>
        <v>39776714.870000005</v>
      </c>
      <c r="J66" s="45">
        <v>87770268.060000002</v>
      </c>
      <c r="K66" s="45">
        <f t="shared" si="10"/>
        <v>0.16929932746290843</v>
      </c>
      <c r="L66" s="53">
        <f t="shared" si="3"/>
        <v>532288605.48999995</v>
      </c>
    </row>
    <row r="67" spans="1:12" s="5" customFormat="1" ht="14.85" customHeight="1" x14ac:dyDescent="0.25">
      <c r="A67" s="64" t="s">
        <v>32</v>
      </c>
      <c r="B67" s="65" t="s">
        <v>33</v>
      </c>
      <c r="C67" s="45">
        <v>180957629</v>
      </c>
      <c r="D67" s="45">
        <v>181103945.69999999</v>
      </c>
      <c r="E67" s="61">
        <f>F67-46075840.28</f>
        <v>48269060.709999993</v>
      </c>
      <c r="F67" s="45">
        <v>94344900.989999995</v>
      </c>
      <c r="G67" s="45">
        <f t="shared" si="9"/>
        <v>0.16166766618162456</v>
      </c>
      <c r="H67" s="45">
        <f t="shared" si="2"/>
        <v>86759044.709999993</v>
      </c>
      <c r="I67" s="45">
        <f>J67-12474125.95</f>
        <v>14122213.530000001</v>
      </c>
      <c r="J67" s="45">
        <v>26596339.48</v>
      </c>
      <c r="K67" s="45">
        <f t="shared" si="10"/>
        <v>5.1301454199286618E-2</v>
      </c>
      <c r="L67" s="53">
        <f t="shared" si="3"/>
        <v>154507606.22</v>
      </c>
    </row>
    <row r="68" spans="1:12" s="5" customFormat="1" ht="14.85" customHeight="1" x14ac:dyDescent="0.25">
      <c r="A68" s="43" t="s">
        <v>34</v>
      </c>
      <c r="B68" s="44" t="s">
        <v>35</v>
      </c>
      <c r="C68" s="45">
        <v>4715521</v>
      </c>
      <c r="D68" s="45">
        <v>7803399.5</v>
      </c>
      <c r="E68" s="61">
        <f>F68-733278.78</f>
        <v>1864804.43</v>
      </c>
      <c r="F68" s="45">
        <v>2598083.21</v>
      </c>
      <c r="G68" s="45">
        <f t="shared" si="9"/>
        <v>4.4520270274159687E-3</v>
      </c>
      <c r="H68" s="45">
        <f t="shared" si="2"/>
        <v>5205316.29</v>
      </c>
      <c r="I68" s="45">
        <f>J68-332315.86</f>
        <v>1414868.92</v>
      </c>
      <c r="J68" s="45">
        <v>1747184.78</v>
      </c>
      <c r="K68" s="45">
        <f t="shared" si="10"/>
        <v>3.3701299397333709E-3</v>
      </c>
      <c r="L68" s="53">
        <f t="shared" si="3"/>
        <v>6056214.7199999997</v>
      </c>
    </row>
    <row r="69" spans="1:12" s="5" customFormat="1" ht="14.85" customHeight="1" x14ac:dyDescent="0.25">
      <c r="A69" s="43" t="s">
        <v>104</v>
      </c>
      <c r="B69" s="44" t="s">
        <v>105</v>
      </c>
      <c r="C69" s="45">
        <v>405255925</v>
      </c>
      <c r="D69" s="45">
        <v>513479790.73000002</v>
      </c>
      <c r="E69" s="61">
        <f>F69-171830326.25</f>
        <v>98404134.160000026</v>
      </c>
      <c r="F69" s="45">
        <v>270234460.41000003</v>
      </c>
      <c r="G69" s="45">
        <f t="shared" si="9"/>
        <v>0.46306874116033059</v>
      </c>
      <c r="H69" s="45">
        <f t="shared" si="2"/>
        <v>243245330.31999999</v>
      </c>
      <c r="I69" s="45">
        <f>J69-27757939.09</f>
        <v>114212511.75</v>
      </c>
      <c r="J69" s="45">
        <v>141970450.84</v>
      </c>
      <c r="K69" s="45">
        <f t="shared" si="10"/>
        <v>0.27384560145569076</v>
      </c>
      <c r="L69" s="53">
        <f t="shared" si="3"/>
        <v>371509339.88999999</v>
      </c>
    </row>
    <row r="70" spans="1:12" s="5" customFormat="1" ht="14.85" customHeight="1" x14ac:dyDescent="0.25">
      <c r="A70" s="43" t="s">
        <v>106</v>
      </c>
      <c r="B70" s="44" t="s">
        <v>107</v>
      </c>
      <c r="C70" s="45">
        <v>264135198</v>
      </c>
      <c r="D70" s="45">
        <v>361013868.52999997</v>
      </c>
      <c r="E70" s="61">
        <f>F70-80781148.49</f>
        <v>59794927.260000005</v>
      </c>
      <c r="F70" s="45">
        <v>140576075.75</v>
      </c>
      <c r="G70" s="45">
        <f t="shared" si="9"/>
        <v>0.24088854669403548</v>
      </c>
      <c r="H70" s="45">
        <f t="shared" si="2"/>
        <v>220437792.77999997</v>
      </c>
      <c r="I70" s="45">
        <f>J70-53143317.19</f>
        <v>48761035.629999995</v>
      </c>
      <c r="J70" s="45">
        <v>101904352.81999999</v>
      </c>
      <c r="K70" s="45">
        <f t="shared" si="10"/>
        <v>0.19656244397220235</v>
      </c>
      <c r="L70" s="53">
        <f t="shared" si="3"/>
        <v>259109515.70999998</v>
      </c>
    </row>
    <row r="71" spans="1:12" s="5" customFormat="1" ht="14.85" customHeight="1" x14ac:dyDescent="0.25">
      <c r="A71" s="43" t="s">
        <v>73</v>
      </c>
      <c r="B71" s="44" t="s">
        <v>74</v>
      </c>
      <c r="C71" s="45">
        <v>2326025</v>
      </c>
      <c r="D71" s="45">
        <v>1369096.18</v>
      </c>
      <c r="E71" s="61">
        <f>F71-953166.78</f>
        <v>0</v>
      </c>
      <c r="F71" s="45">
        <v>953166.78</v>
      </c>
      <c r="G71" s="45">
        <f t="shared" si="9"/>
        <v>1.6333288517710915E-3</v>
      </c>
      <c r="H71" s="45">
        <f t="shared" si="2"/>
        <v>415929.39999999991</v>
      </c>
      <c r="I71" s="45">
        <f>J71-501311.52</f>
        <v>334207.67999999993</v>
      </c>
      <c r="J71" s="45">
        <v>835519.2</v>
      </c>
      <c r="K71" s="45">
        <f t="shared" si="10"/>
        <v>1.6116259158015752E-3</v>
      </c>
      <c r="L71" s="53">
        <f t="shared" si="3"/>
        <v>533576.98</v>
      </c>
    </row>
    <row r="72" spans="1:12" s="5" customFormat="1" ht="14.85" customHeight="1" x14ac:dyDescent="0.25">
      <c r="A72" s="43" t="s">
        <v>108</v>
      </c>
      <c r="B72" s="44" t="s">
        <v>109</v>
      </c>
      <c r="C72" s="45">
        <v>0</v>
      </c>
      <c r="D72" s="45">
        <v>0</v>
      </c>
      <c r="E72" s="61">
        <f t="shared" si="11"/>
        <v>0</v>
      </c>
      <c r="F72" s="45">
        <v>0</v>
      </c>
      <c r="G72" s="45">
        <f t="shared" si="9"/>
        <v>0</v>
      </c>
      <c r="H72" s="45">
        <f t="shared" si="2"/>
        <v>0</v>
      </c>
      <c r="I72" s="45">
        <f t="shared" si="12"/>
        <v>0</v>
      </c>
      <c r="J72" s="45">
        <v>0</v>
      </c>
      <c r="K72" s="45">
        <f t="shared" si="10"/>
        <v>0</v>
      </c>
      <c r="L72" s="53">
        <f t="shared" si="3"/>
        <v>0</v>
      </c>
    </row>
    <row r="73" spans="1:12" s="5" customFormat="1" ht="14.85" customHeight="1" x14ac:dyDescent="0.25">
      <c r="A73" s="43" t="s">
        <v>110</v>
      </c>
      <c r="B73" s="44" t="s">
        <v>111</v>
      </c>
      <c r="C73" s="45">
        <v>0</v>
      </c>
      <c r="D73" s="45">
        <v>0</v>
      </c>
      <c r="E73" s="61">
        <f t="shared" si="11"/>
        <v>0</v>
      </c>
      <c r="F73" s="45">
        <v>0</v>
      </c>
      <c r="G73" s="45">
        <f t="shared" si="9"/>
        <v>0</v>
      </c>
      <c r="H73" s="45">
        <f t="shared" si="2"/>
        <v>0</v>
      </c>
      <c r="I73" s="45">
        <f t="shared" si="12"/>
        <v>0</v>
      </c>
      <c r="J73" s="45">
        <v>0</v>
      </c>
      <c r="K73" s="45">
        <f t="shared" si="10"/>
        <v>0</v>
      </c>
      <c r="L73" s="53">
        <f t="shared" si="3"/>
        <v>0</v>
      </c>
    </row>
    <row r="74" spans="1:12" s="5" customFormat="1" ht="14.85" customHeight="1" x14ac:dyDescent="0.25">
      <c r="A74" s="43" t="s">
        <v>112</v>
      </c>
      <c r="B74" s="44" t="s">
        <v>113</v>
      </c>
      <c r="C74" s="45">
        <v>0</v>
      </c>
      <c r="D74" s="45">
        <v>0</v>
      </c>
      <c r="E74" s="61">
        <f t="shared" si="11"/>
        <v>0</v>
      </c>
      <c r="F74" s="45">
        <v>0</v>
      </c>
      <c r="G74" s="45">
        <f t="shared" si="9"/>
        <v>0</v>
      </c>
      <c r="H74" s="45">
        <f t="shared" si="2"/>
        <v>0</v>
      </c>
      <c r="I74" s="45">
        <f t="shared" si="12"/>
        <v>0</v>
      </c>
      <c r="J74" s="45">
        <v>0</v>
      </c>
      <c r="K74" s="45">
        <f t="shared" si="10"/>
        <v>0</v>
      </c>
      <c r="L74" s="53">
        <f t="shared" si="3"/>
        <v>0</v>
      </c>
    </row>
    <row r="75" spans="1:12" s="5" customFormat="1" ht="14.85" customHeight="1" x14ac:dyDescent="0.25">
      <c r="A75" s="43" t="s">
        <v>114</v>
      </c>
      <c r="B75" s="44" t="s">
        <v>115</v>
      </c>
      <c r="C75" s="45">
        <v>0</v>
      </c>
      <c r="D75" s="45">
        <v>0</v>
      </c>
      <c r="E75" s="61">
        <f t="shared" si="11"/>
        <v>0</v>
      </c>
      <c r="F75" s="45">
        <v>0</v>
      </c>
      <c r="G75" s="45">
        <f t="shared" si="9"/>
        <v>0</v>
      </c>
      <c r="H75" s="45">
        <f t="shared" si="2"/>
        <v>0</v>
      </c>
      <c r="I75" s="45">
        <f t="shared" si="12"/>
        <v>0</v>
      </c>
      <c r="J75" s="45">
        <v>0</v>
      </c>
      <c r="K75" s="45">
        <f t="shared" si="10"/>
        <v>0</v>
      </c>
      <c r="L75" s="53">
        <f t="shared" si="3"/>
        <v>0</v>
      </c>
    </row>
    <row r="76" spans="1:12" s="5" customFormat="1" ht="14.85" customHeight="1" x14ac:dyDescent="0.25">
      <c r="A76" s="43" t="s">
        <v>116</v>
      </c>
      <c r="B76" s="44" t="s">
        <v>117</v>
      </c>
      <c r="C76" s="94">
        <v>131396354</v>
      </c>
      <c r="D76" s="94">
        <v>214537752</v>
      </c>
      <c r="E76" s="61">
        <f>F76-85810783.42</f>
        <v>32143459.239999995</v>
      </c>
      <c r="F76" s="94">
        <v>117954242.66</v>
      </c>
      <c r="G76" s="45">
        <f t="shared" si="9"/>
        <v>0.20212419459833297</v>
      </c>
      <c r="H76" s="45">
        <f t="shared" si="2"/>
        <v>96583509.340000004</v>
      </c>
      <c r="I76" s="45">
        <f>J76-14963047.44</f>
        <v>37481188</v>
      </c>
      <c r="J76" s="94">
        <v>52444235.439999998</v>
      </c>
      <c r="K76" s="45">
        <f t="shared" si="10"/>
        <v>0.10115924202520235</v>
      </c>
      <c r="L76" s="53">
        <f t="shared" si="3"/>
        <v>162093516.56</v>
      </c>
    </row>
    <row r="77" spans="1:12" s="5" customFormat="1" ht="14.85" customHeight="1" x14ac:dyDescent="0.25">
      <c r="A77" s="43" t="s">
        <v>118</v>
      </c>
      <c r="B77" s="44" t="s">
        <v>119</v>
      </c>
      <c r="C77" s="94">
        <v>256598727</v>
      </c>
      <c r="D77" s="94">
        <v>256598727</v>
      </c>
      <c r="E77" s="61">
        <f>F77-58803970.87</f>
        <v>72942799.099999994</v>
      </c>
      <c r="F77" s="94">
        <v>131746769.97</v>
      </c>
      <c r="G77" s="45">
        <f t="shared" ref="G77:G108" si="13">(F77/$F$307)*100</f>
        <v>0.22575881265988959</v>
      </c>
      <c r="H77" s="45">
        <f t="shared" si="2"/>
        <v>124851957.03</v>
      </c>
      <c r="I77" s="45">
        <f>J77-58774141.35</f>
        <v>33618641.229999997</v>
      </c>
      <c r="J77" s="94">
        <v>92392782.579999998</v>
      </c>
      <c r="K77" s="45">
        <f t="shared" ref="K77:K108" si="14">(J77/$J$307)*100</f>
        <v>0.17821565661082156</v>
      </c>
      <c r="L77" s="53">
        <f t="shared" si="3"/>
        <v>164205944.42000002</v>
      </c>
    </row>
    <row r="78" spans="1:12" s="5" customFormat="1" ht="14.85" customHeight="1" x14ac:dyDescent="0.25">
      <c r="A78" s="43" t="s">
        <v>120</v>
      </c>
      <c r="B78" s="44" t="s">
        <v>121</v>
      </c>
      <c r="C78" s="45">
        <v>0</v>
      </c>
      <c r="D78" s="45">
        <v>0</v>
      </c>
      <c r="E78" s="61">
        <f t="shared" si="11"/>
        <v>0</v>
      </c>
      <c r="F78" s="45">
        <v>0</v>
      </c>
      <c r="G78" s="45">
        <f t="shared" si="13"/>
        <v>0</v>
      </c>
      <c r="H78" s="45">
        <f t="shared" si="2"/>
        <v>0</v>
      </c>
      <c r="I78" s="45">
        <f t="shared" si="12"/>
        <v>0</v>
      </c>
      <c r="J78" s="45">
        <v>0</v>
      </c>
      <c r="K78" s="45">
        <f t="shared" si="14"/>
        <v>0</v>
      </c>
      <c r="L78" s="53">
        <f t="shared" si="3"/>
        <v>0</v>
      </c>
    </row>
    <row r="79" spans="1:12" s="5" customFormat="1" ht="14.85" customHeight="1" x14ac:dyDescent="0.25">
      <c r="A79" s="43" t="s">
        <v>122</v>
      </c>
      <c r="B79" s="44" t="s">
        <v>123</v>
      </c>
      <c r="C79" s="45">
        <v>0</v>
      </c>
      <c r="D79" s="45">
        <v>0</v>
      </c>
      <c r="E79" s="61">
        <f t="shared" si="11"/>
        <v>0</v>
      </c>
      <c r="F79" s="45">
        <v>0</v>
      </c>
      <c r="G79" s="45">
        <f t="shared" si="13"/>
        <v>0</v>
      </c>
      <c r="H79" s="45">
        <f t="shared" ref="H79:H137" si="15">D79-F79</f>
        <v>0</v>
      </c>
      <c r="I79" s="45">
        <f t="shared" si="12"/>
        <v>0</v>
      </c>
      <c r="J79" s="45">
        <v>0</v>
      </c>
      <c r="K79" s="45">
        <f t="shared" si="14"/>
        <v>0</v>
      </c>
      <c r="L79" s="53">
        <f t="shared" ref="L79:L137" si="16">D79-J79</f>
        <v>0</v>
      </c>
    </row>
    <row r="80" spans="1:12" s="5" customFormat="1" ht="14.85" customHeight="1" x14ac:dyDescent="0.25">
      <c r="A80" s="43" t="s">
        <v>124</v>
      </c>
      <c r="B80" s="44" t="s">
        <v>125</v>
      </c>
      <c r="C80" s="45">
        <v>0</v>
      </c>
      <c r="D80" s="45">
        <v>0</v>
      </c>
      <c r="E80" s="61">
        <f t="shared" si="11"/>
        <v>0</v>
      </c>
      <c r="F80" s="45">
        <v>0</v>
      </c>
      <c r="G80" s="45">
        <f t="shared" si="13"/>
        <v>0</v>
      </c>
      <c r="H80" s="45">
        <f t="shared" si="15"/>
        <v>0</v>
      </c>
      <c r="I80" s="45">
        <f t="shared" si="12"/>
        <v>0</v>
      </c>
      <c r="J80" s="45">
        <v>0</v>
      </c>
      <c r="K80" s="45">
        <f t="shared" si="14"/>
        <v>0</v>
      </c>
      <c r="L80" s="53">
        <f t="shared" si="16"/>
        <v>0</v>
      </c>
    </row>
    <row r="81" spans="1:12" s="5" customFormat="1" ht="14.85" customHeight="1" x14ac:dyDescent="0.25">
      <c r="A81" s="43" t="s">
        <v>75</v>
      </c>
      <c r="B81" s="44" t="s">
        <v>76</v>
      </c>
      <c r="C81" s="94">
        <v>267251607</v>
      </c>
      <c r="D81" s="94">
        <v>321191966.44</v>
      </c>
      <c r="E81" s="61">
        <f>F81-70301813.02</f>
        <v>16256234.390000001</v>
      </c>
      <c r="F81" s="94">
        <v>86558047.409999996</v>
      </c>
      <c r="G81" s="45">
        <f t="shared" si="13"/>
        <v>0.14832425883298511</v>
      </c>
      <c r="H81" s="45">
        <f t="shared" si="15"/>
        <v>234633919.03</v>
      </c>
      <c r="I81" s="45">
        <f>J81-27064114.5</f>
        <v>26328374.850000001</v>
      </c>
      <c r="J81" s="94">
        <v>53392489.350000001</v>
      </c>
      <c r="K81" s="45">
        <f t="shared" si="14"/>
        <v>0.1029883209693082</v>
      </c>
      <c r="L81" s="53">
        <f t="shared" si="16"/>
        <v>267799477.09</v>
      </c>
    </row>
    <row r="82" spans="1:12" s="5" customFormat="1" ht="14.85" customHeight="1" x14ac:dyDescent="0.25">
      <c r="A82" s="43" t="s">
        <v>40</v>
      </c>
      <c r="B82" s="44" t="s">
        <v>41</v>
      </c>
      <c r="C82" s="94">
        <v>207205926</v>
      </c>
      <c r="D82" s="94">
        <v>208162854.81999999</v>
      </c>
      <c r="E82" s="61">
        <f>F82-73071727.5</f>
        <v>64637468.849999994</v>
      </c>
      <c r="F82" s="94">
        <v>137709196.34999999</v>
      </c>
      <c r="G82" s="45">
        <f t="shared" si="13"/>
        <v>0.23597591551886149</v>
      </c>
      <c r="H82" s="45">
        <f t="shared" si="15"/>
        <v>70453658.469999999</v>
      </c>
      <c r="I82" s="45">
        <f>J82-39828513.04</f>
        <v>61975014.529999994</v>
      </c>
      <c r="J82" s="94">
        <v>101803527.56999999</v>
      </c>
      <c r="K82" s="45">
        <f t="shared" si="14"/>
        <v>0.19636796300052969</v>
      </c>
      <c r="L82" s="53">
        <f t="shared" si="16"/>
        <v>106359327.25</v>
      </c>
    </row>
    <row r="83" spans="1:12" s="5" customFormat="1" ht="14.85" customHeight="1" x14ac:dyDescent="0.25">
      <c r="A83" s="43" t="s">
        <v>126</v>
      </c>
      <c r="B83" s="44" t="s">
        <v>127</v>
      </c>
      <c r="C83" s="94">
        <v>11922594</v>
      </c>
      <c r="D83" s="94">
        <v>15864974</v>
      </c>
      <c r="E83" s="61">
        <f>F83-8535638.58</f>
        <v>6581535.4299999997</v>
      </c>
      <c r="F83" s="94">
        <v>15117174.01</v>
      </c>
      <c r="G83" s="45">
        <f t="shared" si="13"/>
        <v>2.5904507989438198E-2</v>
      </c>
      <c r="H83" s="45">
        <f t="shared" si="15"/>
        <v>747799.99000000022</v>
      </c>
      <c r="I83" s="45">
        <f>J83-3123493.55</f>
        <v>3075817.1900000004</v>
      </c>
      <c r="J83" s="94">
        <v>6199310.7400000002</v>
      </c>
      <c r="K83" s="45">
        <f t="shared" si="14"/>
        <v>1.1957798035869245E-2</v>
      </c>
      <c r="L83" s="53">
        <f t="shared" si="16"/>
        <v>9665663.2599999998</v>
      </c>
    </row>
    <row r="84" spans="1:12" s="5" customFormat="1" ht="14.85" customHeight="1" x14ac:dyDescent="0.25">
      <c r="A84" s="43" t="s">
        <v>128</v>
      </c>
      <c r="B84" s="44" t="s">
        <v>129</v>
      </c>
      <c r="C84" s="45">
        <v>0</v>
      </c>
      <c r="D84" s="45">
        <v>0</v>
      </c>
      <c r="E84" s="61">
        <f t="shared" si="11"/>
        <v>0</v>
      </c>
      <c r="F84" s="45">
        <v>0</v>
      </c>
      <c r="G84" s="45">
        <f t="shared" si="13"/>
        <v>0</v>
      </c>
      <c r="H84" s="45">
        <f t="shared" si="15"/>
        <v>0</v>
      </c>
      <c r="I84" s="45">
        <f t="shared" si="12"/>
        <v>0</v>
      </c>
      <c r="J84" s="45">
        <v>0</v>
      </c>
      <c r="K84" s="45">
        <f t="shared" si="14"/>
        <v>0</v>
      </c>
      <c r="L84" s="53">
        <f t="shared" si="16"/>
        <v>0</v>
      </c>
    </row>
    <row r="85" spans="1:12" s="5" customFormat="1" ht="14.85" customHeight="1" x14ac:dyDescent="0.25">
      <c r="A85" s="43" t="s">
        <v>130</v>
      </c>
      <c r="B85" s="44" t="s">
        <v>131</v>
      </c>
      <c r="C85" s="45">
        <v>0</v>
      </c>
      <c r="D85" s="45">
        <v>0</v>
      </c>
      <c r="E85" s="61">
        <f t="shared" si="11"/>
        <v>0</v>
      </c>
      <c r="F85" s="45">
        <v>0</v>
      </c>
      <c r="G85" s="45">
        <f t="shared" si="13"/>
        <v>0</v>
      </c>
      <c r="H85" s="45">
        <f t="shared" si="15"/>
        <v>0</v>
      </c>
      <c r="I85" s="45">
        <f t="shared" si="12"/>
        <v>0</v>
      </c>
      <c r="J85" s="45">
        <v>0</v>
      </c>
      <c r="K85" s="45">
        <f t="shared" si="14"/>
        <v>0</v>
      </c>
      <c r="L85" s="53">
        <f t="shared" si="16"/>
        <v>0</v>
      </c>
    </row>
    <row r="86" spans="1:12" s="5" customFormat="1" ht="14.85" customHeight="1" x14ac:dyDescent="0.25">
      <c r="A86" s="43" t="s">
        <v>132</v>
      </c>
      <c r="B86" s="44" t="s">
        <v>133</v>
      </c>
      <c r="C86" s="45">
        <v>0</v>
      </c>
      <c r="D86" s="45">
        <v>0</v>
      </c>
      <c r="E86" s="61">
        <f t="shared" si="11"/>
        <v>0</v>
      </c>
      <c r="F86" s="45">
        <v>0</v>
      </c>
      <c r="G86" s="45">
        <f t="shared" si="13"/>
        <v>0</v>
      </c>
      <c r="H86" s="45">
        <f t="shared" si="15"/>
        <v>0</v>
      </c>
      <c r="I86" s="45">
        <f t="shared" si="12"/>
        <v>0</v>
      </c>
      <c r="J86" s="45">
        <v>0</v>
      </c>
      <c r="K86" s="45">
        <f t="shared" si="14"/>
        <v>0</v>
      </c>
      <c r="L86" s="53">
        <f t="shared" si="16"/>
        <v>0</v>
      </c>
    </row>
    <row r="87" spans="1:12" s="5" customFormat="1" ht="14.85" customHeight="1" x14ac:dyDescent="0.25">
      <c r="A87" s="40" t="s">
        <v>134</v>
      </c>
      <c r="B87" s="70" t="s">
        <v>135</v>
      </c>
      <c r="C87" s="42">
        <f>SUM(C88:C100)</f>
        <v>1177609478</v>
      </c>
      <c r="D87" s="42">
        <f>SUM(D88:D100)</f>
        <v>1234011577.9300001</v>
      </c>
      <c r="E87" s="98">
        <f>SUM(E88:E100)</f>
        <v>202131327.22999999</v>
      </c>
      <c r="F87" s="42">
        <f>SUM(F88:F100)</f>
        <v>425293637.67999995</v>
      </c>
      <c r="G87" s="42">
        <f t="shared" si="13"/>
        <v>0.72877526102769219</v>
      </c>
      <c r="H87" s="42">
        <f t="shared" si="15"/>
        <v>808717940.25000012</v>
      </c>
      <c r="I87" s="42">
        <f>SUM(I88:I100)</f>
        <v>171013164.74999997</v>
      </c>
      <c r="J87" s="42">
        <f>SUM(J88:J100)</f>
        <v>347321228.72999996</v>
      </c>
      <c r="K87" s="42">
        <f t="shared" si="14"/>
        <v>0.66994497951610765</v>
      </c>
      <c r="L87" s="57">
        <f t="shared" si="16"/>
        <v>886690349.20000005</v>
      </c>
    </row>
    <row r="88" spans="1:12" s="5" customFormat="1" ht="14.85" customHeight="1" x14ac:dyDescent="0.25">
      <c r="A88" s="43" t="s">
        <v>30</v>
      </c>
      <c r="B88" s="44" t="s">
        <v>31</v>
      </c>
      <c r="C88" s="94">
        <v>137769115</v>
      </c>
      <c r="D88" s="94">
        <v>139317760.52000001</v>
      </c>
      <c r="E88" s="61">
        <f>F88-41059890.81</f>
        <v>25974639.369999997</v>
      </c>
      <c r="F88" s="94">
        <v>67034530.18</v>
      </c>
      <c r="G88" s="45">
        <f t="shared" si="13"/>
        <v>0.1148691231223081</v>
      </c>
      <c r="H88" s="45">
        <f t="shared" si="15"/>
        <v>72283230.340000004</v>
      </c>
      <c r="I88" s="45">
        <f>J88-35841865.68</f>
        <v>22317828.079999998</v>
      </c>
      <c r="J88" s="94">
        <v>58159693.759999998</v>
      </c>
      <c r="K88" s="45">
        <f t="shared" si="14"/>
        <v>0.11218374122186441</v>
      </c>
      <c r="L88" s="53">
        <f t="shared" si="16"/>
        <v>81158066.76000002</v>
      </c>
    </row>
    <row r="89" spans="1:12" s="5" customFormat="1" ht="14.85" customHeight="1" x14ac:dyDescent="0.25">
      <c r="A89" s="43" t="s">
        <v>34</v>
      </c>
      <c r="B89" s="44" t="s">
        <v>35</v>
      </c>
      <c r="C89" s="45">
        <v>0</v>
      </c>
      <c r="D89" s="45">
        <v>0</v>
      </c>
      <c r="E89" s="61">
        <f t="shared" ref="E89:E100" si="17">F89-0</f>
        <v>0</v>
      </c>
      <c r="F89" s="45">
        <v>0</v>
      </c>
      <c r="G89" s="45">
        <f t="shared" si="13"/>
        <v>0</v>
      </c>
      <c r="H89" s="45">
        <f t="shared" si="15"/>
        <v>0</v>
      </c>
      <c r="I89" s="45">
        <f>J89-0</f>
        <v>0</v>
      </c>
      <c r="J89" s="45">
        <v>0</v>
      </c>
      <c r="K89" s="45">
        <f t="shared" si="14"/>
        <v>0</v>
      </c>
      <c r="L89" s="53">
        <f t="shared" si="16"/>
        <v>0</v>
      </c>
    </row>
    <row r="90" spans="1:12" s="5" customFormat="1" ht="14.85" customHeight="1" x14ac:dyDescent="0.25">
      <c r="A90" s="43" t="s">
        <v>36</v>
      </c>
      <c r="B90" s="44" t="s">
        <v>37</v>
      </c>
      <c r="C90" s="45">
        <v>0</v>
      </c>
      <c r="D90" s="45">
        <v>0</v>
      </c>
      <c r="E90" s="61">
        <f t="shared" si="17"/>
        <v>0</v>
      </c>
      <c r="F90" s="45">
        <v>0</v>
      </c>
      <c r="G90" s="45">
        <f t="shared" si="13"/>
        <v>0</v>
      </c>
      <c r="H90" s="45">
        <f t="shared" si="15"/>
        <v>0</v>
      </c>
      <c r="I90" s="45">
        <f>J90-0</f>
        <v>0</v>
      </c>
      <c r="J90" s="45">
        <v>0</v>
      </c>
      <c r="K90" s="45">
        <f t="shared" si="14"/>
        <v>0</v>
      </c>
      <c r="L90" s="53">
        <f t="shared" si="16"/>
        <v>0</v>
      </c>
    </row>
    <row r="91" spans="1:12" s="5" customFormat="1" ht="14.85" customHeight="1" x14ac:dyDescent="0.25">
      <c r="A91" s="43" t="s">
        <v>104</v>
      </c>
      <c r="B91" s="44" t="s">
        <v>105</v>
      </c>
      <c r="C91" s="45">
        <v>89126417</v>
      </c>
      <c r="D91" s="45">
        <v>74837704.299999997</v>
      </c>
      <c r="E91" s="61">
        <f>F91-46903242.95</f>
        <v>11741051.919999994</v>
      </c>
      <c r="F91" s="45">
        <v>58644294.869999997</v>
      </c>
      <c r="G91" s="45">
        <f t="shared" si="13"/>
        <v>0.10049177207260872</v>
      </c>
      <c r="H91" s="45">
        <f t="shared" si="15"/>
        <v>16193409.43</v>
      </c>
      <c r="I91" s="45">
        <f>J91-39185764.86</f>
        <v>10973713.700000003</v>
      </c>
      <c r="J91" s="45">
        <v>50159478.560000002</v>
      </c>
      <c r="K91" s="45">
        <f t="shared" si="14"/>
        <v>9.6752193810015971E-2</v>
      </c>
      <c r="L91" s="53">
        <f t="shared" si="16"/>
        <v>24678225.739999995</v>
      </c>
    </row>
    <row r="92" spans="1:12" s="5" customFormat="1" ht="14.85" customHeight="1" x14ac:dyDescent="0.25">
      <c r="A92" s="43" t="s">
        <v>136</v>
      </c>
      <c r="B92" s="44" t="s">
        <v>137</v>
      </c>
      <c r="C92" s="94">
        <v>49907072</v>
      </c>
      <c r="D92" s="94">
        <v>48437513.259999998</v>
      </c>
      <c r="E92" s="61">
        <f>F92-15083788</f>
        <v>11101384.68</v>
      </c>
      <c r="F92" s="94">
        <v>26185172.68</v>
      </c>
      <c r="G92" s="45">
        <f t="shared" si="13"/>
        <v>4.4870424488411303E-2</v>
      </c>
      <c r="H92" s="45">
        <f t="shared" si="15"/>
        <v>22252340.579999998</v>
      </c>
      <c r="I92" s="45">
        <f>J92-14068291.55</f>
        <v>7704249.5599999987</v>
      </c>
      <c r="J92" s="94">
        <v>21772541.109999999</v>
      </c>
      <c r="K92" s="45">
        <f t="shared" si="14"/>
        <v>4.1996870336111006E-2</v>
      </c>
      <c r="L92" s="53">
        <f t="shared" si="16"/>
        <v>26664972.149999999</v>
      </c>
    </row>
    <row r="93" spans="1:12" s="5" customFormat="1" ht="14.85" customHeight="1" x14ac:dyDescent="0.25">
      <c r="A93" s="43" t="s">
        <v>108</v>
      </c>
      <c r="B93" s="44" t="s">
        <v>109</v>
      </c>
      <c r="C93" s="45">
        <v>0</v>
      </c>
      <c r="D93" s="45">
        <v>0</v>
      </c>
      <c r="E93" s="61">
        <f t="shared" si="17"/>
        <v>0</v>
      </c>
      <c r="F93" s="45">
        <v>0</v>
      </c>
      <c r="G93" s="45">
        <f t="shared" si="13"/>
        <v>0</v>
      </c>
      <c r="H93" s="45">
        <f t="shared" si="15"/>
        <v>0</v>
      </c>
      <c r="I93" s="45">
        <f t="shared" ref="I93:I100" si="18">J93-0</f>
        <v>0</v>
      </c>
      <c r="J93" s="45">
        <v>0</v>
      </c>
      <c r="K93" s="45">
        <f t="shared" si="14"/>
        <v>0</v>
      </c>
      <c r="L93" s="53">
        <f t="shared" si="16"/>
        <v>0</v>
      </c>
    </row>
    <row r="94" spans="1:12" s="5" customFormat="1" ht="14.85" customHeight="1" x14ac:dyDescent="0.25">
      <c r="A94" s="43" t="s">
        <v>110</v>
      </c>
      <c r="B94" s="44" t="s">
        <v>111</v>
      </c>
      <c r="C94" s="94">
        <v>99742915</v>
      </c>
      <c r="D94" s="94">
        <v>96247934.049999997</v>
      </c>
      <c r="E94" s="61">
        <f>F94-21739363.58</f>
        <v>15582386.170000002</v>
      </c>
      <c r="F94" s="94">
        <v>37321749.75</v>
      </c>
      <c r="G94" s="45">
        <f t="shared" si="13"/>
        <v>6.3953855657092357E-2</v>
      </c>
      <c r="H94" s="45">
        <f t="shared" si="15"/>
        <v>58926184.299999997</v>
      </c>
      <c r="I94" s="45">
        <f>J94-17695793.47</f>
        <v>18483612.780000001</v>
      </c>
      <c r="J94" s="94">
        <v>36179406.25</v>
      </c>
      <c r="K94" s="45">
        <f t="shared" si="14"/>
        <v>6.9786150612473646E-2</v>
      </c>
      <c r="L94" s="53">
        <f t="shared" si="16"/>
        <v>60068527.799999997</v>
      </c>
    </row>
    <row r="95" spans="1:12" s="5" customFormat="1" ht="14.85" customHeight="1" x14ac:dyDescent="0.25">
      <c r="A95" s="43" t="s">
        <v>112</v>
      </c>
      <c r="B95" s="44" t="s">
        <v>113</v>
      </c>
      <c r="C95" s="94">
        <v>534220202</v>
      </c>
      <c r="D95" s="94">
        <v>607944081.33000004</v>
      </c>
      <c r="E95" s="61">
        <f>F95-58744964.42</f>
        <v>78780837.350000009</v>
      </c>
      <c r="F95" s="94">
        <v>137525801.77000001</v>
      </c>
      <c r="G95" s="45">
        <f t="shared" si="13"/>
        <v>0.23566165398031688</v>
      </c>
      <c r="H95" s="45">
        <f t="shared" si="15"/>
        <v>470418279.56000006</v>
      </c>
      <c r="I95" s="45">
        <f>J95-48872515.21</f>
        <v>70254387.129999995</v>
      </c>
      <c r="J95" s="94">
        <v>119126902.34</v>
      </c>
      <c r="K95" s="45">
        <f t="shared" si="14"/>
        <v>0.2297828740264824</v>
      </c>
      <c r="L95" s="53">
        <f t="shared" si="16"/>
        <v>488817178.99000001</v>
      </c>
    </row>
    <row r="96" spans="1:12" s="5" customFormat="1" ht="14.85" customHeight="1" x14ac:dyDescent="0.25">
      <c r="A96" s="43" t="s">
        <v>116</v>
      </c>
      <c r="B96" s="44" t="s">
        <v>117</v>
      </c>
      <c r="C96" s="45">
        <v>0</v>
      </c>
      <c r="D96" s="45">
        <v>0</v>
      </c>
      <c r="E96" s="61">
        <f t="shared" si="17"/>
        <v>0</v>
      </c>
      <c r="F96" s="45">
        <v>0</v>
      </c>
      <c r="G96" s="45">
        <f t="shared" si="13"/>
        <v>0</v>
      </c>
      <c r="H96" s="45">
        <f t="shared" si="15"/>
        <v>0</v>
      </c>
      <c r="I96" s="61">
        <f t="shared" si="18"/>
        <v>0</v>
      </c>
      <c r="J96" s="61">
        <v>0</v>
      </c>
      <c r="K96" s="45">
        <f t="shared" si="14"/>
        <v>0</v>
      </c>
      <c r="L96" s="53">
        <f t="shared" si="16"/>
        <v>0</v>
      </c>
    </row>
    <row r="97" spans="1:12" s="5" customFormat="1" ht="14.85" customHeight="1" x14ac:dyDescent="0.25">
      <c r="A97" s="43" t="s">
        <v>138</v>
      </c>
      <c r="B97" s="44" t="s">
        <v>139</v>
      </c>
      <c r="C97" s="45">
        <v>0</v>
      </c>
      <c r="D97" s="45">
        <v>0</v>
      </c>
      <c r="E97" s="61">
        <f t="shared" si="17"/>
        <v>0</v>
      </c>
      <c r="F97" s="45">
        <v>0</v>
      </c>
      <c r="G97" s="45">
        <f t="shared" si="13"/>
        <v>0</v>
      </c>
      <c r="H97" s="45">
        <f t="shared" si="15"/>
        <v>0</v>
      </c>
      <c r="I97" s="45">
        <f t="shared" si="18"/>
        <v>0</v>
      </c>
      <c r="J97" s="45">
        <v>0</v>
      </c>
      <c r="K97" s="45">
        <f t="shared" si="14"/>
        <v>0</v>
      </c>
      <c r="L97" s="53">
        <f t="shared" si="16"/>
        <v>0</v>
      </c>
    </row>
    <row r="98" spans="1:12" s="5" customFormat="1" ht="14.85" customHeight="1" x14ac:dyDescent="0.25">
      <c r="A98" s="43" t="s">
        <v>118</v>
      </c>
      <c r="B98" s="44" t="s">
        <v>119</v>
      </c>
      <c r="C98" s="94">
        <v>233910154</v>
      </c>
      <c r="D98" s="94">
        <v>233910154</v>
      </c>
      <c r="E98" s="61">
        <f>F98-38694009.15</f>
        <v>57948176.259999998</v>
      </c>
      <c r="F98" s="94">
        <v>96642185.409999996</v>
      </c>
      <c r="G98" s="45">
        <f t="shared" si="13"/>
        <v>0.16560425000162532</v>
      </c>
      <c r="H98" s="45">
        <f t="shared" si="15"/>
        <v>137267968.59</v>
      </c>
      <c r="I98" s="45">
        <f>J98-19709441.17</f>
        <v>40273862.519999996</v>
      </c>
      <c r="J98" s="94">
        <v>59983303.689999998</v>
      </c>
      <c r="K98" s="45">
        <f t="shared" si="14"/>
        <v>0.11570128698682242</v>
      </c>
      <c r="L98" s="53">
        <f t="shared" si="16"/>
        <v>173926850.31</v>
      </c>
    </row>
    <row r="99" spans="1:12" s="5" customFormat="1" ht="14.85" customHeight="1" x14ac:dyDescent="0.25">
      <c r="A99" s="43" t="s">
        <v>40</v>
      </c>
      <c r="B99" s="44" t="s">
        <v>41</v>
      </c>
      <c r="C99" s="94">
        <v>32933603</v>
      </c>
      <c r="D99" s="94">
        <v>33316430.469999999</v>
      </c>
      <c r="E99" s="61">
        <f>F99-937051.54</f>
        <v>1002851.48</v>
      </c>
      <c r="F99" s="45">
        <v>1939903.02</v>
      </c>
      <c r="G99" s="45">
        <f t="shared" si="13"/>
        <v>3.3241817053295459E-3</v>
      </c>
      <c r="H99" s="45">
        <f t="shared" si="15"/>
        <v>31376527.449999999</v>
      </c>
      <c r="I99" s="45">
        <f>J99-934392.04</f>
        <v>1005510.98</v>
      </c>
      <c r="J99" s="45">
        <v>1939903.02</v>
      </c>
      <c r="K99" s="45">
        <f t="shared" si="14"/>
        <v>3.7418625223378968E-3</v>
      </c>
      <c r="L99" s="53">
        <f t="shared" si="16"/>
        <v>31376527.449999999</v>
      </c>
    </row>
    <row r="100" spans="1:12" s="5" customFormat="1" ht="14.85" customHeight="1" x14ac:dyDescent="0.25">
      <c r="A100" s="43" t="s">
        <v>87</v>
      </c>
      <c r="B100" s="44" t="s">
        <v>88</v>
      </c>
      <c r="C100" s="45">
        <v>0</v>
      </c>
      <c r="D100" s="45">
        <v>0</v>
      </c>
      <c r="E100" s="61">
        <f t="shared" si="17"/>
        <v>0</v>
      </c>
      <c r="F100" s="45">
        <v>0</v>
      </c>
      <c r="G100" s="45">
        <f t="shared" si="13"/>
        <v>0</v>
      </c>
      <c r="H100" s="45">
        <f t="shared" si="15"/>
        <v>0</v>
      </c>
      <c r="I100" s="45">
        <f t="shared" si="18"/>
        <v>0</v>
      </c>
      <c r="J100" s="45">
        <v>0</v>
      </c>
      <c r="K100" s="45">
        <f t="shared" si="14"/>
        <v>0</v>
      </c>
      <c r="L100" s="53">
        <f t="shared" si="16"/>
        <v>0</v>
      </c>
    </row>
    <row r="101" spans="1:12" s="5" customFormat="1" ht="14.85" customHeight="1" x14ac:dyDescent="0.25">
      <c r="A101" s="40" t="s">
        <v>140</v>
      </c>
      <c r="B101" s="70" t="s">
        <v>141</v>
      </c>
      <c r="C101" s="42">
        <f>SUM(C102:C105)</f>
        <v>31473382944</v>
      </c>
      <c r="D101" s="42">
        <f>SUM(D102:D105)</f>
        <v>35327374734.900002</v>
      </c>
      <c r="E101" s="98">
        <f>SUM(E102:E105)</f>
        <v>5074108608.0500011</v>
      </c>
      <c r="F101" s="42">
        <f>SUM(F102:F105)</f>
        <v>13792559757.490002</v>
      </c>
      <c r="G101" s="42">
        <f t="shared" si="13"/>
        <v>23.634673662971455</v>
      </c>
      <c r="H101" s="42">
        <f t="shared" si="15"/>
        <v>21534814977.41</v>
      </c>
      <c r="I101" s="42">
        <f>SUM(I102:I105)</f>
        <v>5096938856.4700012</v>
      </c>
      <c r="J101" s="42">
        <f>SUM(J102:J105)</f>
        <v>13716310586.639999</v>
      </c>
      <c r="K101" s="42">
        <f t="shared" si="14"/>
        <v>26.45727544096238</v>
      </c>
      <c r="L101" s="57">
        <f t="shared" si="16"/>
        <v>21611064148.260002</v>
      </c>
    </row>
    <row r="102" spans="1:12" s="5" customFormat="1" ht="14.85" customHeight="1" x14ac:dyDescent="0.25">
      <c r="A102" s="43" t="s">
        <v>30</v>
      </c>
      <c r="B102" s="44" t="s">
        <v>31</v>
      </c>
      <c r="C102" s="45">
        <v>12760820961</v>
      </c>
      <c r="D102" s="45">
        <v>13368212091.58</v>
      </c>
      <c r="E102" s="61">
        <f>F102-3161503514.72</f>
        <v>1642513886.7500005</v>
      </c>
      <c r="F102" s="94">
        <v>4804017401.4700003</v>
      </c>
      <c r="G102" s="45">
        <f t="shared" si="13"/>
        <v>8.2320747962191216</v>
      </c>
      <c r="H102" s="45">
        <f t="shared" si="15"/>
        <v>8564194690.1099997</v>
      </c>
      <c r="I102" s="45">
        <f>J102-3083856785.56</f>
        <v>1658823290.0499997</v>
      </c>
      <c r="J102" s="94">
        <v>4742680075.6099997</v>
      </c>
      <c r="K102" s="45">
        <f t="shared" si="14"/>
        <v>9.1481154714444042</v>
      </c>
      <c r="L102" s="53">
        <f t="shared" si="16"/>
        <v>8625532015.9700012</v>
      </c>
    </row>
    <row r="103" spans="1:12" s="5" customFormat="1" ht="14.85" customHeight="1" x14ac:dyDescent="0.25">
      <c r="A103" s="43" t="s">
        <v>63</v>
      </c>
      <c r="B103" s="44" t="s">
        <v>64</v>
      </c>
      <c r="C103" s="45">
        <v>4142440</v>
      </c>
      <c r="D103" s="45">
        <v>30142440</v>
      </c>
      <c r="E103" s="61">
        <f>F103-14960000</f>
        <v>0</v>
      </c>
      <c r="F103" s="45">
        <v>14960000</v>
      </c>
      <c r="G103" s="45">
        <f t="shared" si="13"/>
        <v>2.5635177531570626E-2</v>
      </c>
      <c r="H103" s="45">
        <f t="shared" si="15"/>
        <v>15182440</v>
      </c>
      <c r="I103" s="45">
        <f>J103-1870000</f>
        <v>1870000</v>
      </c>
      <c r="J103" s="45">
        <v>3740000</v>
      </c>
      <c r="K103" s="45">
        <f t="shared" si="14"/>
        <v>7.2140543569769464E-3</v>
      </c>
      <c r="L103" s="53">
        <f t="shared" si="16"/>
        <v>26402440</v>
      </c>
    </row>
    <row r="104" spans="1:12" s="5" customFormat="1" ht="14.85" customHeight="1" x14ac:dyDescent="0.25">
      <c r="A104" s="43" t="s">
        <v>142</v>
      </c>
      <c r="B104" s="44" t="s">
        <v>143</v>
      </c>
      <c r="C104" s="94">
        <v>18708419543</v>
      </c>
      <c r="D104" s="94">
        <v>21929020203.32</v>
      </c>
      <c r="E104" s="61">
        <f>F104-5541987634.72</f>
        <v>3431594721.3000002</v>
      </c>
      <c r="F104" s="94">
        <v>8973582356.0200005</v>
      </c>
      <c r="G104" s="45">
        <f t="shared" si="13"/>
        <v>15.376963689220757</v>
      </c>
      <c r="H104" s="45">
        <f t="shared" si="15"/>
        <v>12955437847.299999</v>
      </c>
      <c r="I104" s="45">
        <f>J104-5533644944.61</f>
        <v>3436245566.420001</v>
      </c>
      <c r="J104" s="94">
        <v>8969890511.0300007</v>
      </c>
      <c r="K104" s="45">
        <f t="shared" si="14"/>
        <v>17.301945915160999</v>
      </c>
      <c r="L104" s="53">
        <f t="shared" si="16"/>
        <v>12959129692.289999</v>
      </c>
    </row>
    <row r="105" spans="1:12" s="5" customFormat="1" ht="14.85" customHeight="1" x14ac:dyDescent="0.25">
      <c r="A105" s="43" t="s">
        <v>144</v>
      </c>
      <c r="B105" s="44" t="s">
        <v>145</v>
      </c>
      <c r="C105" s="45">
        <v>0</v>
      </c>
      <c r="D105" s="45">
        <v>0</v>
      </c>
      <c r="E105" s="61">
        <f>F105-0</f>
        <v>0</v>
      </c>
      <c r="F105" s="45">
        <v>0</v>
      </c>
      <c r="G105" s="45">
        <f t="shared" si="13"/>
        <v>0</v>
      </c>
      <c r="H105" s="45">
        <f t="shared" si="15"/>
        <v>0</v>
      </c>
      <c r="I105" s="45">
        <f>J105-0</f>
        <v>0</v>
      </c>
      <c r="J105" s="45">
        <v>0</v>
      </c>
      <c r="K105" s="45">
        <f t="shared" si="14"/>
        <v>0</v>
      </c>
      <c r="L105" s="53">
        <f t="shared" si="16"/>
        <v>0</v>
      </c>
    </row>
    <row r="106" spans="1:12" s="5" customFormat="1" ht="14.85" customHeight="1" x14ac:dyDescent="0.25">
      <c r="A106" s="40" t="s">
        <v>146</v>
      </c>
      <c r="B106" s="70" t="s">
        <v>147</v>
      </c>
      <c r="C106" s="42">
        <f>SUM(C107:C116)</f>
        <v>9072596632</v>
      </c>
      <c r="D106" s="42">
        <f>SUM(D107:D116)</f>
        <v>9208485028.7399998</v>
      </c>
      <c r="E106" s="98">
        <f>SUM(E107:E116)</f>
        <v>1554130926.1800001</v>
      </c>
      <c r="F106" s="42">
        <f>SUM(F107:F116)</f>
        <v>5202729731.4400005</v>
      </c>
      <c r="G106" s="42">
        <f t="shared" si="13"/>
        <v>8.915300823144733</v>
      </c>
      <c r="H106" s="42">
        <f t="shared" si="15"/>
        <v>4005755297.2999992</v>
      </c>
      <c r="I106" s="42">
        <f>SUM(I107:I116)</f>
        <v>1601920968.5999997</v>
      </c>
      <c r="J106" s="42">
        <f>SUM(J107:J116)</f>
        <v>4584801825.3700008</v>
      </c>
      <c r="K106" s="42">
        <f t="shared" si="14"/>
        <v>8.843585450317196</v>
      </c>
      <c r="L106" s="57">
        <f t="shared" si="16"/>
        <v>4623683203.3699989</v>
      </c>
    </row>
    <row r="107" spans="1:12" s="5" customFormat="1" ht="14.85" customHeight="1" x14ac:dyDescent="0.25">
      <c r="A107" s="43" t="s">
        <v>30</v>
      </c>
      <c r="B107" s="44" t="s">
        <v>31</v>
      </c>
      <c r="C107" s="94">
        <v>1434794671</v>
      </c>
      <c r="D107" s="94">
        <v>1436156669.8399999</v>
      </c>
      <c r="E107" s="61">
        <f>F107-458096695.55</f>
        <v>236146220.81</v>
      </c>
      <c r="F107" s="94">
        <v>694242916.36000001</v>
      </c>
      <c r="G107" s="45">
        <f t="shared" si="13"/>
        <v>1.1896417386981244</v>
      </c>
      <c r="H107" s="45">
        <f t="shared" si="15"/>
        <v>741913753.4799999</v>
      </c>
      <c r="I107" s="45">
        <f>J107-397565659.13</f>
        <v>245650697.63999999</v>
      </c>
      <c r="J107" s="45">
        <v>643216356.76999998</v>
      </c>
      <c r="K107" s="45">
        <f t="shared" si="14"/>
        <v>1.2406945885121541</v>
      </c>
      <c r="L107" s="53">
        <f t="shared" si="16"/>
        <v>792940313.06999993</v>
      </c>
    </row>
    <row r="108" spans="1:12" s="5" customFormat="1" ht="14.85" customHeight="1" x14ac:dyDescent="0.25">
      <c r="A108" s="43" t="s">
        <v>34</v>
      </c>
      <c r="B108" s="44" t="s">
        <v>35</v>
      </c>
      <c r="C108" s="94">
        <v>17492361</v>
      </c>
      <c r="D108" s="94">
        <v>17352361</v>
      </c>
      <c r="E108" s="61">
        <f>F108-4022812.72</f>
        <v>3233741.4099999997</v>
      </c>
      <c r="F108" s="94">
        <v>7256554.1299999999</v>
      </c>
      <c r="G108" s="45">
        <f t="shared" si="13"/>
        <v>1.243469608221939E-2</v>
      </c>
      <c r="H108" s="45">
        <f t="shared" si="15"/>
        <v>10095806.870000001</v>
      </c>
      <c r="I108" s="45">
        <f>J108-3943097.32</f>
        <v>2570829.3700000006</v>
      </c>
      <c r="J108" s="45">
        <v>6513926.6900000004</v>
      </c>
      <c r="K108" s="45">
        <f t="shared" si="14"/>
        <v>1.2564658079952652E-2</v>
      </c>
      <c r="L108" s="53">
        <f t="shared" si="16"/>
        <v>10838434.309999999</v>
      </c>
    </row>
    <row r="109" spans="1:12" s="5" customFormat="1" ht="14.85" customHeight="1" x14ac:dyDescent="0.25">
      <c r="A109" s="43" t="s">
        <v>106</v>
      </c>
      <c r="B109" s="44" t="s">
        <v>107</v>
      </c>
      <c r="C109" s="94">
        <v>200078449</v>
      </c>
      <c r="D109" s="94">
        <v>200078449</v>
      </c>
      <c r="E109" s="61">
        <f>F109-55940033.5</f>
        <v>34147420.040000007</v>
      </c>
      <c r="F109" s="94">
        <v>90087453.540000007</v>
      </c>
      <c r="G109" s="45">
        <f t="shared" ref="G109:G140" si="19">(F109/$F$307)*100</f>
        <v>0.15437218348028214</v>
      </c>
      <c r="H109" s="45">
        <f t="shared" si="15"/>
        <v>109990995.45999999</v>
      </c>
      <c r="I109" s="45">
        <f>J109-55940033.5</f>
        <v>34147420.040000007</v>
      </c>
      <c r="J109" s="45">
        <v>90087453.540000007</v>
      </c>
      <c r="K109" s="45">
        <f t="shared" ref="K109:K140" si="20">(J109/$J$307)*100</f>
        <v>0.1737689269302661</v>
      </c>
      <c r="L109" s="53">
        <f t="shared" si="16"/>
        <v>109990995.45999999</v>
      </c>
    </row>
    <row r="110" spans="1:12" s="5" customFormat="1" ht="14.85" customHeight="1" x14ac:dyDescent="0.25">
      <c r="A110" s="43" t="s">
        <v>114</v>
      </c>
      <c r="B110" s="44" t="s">
        <v>115</v>
      </c>
      <c r="C110" s="45">
        <v>52023713</v>
      </c>
      <c r="D110" s="45">
        <v>46457508</v>
      </c>
      <c r="E110" s="61">
        <f>F110-2055528.85</f>
        <v>851989.62000000011</v>
      </c>
      <c r="F110" s="45">
        <v>2907518.47</v>
      </c>
      <c r="G110" s="45">
        <f t="shared" si="19"/>
        <v>4.9822695290622073E-3</v>
      </c>
      <c r="H110" s="45">
        <f t="shared" si="15"/>
        <v>43549989.530000001</v>
      </c>
      <c r="I110" s="45">
        <f>J110-2055486.85</f>
        <v>852031.62000000011</v>
      </c>
      <c r="J110" s="45">
        <v>2907518.47</v>
      </c>
      <c r="K110" s="45">
        <f t="shared" si="20"/>
        <v>5.6082877771375522E-3</v>
      </c>
      <c r="L110" s="53">
        <f t="shared" si="16"/>
        <v>43549989.530000001</v>
      </c>
    </row>
    <row r="111" spans="1:12" s="5" customFormat="1" ht="14.85" customHeight="1" x14ac:dyDescent="0.25">
      <c r="A111" s="43" t="s">
        <v>116</v>
      </c>
      <c r="B111" s="44" t="s">
        <v>117</v>
      </c>
      <c r="C111" s="45">
        <v>7097337901</v>
      </c>
      <c r="D111" s="45">
        <v>7214970806.21</v>
      </c>
      <c r="E111" s="61">
        <f>F111-3028036270.37</f>
        <v>1255164015.2600002</v>
      </c>
      <c r="F111" s="94">
        <v>4283200285.6300001</v>
      </c>
      <c r="G111" s="45">
        <f t="shared" si="19"/>
        <v>7.3396122811095648</v>
      </c>
      <c r="H111" s="45">
        <f t="shared" si="15"/>
        <v>2931770520.5799999</v>
      </c>
      <c r="I111" s="45">
        <f>J111-2446865738.09</f>
        <v>1296987947.8399997</v>
      </c>
      <c r="J111" s="45">
        <v>3743853685.9299998</v>
      </c>
      <c r="K111" s="45">
        <f t="shared" si="20"/>
        <v>7.2214876991624362</v>
      </c>
      <c r="L111" s="53">
        <f t="shared" si="16"/>
        <v>3471117120.2800002</v>
      </c>
    </row>
    <row r="112" spans="1:12" s="5" customFormat="1" ht="14.85" customHeight="1" x14ac:dyDescent="0.25">
      <c r="A112" s="43" t="s">
        <v>138</v>
      </c>
      <c r="B112" s="44" t="s">
        <v>139</v>
      </c>
      <c r="C112" s="45">
        <v>212268429</v>
      </c>
      <c r="D112" s="45">
        <v>220757552</v>
      </c>
      <c r="E112" s="61">
        <f>F112-82169475.48</f>
        <v>22754727.359999999</v>
      </c>
      <c r="F112" s="94">
        <v>104924202.84</v>
      </c>
      <c r="G112" s="45">
        <f t="shared" si="19"/>
        <v>0.17979616090654593</v>
      </c>
      <c r="H112" s="45">
        <f t="shared" si="15"/>
        <v>115833349.16</v>
      </c>
      <c r="I112" s="45">
        <f>J112-59358748.28</f>
        <v>20074434.239999995</v>
      </c>
      <c r="J112" s="45">
        <v>79433182.519999996</v>
      </c>
      <c r="K112" s="45">
        <f t="shared" si="20"/>
        <v>0.15321799370239331</v>
      </c>
      <c r="L112" s="53">
        <f t="shared" si="16"/>
        <v>141324369.48000002</v>
      </c>
    </row>
    <row r="113" spans="1:12" s="5" customFormat="1" ht="14.85" customHeight="1" x14ac:dyDescent="0.25">
      <c r="A113" s="43" t="s">
        <v>148</v>
      </c>
      <c r="B113" s="44" t="s">
        <v>149</v>
      </c>
      <c r="C113" s="45">
        <v>8484538</v>
      </c>
      <c r="D113" s="45">
        <v>8484538</v>
      </c>
      <c r="E113" s="61">
        <f>F113-473499.88</f>
        <v>805027.58</v>
      </c>
      <c r="F113" s="94">
        <v>1278527.46</v>
      </c>
      <c r="G113" s="45">
        <f t="shared" si="19"/>
        <v>2.1908608566903786E-3</v>
      </c>
      <c r="H113" s="45">
        <f t="shared" si="15"/>
        <v>7206010.54</v>
      </c>
      <c r="I113" s="45">
        <f>J113-458717.52</f>
        <v>653742.36999999988</v>
      </c>
      <c r="J113" s="45">
        <v>1112459.8899999999</v>
      </c>
      <c r="K113" s="45">
        <f t="shared" si="20"/>
        <v>2.1458144696301054E-3</v>
      </c>
      <c r="L113" s="53">
        <f t="shared" si="16"/>
        <v>7372078.1100000003</v>
      </c>
    </row>
    <row r="114" spans="1:12" s="5" customFormat="1" ht="14.85" customHeight="1" x14ac:dyDescent="0.25">
      <c r="A114" s="43" t="s">
        <v>150</v>
      </c>
      <c r="B114" s="44" t="s">
        <v>151</v>
      </c>
      <c r="C114" s="45">
        <v>49439020</v>
      </c>
      <c r="D114" s="45">
        <v>63449594.689999998</v>
      </c>
      <c r="E114" s="61">
        <f>F114-17804488.91</f>
        <v>1027784.1000000015</v>
      </c>
      <c r="F114" s="94">
        <v>18832273.010000002</v>
      </c>
      <c r="G114" s="45">
        <f t="shared" si="19"/>
        <v>3.2270632482243045E-2</v>
      </c>
      <c r="H114" s="45">
        <f t="shared" si="15"/>
        <v>44617321.679999992</v>
      </c>
      <c r="I114" s="45">
        <f>J114-16693376.08</f>
        <v>983865.47999999858</v>
      </c>
      <c r="J114" s="45">
        <v>17677241.559999999</v>
      </c>
      <c r="K114" s="45">
        <f t="shared" si="20"/>
        <v>3.4097481683222443E-2</v>
      </c>
      <c r="L114" s="53">
        <f t="shared" si="16"/>
        <v>45772353.129999995</v>
      </c>
    </row>
    <row r="115" spans="1:12" s="5" customFormat="1" ht="14.85" customHeight="1" x14ac:dyDescent="0.25">
      <c r="A115" s="43" t="s">
        <v>118</v>
      </c>
      <c r="B115" s="44" t="s">
        <v>119</v>
      </c>
      <c r="C115" s="45">
        <v>160000</v>
      </c>
      <c r="D115" s="45">
        <v>260000</v>
      </c>
      <c r="E115" s="61">
        <f t="shared" ref="E115:E116" si="21">F115-0</f>
        <v>0</v>
      </c>
      <c r="F115" s="45">
        <v>0</v>
      </c>
      <c r="G115" s="45">
        <f t="shared" si="19"/>
        <v>0</v>
      </c>
      <c r="H115" s="45">
        <f t="shared" si="15"/>
        <v>260000</v>
      </c>
      <c r="I115" s="45">
        <f t="shared" ref="I115:I116" si="22">J115-0</f>
        <v>0</v>
      </c>
      <c r="J115" s="45">
        <v>0</v>
      </c>
      <c r="K115" s="45">
        <f t="shared" si="20"/>
        <v>0</v>
      </c>
      <c r="L115" s="53">
        <f t="shared" si="16"/>
        <v>260000</v>
      </c>
    </row>
    <row r="116" spans="1:12" s="5" customFormat="1" ht="14.85" customHeight="1" x14ac:dyDescent="0.25">
      <c r="A116" s="43" t="s">
        <v>89</v>
      </c>
      <c r="B116" s="44" t="s">
        <v>152</v>
      </c>
      <c r="C116" s="45">
        <v>517550</v>
      </c>
      <c r="D116" s="45">
        <v>517550</v>
      </c>
      <c r="E116" s="61">
        <f t="shared" si="21"/>
        <v>0</v>
      </c>
      <c r="F116" s="45">
        <v>0</v>
      </c>
      <c r="G116" s="45">
        <f t="shared" si="19"/>
        <v>0</v>
      </c>
      <c r="H116" s="45">
        <f t="shared" si="15"/>
        <v>517550</v>
      </c>
      <c r="I116" s="45">
        <f t="shared" si="22"/>
        <v>0</v>
      </c>
      <c r="J116" s="45">
        <v>0</v>
      </c>
      <c r="K116" s="45">
        <f t="shared" si="20"/>
        <v>0</v>
      </c>
      <c r="L116" s="53">
        <f t="shared" si="16"/>
        <v>517550</v>
      </c>
    </row>
    <row r="117" spans="1:12" s="5" customFormat="1" ht="14.85" customHeight="1" x14ac:dyDescent="0.25">
      <c r="A117" s="40" t="s">
        <v>153</v>
      </c>
      <c r="B117" s="70" t="s">
        <v>154</v>
      </c>
      <c r="C117" s="42">
        <f>SUM(C118:C125)</f>
        <v>80718534</v>
      </c>
      <c r="D117" s="42">
        <f>SUM(D118:D125)</f>
        <v>121055285.58</v>
      </c>
      <c r="E117" s="98">
        <f>SUM(E118:E125)</f>
        <v>4855632.6000000015</v>
      </c>
      <c r="F117" s="42">
        <f>SUM(F118:F125)</f>
        <v>12491923.370000001</v>
      </c>
      <c r="G117" s="42">
        <f t="shared" si="19"/>
        <v>2.1405927359674202E-2</v>
      </c>
      <c r="H117" s="42">
        <f t="shared" si="15"/>
        <v>108563362.20999999</v>
      </c>
      <c r="I117" s="42">
        <f>SUM(I118:I125)</f>
        <v>5337786.8199999994</v>
      </c>
      <c r="J117" s="42">
        <f>SUM(J118:J125)</f>
        <v>11997730.029999999</v>
      </c>
      <c r="K117" s="42">
        <f t="shared" si="20"/>
        <v>2.3142319945656322E-2</v>
      </c>
      <c r="L117" s="57">
        <f t="shared" si="16"/>
        <v>109057555.55</v>
      </c>
    </row>
    <row r="118" spans="1:12" s="5" customFormat="1" ht="14.85" customHeight="1" x14ac:dyDescent="0.25">
      <c r="A118" s="43" t="s">
        <v>59</v>
      </c>
      <c r="B118" s="44" t="s">
        <v>60</v>
      </c>
      <c r="C118" s="45">
        <v>0</v>
      </c>
      <c r="D118" s="45">
        <v>0</v>
      </c>
      <c r="E118" s="61">
        <f t="shared" ref="E118:E125" si="23">F118-0</f>
        <v>0</v>
      </c>
      <c r="F118" s="45">
        <v>0</v>
      </c>
      <c r="G118" s="42">
        <f t="shared" si="19"/>
        <v>0</v>
      </c>
      <c r="H118" s="45">
        <f t="shared" si="15"/>
        <v>0</v>
      </c>
      <c r="I118" s="45">
        <f t="shared" ref="I118:I125" si="24">J118-0</f>
        <v>0</v>
      </c>
      <c r="J118" s="45">
        <v>0</v>
      </c>
      <c r="K118" s="42">
        <f t="shared" si="20"/>
        <v>0</v>
      </c>
      <c r="L118" s="53">
        <f t="shared" si="16"/>
        <v>0</v>
      </c>
    </row>
    <row r="119" spans="1:12" s="5" customFormat="1" ht="14.85" customHeight="1" x14ac:dyDescent="0.25">
      <c r="A119" s="43" t="s">
        <v>30</v>
      </c>
      <c r="B119" s="44" t="s">
        <v>31</v>
      </c>
      <c r="C119" s="94">
        <v>18982680</v>
      </c>
      <c r="D119" s="94">
        <v>19265883.640000001</v>
      </c>
      <c r="E119" s="61">
        <f>F119-6822684.85</f>
        <v>4635212.540000001</v>
      </c>
      <c r="F119" s="94">
        <v>11457897.390000001</v>
      </c>
      <c r="G119" s="45">
        <f t="shared" si="19"/>
        <v>1.9634039687912417E-2</v>
      </c>
      <c r="H119" s="45">
        <f t="shared" si="15"/>
        <v>7807986.25</v>
      </c>
      <c r="I119" s="45">
        <f>J119-6454571.97</f>
        <v>4624008.8999999994</v>
      </c>
      <c r="J119" s="94">
        <v>11078580.869999999</v>
      </c>
      <c r="K119" s="45">
        <f t="shared" si="20"/>
        <v>2.136938090757886E-2</v>
      </c>
      <c r="L119" s="53">
        <f t="shared" si="16"/>
        <v>8187302.7700000014</v>
      </c>
    </row>
    <row r="120" spans="1:12" s="5" customFormat="1" ht="14.85" customHeight="1" x14ac:dyDescent="0.25">
      <c r="A120" s="43" t="s">
        <v>32</v>
      </c>
      <c r="B120" s="44" t="s">
        <v>33</v>
      </c>
      <c r="C120" s="94">
        <v>350000</v>
      </c>
      <c r="D120" s="94">
        <v>350000</v>
      </c>
      <c r="E120" s="61">
        <f t="shared" si="23"/>
        <v>0</v>
      </c>
      <c r="F120" s="45">
        <v>0</v>
      </c>
      <c r="G120" s="45">
        <f t="shared" si="19"/>
        <v>0</v>
      </c>
      <c r="H120" s="45">
        <f t="shared" si="15"/>
        <v>350000</v>
      </c>
      <c r="I120" s="45">
        <f t="shared" si="24"/>
        <v>0</v>
      </c>
      <c r="J120" s="45">
        <v>0</v>
      </c>
      <c r="K120" s="45">
        <f t="shared" si="20"/>
        <v>0</v>
      </c>
      <c r="L120" s="53">
        <f t="shared" si="16"/>
        <v>350000</v>
      </c>
    </row>
    <row r="121" spans="1:12" s="5" customFormat="1" ht="14.85" customHeight="1" x14ac:dyDescent="0.25">
      <c r="A121" s="43" t="s">
        <v>108</v>
      </c>
      <c r="B121" s="44" t="s">
        <v>155</v>
      </c>
      <c r="C121" s="94">
        <v>788059</v>
      </c>
      <c r="D121" s="94">
        <v>788059</v>
      </c>
      <c r="E121" s="61">
        <f>F121-5001.94</f>
        <v>0</v>
      </c>
      <c r="F121" s="45">
        <v>5001.9399999999996</v>
      </c>
      <c r="G121" s="45">
        <f t="shared" si="19"/>
        <v>8.5712312768893293E-6</v>
      </c>
      <c r="H121" s="45">
        <f t="shared" si="15"/>
        <v>783057.06</v>
      </c>
      <c r="I121" s="45">
        <f>J121-2891.94</f>
        <v>2109.9999999999995</v>
      </c>
      <c r="J121" s="45">
        <v>5001.9399999999996</v>
      </c>
      <c r="K121" s="45">
        <f t="shared" si="20"/>
        <v>9.6481997460794821E-6</v>
      </c>
      <c r="L121" s="53">
        <f t="shared" si="16"/>
        <v>783057.06</v>
      </c>
    </row>
    <row r="122" spans="1:12" s="5" customFormat="1" ht="14.85" customHeight="1" x14ac:dyDescent="0.25">
      <c r="A122" s="43" t="s">
        <v>156</v>
      </c>
      <c r="B122" s="44" t="s">
        <v>157</v>
      </c>
      <c r="C122" s="45">
        <v>10000000</v>
      </c>
      <c r="D122" s="45">
        <v>10000000</v>
      </c>
      <c r="E122" s="61">
        <f t="shared" si="23"/>
        <v>0</v>
      </c>
      <c r="F122" s="45">
        <v>0</v>
      </c>
      <c r="G122" s="45">
        <f t="shared" si="19"/>
        <v>0</v>
      </c>
      <c r="H122" s="45">
        <f t="shared" si="15"/>
        <v>10000000</v>
      </c>
      <c r="I122" s="45">
        <f t="shared" si="24"/>
        <v>0</v>
      </c>
      <c r="J122" s="45">
        <v>0</v>
      </c>
      <c r="K122" s="45">
        <f t="shared" si="20"/>
        <v>0</v>
      </c>
      <c r="L122" s="53">
        <f t="shared" si="16"/>
        <v>10000000</v>
      </c>
    </row>
    <row r="123" spans="1:12" s="5" customFormat="1" ht="14.85" customHeight="1" x14ac:dyDescent="0.25">
      <c r="A123" s="43" t="s">
        <v>158</v>
      </c>
      <c r="B123" s="44" t="s">
        <v>159</v>
      </c>
      <c r="C123" s="94">
        <v>47037795</v>
      </c>
      <c r="D123" s="94">
        <v>87091342.939999998</v>
      </c>
      <c r="E123" s="61">
        <f>F123-808603.98</f>
        <v>220420.06000000006</v>
      </c>
      <c r="F123" s="94">
        <v>1029024.04</v>
      </c>
      <c r="G123" s="45">
        <f t="shared" si="19"/>
        <v>1.7633164404848955E-3</v>
      </c>
      <c r="H123" s="45">
        <f t="shared" si="15"/>
        <v>86062318.899999991</v>
      </c>
      <c r="I123" s="45">
        <f>J123-202479.3</f>
        <v>711667.91999999993</v>
      </c>
      <c r="J123" s="45">
        <v>914147.22</v>
      </c>
      <c r="K123" s="45">
        <f t="shared" si="20"/>
        <v>1.7632908383313803E-3</v>
      </c>
      <c r="L123" s="53">
        <f t="shared" si="16"/>
        <v>86177195.719999999</v>
      </c>
    </row>
    <row r="124" spans="1:12" s="5" customFormat="1" ht="14.85" customHeight="1" x14ac:dyDescent="0.25">
      <c r="A124" s="43" t="s">
        <v>122</v>
      </c>
      <c r="B124" s="44" t="s">
        <v>123</v>
      </c>
      <c r="C124" s="94">
        <v>3560000</v>
      </c>
      <c r="D124" s="94">
        <v>3560000</v>
      </c>
      <c r="E124" s="61">
        <f>F124-0</f>
        <v>0</v>
      </c>
      <c r="F124" s="45">
        <v>0</v>
      </c>
      <c r="G124" s="45">
        <f t="shared" si="19"/>
        <v>0</v>
      </c>
      <c r="H124" s="45">
        <f t="shared" si="15"/>
        <v>3560000</v>
      </c>
      <c r="I124" s="45">
        <f>J124-0</f>
        <v>0</v>
      </c>
      <c r="J124" s="45">
        <v>0</v>
      </c>
      <c r="K124" s="45">
        <f t="shared" si="20"/>
        <v>0</v>
      </c>
      <c r="L124" s="53">
        <f t="shared" si="16"/>
        <v>3560000</v>
      </c>
    </row>
    <row r="125" spans="1:12" s="5" customFormat="1" ht="14.85" customHeight="1" x14ac:dyDescent="0.25">
      <c r="A125" s="43" t="s">
        <v>40</v>
      </c>
      <c r="B125" s="44" t="s">
        <v>41</v>
      </c>
      <c r="C125" s="45">
        <v>0</v>
      </c>
      <c r="D125" s="45">
        <v>0</v>
      </c>
      <c r="E125" s="61">
        <f t="shared" si="23"/>
        <v>0</v>
      </c>
      <c r="F125" s="45">
        <v>0</v>
      </c>
      <c r="G125" s="45">
        <f t="shared" si="19"/>
        <v>0</v>
      </c>
      <c r="H125" s="45">
        <f t="shared" si="15"/>
        <v>0</v>
      </c>
      <c r="I125" s="45">
        <f t="shared" si="24"/>
        <v>0</v>
      </c>
      <c r="J125" s="45">
        <v>0</v>
      </c>
      <c r="K125" s="45">
        <f t="shared" si="20"/>
        <v>0</v>
      </c>
      <c r="L125" s="53">
        <f t="shared" si="16"/>
        <v>0</v>
      </c>
    </row>
    <row r="126" spans="1:12" s="5" customFormat="1" ht="14.85" customHeight="1" x14ac:dyDescent="0.25">
      <c r="A126" s="40" t="s">
        <v>160</v>
      </c>
      <c r="B126" s="70" t="s">
        <v>161</v>
      </c>
      <c r="C126" s="42">
        <f>SUM(C127:C146)</f>
        <v>9366504566</v>
      </c>
      <c r="D126" s="42">
        <f>SUM(D127:D146)</f>
        <v>10169218360.139999</v>
      </c>
      <c r="E126" s="98">
        <f>SUM(E127:E145)</f>
        <v>1753997068.8399994</v>
      </c>
      <c r="F126" s="42">
        <f>SUM(F127:F146)</f>
        <v>5511094923.2399998</v>
      </c>
      <c r="G126" s="42">
        <f t="shared" si="19"/>
        <v>9.4437096758419123</v>
      </c>
      <c r="H126" s="42">
        <f t="shared" si="15"/>
        <v>4658123436.8999996</v>
      </c>
      <c r="I126" s="42">
        <f>SUM(I127:I146)</f>
        <v>1793156099</v>
      </c>
      <c r="J126" s="42">
        <f>SUM(J127:J146)</f>
        <v>4842652861.1000004</v>
      </c>
      <c r="K126" s="42">
        <f t="shared" si="20"/>
        <v>9.3409521315361843</v>
      </c>
      <c r="L126" s="57">
        <f t="shared" si="16"/>
        <v>5326565499.039999</v>
      </c>
    </row>
    <row r="127" spans="1:12" s="5" customFormat="1" ht="14.85" customHeight="1" x14ac:dyDescent="0.25">
      <c r="A127" s="43" t="s">
        <v>30</v>
      </c>
      <c r="B127" s="44" t="s">
        <v>31</v>
      </c>
      <c r="C127" s="94">
        <v>3298303311</v>
      </c>
      <c r="D127" s="94">
        <v>3334545893.2199998</v>
      </c>
      <c r="E127" s="61">
        <f>F127-1042524568.97</f>
        <v>633106401.3499999</v>
      </c>
      <c r="F127" s="94">
        <v>1675630970.3199999</v>
      </c>
      <c r="G127" s="45">
        <f t="shared" si="19"/>
        <v>2.8713300402106388</v>
      </c>
      <c r="H127" s="45">
        <f t="shared" si="15"/>
        <v>1658914922.8999999</v>
      </c>
      <c r="I127" s="45">
        <f>J127-963672357.38</f>
        <v>594437132.75000012</v>
      </c>
      <c r="J127" s="94">
        <v>1558109490.1300001</v>
      </c>
      <c r="K127" s="45">
        <f t="shared" si="20"/>
        <v>3.0054242128126885</v>
      </c>
      <c r="L127" s="53">
        <f t="shared" si="16"/>
        <v>1776436403.0899997</v>
      </c>
    </row>
    <row r="128" spans="1:12" s="5" customFormat="1" ht="14.85" customHeight="1" x14ac:dyDescent="0.25">
      <c r="A128" s="43" t="s">
        <v>32</v>
      </c>
      <c r="B128" s="44" t="s">
        <v>33</v>
      </c>
      <c r="C128" s="94">
        <v>207020</v>
      </c>
      <c r="D128" s="94">
        <v>23003343.539999999</v>
      </c>
      <c r="E128" s="61">
        <f>F128-698209.12</f>
        <v>21702693.599999998</v>
      </c>
      <c r="F128" s="45">
        <v>22400902.719999999</v>
      </c>
      <c r="G128" s="45">
        <f t="shared" si="19"/>
        <v>3.838576992611252E-2</v>
      </c>
      <c r="H128" s="45">
        <f t="shared" si="15"/>
        <v>602440.8200000003</v>
      </c>
      <c r="I128" s="45">
        <f>J128-497339.2</f>
        <v>311274.23999999993</v>
      </c>
      <c r="J128" s="45">
        <v>808613.44</v>
      </c>
      <c r="K128" s="45">
        <f t="shared" si="20"/>
        <v>1.5597276229791753E-3</v>
      </c>
      <c r="L128" s="53">
        <f t="shared" si="16"/>
        <v>22194730.099999998</v>
      </c>
    </row>
    <row r="129" spans="1:12" s="5" customFormat="1" ht="14.85" customHeight="1" x14ac:dyDescent="0.25">
      <c r="A129" s="43" t="s">
        <v>34</v>
      </c>
      <c r="B129" s="44" t="s">
        <v>35</v>
      </c>
      <c r="C129" s="94">
        <v>21155482</v>
      </c>
      <c r="D129" s="94">
        <v>108779442.72</v>
      </c>
      <c r="E129" s="61">
        <f>F129-85243465.65</f>
        <v>785203.43999999762</v>
      </c>
      <c r="F129" s="45">
        <v>86028669.090000004</v>
      </c>
      <c r="G129" s="45">
        <f t="shared" si="19"/>
        <v>0.14741712599778695</v>
      </c>
      <c r="H129" s="45">
        <f t="shared" si="15"/>
        <v>22750773.629999995</v>
      </c>
      <c r="I129" s="45">
        <f>J129-69432000</f>
        <v>9878593.400000006</v>
      </c>
      <c r="J129" s="45">
        <v>79310593.400000006</v>
      </c>
      <c r="K129" s="45">
        <f t="shared" si="20"/>
        <v>0.15298153258601527</v>
      </c>
      <c r="L129" s="53">
        <f t="shared" si="16"/>
        <v>29468849.319999993</v>
      </c>
    </row>
    <row r="130" spans="1:12" s="5" customFormat="1" ht="14.85" customHeight="1" x14ac:dyDescent="0.25">
      <c r="A130" s="43" t="s">
        <v>110</v>
      </c>
      <c r="B130" s="44" t="s">
        <v>111</v>
      </c>
      <c r="C130" s="94">
        <v>115112545</v>
      </c>
      <c r="D130" s="94">
        <v>126788641.73</v>
      </c>
      <c r="E130" s="61">
        <f>F130-36104201.82</f>
        <v>17189918.579999998</v>
      </c>
      <c r="F130" s="94">
        <v>53294120.399999999</v>
      </c>
      <c r="G130" s="45">
        <f t="shared" si="19"/>
        <v>9.132381269003341E-2</v>
      </c>
      <c r="H130" s="45">
        <f t="shared" si="15"/>
        <v>73494521.330000013</v>
      </c>
      <c r="I130" s="45">
        <f>J130-18293191.21</f>
        <v>18700520.490000002</v>
      </c>
      <c r="J130" s="45">
        <v>36993711.700000003</v>
      </c>
      <c r="K130" s="45">
        <f t="shared" si="20"/>
        <v>7.1356857505383439E-2</v>
      </c>
      <c r="L130" s="53">
        <f t="shared" si="16"/>
        <v>89794930.030000001</v>
      </c>
    </row>
    <row r="131" spans="1:12" s="5" customFormat="1" ht="14.85" customHeight="1" x14ac:dyDescent="0.25">
      <c r="A131" s="43" t="s">
        <v>116</v>
      </c>
      <c r="B131" s="44" t="s">
        <v>117</v>
      </c>
      <c r="C131" s="94">
        <v>1233970</v>
      </c>
      <c r="D131" s="94">
        <v>1233970</v>
      </c>
      <c r="E131" s="61">
        <f>F131-1154333.6</f>
        <v>-2</v>
      </c>
      <c r="F131" s="45">
        <v>1154331.6000000001</v>
      </c>
      <c r="G131" s="45">
        <f t="shared" si="19"/>
        <v>1.9780411428009341E-3</v>
      </c>
      <c r="H131" s="45">
        <f t="shared" si="15"/>
        <v>79638.399999999907</v>
      </c>
      <c r="I131" s="45">
        <f t="shared" ref="I131:I146" si="25">J131-0</f>
        <v>1057902.0900000001</v>
      </c>
      <c r="J131" s="45">
        <v>1057902.0900000001</v>
      </c>
      <c r="K131" s="45">
        <f t="shared" si="20"/>
        <v>2.0405783908073578E-3</v>
      </c>
      <c r="L131" s="53">
        <f t="shared" si="16"/>
        <v>176067.90999999992</v>
      </c>
    </row>
    <row r="132" spans="1:12" s="5" customFormat="1" ht="14.85" customHeight="1" x14ac:dyDescent="0.25">
      <c r="A132" s="43" t="s">
        <v>118</v>
      </c>
      <c r="B132" s="44" t="s">
        <v>119</v>
      </c>
      <c r="C132" s="94">
        <v>241859040</v>
      </c>
      <c r="D132" s="94">
        <v>252960845.24000001</v>
      </c>
      <c r="E132" s="61">
        <f>F132-77787388.19</f>
        <v>53865888.659999996</v>
      </c>
      <c r="F132" s="45">
        <v>131653276.84999999</v>
      </c>
      <c r="G132" s="45">
        <f t="shared" si="19"/>
        <v>0.2255986045897572</v>
      </c>
      <c r="H132" s="45">
        <f t="shared" si="15"/>
        <v>121307568.39000002</v>
      </c>
      <c r="I132" s="45">
        <f>J132-71501393.33</f>
        <v>48768722.079999998</v>
      </c>
      <c r="J132" s="94">
        <v>120270115.41</v>
      </c>
      <c r="K132" s="45">
        <f t="shared" si="20"/>
        <v>0.231988008044821</v>
      </c>
      <c r="L132" s="53">
        <f t="shared" si="16"/>
        <v>132690729.83000001</v>
      </c>
    </row>
    <row r="133" spans="1:12" s="5" customFormat="1" ht="14.85" customHeight="1" x14ac:dyDescent="0.25">
      <c r="A133" s="43" t="s">
        <v>120</v>
      </c>
      <c r="B133" s="44" t="s">
        <v>121</v>
      </c>
      <c r="C133" s="45">
        <v>0</v>
      </c>
      <c r="D133" s="45">
        <v>0</v>
      </c>
      <c r="E133" s="61">
        <f t="shared" ref="E133:E146" si="26">F133-0</f>
        <v>0</v>
      </c>
      <c r="F133" s="45">
        <v>0</v>
      </c>
      <c r="G133" s="45">
        <f t="shared" si="19"/>
        <v>0</v>
      </c>
      <c r="H133" s="45">
        <f t="shared" si="15"/>
        <v>0</v>
      </c>
      <c r="I133" s="45">
        <f t="shared" si="25"/>
        <v>0</v>
      </c>
      <c r="J133" s="45">
        <v>0</v>
      </c>
      <c r="K133" s="45">
        <f t="shared" si="20"/>
        <v>0</v>
      </c>
      <c r="L133" s="53">
        <f t="shared" si="16"/>
        <v>0</v>
      </c>
    </row>
    <row r="134" spans="1:12" s="5" customFormat="1" ht="14.85" customHeight="1" x14ac:dyDescent="0.25">
      <c r="A134" s="43" t="s">
        <v>162</v>
      </c>
      <c r="B134" s="44" t="s">
        <v>163</v>
      </c>
      <c r="C134" s="94">
        <v>983700935</v>
      </c>
      <c r="D134" s="94">
        <v>983650935</v>
      </c>
      <c r="E134" s="61">
        <f>F134-274917141.25</f>
        <v>179808207.80000001</v>
      </c>
      <c r="F134" s="94">
        <v>454725349.05000001</v>
      </c>
      <c r="G134" s="45">
        <f t="shared" si="19"/>
        <v>0.77920889378356761</v>
      </c>
      <c r="H134" s="45">
        <f t="shared" si="15"/>
        <v>528925585.94999999</v>
      </c>
      <c r="I134" s="45">
        <f>J134-274917141.25</f>
        <v>179808207.80000001</v>
      </c>
      <c r="J134" s="94">
        <v>454725349.05000001</v>
      </c>
      <c r="K134" s="45">
        <f t="shared" si="20"/>
        <v>0.87711587848716988</v>
      </c>
      <c r="L134" s="53">
        <f t="shared" si="16"/>
        <v>528925585.94999999</v>
      </c>
    </row>
    <row r="135" spans="1:12" s="5" customFormat="1" ht="14.85" customHeight="1" x14ac:dyDescent="0.25">
      <c r="A135" s="43" t="s">
        <v>164</v>
      </c>
      <c r="B135" s="44" t="s">
        <v>165</v>
      </c>
      <c r="C135" s="94">
        <v>2588912131</v>
      </c>
      <c r="D135" s="94">
        <v>2591564879.4200001</v>
      </c>
      <c r="E135" s="61">
        <f>F135-878832698.42</f>
        <v>546962566.19999993</v>
      </c>
      <c r="F135" s="94">
        <v>1425795264.6199999</v>
      </c>
      <c r="G135" s="45">
        <f t="shared" si="19"/>
        <v>2.4432162254148673</v>
      </c>
      <c r="H135" s="45">
        <f t="shared" si="15"/>
        <v>1165769614.8000002</v>
      </c>
      <c r="I135" s="45">
        <f>J135-878617821.02</f>
        <v>547141701.80999994</v>
      </c>
      <c r="J135" s="94">
        <v>1425759522.8299999</v>
      </c>
      <c r="K135" s="45">
        <f t="shared" si="20"/>
        <v>2.7501354806612652</v>
      </c>
      <c r="L135" s="53">
        <f t="shared" si="16"/>
        <v>1165805356.5900002</v>
      </c>
    </row>
    <row r="136" spans="1:12" s="5" customFormat="1" ht="14.85" customHeight="1" x14ac:dyDescent="0.25">
      <c r="A136" s="43" t="s">
        <v>166</v>
      </c>
      <c r="B136" s="44" t="s">
        <v>167</v>
      </c>
      <c r="C136" s="94">
        <v>17669863</v>
      </c>
      <c r="D136" s="94">
        <v>171301706.68000001</v>
      </c>
      <c r="E136" s="61">
        <f>F136-18315422.85</f>
        <v>13284588.75</v>
      </c>
      <c r="F136" s="94">
        <v>31600011.600000001</v>
      </c>
      <c r="G136" s="45">
        <f t="shared" si="19"/>
        <v>5.414919166882963E-2</v>
      </c>
      <c r="H136" s="45">
        <f t="shared" si="15"/>
        <v>139701695.08000001</v>
      </c>
      <c r="I136" s="45">
        <f>J136-10991291.12</f>
        <v>16090340.130000001</v>
      </c>
      <c r="J136" s="94">
        <v>27081631.25</v>
      </c>
      <c r="K136" s="45">
        <f t="shared" si="20"/>
        <v>5.2237529388530886E-2</v>
      </c>
      <c r="L136" s="53">
        <f t="shared" si="16"/>
        <v>144220075.43000001</v>
      </c>
    </row>
    <row r="137" spans="1:12" s="5" customFormat="1" ht="14.85" customHeight="1" x14ac:dyDescent="0.25">
      <c r="A137" s="43" t="s">
        <v>168</v>
      </c>
      <c r="B137" s="44" t="s">
        <v>169</v>
      </c>
      <c r="C137" s="94">
        <v>532662502</v>
      </c>
      <c r="D137" s="94">
        <v>580079297.75999999</v>
      </c>
      <c r="E137" s="61">
        <f>F137-191278444.34</f>
        <v>50722266.949999988</v>
      </c>
      <c r="F137" s="94">
        <v>242000711.28999999</v>
      </c>
      <c r="G137" s="45">
        <f t="shared" si="19"/>
        <v>0.4146879142169464</v>
      </c>
      <c r="H137" s="45">
        <f t="shared" si="15"/>
        <v>338078586.47000003</v>
      </c>
      <c r="I137" s="45">
        <f>J137-132607077.81</f>
        <v>91688834.800000012</v>
      </c>
      <c r="J137" s="94">
        <v>224295912.61000001</v>
      </c>
      <c r="K137" s="45">
        <f t="shared" si="20"/>
        <v>0.43264248813269807</v>
      </c>
      <c r="L137" s="53">
        <f t="shared" si="16"/>
        <v>355783385.14999998</v>
      </c>
    </row>
    <row r="138" spans="1:12" s="5" customFormat="1" ht="14.85" customHeight="1" x14ac:dyDescent="0.25">
      <c r="A138" s="43" t="s">
        <v>124</v>
      </c>
      <c r="B138" s="44" t="s">
        <v>125</v>
      </c>
      <c r="C138" s="94">
        <v>17347034</v>
      </c>
      <c r="D138" s="94">
        <v>17347034</v>
      </c>
      <c r="E138" s="61">
        <f>F138-3053833.11</f>
        <v>2034986.8599999999</v>
      </c>
      <c r="F138" s="94">
        <v>5088819.97</v>
      </c>
      <c r="G138" s="45">
        <f t="shared" si="19"/>
        <v>8.720107176280207E-3</v>
      </c>
      <c r="H138" s="45">
        <f t="shared" ref="H138:H151" si="27">D138-F138</f>
        <v>12258214.030000001</v>
      </c>
      <c r="I138" s="45">
        <f>J138-2558024.41</f>
        <v>2022247.25</v>
      </c>
      <c r="J138" s="94">
        <v>4580271.66</v>
      </c>
      <c r="K138" s="45">
        <f t="shared" si="20"/>
        <v>8.8348472526633779E-3</v>
      </c>
      <c r="L138" s="53">
        <f t="shared" ref="L138:L151" si="28">D138-J138</f>
        <v>12766762.34</v>
      </c>
    </row>
    <row r="139" spans="1:12" s="5" customFormat="1" ht="14.85" customHeight="1" x14ac:dyDescent="0.25">
      <c r="A139" s="43" t="s">
        <v>170</v>
      </c>
      <c r="B139" s="44" t="s">
        <v>171</v>
      </c>
      <c r="C139" s="94">
        <v>31919958</v>
      </c>
      <c r="D139" s="94">
        <v>38923527.939999998</v>
      </c>
      <c r="E139" s="61">
        <f>F139-15134677.14</f>
        <v>6059353.370000001</v>
      </c>
      <c r="F139" s="94">
        <v>21194030.510000002</v>
      </c>
      <c r="G139" s="45">
        <f t="shared" si="19"/>
        <v>3.6317696172017008E-2</v>
      </c>
      <c r="H139" s="45">
        <f t="shared" si="27"/>
        <v>17729497.429999996</v>
      </c>
      <c r="I139" s="45">
        <f>J139-7942231.12</f>
        <v>10302803.359999999</v>
      </c>
      <c r="J139" s="45">
        <v>18245034.48</v>
      </c>
      <c r="K139" s="45">
        <f t="shared" si="20"/>
        <v>3.5192692642684119E-2</v>
      </c>
      <c r="L139" s="53">
        <f t="shared" si="28"/>
        <v>20678493.459999997</v>
      </c>
    </row>
    <row r="140" spans="1:12" s="5" customFormat="1" ht="14.85" customHeight="1" x14ac:dyDescent="0.25">
      <c r="A140" s="43" t="s">
        <v>172</v>
      </c>
      <c r="B140" s="44" t="s">
        <v>173</v>
      </c>
      <c r="C140" s="94">
        <v>1449663257</v>
      </c>
      <c r="D140" s="94">
        <v>1882081359.3</v>
      </c>
      <c r="E140" s="61">
        <f>F140-1130833412.74</f>
        <v>227850836.33999991</v>
      </c>
      <c r="F140" s="94">
        <v>1358684249.0799999</v>
      </c>
      <c r="G140" s="45">
        <f t="shared" si="19"/>
        <v>2.3282160384033772</v>
      </c>
      <c r="H140" s="45">
        <f t="shared" si="27"/>
        <v>523397110.22000003</v>
      </c>
      <c r="I140" s="45">
        <f>J140-617263324.94</f>
        <v>272312659.8499999</v>
      </c>
      <c r="J140" s="94">
        <v>889575984.78999996</v>
      </c>
      <c r="K140" s="45">
        <f t="shared" si="20"/>
        <v>1.7158955906246942</v>
      </c>
      <c r="L140" s="53">
        <f t="shared" si="28"/>
        <v>992505374.50999999</v>
      </c>
    </row>
    <row r="141" spans="1:12" s="5" customFormat="1" ht="14.85" customHeight="1" x14ac:dyDescent="0.25">
      <c r="A141" s="43" t="s">
        <v>38</v>
      </c>
      <c r="B141" s="44" t="s">
        <v>39</v>
      </c>
      <c r="C141" s="94">
        <v>40215967</v>
      </c>
      <c r="D141" s="94">
        <v>215967</v>
      </c>
      <c r="E141" s="61">
        <f t="shared" si="26"/>
        <v>0</v>
      </c>
      <c r="F141" s="45">
        <v>0</v>
      </c>
      <c r="G141" s="45">
        <f t="shared" ref="G141:G151" si="29">(F141/$F$307)*100</f>
        <v>0</v>
      </c>
      <c r="H141" s="45">
        <f t="shared" si="27"/>
        <v>215967</v>
      </c>
      <c r="I141" s="45">
        <f t="shared" si="25"/>
        <v>0</v>
      </c>
      <c r="J141" s="45">
        <v>0</v>
      </c>
      <c r="K141" s="45">
        <f t="shared" ref="K141:K151" si="30">(J141/$J$307)*100</f>
        <v>0</v>
      </c>
      <c r="L141" s="53">
        <f t="shared" si="28"/>
        <v>215967</v>
      </c>
    </row>
    <row r="142" spans="1:12" s="5" customFormat="1" ht="14.85" customHeight="1" x14ac:dyDescent="0.25">
      <c r="A142" s="43" t="s">
        <v>40</v>
      </c>
      <c r="B142" s="44" t="s">
        <v>41</v>
      </c>
      <c r="C142" s="94">
        <v>117317</v>
      </c>
      <c r="D142" s="94">
        <v>117317</v>
      </c>
      <c r="E142" s="61">
        <f t="shared" si="26"/>
        <v>0</v>
      </c>
      <c r="F142" s="50">
        <v>0</v>
      </c>
      <c r="G142" s="45">
        <f t="shared" si="29"/>
        <v>0</v>
      </c>
      <c r="H142" s="45">
        <f t="shared" si="27"/>
        <v>117317</v>
      </c>
      <c r="I142" s="45">
        <f t="shared" si="25"/>
        <v>0</v>
      </c>
      <c r="J142" s="45">
        <v>0</v>
      </c>
      <c r="K142" s="45">
        <f t="shared" si="30"/>
        <v>0</v>
      </c>
      <c r="L142" s="53">
        <f t="shared" si="28"/>
        <v>117317</v>
      </c>
    </row>
    <row r="143" spans="1:12" s="5" customFormat="1" ht="14.85" customHeight="1" x14ac:dyDescent="0.25">
      <c r="A143" s="43" t="s">
        <v>85</v>
      </c>
      <c r="B143" s="44" t="s">
        <v>86</v>
      </c>
      <c r="C143" s="94">
        <v>129387</v>
      </c>
      <c r="D143" s="94">
        <v>129387</v>
      </c>
      <c r="E143" s="61">
        <f t="shared" si="26"/>
        <v>0</v>
      </c>
      <c r="F143" s="50">
        <v>0</v>
      </c>
      <c r="G143" s="45">
        <f t="shared" si="29"/>
        <v>0</v>
      </c>
      <c r="H143" s="45">
        <f t="shared" si="27"/>
        <v>129387</v>
      </c>
      <c r="I143" s="45">
        <f t="shared" si="25"/>
        <v>0</v>
      </c>
      <c r="J143" s="45">
        <v>0</v>
      </c>
      <c r="K143" s="45">
        <f t="shared" si="30"/>
        <v>0</v>
      </c>
      <c r="L143" s="53">
        <f t="shared" si="28"/>
        <v>129387</v>
      </c>
    </row>
    <row r="144" spans="1:12" s="5" customFormat="1" ht="14.85" customHeight="1" x14ac:dyDescent="0.25">
      <c r="A144" s="43" t="s">
        <v>87</v>
      </c>
      <c r="B144" s="44" t="s">
        <v>88</v>
      </c>
      <c r="C144" s="94">
        <v>25954921</v>
      </c>
      <c r="D144" s="94">
        <v>55354886.590000004</v>
      </c>
      <c r="E144" s="61">
        <f>F144-866452.08</f>
        <v>304136.54000000015</v>
      </c>
      <c r="F144" s="94">
        <v>1170588.6200000001</v>
      </c>
      <c r="G144" s="45">
        <f t="shared" si="29"/>
        <v>2.0058988696615154E-3</v>
      </c>
      <c r="H144" s="45">
        <f t="shared" si="27"/>
        <v>54184297.970000006</v>
      </c>
      <c r="I144" s="45">
        <f>J144-860964.19</f>
        <v>304136.55000000005</v>
      </c>
      <c r="J144" s="94">
        <v>1165100.74</v>
      </c>
      <c r="K144" s="45">
        <f t="shared" si="30"/>
        <v>2.2473529598165945E-3</v>
      </c>
      <c r="L144" s="53">
        <f t="shared" si="28"/>
        <v>54189785.850000001</v>
      </c>
    </row>
    <row r="145" spans="1:12" s="5" customFormat="1" ht="14.85" customHeight="1" x14ac:dyDescent="0.25">
      <c r="A145" s="43" t="s">
        <v>89</v>
      </c>
      <c r="B145" s="44" t="s">
        <v>90</v>
      </c>
      <c r="C145" s="94">
        <v>213644</v>
      </c>
      <c r="D145" s="94">
        <v>1013644</v>
      </c>
      <c r="E145" s="61">
        <f>F145-353605.12</f>
        <v>320022.40000000002</v>
      </c>
      <c r="F145" s="94">
        <v>673627.52</v>
      </c>
      <c r="G145" s="45">
        <f t="shared" si="29"/>
        <v>1.1543155792347356E-3</v>
      </c>
      <c r="H145" s="45">
        <f t="shared" si="27"/>
        <v>340016.48</v>
      </c>
      <c r="I145" s="45">
        <f>J145-342605.12</f>
        <v>331022.40000000002</v>
      </c>
      <c r="J145" s="94">
        <v>673627.52</v>
      </c>
      <c r="K145" s="45">
        <f t="shared" si="30"/>
        <v>1.2993544239667313E-3</v>
      </c>
      <c r="L145" s="53">
        <f t="shared" si="28"/>
        <v>340016.48</v>
      </c>
    </row>
    <row r="146" spans="1:12" s="5" customFormat="1" ht="14.85" customHeight="1" x14ac:dyDescent="0.25">
      <c r="A146" s="43" t="s">
        <v>132</v>
      </c>
      <c r="B146" s="44" t="s">
        <v>133</v>
      </c>
      <c r="C146" s="94">
        <v>126282</v>
      </c>
      <c r="D146" s="94">
        <v>126282</v>
      </c>
      <c r="E146" s="61">
        <f t="shared" si="26"/>
        <v>0</v>
      </c>
      <c r="F146" s="45">
        <v>0</v>
      </c>
      <c r="G146" s="45">
        <f t="shared" si="29"/>
        <v>0</v>
      </c>
      <c r="H146" s="45">
        <f t="shared" si="27"/>
        <v>126282</v>
      </c>
      <c r="I146" s="45">
        <f t="shared" si="25"/>
        <v>0</v>
      </c>
      <c r="J146" s="45">
        <v>0</v>
      </c>
      <c r="K146" s="45">
        <f t="shared" si="30"/>
        <v>0</v>
      </c>
      <c r="L146" s="53">
        <f t="shared" si="28"/>
        <v>126282</v>
      </c>
    </row>
    <row r="147" spans="1:12" s="5" customFormat="1" ht="14.85" customHeight="1" x14ac:dyDescent="0.25">
      <c r="A147" s="40" t="s">
        <v>174</v>
      </c>
      <c r="B147" s="70" t="s">
        <v>175</v>
      </c>
      <c r="C147" s="42">
        <f>SUM(C148:C151)</f>
        <v>586402090</v>
      </c>
      <c r="D147" s="42">
        <f>SUM(D148:D151)</f>
        <v>731486824.15999997</v>
      </c>
      <c r="E147" s="98">
        <f>SUM(E148:E151)</f>
        <v>80594005.089999989</v>
      </c>
      <c r="F147" s="42">
        <f>SUM(F148:F151)</f>
        <v>227811705.69</v>
      </c>
      <c r="G147" s="42">
        <f t="shared" si="29"/>
        <v>0.39037389833777197</v>
      </c>
      <c r="H147" s="42">
        <f t="shared" si="27"/>
        <v>503675118.46999997</v>
      </c>
      <c r="I147" s="42">
        <f>SUM(I148:I151)</f>
        <v>77637887.75999999</v>
      </c>
      <c r="J147" s="42">
        <f>SUM(J148:J151)</f>
        <v>190790835.75999999</v>
      </c>
      <c r="K147" s="42">
        <f t="shared" si="30"/>
        <v>0.36801482887318204</v>
      </c>
      <c r="L147" s="57">
        <f t="shared" si="28"/>
        <v>540695988.39999998</v>
      </c>
    </row>
    <row r="148" spans="1:12" s="5" customFormat="1" ht="14.85" customHeight="1" x14ac:dyDescent="0.25">
      <c r="A148" s="43" t="s">
        <v>30</v>
      </c>
      <c r="B148" s="44" t="s">
        <v>31</v>
      </c>
      <c r="C148" s="94">
        <v>185446773</v>
      </c>
      <c r="D148" s="94">
        <v>188023145.93000001</v>
      </c>
      <c r="E148" s="61">
        <f>F148-48827509.29</f>
        <v>22005509.449999996</v>
      </c>
      <c r="F148" s="94">
        <v>70833018.739999995</v>
      </c>
      <c r="G148" s="45">
        <f t="shared" si="29"/>
        <v>0.12137814241289901</v>
      </c>
      <c r="H148" s="45">
        <f t="shared" si="27"/>
        <v>117190127.19000001</v>
      </c>
      <c r="I148" s="45">
        <f>J148-35888353.42</f>
        <v>30972680.949999996</v>
      </c>
      <c r="J148" s="94">
        <v>66861034.369999997</v>
      </c>
      <c r="K148" s="45">
        <f t="shared" si="30"/>
        <v>0.12896768350504914</v>
      </c>
      <c r="L148" s="53">
        <f t="shared" si="28"/>
        <v>121162111.56</v>
      </c>
    </row>
    <row r="149" spans="1:12" s="5" customFormat="1" ht="14.85" customHeight="1" x14ac:dyDescent="0.25">
      <c r="A149" s="43" t="s">
        <v>176</v>
      </c>
      <c r="B149" s="44" t="s">
        <v>177</v>
      </c>
      <c r="C149" s="94">
        <v>2562435</v>
      </c>
      <c r="D149" s="94">
        <v>5435920.6900000004</v>
      </c>
      <c r="E149" s="61">
        <f>F149-15031.83</f>
        <v>3309623.52</v>
      </c>
      <c r="F149" s="94">
        <v>3324655.35</v>
      </c>
      <c r="G149" s="45">
        <f t="shared" si="29"/>
        <v>5.6970675219609685E-3</v>
      </c>
      <c r="H149" s="45">
        <f t="shared" si="27"/>
        <v>2111265.3400000003</v>
      </c>
      <c r="I149" s="45">
        <f>J149-8566.48</f>
        <v>16437.84</v>
      </c>
      <c r="J149" s="94">
        <v>25004.32</v>
      </c>
      <c r="K149" s="45">
        <f t="shared" si="30"/>
        <v>4.8230621293915984E-5</v>
      </c>
      <c r="L149" s="53">
        <f t="shared" si="28"/>
        <v>5410916.3700000001</v>
      </c>
    </row>
    <row r="150" spans="1:12" s="5" customFormat="1" ht="14.85" customHeight="1" x14ac:dyDescent="0.25">
      <c r="A150" s="43" t="s">
        <v>38</v>
      </c>
      <c r="B150" s="44" t="s">
        <v>39</v>
      </c>
      <c r="C150" s="94">
        <v>398392882</v>
      </c>
      <c r="D150" s="94">
        <v>538027757.53999996</v>
      </c>
      <c r="E150" s="61">
        <f>F150-98375159.48</f>
        <v>55278872.11999999</v>
      </c>
      <c r="F150" s="94">
        <v>153654031.59999999</v>
      </c>
      <c r="G150" s="45">
        <f t="shared" si="29"/>
        <v>0.26329868840291198</v>
      </c>
      <c r="H150" s="45">
        <f t="shared" si="27"/>
        <v>384373725.93999994</v>
      </c>
      <c r="I150" s="45">
        <f>J150-77256028.1</f>
        <v>46648768.969999999</v>
      </c>
      <c r="J150" s="94">
        <v>123904797.06999999</v>
      </c>
      <c r="K150" s="45">
        <f t="shared" si="30"/>
        <v>0.23899891474683899</v>
      </c>
      <c r="L150" s="53">
        <f t="shared" si="28"/>
        <v>414122960.46999997</v>
      </c>
    </row>
    <row r="151" spans="1:12" s="5" customFormat="1" ht="14.85" customHeight="1" x14ac:dyDescent="0.25">
      <c r="A151" s="46" t="s">
        <v>95</v>
      </c>
      <c r="B151" s="47" t="s">
        <v>96</v>
      </c>
      <c r="C151" s="56">
        <v>0</v>
      </c>
      <c r="D151" s="56">
        <v>0</v>
      </c>
      <c r="E151" s="99">
        <f>F151-0</f>
        <v>0</v>
      </c>
      <c r="F151" s="56">
        <v>0</v>
      </c>
      <c r="G151" s="56">
        <f t="shared" si="29"/>
        <v>0</v>
      </c>
      <c r="H151" s="56">
        <f t="shared" si="27"/>
        <v>0</v>
      </c>
      <c r="I151" s="56">
        <f>J151-0</f>
        <v>0</v>
      </c>
      <c r="J151" s="56">
        <v>0</v>
      </c>
      <c r="K151" s="56">
        <f t="shared" si="30"/>
        <v>0</v>
      </c>
      <c r="L151" s="76">
        <f t="shared" si="28"/>
        <v>0</v>
      </c>
    </row>
    <row r="152" spans="1:12" s="5" customFormat="1" ht="15" customHeight="1" x14ac:dyDescent="0.25">
      <c r="A152" s="43"/>
      <c r="B152" s="48"/>
      <c r="C152" s="49"/>
      <c r="D152" s="49"/>
      <c r="E152" s="100"/>
      <c r="F152" s="49"/>
      <c r="G152" s="50"/>
      <c r="H152" s="49"/>
      <c r="I152" s="49"/>
      <c r="J152" s="49"/>
      <c r="K152" s="50"/>
      <c r="L152" s="51" t="s">
        <v>178</v>
      </c>
    </row>
    <row r="153" spans="1:12" s="5" customFormat="1" ht="13.5" customHeight="1" x14ac:dyDescent="0.25">
      <c r="A153" s="26"/>
      <c r="B153" s="22"/>
      <c r="C153" s="27"/>
      <c r="D153" s="27"/>
      <c r="E153" s="101"/>
      <c r="F153" s="27"/>
      <c r="G153" s="28"/>
      <c r="H153" s="27"/>
      <c r="I153" s="27"/>
      <c r="J153" s="27"/>
      <c r="K153" s="28"/>
      <c r="L153" s="27"/>
    </row>
    <row r="154" spans="1:12" s="5" customFormat="1" ht="15.75" x14ac:dyDescent="0.25">
      <c r="A154" s="26"/>
      <c r="B154" s="22"/>
      <c r="C154" s="27"/>
      <c r="D154" s="27"/>
      <c r="E154" s="101"/>
      <c r="F154" s="27"/>
      <c r="G154" s="28"/>
      <c r="H154" s="27"/>
      <c r="I154" s="27"/>
      <c r="J154" s="27"/>
      <c r="K154" s="28"/>
      <c r="L154" s="27"/>
    </row>
    <row r="155" spans="1:12" s="5" customFormat="1" ht="15.75" x14ac:dyDescent="0.25">
      <c r="A155" s="26"/>
      <c r="B155" s="22"/>
      <c r="C155" s="27"/>
      <c r="D155" s="27"/>
      <c r="E155" s="101"/>
      <c r="F155" s="27"/>
      <c r="G155" s="28"/>
      <c r="H155" s="27"/>
      <c r="I155" s="27"/>
      <c r="J155" s="27"/>
      <c r="K155" s="28"/>
      <c r="L155" s="27"/>
    </row>
    <row r="156" spans="1:12" s="5" customFormat="1" ht="17.25" customHeight="1" x14ac:dyDescent="0.25">
      <c r="A156" s="26"/>
      <c r="B156" s="22"/>
      <c r="C156" s="27"/>
      <c r="D156" s="27"/>
      <c r="E156" s="101"/>
      <c r="F156" s="27"/>
      <c r="G156" s="28"/>
      <c r="H156" s="27"/>
      <c r="I156" s="27"/>
      <c r="J156" s="27"/>
      <c r="K156" s="28"/>
      <c r="L156" s="21" t="s">
        <v>179</v>
      </c>
    </row>
    <row r="157" spans="1:12" s="5" customFormat="1" ht="15.75" x14ac:dyDescent="0.25">
      <c r="A157" s="113" t="s">
        <v>0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</row>
    <row r="158" spans="1:12" s="5" customFormat="1" ht="15.75" x14ac:dyDescent="0.25">
      <c r="A158" s="113" t="s">
        <v>1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</row>
    <row r="159" spans="1:12" s="5" customFormat="1" ht="15.75" x14ac:dyDescent="0.25">
      <c r="A159" s="120" t="s">
        <v>2</v>
      </c>
      <c r="B159" s="120"/>
      <c r="C159" s="120"/>
      <c r="D159" s="120"/>
      <c r="E159" s="120"/>
      <c r="F159" s="120"/>
      <c r="G159" s="120"/>
      <c r="H159" s="120"/>
      <c r="I159" s="120"/>
      <c r="J159" s="120"/>
      <c r="K159" s="120"/>
      <c r="L159" s="120"/>
    </row>
    <row r="160" spans="1:12" s="5" customFormat="1" ht="15.75" x14ac:dyDescent="0.25">
      <c r="A160" s="113" t="s">
        <v>3</v>
      </c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</row>
    <row r="161" spans="1:12" s="5" customFormat="1" ht="15.75" x14ac:dyDescent="0.25">
      <c r="A161" s="113" t="str">
        <f>A7</f>
        <v>JANEIRO A JUNHO  2025/BIMESTRE MAIO - JUNHO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</row>
    <row r="162" spans="1:12" s="5" customFormat="1" ht="15.75" x14ac:dyDescent="0.25">
      <c r="A162" s="26"/>
      <c r="B162" s="26"/>
      <c r="C162" s="26"/>
      <c r="D162" s="26"/>
      <c r="E162" s="67"/>
      <c r="F162" s="26"/>
      <c r="G162" s="26"/>
      <c r="H162" s="26"/>
      <c r="I162" s="26"/>
      <c r="J162" s="26"/>
      <c r="K162" s="26"/>
      <c r="L162" s="21" t="str">
        <f>L8</f>
        <v>Emissão: 22/07/2025</v>
      </c>
    </row>
    <row r="163" spans="1:12" s="5" customFormat="1" ht="15.75" x14ac:dyDescent="0.25">
      <c r="A163" s="23" t="s">
        <v>4</v>
      </c>
      <c r="B163" s="22"/>
      <c r="C163" s="22"/>
      <c r="D163" s="22"/>
      <c r="E163" s="3"/>
      <c r="F163" s="24"/>
      <c r="G163" s="24"/>
      <c r="H163" s="24"/>
      <c r="I163" s="22"/>
      <c r="J163" s="22"/>
      <c r="K163" s="21"/>
      <c r="L163" s="25">
        <v>1</v>
      </c>
    </row>
    <row r="164" spans="1:12" s="5" customFormat="1" ht="13.5" customHeight="1" x14ac:dyDescent="0.25">
      <c r="A164" s="8"/>
      <c r="B164" s="9"/>
      <c r="C164" s="10" t="s">
        <v>5</v>
      </c>
      <c r="D164" s="10" t="s">
        <v>5</v>
      </c>
      <c r="E164" s="117" t="s">
        <v>6</v>
      </c>
      <c r="F164" s="118"/>
      <c r="G164" s="119"/>
      <c r="H164" s="10" t="s">
        <v>7</v>
      </c>
      <c r="I164" s="117" t="s">
        <v>8</v>
      </c>
      <c r="J164" s="118"/>
      <c r="K164" s="119"/>
      <c r="L164" s="11" t="s">
        <v>7</v>
      </c>
    </row>
    <row r="165" spans="1:12" s="5" customFormat="1" ht="14.25" customHeight="1" x14ac:dyDescent="0.25">
      <c r="A165" s="12" t="s">
        <v>9</v>
      </c>
      <c r="B165" s="13" t="s">
        <v>10</v>
      </c>
      <c r="C165" s="13" t="s">
        <v>11</v>
      </c>
      <c r="D165" s="13" t="s">
        <v>12</v>
      </c>
      <c r="E165" s="13" t="s">
        <v>13</v>
      </c>
      <c r="F165" s="13" t="s">
        <v>14</v>
      </c>
      <c r="G165" s="13" t="s">
        <v>15</v>
      </c>
      <c r="H165" s="14"/>
      <c r="I165" s="13" t="s">
        <v>13</v>
      </c>
      <c r="J165" s="13" t="s">
        <v>14</v>
      </c>
      <c r="K165" s="13" t="s">
        <v>15</v>
      </c>
      <c r="L165" s="15"/>
    </row>
    <row r="166" spans="1:12" s="5" customFormat="1" ht="13.5" customHeight="1" x14ac:dyDescent="0.25">
      <c r="A166" s="16"/>
      <c r="B166" s="17"/>
      <c r="C166" s="17"/>
      <c r="D166" s="18" t="s">
        <v>16</v>
      </c>
      <c r="E166" s="18"/>
      <c r="F166" s="18" t="s">
        <v>17</v>
      </c>
      <c r="G166" s="18" t="s">
        <v>18</v>
      </c>
      <c r="H166" s="19" t="s">
        <v>19</v>
      </c>
      <c r="I166" s="18"/>
      <c r="J166" s="18" t="s">
        <v>20</v>
      </c>
      <c r="K166" s="18" t="s">
        <v>21</v>
      </c>
      <c r="L166" s="20" t="s">
        <v>22</v>
      </c>
    </row>
    <row r="167" spans="1:12" s="5" customFormat="1" ht="14.85" customHeight="1" x14ac:dyDescent="0.25">
      <c r="A167" s="40" t="s">
        <v>180</v>
      </c>
      <c r="B167" s="70" t="s">
        <v>181</v>
      </c>
      <c r="C167" s="42">
        <f>SUM(C168:C176)</f>
        <v>446835473</v>
      </c>
      <c r="D167" s="42">
        <f>SUM(D168:D176)</f>
        <v>451554466.98000002</v>
      </c>
      <c r="E167" s="98">
        <f>SUM(E168:E176)</f>
        <v>67891082.049999982</v>
      </c>
      <c r="F167" s="42">
        <f>SUM(F168:F176)</f>
        <v>175513661.70999998</v>
      </c>
      <c r="G167" s="42">
        <f t="shared" ref="G167:G198" si="31">(F167/$F$307)*100</f>
        <v>0.30075694365988498</v>
      </c>
      <c r="H167" s="42">
        <f t="shared" ref="H167:H236" si="32">D167-F167</f>
        <v>276040805.27000004</v>
      </c>
      <c r="I167" s="42">
        <f>SUM(I168:I176)</f>
        <v>67771388.060000002</v>
      </c>
      <c r="J167" s="42">
        <f>SUM(J168:J176)</f>
        <v>171461073.49000001</v>
      </c>
      <c r="K167" s="42">
        <f t="shared" ref="K167:K198" si="33">(J167/$J$307)*100</f>
        <v>0.33072981397392487</v>
      </c>
      <c r="L167" s="57">
        <f t="shared" ref="L167:L236" si="34">D167-J167</f>
        <v>280093393.49000001</v>
      </c>
    </row>
    <row r="168" spans="1:12" s="5" customFormat="1" ht="14.85" customHeight="1" x14ac:dyDescent="0.25">
      <c r="A168" s="43" t="s">
        <v>48</v>
      </c>
      <c r="B168" s="44" t="s">
        <v>49</v>
      </c>
      <c r="C168" s="94">
        <v>60000</v>
      </c>
      <c r="D168" s="94">
        <v>7000</v>
      </c>
      <c r="E168" s="61">
        <f t="shared" ref="E168:E175" si="35">F168-0</f>
        <v>0</v>
      </c>
      <c r="F168" s="42">
        <v>0</v>
      </c>
      <c r="G168" s="45">
        <f t="shared" si="31"/>
        <v>0</v>
      </c>
      <c r="H168" s="45">
        <f t="shared" si="32"/>
        <v>7000</v>
      </c>
      <c r="I168" s="45">
        <v>0</v>
      </c>
      <c r="J168" s="45">
        <v>0</v>
      </c>
      <c r="K168" s="45">
        <f t="shared" si="33"/>
        <v>0</v>
      </c>
      <c r="L168" s="53">
        <f t="shared" si="34"/>
        <v>7000</v>
      </c>
    </row>
    <row r="169" spans="1:12" s="5" customFormat="1" ht="14.85" customHeight="1" x14ac:dyDescent="0.25">
      <c r="A169" s="43" t="s">
        <v>30</v>
      </c>
      <c r="B169" s="44" t="s">
        <v>31</v>
      </c>
      <c r="C169" s="94">
        <v>57874007</v>
      </c>
      <c r="D169" s="94">
        <v>57840507</v>
      </c>
      <c r="E169" s="61">
        <f>F169-10311406.09</f>
        <v>6151551.3599999994</v>
      </c>
      <c r="F169" s="94">
        <v>16462957.449999999</v>
      </c>
      <c r="G169" s="45">
        <f t="shared" si="31"/>
        <v>2.8210617441540325E-2</v>
      </c>
      <c r="H169" s="45">
        <f t="shared" si="32"/>
        <v>41377549.549999997</v>
      </c>
      <c r="I169" s="45">
        <f>J169-9977425.96</f>
        <v>5799840.75</v>
      </c>
      <c r="J169" s="94">
        <v>15777266.710000001</v>
      </c>
      <c r="K169" s="45">
        <f t="shared" si="33"/>
        <v>3.0432636270177227E-2</v>
      </c>
      <c r="L169" s="53">
        <f t="shared" si="34"/>
        <v>42063240.289999999</v>
      </c>
    </row>
    <row r="170" spans="1:12" s="5" customFormat="1" ht="14.85" customHeight="1" x14ac:dyDescent="0.25">
      <c r="A170" s="43" t="s">
        <v>65</v>
      </c>
      <c r="B170" s="44" t="s">
        <v>66</v>
      </c>
      <c r="C170" s="94">
        <v>248370856</v>
      </c>
      <c r="D170" s="94">
        <v>248370856</v>
      </c>
      <c r="E170" s="61">
        <f>F170-74988413.18</f>
        <v>41138868.669999987</v>
      </c>
      <c r="F170" s="94">
        <v>116127281.84999999</v>
      </c>
      <c r="G170" s="45">
        <f t="shared" si="31"/>
        <v>0.1989935485617306</v>
      </c>
      <c r="H170" s="45">
        <f t="shared" si="32"/>
        <v>132243574.15000001</v>
      </c>
      <c r="I170" s="45">
        <f>J170-74980750.72</f>
        <v>40726318.820000008</v>
      </c>
      <c r="J170" s="94">
        <v>115707069.54000001</v>
      </c>
      <c r="K170" s="45">
        <f t="shared" si="33"/>
        <v>0.22318638747274638</v>
      </c>
      <c r="L170" s="53">
        <f t="shared" si="34"/>
        <v>132663786.45999999</v>
      </c>
    </row>
    <row r="171" spans="1:12" s="5" customFormat="1" ht="14.85" customHeight="1" x14ac:dyDescent="0.25">
      <c r="A171" s="43" t="s">
        <v>136</v>
      </c>
      <c r="B171" s="44" t="s">
        <v>137</v>
      </c>
      <c r="C171" s="94">
        <v>0</v>
      </c>
      <c r="D171" s="94">
        <v>0</v>
      </c>
      <c r="E171" s="61">
        <f t="shared" si="35"/>
        <v>0</v>
      </c>
      <c r="F171" s="45">
        <v>0</v>
      </c>
      <c r="G171" s="45">
        <f t="shared" si="31"/>
        <v>0</v>
      </c>
      <c r="H171" s="45">
        <f t="shared" si="32"/>
        <v>0</v>
      </c>
      <c r="I171" s="45">
        <f t="shared" ref="I171:I175" si="36">J171-0</f>
        <v>0</v>
      </c>
      <c r="J171" s="45">
        <v>0</v>
      </c>
      <c r="K171" s="45">
        <f t="shared" si="33"/>
        <v>0</v>
      </c>
      <c r="L171" s="53">
        <f t="shared" si="34"/>
        <v>0</v>
      </c>
    </row>
    <row r="172" spans="1:12" s="5" customFormat="1" ht="14.85" customHeight="1" x14ac:dyDescent="0.25">
      <c r="A172" s="43" t="s">
        <v>108</v>
      </c>
      <c r="B172" s="44" t="s">
        <v>109</v>
      </c>
      <c r="C172" s="45">
        <v>0</v>
      </c>
      <c r="D172" s="45">
        <v>0</v>
      </c>
      <c r="E172" s="61">
        <f t="shared" si="35"/>
        <v>0</v>
      </c>
      <c r="F172" s="45">
        <v>0</v>
      </c>
      <c r="G172" s="45">
        <f t="shared" si="31"/>
        <v>0</v>
      </c>
      <c r="H172" s="45">
        <f t="shared" si="32"/>
        <v>0</v>
      </c>
      <c r="I172" s="45">
        <f t="shared" si="36"/>
        <v>0</v>
      </c>
      <c r="J172" s="45">
        <v>0</v>
      </c>
      <c r="K172" s="45">
        <f t="shared" si="33"/>
        <v>0</v>
      </c>
      <c r="L172" s="53">
        <f t="shared" si="34"/>
        <v>0</v>
      </c>
    </row>
    <row r="173" spans="1:12" s="5" customFormat="1" ht="14.85" customHeight="1" x14ac:dyDescent="0.25">
      <c r="A173" s="43" t="s">
        <v>110</v>
      </c>
      <c r="B173" s="44" t="s">
        <v>111</v>
      </c>
      <c r="C173" s="45">
        <v>100000</v>
      </c>
      <c r="D173" s="45">
        <v>100000</v>
      </c>
      <c r="E173" s="61">
        <f t="shared" si="35"/>
        <v>0</v>
      </c>
      <c r="F173" s="45">
        <v>0</v>
      </c>
      <c r="G173" s="45">
        <f t="shared" si="31"/>
        <v>0</v>
      </c>
      <c r="H173" s="45">
        <f t="shared" si="32"/>
        <v>100000</v>
      </c>
      <c r="I173" s="45">
        <f t="shared" si="36"/>
        <v>0</v>
      </c>
      <c r="J173" s="45">
        <v>0</v>
      </c>
      <c r="K173" s="45">
        <f t="shared" si="33"/>
        <v>0</v>
      </c>
      <c r="L173" s="53">
        <f t="shared" si="34"/>
        <v>100000</v>
      </c>
    </row>
    <row r="174" spans="1:12" s="5" customFormat="1" ht="14.85" customHeight="1" x14ac:dyDescent="0.25">
      <c r="A174" s="43" t="s">
        <v>176</v>
      </c>
      <c r="B174" s="44" t="s">
        <v>182</v>
      </c>
      <c r="C174" s="45">
        <v>0</v>
      </c>
      <c r="D174" s="45">
        <v>0</v>
      </c>
      <c r="E174" s="61">
        <f t="shared" si="35"/>
        <v>0</v>
      </c>
      <c r="F174" s="45">
        <v>0</v>
      </c>
      <c r="G174" s="45">
        <f t="shared" si="31"/>
        <v>0</v>
      </c>
      <c r="H174" s="45">
        <f t="shared" si="32"/>
        <v>0</v>
      </c>
      <c r="I174" s="45">
        <f t="shared" si="36"/>
        <v>0</v>
      </c>
      <c r="J174" s="45">
        <v>0</v>
      </c>
      <c r="K174" s="45">
        <f t="shared" si="33"/>
        <v>0</v>
      </c>
      <c r="L174" s="53">
        <f t="shared" si="34"/>
        <v>0</v>
      </c>
    </row>
    <row r="175" spans="1:12" s="5" customFormat="1" ht="14.85" customHeight="1" x14ac:dyDescent="0.25">
      <c r="A175" s="43" t="s">
        <v>75</v>
      </c>
      <c r="B175" s="52" t="s">
        <v>76</v>
      </c>
      <c r="C175" s="53">
        <v>0</v>
      </c>
      <c r="D175" s="53">
        <v>0</v>
      </c>
      <c r="E175" s="102">
        <f t="shared" si="35"/>
        <v>0</v>
      </c>
      <c r="F175" s="53">
        <v>0</v>
      </c>
      <c r="G175" s="45">
        <f t="shared" si="31"/>
        <v>0</v>
      </c>
      <c r="H175" s="53">
        <f t="shared" si="32"/>
        <v>0</v>
      </c>
      <c r="I175" s="53">
        <f t="shared" si="36"/>
        <v>0</v>
      </c>
      <c r="J175" s="53">
        <v>0</v>
      </c>
      <c r="K175" s="45">
        <f t="shared" si="33"/>
        <v>0</v>
      </c>
      <c r="L175" s="53">
        <f t="shared" si="34"/>
        <v>0</v>
      </c>
    </row>
    <row r="176" spans="1:12" s="5" customFormat="1" ht="14.85" customHeight="1" x14ac:dyDescent="0.25">
      <c r="A176" s="43" t="s">
        <v>40</v>
      </c>
      <c r="B176" s="52" t="s">
        <v>41</v>
      </c>
      <c r="C176" s="94">
        <v>140430610</v>
      </c>
      <c r="D176" s="94">
        <v>145236103.97999999</v>
      </c>
      <c r="E176" s="102">
        <f>F176-22322760.39</f>
        <v>20600662.019999996</v>
      </c>
      <c r="F176" s="94">
        <v>42923422.409999996</v>
      </c>
      <c r="G176" s="53">
        <f t="shared" si="31"/>
        <v>7.355277765661411E-2</v>
      </c>
      <c r="H176" s="53">
        <f t="shared" si="32"/>
        <v>102312681.56999999</v>
      </c>
      <c r="I176" s="53">
        <f>J176-18731508.75</f>
        <v>21245228.490000002</v>
      </c>
      <c r="J176" s="94">
        <v>39976737.240000002</v>
      </c>
      <c r="K176" s="53">
        <f t="shared" si="33"/>
        <v>7.7110790231001217E-2</v>
      </c>
      <c r="L176" s="53">
        <f t="shared" si="34"/>
        <v>105259366.73999998</v>
      </c>
    </row>
    <row r="177" spans="1:15" s="5" customFormat="1" ht="14.85" customHeight="1" x14ac:dyDescent="0.25">
      <c r="A177" s="40" t="s">
        <v>183</v>
      </c>
      <c r="B177" s="70" t="s">
        <v>184</v>
      </c>
      <c r="C177" s="42">
        <f>SUM(C178:C185)</f>
        <v>1529053311</v>
      </c>
      <c r="D177" s="42">
        <f>SUM(D178:D185)</f>
        <v>1931668595.6400001</v>
      </c>
      <c r="E177" s="98">
        <f>SUM(E178:E185)</f>
        <v>242910852.94000003</v>
      </c>
      <c r="F177" s="42">
        <f>SUM(F178:F185)</f>
        <v>792608440.56000006</v>
      </c>
      <c r="G177" s="42">
        <f t="shared" si="31"/>
        <v>1.3581990699717212</v>
      </c>
      <c r="H177" s="42">
        <f t="shared" si="32"/>
        <v>1139060155.0799999</v>
      </c>
      <c r="I177" s="42">
        <f>SUM(I178:I185)</f>
        <v>252061045.69000003</v>
      </c>
      <c r="J177" s="42">
        <f>SUM(J178:J185)</f>
        <v>481864387.71000004</v>
      </c>
      <c r="K177" s="42">
        <f t="shared" si="33"/>
        <v>0.92946414054314275</v>
      </c>
      <c r="L177" s="57">
        <f t="shared" si="34"/>
        <v>1449804207.9300001</v>
      </c>
    </row>
    <row r="178" spans="1:15" s="5" customFormat="1" ht="14.85" customHeight="1" x14ac:dyDescent="0.25">
      <c r="A178" s="43" t="s">
        <v>30</v>
      </c>
      <c r="B178" s="44" t="s">
        <v>31</v>
      </c>
      <c r="C178" s="94">
        <v>366305626</v>
      </c>
      <c r="D178" s="94">
        <v>348422399.69999999</v>
      </c>
      <c r="E178" s="61">
        <f>F178-152491536.55</f>
        <v>67213403.280000001</v>
      </c>
      <c r="F178" s="94">
        <v>219704939.83000001</v>
      </c>
      <c r="G178" s="45">
        <f t="shared" si="31"/>
        <v>0.37648229526103566</v>
      </c>
      <c r="H178" s="45">
        <f t="shared" si="32"/>
        <v>128717459.86999997</v>
      </c>
      <c r="I178" s="45">
        <f>J178-96247950.12</f>
        <v>55998589.370000005</v>
      </c>
      <c r="J178" s="94">
        <v>152246539.49000001</v>
      </c>
      <c r="K178" s="45">
        <f t="shared" si="33"/>
        <v>0.29366706190975861</v>
      </c>
      <c r="L178" s="53">
        <f t="shared" si="34"/>
        <v>196175860.20999998</v>
      </c>
    </row>
    <row r="179" spans="1:15" s="5" customFormat="1" ht="14.85" customHeight="1" x14ac:dyDescent="0.25">
      <c r="A179" s="43" t="s">
        <v>32</v>
      </c>
      <c r="B179" s="44" t="s">
        <v>33</v>
      </c>
      <c r="C179" s="45">
        <v>0</v>
      </c>
      <c r="D179" s="45">
        <v>0</v>
      </c>
      <c r="E179" s="61">
        <f t="shared" ref="E179:E185" si="37">F179-0</f>
        <v>0</v>
      </c>
      <c r="F179" s="45">
        <v>0</v>
      </c>
      <c r="G179" s="45">
        <f t="shared" si="31"/>
        <v>0</v>
      </c>
      <c r="H179" s="45">
        <f t="shared" si="32"/>
        <v>0</v>
      </c>
      <c r="I179" s="45">
        <f t="shared" ref="I179:I185" si="38">J179-0</f>
        <v>0</v>
      </c>
      <c r="J179" s="45">
        <v>0</v>
      </c>
      <c r="K179" s="45">
        <f t="shared" si="33"/>
        <v>0</v>
      </c>
      <c r="L179" s="53">
        <f t="shared" si="34"/>
        <v>0</v>
      </c>
    </row>
    <row r="180" spans="1:15" s="5" customFormat="1" ht="14.85" customHeight="1" x14ac:dyDescent="0.25">
      <c r="A180" s="43" t="s">
        <v>67</v>
      </c>
      <c r="B180" s="44" t="s">
        <v>68</v>
      </c>
      <c r="C180" s="45">
        <v>0</v>
      </c>
      <c r="D180" s="45">
        <v>0</v>
      </c>
      <c r="E180" s="61">
        <f t="shared" si="37"/>
        <v>0</v>
      </c>
      <c r="F180" s="45">
        <v>0</v>
      </c>
      <c r="G180" s="45">
        <f t="shared" si="31"/>
        <v>0</v>
      </c>
      <c r="H180" s="45">
        <f t="shared" si="32"/>
        <v>0</v>
      </c>
      <c r="I180" s="45">
        <f t="shared" si="38"/>
        <v>0</v>
      </c>
      <c r="J180" s="45">
        <v>0</v>
      </c>
      <c r="K180" s="45">
        <f t="shared" si="33"/>
        <v>0</v>
      </c>
      <c r="L180" s="53">
        <f t="shared" si="34"/>
        <v>0</v>
      </c>
    </row>
    <row r="181" spans="1:15" s="5" customFormat="1" ht="14.85" customHeight="1" x14ac:dyDescent="0.25">
      <c r="A181" s="43" t="s">
        <v>34</v>
      </c>
      <c r="B181" s="44" t="s">
        <v>35</v>
      </c>
      <c r="C181" s="45">
        <v>0</v>
      </c>
      <c r="D181" s="45">
        <v>0</v>
      </c>
      <c r="E181" s="61">
        <f>F181-0</f>
        <v>0</v>
      </c>
      <c r="F181" s="45">
        <v>0</v>
      </c>
      <c r="G181" s="45">
        <f t="shared" si="31"/>
        <v>0</v>
      </c>
      <c r="H181" s="45">
        <f t="shared" si="32"/>
        <v>0</v>
      </c>
      <c r="I181" s="45">
        <f>J181-0</f>
        <v>0</v>
      </c>
      <c r="J181" s="45">
        <v>0</v>
      </c>
      <c r="K181" s="45">
        <f t="shared" si="33"/>
        <v>0</v>
      </c>
      <c r="L181" s="53">
        <f t="shared" si="34"/>
        <v>0</v>
      </c>
    </row>
    <row r="182" spans="1:15" s="5" customFormat="1" ht="14.85" customHeight="1" x14ac:dyDescent="0.25">
      <c r="A182" s="43" t="s">
        <v>77</v>
      </c>
      <c r="B182" s="44" t="s">
        <v>78</v>
      </c>
      <c r="C182" s="94">
        <v>1162747685</v>
      </c>
      <c r="D182" s="94">
        <v>1583246195.9400001</v>
      </c>
      <c r="E182" s="61">
        <f>F182-397206051.07</f>
        <v>175697449.66000003</v>
      </c>
      <c r="F182" s="94">
        <v>572903500.73000002</v>
      </c>
      <c r="G182" s="45">
        <f t="shared" si="31"/>
        <v>0.98171677471068541</v>
      </c>
      <c r="H182" s="45">
        <f t="shared" si="32"/>
        <v>1010342695.21</v>
      </c>
      <c r="I182" s="45">
        <f>J182-133555391.9</f>
        <v>196062456.32000002</v>
      </c>
      <c r="J182" s="94">
        <v>329617848.22000003</v>
      </c>
      <c r="K182" s="45">
        <f t="shared" si="33"/>
        <v>0.63579707863338419</v>
      </c>
      <c r="L182" s="53">
        <f t="shared" si="34"/>
        <v>1253628347.72</v>
      </c>
    </row>
    <row r="183" spans="1:15" s="5" customFormat="1" ht="14.85" customHeight="1" x14ac:dyDescent="0.25">
      <c r="A183" s="43" t="s">
        <v>185</v>
      </c>
      <c r="B183" s="44" t="s">
        <v>186</v>
      </c>
      <c r="C183" s="45">
        <v>0</v>
      </c>
      <c r="D183" s="45">
        <v>0</v>
      </c>
      <c r="E183" s="61">
        <f>F183-0</f>
        <v>0</v>
      </c>
      <c r="F183" s="45">
        <v>0</v>
      </c>
      <c r="G183" s="45">
        <f t="shared" si="31"/>
        <v>0</v>
      </c>
      <c r="H183" s="45">
        <f t="shared" si="32"/>
        <v>0</v>
      </c>
      <c r="I183" s="45">
        <f>J183-0</f>
        <v>0</v>
      </c>
      <c r="J183" s="45">
        <v>0</v>
      </c>
      <c r="K183" s="45">
        <f t="shared" si="33"/>
        <v>0</v>
      </c>
      <c r="L183" s="53">
        <f t="shared" si="34"/>
        <v>0</v>
      </c>
    </row>
    <row r="184" spans="1:15" s="5" customFormat="1" ht="14.85" customHeight="1" x14ac:dyDescent="0.25">
      <c r="A184" s="43" t="s">
        <v>187</v>
      </c>
      <c r="B184" s="44" t="s">
        <v>188</v>
      </c>
      <c r="C184" s="45">
        <v>0</v>
      </c>
      <c r="D184" s="45">
        <v>0</v>
      </c>
      <c r="E184" s="61">
        <f t="shared" si="37"/>
        <v>0</v>
      </c>
      <c r="F184" s="45">
        <v>0</v>
      </c>
      <c r="G184" s="45">
        <f t="shared" si="31"/>
        <v>0</v>
      </c>
      <c r="H184" s="45">
        <f t="shared" si="32"/>
        <v>0</v>
      </c>
      <c r="I184" s="45">
        <f t="shared" si="38"/>
        <v>0</v>
      </c>
      <c r="J184" s="45">
        <v>0</v>
      </c>
      <c r="K184" s="45">
        <f t="shared" si="33"/>
        <v>0</v>
      </c>
      <c r="L184" s="53">
        <f t="shared" si="34"/>
        <v>0</v>
      </c>
      <c r="M184" s="115"/>
      <c r="N184" s="115"/>
      <c r="O184" s="115"/>
    </row>
    <row r="185" spans="1:15" s="5" customFormat="1" ht="14.85" customHeight="1" x14ac:dyDescent="0.25">
      <c r="A185" s="43" t="s">
        <v>95</v>
      </c>
      <c r="B185" s="44" t="s">
        <v>96</v>
      </c>
      <c r="C185" s="45">
        <v>0</v>
      </c>
      <c r="D185" s="45">
        <v>0</v>
      </c>
      <c r="E185" s="61">
        <f t="shared" si="37"/>
        <v>0</v>
      </c>
      <c r="F185" s="45">
        <v>0</v>
      </c>
      <c r="G185" s="45">
        <f t="shared" si="31"/>
        <v>0</v>
      </c>
      <c r="H185" s="45">
        <f t="shared" si="32"/>
        <v>0</v>
      </c>
      <c r="I185" s="45">
        <f t="shared" si="38"/>
        <v>0</v>
      </c>
      <c r="J185" s="45">
        <v>0</v>
      </c>
      <c r="K185" s="45">
        <f t="shared" si="33"/>
        <v>0</v>
      </c>
      <c r="L185" s="53">
        <f t="shared" si="34"/>
        <v>0</v>
      </c>
      <c r="M185" s="91"/>
      <c r="N185" s="91"/>
      <c r="O185" s="91"/>
    </row>
    <row r="186" spans="1:15" s="5" customFormat="1" ht="14.85" customHeight="1" x14ac:dyDescent="0.25">
      <c r="A186" s="40" t="s">
        <v>189</v>
      </c>
      <c r="B186" s="70" t="s">
        <v>190</v>
      </c>
      <c r="C186" s="42">
        <f>SUM(C187:C191)</f>
        <v>394717588</v>
      </c>
      <c r="D186" s="42">
        <f>SUM(D187:D191)</f>
        <v>404879556.75</v>
      </c>
      <c r="E186" s="98">
        <f>SUM(E187:E191)</f>
        <v>77507090.639999986</v>
      </c>
      <c r="F186" s="42">
        <f>SUM(F187:F191)</f>
        <v>177063185.70999998</v>
      </c>
      <c r="G186" s="42">
        <f t="shared" si="31"/>
        <v>0.30341217914313562</v>
      </c>
      <c r="H186" s="42">
        <f t="shared" si="32"/>
        <v>227816371.04000002</v>
      </c>
      <c r="I186" s="42">
        <f>SUM(I187:I191)</f>
        <v>72456311.389999986</v>
      </c>
      <c r="J186" s="42">
        <f>SUM(J187:J191)</f>
        <v>149229568.09999999</v>
      </c>
      <c r="K186" s="42">
        <f t="shared" si="33"/>
        <v>0.28784765132128154</v>
      </c>
      <c r="L186" s="57">
        <f t="shared" si="34"/>
        <v>255649988.65000001</v>
      </c>
    </row>
    <row r="187" spans="1:15" s="5" customFormat="1" ht="14.85" customHeight="1" x14ac:dyDescent="0.25">
      <c r="A187" s="43" t="s">
        <v>30</v>
      </c>
      <c r="B187" s="44" t="s">
        <v>31</v>
      </c>
      <c r="C187" s="94">
        <v>120885702</v>
      </c>
      <c r="D187" s="94">
        <v>119204054</v>
      </c>
      <c r="E187" s="61">
        <f>F187-30879714.19</f>
        <v>16013772.359999996</v>
      </c>
      <c r="F187" s="94">
        <v>46893486.549999997</v>
      </c>
      <c r="G187" s="45">
        <f t="shared" si="31"/>
        <v>8.0355805667350899E-2</v>
      </c>
      <c r="H187" s="45">
        <f t="shared" si="32"/>
        <v>72310567.450000003</v>
      </c>
      <c r="I187" s="45">
        <f>J187-30575591.35</f>
        <v>15979196.909999996</v>
      </c>
      <c r="J187" s="94">
        <v>46554788.259999998</v>
      </c>
      <c r="K187" s="45">
        <f t="shared" si="33"/>
        <v>8.9799137188554048E-2</v>
      </c>
      <c r="L187" s="53">
        <f t="shared" si="34"/>
        <v>72649265.74000001</v>
      </c>
    </row>
    <row r="188" spans="1:15" s="5" customFormat="1" ht="14.85" customHeight="1" x14ac:dyDescent="0.25">
      <c r="A188" s="43" t="s">
        <v>32</v>
      </c>
      <c r="B188" s="44" t="s">
        <v>33</v>
      </c>
      <c r="C188" s="45">
        <v>0</v>
      </c>
      <c r="D188" s="45">
        <v>0</v>
      </c>
      <c r="E188" s="61">
        <f>F188-0</f>
        <v>0</v>
      </c>
      <c r="F188" s="45">
        <v>0</v>
      </c>
      <c r="G188" s="45">
        <f t="shared" si="31"/>
        <v>0</v>
      </c>
      <c r="H188" s="45">
        <f t="shared" si="32"/>
        <v>0</v>
      </c>
      <c r="I188" s="45">
        <f>J188-0</f>
        <v>0</v>
      </c>
      <c r="J188" s="45">
        <v>0</v>
      </c>
      <c r="K188" s="45">
        <f t="shared" si="33"/>
        <v>0</v>
      </c>
      <c r="L188" s="53">
        <f t="shared" si="34"/>
        <v>0</v>
      </c>
    </row>
    <row r="189" spans="1:15" s="5" customFormat="1" ht="14.85" customHeight="1" x14ac:dyDescent="0.25">
      <c r="A189" s="43" t="s">
        <v>116</v>
      </c>
      <c r="B189" s="44" t="s">
        <v>117</v>
      </c>
      <c r="C189" s="45">
        <v>0</v>
      </c>
      <c r="D189" s="45">
        <v>0</v>
      </c>
      <c r="E189" s="61">
        <f>F189-0</f>
        <v>0</v>
      </c>
      <c r="F189" s="45">
        <v>0</v>
      </c>
      <c r="G189" s="45">
        <f t="shared" si="31"/>
        <v>0</v>
      </c>
      <c r="H189" s="45">
        <f t="shared" si="32"/>
        <v>0</v>
      </c>
      <c r="I189" s="45">
        <f>J189-0</f>
        <v>0</v>
      </c>
      <c r="J189" s="45">
        <v>0</v>
      </c>
      <c r="K189" s="45">
        <f t="shared" si="33"/>
        <v>0</v>
      </c>
      <c r="L189" s="53">
        <f t="shared" si="34"/>
        <v>0</v>
      </c>
    </row>
    <row r="190" spans="1:15" s="5" customFormat="1" ht="14.85" customHeight="1" x14ac:dyDescent="0.25">
      <c r="A190" s="43" t="s">
        <v>77</v>
      </c>
      <c r="B190" s="44" t="s">
        <v>78</v>
      </c>
      <c r="C190" s="94">
        <v>73842305</v>
      </c>
      <c r="D190" s="94">
        <v>44544922.5</v>
      </c>
      <c r="E190" s="61">
        <f>F190-22507039.67</f>
        <v>4873000</v>
      </c>
      <c r="F190" s="45">
        <v>27380039.670000002</v>
      </c>
      <c r="G190" s="45">
        <f t="shared" si="31"/>
        <v>4.6917926320982392E-2</v>
      </c>
      <c r="H190" s="45">
        <f t="shared" si="32"/>
        <v>17164882.829999998</v>
      </c>
      <c r="I190" s="45">
        <f>J190-9324881.41</f>
        <v>15402760.02</v>
      </c>
      <c r="J190" s="45">
        <v>24727641.43</v>
      </c>
      <c r="K190" s="45">
        <f t="shared" si="33"/>
        <v>4.7696938341137737E-2</v>
      </c>
      <c r="L190" s="53">
        <f t="shared" si="34"/>
        <v>19817281.07</v>
      </c>
    </row>
    <row r="191" spans="1:15" s="5" customFormat="1" ht="14.85" customHeight="1" x14ac:dyDescent="0.25">
      <c r="A191" s="43" t="s">
        <v>81</v>
      </c>
      <c r="B191" s="44" t="s">
        <v>82</v>
      </c>
      <c r="C191" s="94">
        <v>199989581</v>
      </c>
      <c r="D191" s="94">
        <v>241130580.25</v>
      </c>
      <c r="E191" s="61">
        <f>F191-46169341.21</f>
        <v>56620318.279999994</v>
      </c>
      <c r="F191" s="94">
        <v>102789659.48999999</v>
      </c>
      <c r="G191" s="45">
        <f t="shared" si="31"/>
        <v>0.17613844715480237</v>
      </c>
      <c r="H191" s="45">
        <f t="shared" si="32"/>
        <v>138340920.75999999</v>
      </c>
      <c r="I191" s="45">
        <f>J191-36872783.95</f>
        <v>41074354.459999993</v>
      </c>
      <c r="J191" s="94">
        <v>77947138.409999996</v>
      </c>
      <c r="K191" s="45">
        <f t="shared" si="33"/>
        <v>0.1503515757915897</v>
      </c>
      <c r="L191" s="53">
        <f t="shared" si="34"/>
        <v>163183441.84</v>
      </c>
    </row>
    <row r="192" spans="1:15" s="5" customFormat="1" ht="14.85" customHeight="1" x14ac:dyDescent="0.25">
      <c r="A192" s="40" t="s">
        <v>191</v>
      </c>
      <c r="B192" s="71" t="s">
        <v>192</v>
      </c>
      <c r="C192" s="42">
        <f>SUM(C193:C198)</f>
        <v>295453207</v>
      </c>
      <c r="D192" s="42">
        <f>SUM(D193:D198)</f>
        <v>270453207</v>
      </c>
      <c r="E192" s="98">
        <f>SUM(E193:E198)</f>
        <v>23419822.25</v>
      </c>
      <c r="F192" s="42">
        <f>SUM(F193:F198)</f>
        <v>95546192.939999998</v>
      </c>
      <c r="G192" s="42">
        <f t="shared" si="31"/>
        <v>0.16372617770605616</v>
      </c>
      <c r="H192" s="42">
        <f t="shared" si="32"/>
        <v>174907014.06</v>
      </c>
      <c r="I192" s="42">
        <f>SUM(I195:I198)</f>
        <v>43025935.170000002</v>
      </c>
      <c r="J192" s="42">
        <f>SUM(J195:J198)</f>
        <v>67144243.590000004</v>
      </c>
      <c r="K192" s="42">
        <f t="shared" si="33"/>
        <v>0.12951396337335852</v>
      </c>
      <c r="L192" s="57">
        <f t="shared" si="34"/>
        <v>203308963.41</v>
      </c>
    </row>
    <row r="193" spans="1:15" s="5" customFormat="1" ht="14.85" customHeight="1" x14ac:dyDescent="0.25">
      <c r="A193" s="43" t="s">
        <v>30</v>
      </c>
      <c r="B193" s="44" t="s">
        <v>31</v>
      </c>
      <c r="C193" s="94">
        <v>10000</v>
      </c>
      <c r="D193" s="94">
        <v>10000</v>
      </c>
      <c r="E193" s="98">
        <f t="shared" ref="E193:E198" si="39">F193-0</f>
        <v>0</v>
      </c>
      <c r="F193" s="42">
        <v>0</v>
      </c>
      <c r="G193" s="42">
        <f t="shared" si="31"/>
        <v>0</v>
      </c>
      <c r="H193" s="42">
        <v>0</v>
      </c>
      <c r="I193" s="42">
        <v>0</v>
      </c>
      <c r="J193" s="42">
        <v>0</v>
      </c>
      <c r="K193" s="45">
        <f t="shared" si="33"/>
        <v>0</v>
      </c>
      <c r="L193" s="57"/>
    </row>
    <row r="194" spans="1:15" s="5" customFormat="1" ht="14.85" customHeight="1" x14ac:dyDescent="0.25">
      <c r="A194" s="43" t="s">
        <v>67</v>
      </c>
      <c r="B194" s="44" t="s">
        <v>68</v>
      </c>
      <c r="C194" s="45">
        <v>0</v>
      </c>
      <c r="D194" s="45">
        <v>0</v>
      </c>
      <c r="E194" s="98">
        <f t="shared" si="39"/>
        <v>0</v>
      </c>
      <c r="F194" s="42">
        <v>0</v>
      </c>
      <c r="G194" s="42">
        <f t="shared" si="31"/>
        <v>0</v>
      </c>
      <c r="H194" s="45">
        <f t="shared" si="32"/>
        <v>0</v>
      </c>
      <c r="I194" s="42">
        <f>J194-0</f>
        <v>0</v>
      </c>
      <c r="J194" s="42">
        <v>0</v>
      </c>
      <c r="K194" s="42">
        <f t="shared" si="33"/>
        <v>0</v>
      </c>
      <c r="L194" s="53">
        <f t="shared" si="34"/>
        <v>0</v>
      </c>
    </row>
    <row r="195" spans="1:15" s="5" customFormat="1" ht="14.85" customHeight="1" x14ac:dyDescent="0.25">
      <c r="A195" s="43" t="s">
        <v>83</v>
      </c>
      <c r="B195" s="44" t="s">
        <v>84</v>
      </c>
      <c r="C195" s="94">
        <v>272643207</v>
      </c>
      <c r="D195" s="94">
        <v>247643207</v>
      </c>
      <c r="E195" s="61">
        <f>F195-72126370.69</f>
        <v>23419822.25</v>
      </c>
      <c r="F195" s="94">
        <v>95546192.939999998</v>
      </c>
      <c r="G195" s="45">
        <f t="shared" si="31"/>
        <v>0.16372617770605616</v>
      </c>
      <c r="H195" s="45">
        <f t="shared" si="32"/>
        <v>152097014.06</v>
      </c>
      <c r="I195" s="45">
        <f>J195-24118308.42</f>
        <v>43025935.170000002</v>
      </c>
      <c r="J195" s="94">
        <v>67144243.590000004</v>
      </c>
      <c r="K195" s="45">
        <f t="shared" si="33"/>
        <v>0.12951396337335852</v>
      </c>
      <c r="L195" s="53">
        <f t="shared" si="34"/>
        <v>180498963.41</v>
      </c>
    </row>
    <row r="196" spans="1:15" s="5" customFormat="1" ht="14.85" customHeight="1" x14ac:dyDescent="0.25">
      <c r="A196" s="43" t="s">
        <v>85</v>
      </c>
      <c r="B196" s="44" t="s">
        <v>86</v>
      </c>
      <c r="C196" s="45">
        <v>0</v>
      </c>
      <c r="D196" s="45">
        <v>0</v>
      </c>
      <c r="E196" s="61">
        <f t="shared" si="39"/>
        <v>0</v>
      </c>
      <c r="F196" s="45">
        <v>0</v>
      </c>
      <c r="G196" s="45">
        <f t="shared" si="31"/>
        <v>0</v>
      </c>
      <c r="H196" s="45">
        <f t="shared" si="32"/>
        <v>0</v>
      </c>
      <c r="I196" s="45">
        <f>J196-0</f>
        <v>0</v>
      </c>
      <c r="J196" s="45">
        <v>0</v>
      </c>
      <c r="K196" s="45">
        <f t="shared" si="33"/>
        <v>0</v>
      </c>
      <c r="L196" s="53">
        <f t="shared" si="34"/>
        <v>0</v>
      </c>
    </row>
    <row r="197" spans="1:15" s="5" customFormat="1" ht="14.85" customHeight="1" x14ac:dyDescent="0.25">
      <c r="A197" s="43" t="s">
        <v>193</v>
      </c>
      <c r="B197" s="44" t="s">
        <v>194</v>
      </c>
      <c r="C197" s="45">
        <v>0</v>
      </c>
      <c r="D197" s="45">
        <v>0</v>
      </c>
      <c r="E197" s="61">
        <f t="shared" si="39"/>
        <v>0</v>
      </c>
      <c r="F197" s="45">
        <v>0</v>
      </c>
      <c r="G197" s="45">
        <f t="shared" si="31"/>
        <v>0</v>
      </c>
      <c r="H197" s="45">
        <f t="shared" si="32"/>
        <v>0</v>
      </c>
      <c r="I197" s="45">
        <f>J197-0</f>
        <v>0</v>
      </c>
      <c r="J197" s="45">
        <v>0</v>
      </c>
      <c r="K197" s="45">
        <f t="shared" si="33"/>
        <v>0</v>
      </c>
      <c r="L197" s="53">
        <f t="shared" si="34"/>
        <v>0</v>
      </c>
      <c r="O197" s="6"/>
    </row>
    <row r="198" spans="1:15" s="5" customFormat="1" ht="14.85" customHeight="1" x14ac:dyDescent="0.25">
      <c r="A198" s="43" t="s">
        <v>91</v>
      </c>
      <c r="B198" s="44" t="s">
        <v>92</v>
      </c>
      <c r="C198" s="94">
        <v>22800000</v>
      </c>
      <c r="D198" s="94">
        <v>22800000</v>
      </c>
      <c r="E198" s="61">
        <f t="shared" si="39"/>
        <v>0</v>
      </c>
      <c r="F198" s="45">
        <v>0</v>
      </c>
      <c r="G198" s="45">
        <f t="shared" si="31"/>
        <v>0</v>
      </c>
      <c r="H198" s="45">
        <f t="shared" si="32"/>
        <v>22800000</v>
      </c>
      <c r="I198" s="45">
        <f>J198-0</f>
        <v>0</v>
      </c>
      <c r="J198" s="45">
        <v>0</v>
      </c>
      <c r="K198" s="45">
        <f t="shared" si="33"/>
        <v>0</v>
      </c>
      <c r="L198" s="53">
        <f t="shared" si="34"/>
        <v>22800000</v>
      </c>
      <c r="O198" s="6"/>
    </row>
    <row r="199" spans="1:15" s="5" customFormat="1" ht="14.85" customHeight="1" x14ac:dyDescent="0.25">
      <c r="A199" s="40" t="s">
        <v>195</v>
      </c>
      <c r="B199" s="70" t="s">
        <v>196</v>
      </c>
      <c r="C199" s="42">
        <f>SUM(C200:C209)</f>
        <v>1170750314</v>
      </c>
      <c r="D199" s="42">
        <f>SUM(D200:D209)</f>
        <v>1324794400.8000002</v>
      </c>
      <c r="E199" s="98">
        <f>SUM(E200:E209)</f>
        <v>177802178.74000001</v>
      </c>
      <c r="F199" s="42">
        <f>SUM(F200:F209)</f>
        <v>473855203.44999993</v>
      </c>
      <c r="G199" s="42">
        <f t="shared" ref="G199:G230" si="40">(F199/$F$307)*100</f>
        <v>0.81198945619647511</v>
      </c>
      <c r="H199" s="42">
        <f t="shared" si="32"/>
        <v>850939197.35000026</v>
      </c>
      <c r="I199" s="42">
        <f>SUM(I200:I208)</f>
        <v>174154562.01999998</v>
      </c>
      <c r="J199" s="42">
        <f>SUM(J200:J208)</f>
        <v>401560841.18000001</v>
      </c>
      <c r="K199" s="42">
        <f t="shared" ref="K199:K230" si="41">(J199/$J$307)*100</f>
        <v>0.77456730906575033</v>
      </c>
      <c r="L199" s="57">
        <f t="shared" si="34"/>
        <v>923233559.62000012</v>
      </c>
      <c r="O199" s="7"/>
    </row>
    <row r="200" spans="1:15" s="5" customFormat="1" ht="14.85" customHeight="1" x14ac:dyDescent="0.25">
      <c r="A200" s="43" t="s">
        <v>30</v>
      </c>
      <c r="B200" s="44" t="s">
        <v>31</v>
      </c>
      <c r="C200" s="94">
        <v>168426887</v>
      </c>
      <c r="D200" s="94">
        <v>170464128.91</v>
      </c>
      <c r="E200" s="61">
        <f>F200-57528739.67</f>
        <v>37983874.5</v>
      </c>
      <c r="F200" s="94">
        <v>95512614.170000002</v>
      </c>
      <c r="G200" s="45">
        <f t="shared" si="40"/>
        <v>0.1636686377508261</v>
      </c>
      <c r="H200" s="45">
        <f t="shared" si="32"/>
        <v>74951514.739999995</v>
      </c>
      <c r="I200" s="45">
        <f>J200-53745558.36</f>
        <v>35511638.459999993</v>
      </c>
      <c r="J200" s="94">
        <v>89257196.819999993</v>
      </c>
      <c r="K200" s="45">
        <f t="shared" si="41"/>
        <v>0.17216745176761222</v>
      </c>
      <c r="L200" s="53">
        <f t="shared" si="34"/>
        <v>81206932.090000004</v>
      </c>
    </row>
    <row r="201" spans="1:15" s="5" customFormat="1" ht="14.85" customHeight="1" x14ac:dyDescent="0.25">
      <c r="A201" s="43" t="s">
        <v>34</v>
      </c>
      <c r="B201" s="44" t="s">
        <v>35</v>
      </c>
      <c r="C201" s="45">
        <v>0</v>
      </c>
      <c r="D201" s="45">
        <v>0</v>
      </c>
      <c r="E201" s="61">
        <f t="shared" ref="E201:E209" si="42">F201-0</f>
        <v>0</v>
      </c>
      <c r="F201" s="45">
        <v>0</v>
      </c>
      <c r="G201" s="45">
        <f t="shared" si="40"/>
        <v>0</v>
      </c>
      <c r="H201" s="45">
        <f t="shared" si="32"/>
        <v>0</v>
      </c>
      <c r="I201" s="45">
        <f t="shared" ref="I201:I209" si="43">J201-0</f>
        <v>0</v>
      </c>
      <c r="J201" s="45">
        <v>0</v>
      </c>
      <c r="K201" s="45">
        <f t="shared" si="41"/>
        <v>0</v>
      </c>
      <c r="L201" s="53">
        <f t="shared" si="34"/>
        <v>0</v>
      </c>
    </row>
    <row r="202" spans="1:15" s="5" customFormat="1" ht="14.85" customHeight="1" x14ac:dyDescent="0.25">
      <c r="A202" s="43" t="s">
        <v>79</v>
      </c>
      <c r="B202" s="44" t="s">
        <v>80</v>
      </c>
      <c r="C202" s="45">
        <v>0</v>
      </c>
      <c r="D202" s="45">
        <v>0</v>
      </c>
      <c r="E202" s="61">
        <f t="shared" si="42"/>
        <v>0</v>
      </c>
      <c r="F202" s="45">
        <v>0</v>
      </c>
      <c r="G202" s="45">
        <f t="shared" si="40"/>
        <v>0</v>
      </c>
      <c r="H202" s="45">
        <f t="shared" si="32"/>
        <v>0</v>
      </c>
      <c r="I202" s="45">
        <f t="shared" si="43"/>
        <v>0</v>
      </c>
      <c r="J202" s="45">
        <v>0</v>
      </c>
      <c r="K202" s="45">
        <f t="shared" si="41"/>
        <v>0</v>
      </c>
      <c r="L202" s="53">
        <f t="shared" si="34"/>
        <v>0</v>
      </c>
    </row>
    <row r="203" spans="1:15" s="5" customFormat="1" ht="14.85" customHeight="1" x14ac:dyDescent="0.25">
      <c r="A203" s="43" t="s">
        <v>85</v>
      </c>
      <c r="B203" s="44" t="s">
        <v>86</v>
      </c>
      <c r="C203" s="94">
        <v>126432831</v>
      </c>
      <c r="D203" s="94">
        <v>320337638.79000002</v>
      </c>
      <c r="E203" s="61">
        <f>F203-68306591.72</f>
        <v>21312933.189999998</v>
      </c>
      <c r="F203" s="94">
        <v>89619524.909999996</v>
      </c>
      <c r="G203" s="45">
        <f t="shared" si="40"/>
        <v>0.15357034969003114</v>
      </c>
      <c r="H203" s="45">
        <f t="shared" si="32"/>
        <v>230718113.88000003</v>
      </c>
      <c r="I203" s="45">
        <f>J203-34120481.58</f>
        <v>20695974.789999999</v>
      </c>
      <c r="J203" s="94">
        <v>54816456.369999997</v>
      </c>
      <c r="K203" s="45">
        <f t="shared" si="41"/>
        <v>0.10573499890642651</v>
      </c>
      <c r="L203" s="53">
        <f t="shared" si="34"/>
        <v>265521182.42000002</v>
      </c>
    </row>
    <row r="204" spans="1:15" s="5" customFormat="1" ht="14.85" customHeight="1" x14ac:dyDescent="0.25">
      <c r="A204" s="43" t="s">
        <v>42</v>
      </c>
      <c r="B204" s="44" t="s">
        <v>43</v>
      </c>
      <c r="C204" s="94">
        <v>36349735</v>
      </c>
      <c r="D204" s="94">
        <v>36349735</v>
      </c>
      <c r="E204" s="61">
        <f>F204-8127922.61</f>
        <v>13835172.199999999</v>
      </c>
      <c r="F204" s="94">
        <v>21963094.809999999</v>
      </c>
      <c r="G204" s="45">
        <f t="shared" si="40"/>
        <v>3.7635550440980443E-2</v>
      </c>
      <c r="H204" s="45">
        <f t="shared" si="32"/>
        <v>14386640.190000001</v>
      </c>
      <c r="I204" s="45">
        <f>J204-6536272.04</f>
        <v>13201744.850000001</v>
      </c>
      <c r="J204" s="94">
        <v>19738016.890000001</v>
      </c>
      <c r="K204" s="45">
        <f t="shared" si="41"/>
        <v>3.8072493781654823E-2</v>
      </c>
      <c r="L204" s="53">
        <f t="shared" si="34"/>
        <v>16611718.109999999</v>
      </c>
    </row>
    <row r="205" spans="1:15" s="5" customFormat="1" ht="14.85" customHeight="1" x14ac:dyDescent="0.25">
      <c r="A205" s="43" t="s">
        <v>197</v>
      </c>
      <c r="B205" s="44" t="s">
        <v>198</v>
      </c>
      <c r="C205" s="94">
        <v>688589183</v>
      </c>
      <c r="D205" s="94">
        <v>646691220.10000002</v>
      </c>
      <c r="E205" s="61">
        <f>F205-142710133.66</f>
        <v>90985642.24000001</v>
      </c>
      <c r="F205" s="94">
        <v>233695775.90000001</v>
      </c>
      <c r="G205" s="45">
        <f t="shared" si="40"/>
        <v>0.40045673152236932</v>
      </c>
      <c r="H205" s="45">
        <f t="shared" si="32"/>
        <v>412995444.20000005</v>
      </c>
      <c r="I205" s="45">
        <f>J205-118461950.99</f>
        <v>86839799.899999991</v>
      </c>
      <c r="J205" s="94">
        <v>205301750.88999999</v>
      </c>
      <c r="K205" s="45">
        <f t="shared" si="41"/>
        <v>0.39600481029491974</v>
      </c>
      <c r="L205" s="53">
        <f t="shared" si="34"/>
        <v>441389469.21000004</v>
      </c>
    </row>
    <row r="206" spans="1:15" s="5" customFormat="1" ht="14.85" customHeight="1" x14ac:dyDescent="0.25">
      <c r="A206" s="54" t="s">
        <v>193</v>
      </c>
      <c r="B206" s="44" t="s">
        <v>194</v>
      </c>
      <c r="C206" s="94">
        <v>119353724</v>
      </c>
      <c r="D206" s="94">
        <v>119353724</v>
      </c>
      <c r="E206" s="61">
        <f>F206-4944457.84</f>
        <v>8201231.75</v>
      </c>
      <c r="F206" s="94">
        <v>13145689.59</v>
      </c>
      <c r="G206" s="45">
        <f t="shared" si="40"/>
        <v>2.2526208984931143E-2</v>
      </c>
      <c r="H206" s="45">
        <f t="shared" si="32"/>
        <v>106208034.41</v>
      </c>
      <c r="I206" s="45">
        <f>J206-2177709.96</f>
        <v>10952964.510000002</v>
      </c>
      <c r="J206" s="45">
        <v>13130674.470000001</v>
      </c>
      <c r="K206" s="45">
        <f t="shared" si="41"/>
        <v>2.5327646890467771E-2</v>
      </c>
      <c r="L206" s="53">
        <f t="shared" si="34"/>
        <v>106223049.53</v>
      </c>
    </row>
    <row r="207" spans="1:15" s="5" customFormat="1" ht="14.85" customHeight="1" x14ac:dyDescent="0.25">
      <c r="A207" s="54" t="s">
        <v>44</v>
      </c>
      <c r="B207" s="44" t="s">
        <v>45</v>
      </c>
      <c r="C207" s="94">
        <v>13456300</v>
      </c>
      <c r="D207" s="94">
        <v>13456300</v>
      </c>
      <c r="E207" s="61">
        <f>F207-5118196.49</f>
        <v>2750000</v>
      </c>
      <c r="F207" s="94">
        <v>7868196.4900000002</v>
      </c>
      <c r="G207" s="45">
        <f t="shared" si="40"/>
        <v>1.348279504508228E-2</v>
      </c>
      <c r="H207" s="45">
        <f t="shared" si="32"/>
        <v>5588103.5099999998</v>
      </c>
      <c r="I207" s="45">
        <f>J207-3599207.28</f>
        <v>3667230.8800000004</v>
      </c>
      <c r="J207" s="94">
        <v>7266438.1600000001</v>
      </c>
      <c r="K207" s="45">
        <f t="shared" si="41"/>
        <v>1.401617108766084E-2</v>
      </c>
      <c r="L207" s="53">
        <f t="shared" si="34"/>
        <v>6189861.8399999999</v>
      </c>
    </row>
    <row r="208" spans="1:15" s="5" customFormat="1" ht="14.85" customHeight="1" x14ac:dyDescent="0.25">
      <c r="A208" s="54" t="s">
        <v>89</v>
      </c>
      <c r="B208" s="44" t="s">
        <v>90</v>
      </c>
      <c r="C208" s="94">
        <v>18141654</v>
      </c>
      <c r="D208" s="94">
        <v>18141654</v>
      </c>
      <c r="E208" s="61">
        <f>F208-9316982.72</f>
        <v>2733324.8599999994</v>
      </c>
      <c r="F208" s="94">
        <v>12050307.58</v>
      </c>
      <c r="G208" s="45">
        <f t="shared" si="40"/>
        <v>2.0649182762254761E-2</v>
      </c>
      <c r="H208" s="45">
        <f t="shared" si="32"/>
        <v>6091346.4199999999</v>
      </c>
      <c r="I208" s="45">
        <f>J208-8765098.95</f>
        <v>3285208.6300000008</v>
      </c>
      <c r="J208" s="94">
        <v>12050307.58</v>
      </c>
      <c r="K208" s="45">
        <f t="shared" si="41"/>
        <v>2.3243736337008374E-2</v>
      </c>
      <c r="L208" s="53">
        <f t="shared" si="34"/>
        <v>6091346.4199999999</v>
      </c>
    </row>
    <row r="209" spans="1:12" s="5" customFormat="1" ht="14.85" customHeight="1" x14ac:dyDescent="0.25">
      <c r="A209" s="43" t="s">
        <v>199</v>
      </c>
      <c r="B209" s="44" t="s">
        <v>200</v>
      </c>
      <c r="C209" s="58">
        <v>0</v>
      </c>
      <c r="D209" s="45">
        <v>0</v>
      </c>
      <c r="E209" s="61">
        <f t="shared" si="42"/>
        <v>0</v>
      </c>
      <c r="F209" s="45">
        <v>0</v>
      </c>
      <c r="G209" s="45">
        <f t="shared" si="40"/>
        <v>0</v>
      </c>
      <c r="H209" s="45">
        <f t="shared" si="32"/>
        <v>0</v>
      </c>
      <c r="I209" s="45">
        <f t="shared" si="43"/>
        <v>0</v>
      </c>
      <c r="J209" s="45">
        <v>0</v>
      </c>
      <c r="K209" s="45">
        <f t="shared" si="41"/>
        <v>0</v>
      </c>
      <c r="L209" s="53">
        <f t="shared" si="34"/>
        <v>0</v>
      </c>
    </row>
    <row r="210" spans="1:12" ht="14.85" customHeight="1" x14ac:dyDescent="0.2">
      <c r="A210" s="40" t="s">
        <v>201</v>
      </c>
      <c r="B210" s="70" t="s">
        <v>202</v>
      </c>
      <c r="C210" s="42">
        <f>SUM(C211:C222)</f>
        <v>965183848</v>
      </c>
      <c r="D210" s="42">
        <f>SUM(D211:D222)</f>
        <v>1077651383.04</v>
      </c>
      <c r="E210" s="98">
        <f>SUM(E211:E222)</f>
        <v>118253168.02999999</v>
      </c>
      <c r="F210" s="42">
        <f>SUM(F211:F222)</f>
        <v>335921361.43000001</v>
      </c>
      <c r="G210" s="42">
        <f t="shared" si="40"/>
        <v>0.57562859203910111</v>
      </c>
      <c r="H210" s="42">
        <f t="shared" si="32"/>
        <v>741730021.6099999</v>
      </c>
      <c r="I210" s="42">
        <f>SUM(I211:I222)</f>
        <v>123283748.78</v>
      </c>
      <c r="J210" s="42">
        <f>SUM(J211:J222)</f>
        <v>296429024.25999999</v>
      </c>
      <c r="K210" s="42">
        <f t="shared" si="41"/>
        <v>0.57177943689766786</v>
      </c>
      <c r="L210" s="57">
        <f t="shared" si="34"/>
        <v>781222358.77999997</v>
      </c>
    </row>
    <row r="211" spans="1:12" ht="14.85" customHeight="1" x14ac:dyDescent="0.25">
      <c r="A211" s="43" t="s">
        <v>30</v>
      </c>
      <c r="B211" s="44" t="s">
        <v>31</v>
      </c>
      <c r="C211" s="94">
        <v>158762771</v>
      </c>
      <c r="D211" s="94">
        <v>182047493.83000001</v>
      </c>
      <c r="E211" s="61">
        <f>F211-53172347.53</f>
        <v>18531390.549999997</v>
      </c>
      <c r="F211" s="94">
        <v>71703738.079999998</v>
      </c>
      <c r="G211" s="45">
        <f t="shared" si="40"/>
        <v>0.12287019086617923</v>
      </c>
      <c r="H211" s="45">
        <f t="shared" si="32"/>
        <v>110343755.75000001</v>
      </c>
      <c r="I211" s="45">
        <f>J211-27700039.33</f>
        <v>16378855.200000003</v>
      </c>
      <c r="J211" s="94">
        <v>44078894.530000001</v>
      </c>
      <c r="K211" s="45">
        <f t="shared" si="41"/>
        <v>8.5023406720554487E-2</v>
      </c>
      <c r="L211" s="53">
        <f t="shared" si="34"/>
        <v>137968599.30000001</v>
      </c>
    </row>
    <row r="212" spans="1:12" ht="14.85" customHeight="1" x14ac:dyDescent="0.25">
      <c r="A212" s="43" t="s">
        <v>32</v>
      </c>
      <c r="B212" s="44" t="s">
        <v>33</v>
      </c>
      <c r="C212" s="94">
        <v>115506331</v>
      </c>
      <c r="D212" s="94">
        <v>99101137.319999993</v>
      </c>
      <c r="E212" s="61">
        <f>F212-24363713.54</f>
        <v>12423526.410000004</v>
      </c>
      <c r="F212" s="94">
        <v>36787239.950000003</v>
      </c>
      <c r="G212" s="45">
        <f t="shared" si="40"/>
        <v>6.3037929613284596E-2</v>
      </c>
      <c r="H212" s="45">
        <f t="shared" si="32"/>
        <v>62313897.36999999</v>
      </c>
      <c r="I212" s="45">
        <f>J212-7943541.14</f>
        <v>21453210.77</v>
      </c>
      <c r="J212" s="94">
        <v>29396751.91</v>
      </c>
      <c r="K212" s="45">
        <f t="shared" si="41"/>
        <v>5.6703146042060393E-2</v>
      </c>
      <c r="L212" s="53">
        <f t="shared" si="34"/>
        <v>69704385.409999996</v>
      </c>
    </row>
    <row r="213" spans="1:12" ht="14.85" customHeight="1" x14ac:dyDescent="0.25">
      <c r="A213" s="43" t="s">
        <v>67</v>
      </c>
      <c r="B213" s="44" t="s">
        <v>68</v>
      </c>
      <c r="C213" s="94">
        <v>6160278</v>
      </c>
      <c r="D213" s="94">
        <v>6110278</v>
      </c>
      <c r="E213" s="61">
        <f>F213-59969</f>
        <v>4000</v>
      </c>
      <c r="F213" s="45">
        <v>63969</v>
      </c>
      <c r="G213" s="45">
        <f t="shared" si="40"/>
        <v>1.0961608766825143E-4</v>
      </c>
      <c r="H213" s="45">
        <f t="shared" si="32"/>
        <v>6046309</v>
      </c>
      <c r="I213" s="45">
        <f>J213-350</f>
        <v>12917</v>
      </c>
      <c r="J213" s="45">
        <v>13267</v>
      </c>
      <c r="K213" s="45">
        <f t="shared" si="41"/>
        <v>2.5590604051875174E-5</v>
      </c>
      <c r="L213" s="53">
        <f t="shared" si="34"/>
        <v>6097011</v>
      </c>
    </row>
    <row r="214" spans="1:12" ht="14.85" customHeight="1" x14ac:dyDescent="0.25">
      <c r="A214" s="43" t="s">
        <v>34</v>
      </c>
      <c r="B214" s="44" t="s">
        <v>35</v>
      </c>
      <c r="C214" s="94">
        <v>1733187</v>
      </c>
      <c r="D214" s="94">
        <v>130000</v>
      </c>
      <c r="E214" s="61">
        <f>F214-0</f>
        <v>0</v>
      </c>
      <c r="F214" s="94">
        <v>0</v>
      </c>
      <c r="G214" s="45">
        <f t="shared" si="40"/>
        <v>0</v>
      </c>
      <c r="H214" s="45">
        <f t="shared" si="32"/>
        <v>130000</v>
      </c>
      <c r="I214" s="45">
        <f>J214-0</f>
        <v>0</v>
      </c>
      <c r="J214" s="45">
        <v>0</v>
      </c>
      <c r="K214" s="45">
        <f t="shared" si="41"/>
        <v>0</v>
      </c>
      <c r="L214" s="53">
        <f t="shared" si="34"/>
        <v>130000</v>
      </c>
    </row>
    <row r="215" spans="1:12" ht="14.85" customHeight="1" x14ac:dyDescent="0.25">
      <c r="A215" s="43" t="s">
        <v>104</v>
      </c>
      <c r="B215" s="44" t="s">
        <v>105</v>
      </c>
      <c r="C215" s="94">
        <v>4994509</v>
      </c>
      <c r="D215" s="94">
        <v>4994509</v>
      </c>
      <c r="E215" s="61">
        <f>F215-477252.68</f>
        <v>56365.399999999965</v>
      </c>
      <c r="F215" s="45">
        <v>533618.07999999996</v>
      </c>
      <c r="G215" s="45">
        <f t="shared" si="40"/>
        <v>9.1439800901442904E-4</v>
      </c>
      <c r="H215" s="45">
        <f t="shared" si="32"/>
        <v>4460890.92</v>
      </c>
      <c r="I215" s="45">
        <f>J215-42600</f>
        <v>14200</v>
      </c>
      <c r="J215" s="45">
        <v>56800</v>
      </c>
      <c r="K215" s="45">
        <f t="shared" si="41"/>
        <v>1.0956103943216323E-4</v>
      </c>
      <c r="L215" s="53">
        <f t="shared" si="34"/>
        <v>4937709</v>
      </c>
    </row>
    <row r="216" spans="1:12" ht="14.85" customHeight="1" x14ac:dyDescent="0.25">
      <c r="A216" s="43" t="s">
        <v>73</v>
      </c>
      <c r="B216" s="44" t="s">
        <v>74</v>
      </c>
      <c r="C216" s="94">
        <v>10000</v>
      </c>
      <c r="D216" s="94">
        <v>10000</v>
      </c>
      <c r="E216" s="61">
        <f t="shared" ref="E216:E222" si="44">F216-0</f>
        <v>0</v>
      </c>
      <c r="F216" s="45">
        <v>0</v>
      </c>
      <c r="G216" s="45">
        <f t="shared" si="40"/>
        <v>0</v>
      </c>
      <c r="H216" s="45">
        <f t="shared" si="32"/>
        <v>10000</v>
      </c>
      <c r="I216" s="45">
        <f t="shared" ref="I216:I220" si="45">J216-0</f>
        <v>0</v>
      </c>
      <c r="J216" s="45">
        <v>0</v>
      </c>
      <c r="K216" s="45">
        <f t="shared" si="41"/>
        <v>0</v>
      </c>
      <c r="L216" s="53">
        <f t="shared" si="34"/>
        <v>10000</v>
      </c>
    </row>
    <row r="217" spans="1:12" ht="14.85" customHeight="1" x14ac:dyDescent="0.25">
      <c r="A217" s="43" t="s">
        <v>168</v>
      </c>
      <c r="B217" s="44" t="s">
        <v>169</v>
      </c>
      <c r="C217" s="45">
        <v>0</v>
      </c>
      <c r="D217" s="45">
        <v>0</v>
      </c>
      <c r="E217" s="61">
        <f t="shared" si="44"/>
        <v>0</v>
      </c>
      <c r="F217" s="45">
        <v>0</v>
      </c>
      <c r="G217" s="45">
        <f t="shared" si="40"/>
        <v>0</v>
      </c>
      <c r="H217" s="45">
        <f t="shared" si="32"/>
        <v>0</v>
      </c>
      <c r="I217" s="45">
        <f t="shared" si="45"/>
        <v>0</v>
      </c>
      <c r="J217" s="45">
        <v>0</v>
      </c>
      <c r="K217" s="45">
        <f t="shared" si="41"/>
        <v>0</v>
      </c>
      <c r="L217" s="53">
        <f t="shared" si="34"/>
        <v>0</v>
      </c>
    </row>
    <row r="218" spans="1:12" ht="14.85" customHeight="1" x14ac:dyDescent="0.25">
      <c r="A218" s="43" t="s">
        <v>170</v>
      </c>
      <c r="B218" s="44" t="s">
        <v>171</v>
      </c>
      <c r="C218" s="45">
        <v>0</v>
      </c>
      <c r="D218" s="45">
        <v>0</v>
      </c>
      <c r="E218" s="61">
        <f t="shared" si="44"/>
        <v>0</v>
      </c>
      <c r="F218" s="45">
        <v>0</v>
      </c>
      <c r="G218" s="45">
        <f t="shared" si="40"/>
        <v>0</v>
      </c>
      <c r="H218" s="45">
        <f t="shared" si="32"/>
        <v>0</v>
      </c>
      <c r="I218" s="45">
        <f t="shared" si="45"/>
        <v>0</v>
      </c>
      <c r="J218" s="45">
        <v>0</v>
      </c>
      <c r="K218" s="45">
        <f t="shared" si="41"/>
        <v>0</v>
      </c>
      <c r="L218" s="53">
        <f t="shared" si="34"/>
        <v>0</v>
      </c>
    </row>
    <row r="219" spans="1:12" ht="14.85" customHeight="1" x14ac:dyDescent="0.25">
      <c r="A219" s="43" t="s">
        <v>87</v>
      </c>
      <c r="B219" s="44" t="s">
        <v>88</v>
      </c>
      <c r="C219" s="94">
        <v>320881</v>
      </c>
      <c r="D219" s="94">
        <v>320881</v>
      </c>
      <c r="E219" s="61">
        <f t="shared" si="44"/>
        <v>0</v>
      </c>
      <c r="F219" s="45">
        <v>0</v>
      </c>
      <c r="G219" s="45">
        <f t="shared" si="40"/>
        <v>0</v>
      </c>
      <c r="H219" s="45">
        <f t="shared" si="32"/>
        <v>320881</v>
      </c>
      <c r="I219" s="45">
        <f t="shared" si="45"/>
        <v>0</v>
      </c>
      <c r="J219" s="45">
        <v>0</v>
      </c>
      <c r="K219" s="45">
        <f t="shared" si="41"/>
        <v>0</v>
      </c>
      <c r="L219" s="53">
        <f t="shared" si="34"/>
        <v>320881</v>
      </c>
    </row>
    <row r="220" spans="1:12" ht="14.85" customHeight="1" x14ac:dyDescent="0.25">
      <c r="A220" s="43" t="s">
        <v>44</v>
      </c>
      <c r="B220" s="44" t="s">
        <v>45</v>
      </c>
      <c r="C220" s="45">
        <v>0</v>
      </c>
      <c r="D220" s="45">
        <v>0</v>
      </c>
      <c r="E220" s="61">
        <f t="shared" si="44"/>
        <v>0</v>
      </c>
      <c r="F220" s="45">
        <v>0</v>
      </c>
      <c r="G220" s="45">
        <f t="shared" si="40"/>
        <v>0</v>
      </c>
      <c r="H220" s="45">
        <f t="shared" si="32"/>
        <v>0</v>
      </c>
      <c r="I220" s="45">
        <f t="shared" si="45"/>
        <v>0</v>
      </c>
      <c r="J220" s="45">
        <v>0</v>
      </c>
      <c r="K220" s="45">
        <f t="shared" si="41"/>
        <v>0</v>
      </c>
      <c r="L220" s="53">
        <f t="shared" si="34"/>
        <v>0</v>
      </c>
    </row>
    <row r="221" spans="1:12" ht="14.85" customHeight="1" x14ac:dyDescent="0.25">
      <c r="A221" s="43" t="s">
        <v>89</v>
      </c>
      <c r="B221" s="44" t="s">
        <v>152</v>
      </c>
      <c r="C221" s="94">
        <v>677695891</v>
      </c>
      <c r="D221" s="94">
        <v>784937083.88999999</v>
      </c>
      <c r="E221" s="61">
        <f>F221-139594910.65</f>
        <v>87237885.669999987</v>
      </c>
      <c r="F221" s="45">
        <v>226832796.31999999</v>
      </c>
      <c r="G221" s="45">
        <f t="shared" si="40"/>
        <v>0.38869645746295461</v>
      </c>
      <c r="H221" s="45">
        <f t="shared" si="32"/>
        <v>558104287.56999993</v>
      </c>
      <c r="I221" s="45">
        <f>J221-137458745.01</f>
        <v>85424565.810000002</v>
      </c>
      <c r="J221" s="94">
        <v>222883310.81999999</v>
      </c>
      <c r="K221" s="45">
        <f t="shared" si="41"/>
        <v>0.42991773249156895</v>
      </c>
      <c r="L221" s="53">
        <f t="shared" si="34"/>
        <v>562053773.06999993</v>
      </c>
    </row>
    <row r="222" spans="1:12" ht="14.85" customHeight="1" x14ac:dyDescent="0.25">
      <c r="A222" s="43" t="s">
        <v>203</v>
      </c>
      <c r="B222" s="44" t="s">
        <v>204</v>
      </c>
      <c r="C222" s="94"/>
      <c r="D222" s="94"/>
      <c r="E222" s="61">
        <f t="shared" si="44"/>
        <v>0</v>
      </c>
      <c r="F222" s="45">
        <v>0</v>
      </c>
      <c r="G222" s="45">
        <f t="shared" si="40"/>
        <v>0</v>
      </c>
      <c r="H222" s="45">
        <f t="shared" si="32"/>
        <v>0</v>
      </c>
      <c r="I222" s="45">
        <v>0</v>
      </c>
      <c r="J222" s="45">
        <v>0</v>
      </c>
      <c r="K222" s="45">
        <f t="shared" si="41"/>
        <v>0</v>
      </c>
      <c r="L222" s="53">
        <f t="shared" si="34"/>
        <v>0</v>
      </c>
    </row>
    <row r="223" spans="1:12" ht="14.85" customHeight="1" x14ac:dyDescent="0.2">
      <c r="A223" s="40" t="s">
        <v>205</v>
      </c>
      <c r="B223" s="70" t="s">
        <v>206</v>
      </c>
      <c r="C223" s="42">
        <f>SUM(C224:C241)</f>
        <v>804305602</v>
      </c>
      <c r="D223" s="42">
        <f>SUM(D224:D241)</f>
        <v>842032799.77999997</v>
      </c>
      <c r="E223" s="98">
        <f>SUM(E224:E241)</f>
        <v>137040533.59</v>
      </c>
      <c r="F223" s="42">
        <f>SUM(F224:F241)</f>
        <v>319319697.99999994</v>
      </c>
      <c r="G223" s="42">
        <f t="shared" si="40"/>
        <v>0.54718029061213347</v>
      </c>
      <c r="H223" s="42">
        <f t="shared" si="32"/>
        <v>522713101.78000003</v>
      </c>
      <c r="I223" s="42">
        <f>SUM(I224:I241)</f>
        <v>136659527.99000001</v>
      </c>
      <c r="J223" s="42">
        <f>SUM(J224:J241)</f>
        <v>298266634.81</v>
      </c>
      <c r="K223" s="42">
        <f t="shared" si="41"/>
        <v>0.5753239883400888</v>
      </c>
      <c r="L223" s="57">
        <f t="shared" si="34"/>
        <v>543766164.97000003</v>
      </c>
    </row>
    <row r="224" spans="1:12" ht="14.85" customHeight="1" x14ac:dyDescent="0.25">
      <c r="A224" s="43" t="s">
        <v>30</v>
      </c>
      <c r="B224" s="44" t="s">
        <v>31</v>
      </c>
      <c r="C224" s="94">
        <v>510306939</v>
      </c>
      <c r="D224" s="94">
        <v>540483406.74000001</v>
      </c>
      <c r="E224" s="61">
        <f>F224-137587685.97</f>
        <v>88953508.080000013</v>
      </c>
      <c r="F224" s="94">
        <v>226541194.05000001</v>
      </c>
      <c r="G224" s="45">
        <f t="shared" si="40"/>
        <v>0.38819677324102553</v>
      </c>
      <c r="H224" s="45">
        <f t="shared" si="32"/>
        <v>313942212.69</v>
      </c>
      <c r="I224" s="45">
        <f>J224-130846816.66</f>
        <v>88096872.969999999</v>
      </c>
      <c r="J224" s="94">
        <v>218943689.63</v>
      </c>
      <c r="K224" s="45">
        <f t="shared" si="41"/>
        <v>0.42231863051013629</v>
      </c>
      <c r="L224" s="53">
        <f t="shared" si="34"/>
        <v>321539717.11000001</v>
      </c>
    </row>
    <row r="225" spans="1:13" ht="14.85" customHeight="1" x14ac:dyDescent="0.25">
      <c r="A225" s="43" t="s">
        <v>32</v>
      </c>
      <c r="B225" s="44" t="s">
        <v>33</v>
      </c>
      <c r="C225" s="45">
        <v>0</v>
      </c>
      <c r="D225" s="45">
        <v>0</v>
      </c>
      <c r="E225" s="61">
        <f t="shared" ref="E225:E230" si="46">F225-0</f>
        <v>0</v>
      </c>
      <c r="F225" s="45">
        <v>0</v>
      </c>
      <c r="G225" s="45">
        <f t="shared" si="40"/>
        <v>0</v>
      </c>
      <c r="H225" s="45">
        <f t="shared" si="32"/>
        <v>0</v>
      </c>
      <c r="I225" s="45">
        <f>J225-0</f>
        <v>0</v>
      </c>
      <c r="J225" s="45">
        <v>0</v>
      </c>
      <c r="K225" s="45">
        <f t="shared" si="41"/>
        <v>0</v>
      </c>
      <c r="L225" s="53">
        <f t="shared" si="34"/>
        <v>0</v>
      </c>
    </row>
    <row r="226" spans="1:13" ht="14.85" customHeight="1" x14ac:dyDescent="0.25">
      <c r="A226" s="43" t="s">
        <v>67</v>
      </c>
      <c r="B226" s="44" t="s">
        <v>68</v>
      </c>
      <c r="C226" s="45">
        <v>0</v>
      </c>
      <c r="D226" s="45">
        <v>0</v>
      </c>
      <c r="E226" s="61">
        <f t="shared" si="46"/>
        <v>0</v>
      </c>
      <c r="F226" s="45">
        <v>0</v>
      </c>
      <c r="G226" s="45">
        <f t="shared" si="40"/>
        <v>0</v>
      </c>
      <c r="H226" s="45">
        <f t="shared" si="32"/>
        <v>0</v>
      </c>
      <c r="I226" s="45">
        <f t="shared" ref="I226:I240" si="47">J226-0</f>
        <v>0</v>
      </c>
      <c r="J226" s="45">
        <v>0</v>
      </c>
      <c r="K226" s="45">
        <f t="shared" si="41"/>
        <v>0</v>
      </c>
      <c r="L226" s="53">
        <f t="shared" si="34"/>
        <v>0</v>
      </c>
    </row>
    <row r="227" spans="1:13" ht="14.85" customHeight="1" x14ac:dyDescent="0.25">
      <c r="A227" s="43" t="s">
        <v>34</v>
      </c>
      <c r="B227" s="44" t="s">
        <v>207</v>
      </c>
      <c r="C227" s="45">
        <v>0</v>
      </c>
      <c r="D227" s="45">
        <v>0</v>
      </c>
      <c r="E227" s="61">
        <f t="shared" si="46"/>
        <v>0</v>
      </c>
      <c r="F227" s="45">
        <v>0</v>
      </c>
      <c r="G227" s="45">
        <f t="shared" si="40"/>
        <v>0</v>
      </c>
      <c r="H227" s="45">
        <f t="shared" si="32"/>
        <v>0</v>
      </c>
      <c r="I227" s="45">
        <f t="shared" si="47"/>
        <v>0</v>
      </c>
      <c r="J227" s="45">
        <v>0</v>
      </c>
      <c r="K227" s="45">
        <f t="shared" si="41"/>
        <v>0</v>
      </c>
      <c r="L227" s="53">
        <f t="shared" si="34"/>
        <v>0</v>
      </c>
    </row>
    <row r="228" spans="1:13" ht="14.85" customHeight="1" x14ac:dyDescent="0.25">
      <c r="A228" s="43" t="s">
        <v>148</v>
      </c>
      <c r="B228" s="44" t="s">
        <v>149</v>
      </c>
      <c r="C228" s="45">
        <v>0</v>
      </c>
      <c r="D228" s="45">
        <v>0</v>
      </c>
      <c r="E228" s="61">
        <f t="shared" si="46"/>
        <v>0</v>
      </c>
      <c r="F228" s="45">
        <v>0</v>
      </c>
      <c r="G228" s="45">
        <f t="shared" si="40"/>
        <v>0</v>
      </c>
      <c r="H228" s="45">
        <f t="shared" si="32"/>
        <v>0</v>
      </c>
      <c r="I228" s="45">
        <f t="shared" si="47"/>
        <v>0</v>
      </c>
      <c r="J228" s="45">
        <v>0</v>
      </c>
      <c r="K228" s="45">
        <f t="shared" si="41"/>
        <v>0</v>
      </c>
      <c r="L228" s="53">
        <f t="shared" si="34"/>
        <v>0</v>
      </c>
    </row>
    <row r="229" spans="1:13" ht="14.85" customHeight="1" x14ac:dyDescent="0.25">
      <c r="A229" s="43" t="s">
        <v>118</v>
      </c>
      <c r="B229" s="44" t="s">
        <v>119</v>
      </c>
      <c r="C229" s="94">
        <v>51755</v>
      </c>
      <c r="D229" s="94">
        <v>151755</v>
      </c>
      <c r="E229" s="61">
        <f>F229-0</f>
        <v>4029.2</v>
      </c>
      <c r="F229" s="45">
        <v>4029.2</v>
      </c>
      <c r="G229" s="45">
        <f t="shared" si="40"/>
        <v>6.9043621196660676E-6</v>
      </c>
      <c r="H229" s="45">
        <f t="shared" si="32"/>
        <v>147725.79999999999</v>
      </c>
      <c r="I229" s="45">
        <f>J229-0</f>
        <v>4029.2</v>
      </c>
      <c r="J229" s="45">
        <v>4029.2</v>
      </c>
      <c r="K229" s="45">
        <f t="shared" si="41"/>
        <v>7.7718897901421157E-6</v>
      </c>
      <c r="L229" s="53">
        <f t="shared" si="34"/>
        <v>147725.79999999999</v>
      </c>
    </row>
    <row r="230" spans="1:13" ht="14.85" customHeight="1" x14ac:dyDescent="0.25">
      <c r="A230" s="43" t="s">
        <v>122</v>
      </c>
      <c r="B230" s="44" t="s">
        <v>123</v>
      </c>
      <c r="C230" s="45">
        <v>0</v>
      </c>
      <c r="D230" s="45">
        <v>0</v>
      </c>
      <c r="E230" s="61">
        <f t="shared" si="46"/>
        <v>0</v>
      </c>
      <c r="F230" s="45">
        <v>0</v>
      </c>
      <c r="G230" s="45">
        <f t="shared" si="40"/>
        <v>0</v>
      </c>
      <c r="H230" s="45">
        <f t="shared" si="32"/>
        <v>0</v>
      </c>
      <c r="I230" s="45">
        <f>J230-0</f>
        <v>0</v>
      </c>
      <c r="J230" s="45">
        <v>0</v>
      </c>
      <c r="K230" s="45">
        <f t="shared" si="41"/>
        <v>0</v>
      </c>
      <c r="L230" s="53">
        <f t="shared" si="34"/>
        <v>0</v>
      </c>
    </row>
    <row r="231" spans="1:13" ht="14.85" customHeight="1" x14ac:dyDescent="0.25">
      <c r="A231" s="43" t="s">
        <v>77</v>
      </c>
      <c r="B231" s="44" t="s">
        <v>78</v>
      </c>
      <c r="C231" s="45">
        <v>0</v>
      </c>
      <c r="D231" s="45">
        <v>0</v>
      </c>
      <c r="E231" s="61">
        <f t="shared" ref="E231:E240" si="48">F231-0</f>
        <v>0</v>
      </c>
      <c r="F231" s="45">
        <v>0</v>
      </c>
      <c r="G231" s="45">
        <f t="shared" ref="G231:G262" si="49">(F231/$F$307)*100</f>
        <v>0</v>
      </c>
      <c r="H231" s="45">
        <f t="shared" si="32"/>
        <v>0</v>
      </c>
      <c r="I231" s="45">
        <f t="shared" si="47"/>
        <v>0</v>
      </c>
      <c r="J231" s="45">
        <v>0</v>
      </c>
      <c r="K231" s="45">
        <f t="shared" ref="K231:K262" si="50">(J231/$J$307)*100</f>
        <v>0</v>
      </c>
      <c r="L231" s="53">
        <f t="shared" si="34"/>
        <v>0</v>
      </c>
    </row>
    <row r="232" spans="1:13" ht="14.85" customHeight="1" x14ac:dyDescent="0.25">
      <c r="A232" s="43" t="s">
        <v>87</v>
      </c>
      <c r="B232" s="44" t="s">
        <v>88</v>
      </c>
      <c r="C232" s="94">
        <v>20000</v>
      </c>
      <c r="D232" s="45">
        <v>9332</v>
      </c>
      <c r="E232" s="61">
        <f>F232-0</f>
        <v>0</v>
      </c>
      <c r="F232" s="45">
        <v>0</v>
      </c>
      <c r="G232" s="45">
        <f t="shared" si="49"/>
        <v>0</v>
      </c>
      <c r="H232" s="45">
        <f t="shared" si="32"/>
        <v>9332</v>
      </c>
      <c r="I232" s="45">
        <f>J232-0</f>
        <v>0</v>
      </c>
      <c r="J232" s="45">
        <v>0</v>
      </c>
      <c r="K232" s="45">
        <f t="shared" si="50"/>
        <v>0</v>
      </c>
      <c r="L232" s="53">
        <f t="shared" si="34"/>
        <v>9332</v>
      </c>
    </row>
    <row r="233" spans="1:13" ht="14.85" customHeight="1" x14ac:dyDescent="0.25">
      <c r="A233" s="43" t="s">
        <v>44</v>
      </c>
      <c r="B233" s="44" t="s">
        <v>45</v>
      </c>
      <c r="C233" s="45">
        <v>1677973</v>
      </c>
      <c r="D233" s="45">
        <v>1669973</v>
      </c>
      <c r="E233" s="61">
        <f>F233-411441</f>
        <v>0</v>
      </c>
      <c r="F233" s="45">
        <v>411441</v>
      </c>
      <c r="G233" s="45">
        <f t="shared" si="49"/>
        <v>7.0503763895501004E-4</v>
      </c>
      <c r="H233" s="45">
        <f t="shared" si="32"/>
        <v>1258532</v>
      </c>
      <c r="I233" s="45">
        <f>J233-943</f>
        <v>0</v>
      </c>
      <c r="J233" s="45">
        <v>943</v>
      </c>
      <c r="K233" s="45">
        <f t="shared" si="50"/>
        <v>1.8189447215586258E-6</v>
      </c>
      <c r="L233" s="53">
        <f t="shared" si="34"/>
        <v>1669030</v>
      </c>
    </row>
    <row r="234" spans="1:13" ht="14.85" customHeight="1" x14ac:dyDescent="0.25">
      <c r="A234" s="43" t="s">
        <v>208</v>
      </c>
      <c r="B234" s="44" t="s">
        <v>209</v>
      </c>
      <c r="C234" s="45">
        <v>0</v>
      </c>
      <c r="D234" s="45">
        <v>0</v>
      </c>
      <c r="E234" s="61">
        <f t="shared" si="48"/>
        <v>0</v>
      </c>
      <c r="F234" s="45">
        <v>0</v>
      </c>
      <c r="G234" s="45">
        <f t="shared" si="49"/>
        <v>0</v>
      </c>
      <c r="H234" s="45">
        <f t="shared" si="32"/>
        <v>0</v>
      </c>
      <c r="I234" s="45">
        <f t="shared" si="47"/>
        <v>0</v>
      </c>
      <c r="J234" s="45">
        <v>0</v>
      </c>
      <c r="K234" s="45">
        <f t="shared" si="50"/>
        <v>0</v>
      </c>
      <c r="L234" s="53">
        <f t="shared" si="34"/>
        <v>0</v>
      </c>
    </row>
    <row r="235" spans="1:13" ht="14.85" customHeight="1" x14ac:dyDescent="0.25">
      <c r="A235" s="43" t="s">
        <v>210</v>
      </c>
      <c r="B235" s="44" t="s">
        <v>211</v>
      </c>
      <c r="C235" s="45">
        <v>0</v>
      </c>
      <c r="D235" s="45">
        <v>0</v>
      </c>
      <c r="E235" s="61">
        <f t="shared" si="48"/>
        <v>0</v>
      </c>
      <c r="F235" s="45">
        <v>0</v>
      </c>
      <c r="G235" s="45">
        <f t="shared" si="49"/>
        <v>0</v>
      </c>
      <c r="H235" s="45">
        <f t="shared" si="32"/>
        <v>0</v>
      </c>
      <c r="I235" s="45">
        <f t="shared" si="47"/>
        <v>0</v>
      </c>
      <c r="J235" s="45">
        <v>0</v>
      </c>
      <c r="K235" s="45">
        <f t="shared" si="50"/>
        <v>0</v>
      </c>
      <c r="L235" s="53">
        <f t="shared" si="34"/>
        <v>0</v>
      </c>
      <c r="M235" s="92"/>
    </row>
    <row r="236" spans="1:13" ht="14.85" customHeight="1" x14ac:dyDescent="0.25">
      <c r="A236" s="43" t="s">
        <v>212</v>
      </c>
      <c r="B236" s="44" t="s">
        <v>213</v>
      </c>
      <c r="C236" s="94">
        <v>351755</v>
      </c>
      <c r="D236" s="94">
        <v>351755</v>
      </c>
      <c r="E236" s="61">
        <f>F236-51137.11</f>
        <v>4839.3000000000029</v>
      </c>
      <c r="F236" s="45">
        <v>55976.41</v>
      </c>
      <c r="G236" s="45">
        <f t="shared" si="49"/>
        <v>9.5920134219918806E-5</v>
      </c>
      <c r="H236" s="45">
        <f t="shared" si="32"/>
        <v>295778.58999999997</v>
      </c>
      <c r="I236" s="45">
        <f>J236-51137.11</f>
        <v>4839.3000000000029</v>
      </c>
      <c r="J236" s="45">
        <v>55976.41</v>
      </c>
      <c r="K236" s="45">
        <f t="shared" si="50"/>
        <v>1.0797242364931228E-4</v>
      </c>
      <c r="L236" s="53">
        <f t="shared" si="34"/>
        <v>295778.58999999997</v>
      </c>
      <c r="M236" s="92"/>
    </row>
    <row r="237" spans="1:13" ht="14.85" customHeight="1" x14ac:dyDescent="0.25">
      <c r="A237" s="43" t="s">
        <v>214</v>
      </c>
      <c r="B237" s="44" t="s">
        <v>215</v>
      </c>
      <c r="C237" s="94">
        <v>28962417</v>
      </c>
      <c r="D237" s="94">
        <v>30334272.640000001</v>
      </c>
      <c r="E237" s="61">
        <f>F237-2226323.98</f>
        <v>9804530.7799999993</v>
      </c>
      <c r="F237" s="94">
        <v>12030854.76</v>
      </c>
      <c r="G237" s="45">
        <f t="shared" si="49"/>
        <v>2.0615848772001441E-2</v>
      </c>
      <c r="H237" s="45">
        <f t="shared" ref="H237:H299" si="51">D237-F237</f>
        <v>18303417.880000003</v>
      </c>
      <c r="I237" s="45">
        <f>J237-519678.06</f>
        <v>7178344.9000000004</v>
      </c>
      <c r="J237" s="45">
        <v>7698022.96</v>
      </c>
      <c r="K237" s="45">
        <f t="shared" si="50"/>
        <v>1.4848651356870739E-2</v>
      </c>
      <c r="L237" s="53">
        <f t="shared" ref="L237:L299" si="52">D237-J237</f>
        <v>22636249.68</v>
      </c>
      <c r="M237" s="92"/>
    </row>
    <row r="238" spans="1:13" ht="14.85" customHeight="1" x14ac:dyDescent="0.25">
      <c r="A238" s="43" t="s">
        <v>216</v>
      </c>
      <c r="B238" s="44" t="s">
        <v>217</v>
      </c>
      <c r="C238" s="94">
        <v>10065160</v>
      </c>
      <c r="D238" s="94">
        <v>18157338.510000002</v>
      </c>
      <c r="E238" s="61">
        <f>F238-11546418.97</f>
        <v>579210.81999999844</v>
      </c>
      <c r="F238" s="94">
        <v>12125629.789999999</v>
      </c>
      <c r="G238" s="45">
        <f t="shared" si="49"/>
        <v>2.0778253499248091E-2</v>
      </c>
      <c r="H238" s="45">
        <f t="shared" si="51"/>
        <v>6031708.7200000025</v>
      </c>
      <c r="I238" s="45">
        <f>J238-4169010.79</f>
        <v>1727364.54</v>
      </c>
      <c r="J238" s="94">
        <v>5896375.3300000001</v>
      </c>
      <c r="K238" s="45">
        <f t="shared" si="50"/>
        <v>1.1373468486566278E-2</v>
      </c>
      <c r="L238" s="53">
        <f t="shared" si="52"/>
        <v>12260963.180000002</v>
      </c>
      <c r="M238" s="92"/>
    </row>
    <row r="239" spans="1:13" ht="14.85" customHeight="1" x14ac:dyDescent="0.25">
      <c r="A239" s="43" t="s">
        <v>218</v>
      </c>
      <c r="B239" s="44" t="s">
        <v>219</v>
      </c>
      <c r="C239" s="94">
        <v>52102875</v>
      </c>
      <c r="D239" s="94">
        <v>49672318.920000002</v>
      </c>
      <c r="E239" s="61">
        <f>F239-1571266.25</f>
        <v>744968.39000000013</v>
      </c>
      <c r="F239" s="94">
        <v>2316234.64</v>
      </c>
      <c r="G239" s="45">
        <f t="shared" si="49"/>
        <v>3.969056564249571E-3</v>
      </c>
      <c r="H239" s="45">
        <f t="shared" si="51"/>
        <v>47356084.280000001</v>
      </c>
      <c r="I239" s="45">
        <f>J239-1285469.81</f>
        <v>689773.5</v>
      </c>
      <c r="J239" s="94">
        <v>1975243.31</v>
      </c>
      <c r="K239" s="45">
        <f t="shared" si="50"/>
        <v>3.8100301087152576E-3</v>
      </c>
      <c r="L239" s="53">
        <f t="shared" si="52"/>
        <v>47697075.609999999</v>
      </c>
      <c r="M239" s="92"/>
    </row>
    <row r="240" spans="1:13" ht="14.85" customHeight="1" x14ac:dyDescent="0.25">
      <c r="A240" s="43" t="s">
        <v>220</v>
      </c>
      <c r="B240" s="44" t="s">
        <v>221</v>
      </c>
      <c r="C240" s="45">
        <v>0</v>
      </c>
      <c r="D240" s="45">
        <v>0</v>
      </c>
      <c r="E240" s="61">
        <f t="shared" si="48"/>
        <v>0</v>
      </c>
      <c r="F240" s="45">
        <v>0</v>
      </c>
      <c r="G240" s="45">
        <f t="shared" si="49"/>
        <v>0</v>
      </c>
      <c r="H240" s="45">
        <f t="shared" si="51"/>
        <v>0</v>
      </c>
      <c r="I240" s="45">
        <f t="shared" si="47"/>
        <v>0</v>
      </c>
      <c r="J240" s="45">
        <v>0</v>
      </c>
      <c r="K240" s="45">
        <f t="shared" si="50"/>
        <v>0</v>
      </c>
      <c r="L240" s="53">
        <f t="shared" si="52"/>
        <v>0</v>
      </c>
      <c r="M240" s="92"/>
    </row>
    <row r="241" spans="1:13" ht="14.85" customHeight="1" x14ac:dyDescent="0.25">
      <c r="A241" s="43" t="s">
        <v>128</v>
      </c>
      <c r="B241" s="44" t="s">
        <v>129</v>
      </c>
      <c r="C241" s="94">
        <v>200766728</v>
      </c>
      <c r="D241" s="94">
        <v>201202647.97</v>
      </c>
      <c r="E241" s="61">
        <f>F241-28884891.13</f>
        <v>36949447.019999996</v>
      </c>
      <c r="F241" s="94">
        <v>65834338.149999999</v>
      </c>
      <c r="G241" s="45">
        <f t="shared" si="49"/>
        <v>0.11281249640031436</v>
      </c>
      <c r="H241" s="45">
        <f t="shared" si="51"/>
        <v>135368309.81999999</v>
      </c>
      <c r="I241" s="45">
        <f>J241-24734051.39</f>
        <v>38958303.579999998</v>
      </c>
      <c r="J241" s="94">
        <v>63692354.969999999</v>
      </c>
      <c r="K241" s="45">
        <f t="shared" si="50"/>
        <v>0.12285564461963923</v>
      </c>
      <c r="L241" s="53">
        <f t="shared" si="52"/>
        <v>137510293</v>
      </c>
      <c r="M241" s="92"/>
    </row>
    <row r="242" spans="1:13" ht="14.85" customHeight="1" x14ac:dyDescent="0.2">
      <c r="A242" s="40" t="s">
        <v>222</v>
      </c>
      <c r="B242" s="70" t="s">
        <v>223</v>
      </c>
      <c r="C242" s="42">
        <f>SUM(C243:C245)</f>
        <v>70143942</v>
      </c>
      <c r="D242" s="42">
        <f>SUM(D243:D245)</f>
        <v>71642882.379999995</v>
      </c>
      <c r="E242" s="98">
        <f>SUM(E243:E245)</f>
        <v>13868058.420000002</v>
      </c>
      <c r="F242" s="42">
        <f>SUM(F243:F245)</f>
        <v>32944307.399999999</v>
      </c>
      <c r="G242" s="42">
        <f t="shared" si="49"/>
        <v>5.6452751928718986E-2</v>
      </c>
      <c r="H242" s="42">
        <f t="shared" si="51"/>
        <v>38698574.979999997</v>
      </c>
      <c r="I242" s="42">
        <f>SUM(I243:I245)</f>
        <v>15061890.83</v>
      </c>
      <c r="J242" s="42">
        <f>SUM(J243:J245)</f>
        <v>31536278.25</v>
      </c>
      <c r="K242" s="42">
        <f t="shared" si="50"/>
        <v>6.083006029739299E-2</v>
      </c>
      <c r="L242" s="57">
        <f t="shared" si="52"/>
        <v>40106604.129999995</v>
      </c>
      <c r="M242" s="92"/>
    </row>
    <row r="243" spans="1:13" ht="14.85" customHeight="1" x14ac:dyDescent="0.25">
      <c r="A243" s="43" t="s">
        <v>30</v>
      </c>
      <c r="B243" s="44" t="s">
        <v>31</v>
      </c>
      <c r="C243" s="94">
        <v>22513625</v>
      </c>
      <c r="D243" s="94">
        <v>21523911.559999999</v>
      </c>
      <c r="E243" s="61">
        <f>F243-7870663.56</f>
        <v>2765118.0700000012</v>
      </c>
      <c r="F243" s="94">
        <v>10635781.630000001</v>
      </c>
      <c r="G243" s="45">
        <f t="shared" si="49"/>
        <v>1.8225277424603451E-2</v>
      </c>
      <c r="H243" s="45">
        <f t="shared" si="51"/>
        <v>10888129.929999998</v>
      </c>
      <c r="I243" s="45">
        <f>J243-7627599.62</f>
        <v>2784200.5599999996</v>
      </c>
      <c r="J243" s="94">
        <v>10411800.18</v>
      </c>
      <c r="K243" s="45">
        <f t="shared" si="50"/>
        <v>2.0083233276070148E-2</v>
      </c>
      <c r="L243" s="53">
        <f t="shared" si="52"/>
        <v>11112111.379999999</v>
      </c>
    </row>
    <row r="244" spans="1:13" ht="14.85" customHeight="1" x14ac:dyDescent="0.25">
      <c r="A244" s="43" t="s">
        <v>81</v>
      </c>
      <c r="B244" s="44" t="s">
        <v>82</v>
      </c>
      <c r="C244" s="94">
        <v>8239128</v>
      </c>
      <c r="D244" s="94">
        <v>8239128</v>
      </c>
      <c r="E244" s="61">
        <f>F244-0</f>
        <v>8193775.6699999999</v>
      </c>
      <c r="F244" s="94">
        <v>8193775.6699999999</v>
      </c>
      <c r="G244" s="45">
        <f t="shared" si="49"/>
        <v>1.4040701467534363E-2</v>
      </c>
      <c r="H244" s="45">
        <f t="shared" si="51"/>
        <v>45352.330000000075</v>
      </c>
      <c r="I244" s="45">
        <f>J244-0</f>
        <v>8182359.0099999998</v>
      </c>
      <c r="J244" s="94">
        <v>8182359.0099999998</v>
      </c>
      <c r="K244" s="45">
        <f t="shared" si="50"/>
        <v>1.5782883065893066E-2</v>
      </c>
      <c r="L244" s="53">
        <f t="shared" si="52"/>
        <v>56768.990000000224</v>
      </c>
    </row>
    <row r="245" spans="1:13" ht="14.85" customHeight="1" x14ac:dyDescent="0.25">
      <c r="A245" s="43" t="s">
        <v>224</v>
      </c>
      <c r="B245" s="44" t="s">
        <v>225</v>
      </c>
      <c r="C245" s="94">
        <v>39391189</v>
      </c>
      <c r="D245" s="94">
        <v>41879842.82</v>
      </c>
      <c r="E245" s="61">
        <f>F245-11205585.42</f>
        <v>2909164.6799999997</v>
      </c>
      <c r="F245" s="94">
        <v>14114750.1</v>
      </c>
      <c r="G245" s="45">
        <f t="shared" si="49"/>
        <v>2.418677303658117E-2</v>
      </c>
      <c r="H245" s="45">
        <f t="shared" si="51"/>
        <v>27765092.719999999</v>
      </c>
      <c r="I245" s="45">
        <f>J245-8846787.8</f>
        <v>4095331.26</v>
      </c>
      <c r="J245" s="94">
        <v>12942119.060000001</v>
      </c>
      <c r="K245" s="45">
        <f t="shared" si="50"/>
        <v>2.4963943955429783E-2</v>
      </c>
      <c r="L245" s="53">
        <f t="shared" si="52"/>
        <v>28937723.759999998</v>
      </c>
    </row>
    <row r="246" spans="1:13" ht="14.85" customHeight="1" x14ac:dyDescent="0.2">
      <c r="A246" s="40" t="s">
        <v>226</v>
      </c>
      <c r="B246" s="70" t="s">
        <v>227</v>
      </c>
      <c r="C246" s="42">
        <f>SUM(C247:C260)</f>
        <v>281015776</v>
      </c>
      <c r="D246" s="42">
        <f>SUM(D247:D260)</f>
        <v>306869885.52999997</v>
      </c>
      <c r="E246" s="98">
        <f>SUM(E247:E260)</f>
        <v>25982708.149999995</v>
      </c>
      <c r="F246" s="42">
        <f>SUM(F247:F260)</f>
        <v>65923193.189999998</v>
      </c>
      <c r="G246" s="42">
        <f t="shared" si="49"/>
        <v>0.1129647567428929</v>
      </c>
      <c r="H246" s="42">
        <f t="shared" si="51"/>
        <v>240946692.33999997</v>
      </c>
      <c r="I246" s="42">
        <f>SUM(I247:I260)</f>
        <v>26059891.98</v>
      </c>
      <c r="J246" s="42">
        <f>SUM(J247:J260)</f>
        <v>62084762.630000003</v>
      </c>
      <c r="K246" s="42">
        <f t="shared" si="50"/>
        <v>0.11975477335637193</v>
      </c>
      <c r="L246" s="57">
        <f t="shared" si="52"/>
        <v>244785122.89999998</v>
      </c>
    </row>
    <row r="247" spans="1:13" ht="14.85" customHeight="1" x14ac:dyDescent="0.25">
      <c r="A247" s="43" t="s">
        <v>30</v>
      </c>
      <c r="B247" s="44" t="s">
        <v>31</v>
      </c>
      <c r="C247" s="94">
        <v>145913330</v>
      </c>
      <c r="D247" s="94">
        <v>163060531.69999999</v>
      </c>
      <c r="E247" s="61">
        <f>F247-39584111.71</f>
        <v>20623775.479999997</v>
      </c>
      <c r="F247" s="94">
        <v>60207887.189999998</v>
      </c>
      <c r="G247" s="45">
        <f t="shared" si="49"/>
        <v>0.10317111476714083</v>
      </c>
      <c r="H247" s="45">
        <f t="shared" si="51"/>
        <v>102852644.50999999</v>
      </c>
      <c r="I247" s="45">
        <f>J247-35713530.2</f>
        <v>21052748.5</v>
      </c>
      <c r="J247" s="94">
        <v>56766278.700000003</v>
      </c>
      <c r="K247" s="45">
        <f t="shared" si="50"/>
        <v>0.10949599470189909</v>
      </c>
      <c r="L247" s="53">
        <f t="shared" si="52"/>
        <v>106294252.99999999</v>
      </c>
    </row>
    <row r="248" spans="1:13" ht="14.85" customHeight="1" x14ac:dyDescent="0.25">
      <c r="A248" s="43" t="s">
        <v>63</v>
      </c>
      <c r="B248" s="44" t="s">
        <v>64</v>
      </c>
      <c r="C248" s="45">
        <v>0</v>
      </c>
      <c r="D248" s="45">
        <v>0</v>
      </c>
      <c r="E248" s="61">
        <f t="shared" ref="E248:E259" si="53">F248-0</f>
        <v>0</v>
      </c>
      <c r="F248" s="45">
        <v>0</v>
      </c>
      <c r="G248" s="45">
        <f t="shared" si="49"/>
        <v>0</v>
      </c>
      <c r="H248" s="45">
        <f t="shared" si="51"/>
        <v>0</v>
      </c>
      <c r="I248" s="45">
        <f>J248-0</f>
        <v>0</v>
      </c>
      <c r="J248" s="45">
        <v>0</v>
      </c>
      <c r="K248" s="45">
        <f t="shared" si="50"/>
        <v>0</v>
      </c>
      <c r="L248" s="53">
        <f t="shared" si="52"/>
        <v>0</v>
      </c>
      <c r="M248" s="92"/>
    </row>
    <row r="249" spans="1:13" ht="14.85" customHeight="1" x14ac:dyDescent="0.25">
      <c r="A249" s="43" t="s">
        <v>65</v>
      </c>
      <c r="B249" s="44" t="s">
        <v>66</v>
      </c>
      <c r="C249" s="94">
        <v>1180504</v>
      </c>
      <c r="D249" s="94">
        <v>1452344</v>
      </c>
      <c r="E249" s="61">
        <f>F249-2192</f>
        <v>44966</v>
      </c>
      <c r="F249" s="45">
        <v>47158</v>
      </c>
      <c r="G249" s="45">
        <f t="shared" si="49"/>
        <v>8.0809070991564683E-5</v>
      </c>
      <c r="H249" s="45">
        <f t="shared" si="51"/>
        <v>1405186</v>
      </c>
      <c r="I249" s="45">
        <f>J249-2192</f>
        <v>0</v>
      </c>
      <c r="J249" s="45">
        <v>2192</v>
      </c>
      <c r="K249" s="45">
        <f t="shared" si="50"/>
        <v>4.2281302541426379E-6</v>
      </c>
      <c r="L249" s="53">
        <f t="shared" si="52"/>
        <v>1450152</v>
      </c>
      <c r="M249" s="92"/>
    </row>
    <row r="250" spans="1:13" ht="14.85" customHeight="1" x14ac:dyDescent="0.25">
      <c r="A250" s="43" t="s">
        <v>32</v>
      </c>
      <c r="B250" s="44" t="s">
        <v>33</v>
      </c>
      <c r="C250" s="45">
        <v>0</v>
      </c>
      <c r="D250" s="45">
        <v>0</v>
      </c>
      <c r="E250" s="61">
        <f t="shared" si="53"/>
        <v>0</v>
      </c>
      <c r="F250" s="45">
        <v>0</v>
      </c>
      <c r="G250" s="45">
        <f t="shared" si="49"/>
        <v>0</v>
      </c>
      <c r="H250" s="45">
        <f t="shared" si="51"/>
        <v>0</v>
      </c>
      <c r="I250" s="45">
        <f t="shared" ref="I250:I259" si="54">J250-0</f>
        <v>0</v>
      </c>
      <c r="J250" s="45"/>
      <c r="K250" s="45">
        <f t="shared" si="50"/>
        <v>0</v>
      </c>
      <c r="L250" s="53">
        <f t="shared" si="52"/>
        <v>0</v>
      </c>
      <c r="M250" s="92"/>
    </row>
    <row r="251" spans="1:13" ht="14.85" customHeight="1" x14ac:dyDescent="0.25">
      <c r="A251" s="43" t="s">
        <v>44</v>
      </c>
      <c r="B251" s="44" t="s">
        <v>45</v>
      </c>
      <c r="C251" s="45">
        <v>0</v>
      </c>
      <c r="D251" s="45">
        <v>0</v>
      </c>
      <c r="E251" s="61">
        <f t="shared" si="53"/>
        <v>0</v>
      </c>
      <c r="F251" s="45">
        <v>0</v>
      </c>
      <c r="G251" s="45">
        <f t="shared" si="49"/>
        <v>0</v>
      </c>
      <c r="H251" s="45">
        <f t="shared" si="51"/>
        <v>0</v>
      </c>
      <c r="I251" s="45">
        <f t="shared" si="54"/>
        <v>0</v>
      </c>
      <c r="J251" s="45">
        <v>0</v>
      </c>
      <c r="K251" s="45">
        <f t="shared" si="50"/>
        <v>0</v>
      </c>
      <c r="L251" s="53">
        <f t="shared" si="52"/>
        <v>0</v>
      </c>
      <c r="M251" s="92"/>
    </row>
    <row r="252" spans="1:13" ht="14.85" customHeight="1" x14ac:dyDescent="0.25">
      <c r="A252" s="43" t="s">
        <v>89</v>
      </c>
      <c r="B252" s="44" t="s">
        <v>152</v>
      </c>
      <c r="C252" s="45">
        <v>0</v>
      </c>
      <c r="D252" s="45">
        <v>0</v>
      </c>
      <c r="E252" s="61">
        <f t="shared" si="53"/>
        <v>0</v>
      </c>
      <c r="F252" s="45">
        <v>0</v>
      </c>
      <c r="G252" s="45">
        <f t="shared" si="49"/>
        <v>0</v>
      </c>
      <c r="H252" s="45">
        <f t="shared" si="51"/>
        <v>0</v>
      </c>
      <c r="I252" s="45">
        <f>J252-0</f>
        <v>0</v>
      </c>
      <c r="J252" s="45">
        <v>0</v>
      </c>
      <c r="K252" s="45">
        <f t="shared" si="50"/>
        <v>0</v>
      </c>
      <c r="L252" s="53">
        <f t="shared" si="52"/>
        <v>0</v>
      </c>
      <c r="M252" s="92"/>
    </row>
    <row r="253" spans="1:13" ht="14.85" customHeight="1" x14ac:dyDescent="0.25">
      <c r="A253" s="43" t="s">
        <v>91</v>
      </c>
      <c r="B253" s="44" t="s">
        <v>92</v>
      </c>
      <c r="C253" s="94">
        <v>4146606</v>
      </c>
      <c r="D253" s="94">
        <v>12581673.83</v>
      </c>
      <c r="E253" s="61">
        <f>F253-34115.46</f>
        <v>3952086.06</v>
      </c>
      <c r="F253" s="94">
        <v>3986201.52</v>
      </c>
      <c r="G253" s="45">
        <f t="shared" si="49"/>
        <v>6.8306807247203675E-3</v>
      </c>
      <c r="H253" s="45">
        <f t="shared" si="51"/>
        <v>8595472.3100000005</v>
      </c>
      <c r="I253" s="45">
        <f>J253-18934.45</f>
        <v>3942520.55</v>
      </c>
      <c r="J253" s="94">
        <v>3961455</v>
      </c>
      <c r="K253" s="45">
        <f t="shared" si="50"/>
        <v>7.641217032812328E-3</v>
      </c>
      <c r="L253" s="53">
        <f t="shared" si="52"/>
        <v>8620218.8300000001</v>
      </c>
      <c r="M253" s="92"/>
    </row>
    <row r="254" spans="1:13" ht="14.85" customHeight="1" x14ac:dyDescent="0.25">
      <c r="A254" s="43" t="s">
        <v>228</v>
      </c>
      <c r="B254" s="44" t="s">
        <v>229</v>
      </c>
      <c r="C254" s="94">
        <v>88204</v>
      </c>
      <c r="D254" s="94">
        <v>88204</v>
      </c>
      <c r="E254" s="61">
        <f>F254-12722.48</f>
        <v>1588</v>
      </c>
      <c r="F254" s="94">
        <v>14310.48</v>
      </c>
      <c r="G254" s="45">
        <f t="shared" si="49"/>
        <v>2.4522172149865699E-5</v>
      </c>
      <c r="H254" s="45">
        <f t="shared" si="51"/>
        <v>73893.52</v>
      </c>
      <c r="I254" s="45">
        <f>J254-12722.48</f>
        <v>1588</v>
      </c>
      <c r="J254" s="94">
        <v>14310.48</v>
      </c>
      <c r="K254" s="45">
        <f t="shared" si="50"/>
        <v>2.7603363795302524E-5</v>
      </c>
      <c r="L254" s="53">
        <f t="shared" si="52"/>
        <v>73893.52</v>
      </c>
      <c r="M254" s="92"/>
    </row>
    <row r="255" spans="1:13" ht="14.85" customHeight="1" x14ac:dyDescent="0.25">
      <c r="A255" s="43" t="s">
        <v>230</v>
      </c>
      <c r="B255" s="44" t="s">
        <v>231</v>
      </c>
      <c r="C255" s="45">
        <v>0</v>
      </c>
      <c r="D255" s="45">
        <v>0</v>
      </c>
      <c r="E255" s="61">
        <f t="shared" si="53"/>
        <v>0</v>
      </c>
      <c r="F255" s="45">
        <v>0</v>
      </c>
      <c r="G255" s="45">
        <f t="shared" si="49"/>
        <v>0</v>
      </c>
      <c r="H255" s="45">
        <f t="shared" si="51"/>
        <v>0</v>
      </c>
      <c r="I255" s="45">
        <f>J255-0</f>
        <v>0</v>
      </c>
      <c r="J255" s="45">
        <v>0</v>
      </c>
      <c r="K255" s="45">
        <f t="shared" si="50"/>
        <v>0</v>
      </c>
      <c r="L255" s="53">
        <f t="shared" si="52"/>
        <v>0</v>
      </c>
      <c r="M255" s="92"/>
    </row>
    <row r="256" spans="1:13" ht="14.85" customHeight="1" x14ac:dyDescent="0.25">
      <c r="A256" s="43" t="s">
        <v>232</v>
      </c>
      <c r="B256" s="44" t="s">
        <v>233</v>
      </c>
      <c r="C256" s="94">
        <v>129679496</v>
      </c>
      <c r="D256" s="94">
        <v>129679496</v>
      </c>
      <c r="E256" s="61">
        <f>F256-300000</f>
        <v>1360000</v>
      </c>
      <c r="F256" s="94">
        <v>1660000</v>
      </c>
      <c r="G256" s="45">
        <f t="shared" si="49"/>
        <v>2.8445451004282915E-3</v>
      </c>
      <c r="H256" s="45">
        <f t="shared" si="51"/>
        <v>128019496</v>
      </c>
      <c r="I256" s="45">
        <f>J256-270148.13</f>
        <v>1062742.3199999998</v>
      </c>
      <c r="J256" s="94">
        <v>1332890.45</v>
      </c>
      <c r="K256" s="45">
        <f t="shared" si="50"/>
        <v>2.5710011118169683E-3</v>
      </c>
      <c r="L256" s="53">
        <f t="shared" si="52"/>
        <v>128346605.55</v>
      </c>
      <c r="M256" s="92"/>
    </row>
    <row r="257" spans="1:13" ht="14.85" customHeight="1" x14ac:dyDescent="0.25">
      <c r="A257" s="43" t="s">
        <v>95</v>
      </c>
      <c r="B257" s="44" t="s">
        <v>96</v>
      </c>
      <c r="C257" s="45">
        <v>0</v>
      </c>
      <c r="D257" s="45">
        <v>0</v>
      </c>
      <c r="E257" s="61">
        <f t="shared" si="53"/>
        <v>0</v>
      </c>
      <c r="F257" s="45">
        <v>0</v>
      </c>
      <c r="G257" s="45">
        <f t="shared" si="49"/>
        <v>0</v>
      </c>
      <c r="H257" s="45">
        <f t="shared" si="51"/>
        <v>0</v>
      </c>
      <c r="I257" s="45">
        <f t="shared" si="54"/>
        <v>0</v>
      </c>
      <c r="J257" s="45">
        <v>0</v>
      </c>
      <c r="K257" s="45">
        <f t="shared" si="50"/>
        <v>0</v>
      </c>
      <c r="L257" s="53">
        <f t="shared" si="52"/>
        <v>0</v>
      </c>
      <c r="M257" s="92"/>
    </row>
    <row r="258" spans="1:13" ht="14.85" customHeight="1" x14ac:dyDescent="0.25">
      <c r="A258" s="43" t="s">
        <v>203</v>
      </c>
      <c r="B258" s="44" t="s">
        <v>204</v>
      </c>
      <c r="C258" s="45">
        <v>0</v>
      </c>
      <c r="D258" s="45">
        <v>0</v>
      </c>
      <c r="E258" s="61">
        <f t="shared" si="53"/>
        <v>0</v>
      </c>
      <c r="F258" s="45">
        <v>0</v>
      </c>
      <c r="G258" s="45">
        <f t="shared" si="49"/>
        <v>0</v>
      </c>
      <c r="H258" s="45">
        <f t="shared" si="51"/>
        <v>0</v>
      </c>
      <c r="I258" s="45">
        <f t="shared" si="54"/>
        <v>0</v>
      </c>
      <c r="J258" s="45">
        <v>0</v>
      </c>
      <c r="K258" s="45">
        <f t="shared" si="50"/>
        <v>0</v>
      </c>
      <c r="L258" s="53">
        <f t="shared" si="52"/>
        <v>0</v>
      </c>
    </row>
    <row r="259" spans="1:13" ht="14.85" customHeight="1" x14ac:dyDescent="0.25">
      <c r="A259" s="43" t="s">
        <v>234</v>
      </c>
      <c r="B259" s="44" t="s">
        <v>235</v>
      </c>
      <c r="C259" s="45">
        <v>0</v>
      </c>
      <c r="D259" s="45">
        <v>0</v>
      </c>
      <c r="E259" s="61">
        <f t="shared" si="53"/>
        <v>0</v>
      </c>
      <c r="F259" s="45">
        <v>0</v>
      </c>
      <c r="G259" s="45">
        <f t="shared" si="49"/>
        <v>0</v>
      </c>
      <c r="H259" s="45">
        <f t="shared" si="51"/>
        <v>0</v>
      </c>
      <c r="I259" s="45">
        <f t="shared" si="54"/>
        <v>0</v>
      </c>
      <c r="J259" s="45">
        <v>0</v>
      </c>
      <c r="K259" s="45">
        <f t="shared" si="50"/>
        <v>0</v>
      </c>
      <c r="L259" s="53">
        <f t="shared" si="52"/>
        <v>0</v>
      </c>
    </row>
    <row r="260" spans="1:13" ht="14.85" customHeight="1" x14ac:dyDescent="0.25">
      <c r="A260" s="43" t="s">
        <v>236</v>
      </c>
      <c r="B260" s="44" t="s">
        <v>237</v>
      </c>
      <c r="C260" s="94">
        <v>7636</v>
      </c>
      <c r="D260" s="94">
        <v>7636</v>
      </c>
      <c r="E260" s="61">
        <f>F260-7343.39</f>
        <v>292.60999999999967</v>
      </c>
      <c r="F260" s="61">
        <v>7636</v>
      </c>
      <c r="G260" s="45">
        <f t="shared" si="49"/>
        <v>1.3084907461970141E-5</v>
      </c>
      <c r="H260" s="45">
        <f t="shared" si="51"/>
        <v>0</v>
      </c>
      <c r="I260" s="45">
        <f>J260-7343.39</f>
        <v>292.60999999999967</v>
      </c>
      <c r="J260" s="45">
        <v>7636</v>
      </c>
      <c r="K260" s="45">
        <f t="shared" si="50"/>
        <v>1.4729015794084481E-5</v>
      </c>
      <c r="L260" s="53">
        <f t="shared" si="52"/>
        <v>0</v>
      </c>
    </row>
    <row r="261" spans="1:13" ht="14.85" customHeight="1" x14ac:dyDescent="0.2">
      <c r="A261" s="40" t="s">
        <v>238</v>
      </c>
      <c r="B261" s="70" t="s">
        <v>239</v>
      </c>
      <c r="C261" s="42">
        <f>SUM(C262:C270)</f>
        <v>530473459</v>
      </c>
      <c r="D261" s="42">
        <f>SUM(D262:D270)</f>
        <v>530254111</v>
      </c>
      <c r="E261" s="98">
        <f>SUM(E262:E270)</f>
        <v>59801130.270000011</v>
      </c>
      <c r="F261" s="42">
        <f>SUM(F262:F270)</f>
        <v>130898115.34</v>
      </c>
      <c r="G261" s="42">
        <f t="shared" si="49"/>
        <v>0.22430457388294844</v>
      </c>
      <c r="H261" s="42">
        <f t="shared" si="51"/>
        <v>399355995.65999997</v>
      </c>
      <c r="I261" s="42">
        <f>SUM(I262:I270)</f>
        <v>57664482.269999996</v>
      </c>
      <c r="J261" s="42">
        <f>SUM(J262:J270)</f>
        <v>106241266.31999999</v>
      </c>
      <c r="K261" s="42">
        <f t="shared" si="50"/>
        <v>0.20492787972902246</v>
      </c>
      <c r="L261" s="57">
        <f t="shared" si="52"/>
        <v>424012844.68000001</v>
      </c>
    </row>
    <row r="262" spans="1:13" ht="14.85" customHeight="1" x14ac:dyDescent="0.25">
      <c r="A262" s="43" t="s">
        <v>30</v>
      </c>
      <c r="B262" s="44" t="s">
        <v>31</v>
      </c>
      <c r="C262" s="94">
        <v>151915963</v>
      </c>
      <c r="D262" s="94">
        <v>189811551</v>
      </c>
      <c r="E262" s="61">
        <f>F262-37998955.39</f>
        <v>32333358.120000005</v>
      </c>
      <c r="F262" s="94">
        <v>70332313.510000005</v>
      </c>
      <c r="G262" s="45">
        <f t="shared" si="49"/>
        <v>0.12052014325099822</v>
      </c>
      <c r="H262" s="45">
        <f t="shared" si="51"/>
        <v>119479237.48999999</v>
      </c>
      <c r="I262" s="45">
        <f>J262-29136769.25</f>
        <v>30635615.229999997</v>
      </c>
      <c r="J262" s="94">
        <v>59772384.479999997</v>
      </c>
      <c r="K262" s="45">
        <f t="shared" si="50"/>
        <v>0.11529444670717785</v>
      </c>
      <c r="L262" s="53">
        <f t="shared" si="52"/>
        <v>130039166.52000001</v>
      </c>
    </row>
    <row r="263" spans="1:13" ht="14.85" customHeight="1" x14ac:dyDescent="0.25">
      <c r="A263" s="43" t="s">
        <v>61</v>
      </c>
      <c r="B263" s="44" t="s">
        <v>62</v>
      </c>
      <c r="C263" s="94">
        <v>20000</v>
      </c>
      <c r="D263" s="94">
        <v>20000</v>
      </c>
      <c r="E263" s="61">
        <f t="shared" ref="E263:E266" si="55">F263-0</f>
        <v>0</v>
      </c>
      <c r="F263" s="45">
        <v>0</v>
      </c>
      <c r="G263" s="45">
        <f t="shared" ref="G263:G294" si="56">(F263/$F$307)*100</f>
        <v>0</v>
      </c>
      <c r="H263" s="45">
        <f t="shared" si="51"/>
        <v>20000</v>
      </c>
      <c r="I263" s="45">
        <f t="shared" ref="I263:I266" si="57">J263-0</f>
        <v>0</v>
      </c>
      <c r="J263" s="45">
        <v>0</v>
      </c>
      <c r="K263" s="45">
        <f t="shared" ref="K263:K294" si="58">(J263/$J$307)*100</f>
        <v>0</v>
      </c>
      <c r="L263" s="53">
        <f t="shared" si="52"/>
        <v>20000</v>
      </c>
    </row>
    <row r="264" spans="1:13" ht="14.85" customHeight="1" x14ac:dyDescent="0.25">
      <c r="A264" s="43" t="s">
        <v>108</v>
      </c>
      <c r="B264" s="44" t="s">
        <v>109</v>
      </c>
      <c r="C264" s="94">
        <v>533904</v>
      </c>
      <c r="D264" s="94">
        <v>533904</v>
      </c>
      <c r="E264" s="61">
        <f>F264-0</f>
        <v>0</v>
      </c>
      <c r="F264" s="45">
        <v>0</v>
      </c>
      <c r="G264" s="45">
        <f t="shared" si="56"/>
        <v>0</v>
      </c>
      <c r="H264" s="45">
        <f t="shared" si="51"/>
        <v>533904</v>
      </c>
      <c r="I264" s="45">
        <f>J264-0</f>
        <v>0</v>
      </c>
      <c r="J264" s="45">
        <v>0</v>
      </c>
      <c r="K264" s="45">
        <f t="shared" si="58"/>
        <v>0</v>
      </c>
      <c r="L264" s="53">
        <f t="shared" si="52"/>
        <v>533904</v>
      </c>
    </row>
    <row r="265" spans="1:13" ht="14.85" customHeight="1" x14ac:dyDescent="0.25">
      <c r="A265" s="43" t="s">
        <v>112</v>
      </c>
      <c r="B265" s="44" t="s">
        <v>113</v>
      </c>
      <c r="C265" s="94">
        <v>11091926</v>
      </c>
      <c r="D265" s="94">
        <v>11091926</v>
      </c>
      <c r="E265" s="61">
        <f>F265-1552313.64</f>
        <v>919078.74</v>
      </c>
      <c r="F265" s="94">
        <v>2471392.38</v>
      </c>
      <c r="G265" s="45">
        <f t="shared" si="56"/>
        <v>4.2349319793763942E-3</v>
      </c>
      <c r="H265" s="45">
        <f t="shared" si="51"/>
        <v>8620533.620000001</v>
      </c>
      <c r="I265" s="45">
        <f>J265-1552313.64</f>
        <v>919078.74</v>
      </c>
      <c r="J265" s="94">
        <v>2471392.38</v>
      </c>
      <c r="K265" s="45">
        <f t="shared" si="58"/>
        <v>4.7670478520691504E-3</v>
      </c>
      <c r="L265" s="53">
        <f t="shared" si="52"/>
        <v>8620533.620000001</v>
      </c>
    </row>
    <row r="266" spans="1:13" ht="14.85" customHeight="1" x14ac:dyDescent="0.25">
      <c r="A266" s="43" t="s">
        <v>40</v>
      </c>
      <c r="B266" s="44" t="s">
        <v>41</v>
      </c>
      <c r="C266" s="45">
        <v>0</v>
      </c>
      <c r="D266" s="45">
        <v>0</v>
      </c>
      <c r="E266" s="61">
        <f t="shared" si="55"/>
        <v>0</v>
      </c>
      <c r="F266" s="45">
        <v>0</v>
      </c>
      <c r="G266" s="45">
        <f t="shared" si="56"/>
        <v>0</v>
      </c>
      <c r="H266" s="45">
        <f t="shared" si="51"/>
        <v>0</v>
      </c>
      <c r="I266" s="45">
        <f t="shared" si="57"/>
        <v>0</v>
      </c>
      <c r="J266" s="45">
        <v>0</v>
      </c>
      <c r="K266" s="45">
        <f t="shared" si="58"/>
        <v>0</v>
      </c>
      <c r="L266" s="53">
        <f t="shared" si="52"/>
        <v>0</v>
      </c>
    </row>
    <row r="267" spans="1:13" ht="14.85" customHeight="1" x14ac:dyDescent="0.25">
      <c r="A267" s="43" t="s">
        <v>232</v>
      </c>
      <c r="B267" s="44" t="s">
        <v>233</v>
      </c>
      <c r="C267" s="94">
        <v>21808235</v>
      </c>
      <c r="D267" s="94">
        <v>24556765</v>
      </c>
      <c r="E267" s="61">
        <f>F267-8543951.22</f>
        <v>3886843.49</v>
      </c>
      <c r="F267" s="94">
        <v>12430794.710000001</v>
      </c>
      <c r="G267" s="45">
        <f t="shared" si="56"/>
        <v>2.1301178425759296E-2</v>
      </c>
      <c r="H267" s="45">
        <f t="shared" si="51"/>
        <v>12125970.289999999</v>
      </c>
      <c r="I267" s="45">
        <f>J267-2395468.17</f>
        <v>2218444.16</v>
      </c>
      <c r="J267" s="94">
        <v>4613912.33</v>
      </c>
      <c r="K267" s="45">
        <f t="shared" si="58"/>
        <v>8.8997364564027143E-3</v>
      </c>
      <c r="L267" s="53">
        <f t="shared" si="52"/>
        <v>19942852.670000002</v>
      </c>
    </row>
    <row r="268" spans="1:13" ht="14.85" customHeight="1" x14ac:dyDescent="0.25">
      <c r="A268" s="43" t="s">
        <v>240</v>
      </c>
      <c r="B268" s="44" t="s">
        <v>241</v>
      </c>
      <c r="C268" s="94">
        <v>1020000</v>
      </c>
      <c r="D268" s="94">
        <v>330652</v>
      </c>
      <c r="E268" s="61">
        <f>F268-15370.2</f>
        <v>39406.28</v>
      </c>
      <c r="F268" s="45">
        <v>54776.480000000003</v>
      </c>
      <c r="G268" s="45">
        <f t="shared" si="56"/>
        <v>9.3863956507655611E-5</v>
      </c>
      <c r="H268" s="45">
        <f t="shared" si="51"/>
        <v>275875.52</v>
      </c>
      <c r="I268" s="45">
        <f>J268-15370.2</f>
        <v>39406.28</v>
      </c>
      <c r="J268" s="45">
        <v>54776.480000000003</v>
      </c>
      <c r="K268" s="45">
        <f t="shared" si="58"/>
        <v>1.0565788882456165E-4</v>
      </c>
      <c r="L268" s="53">
        <f t="shared" si="52"/>
        <v>275875.52</v>
      </c>
    </row>
    <row r="269" spans="1:13" ht="14.85" customHeight="1" x14ac:dyDescent="0.25">
      <c r="A269" s="43" t="s">
        <v>93</v>
      </c>
      <c r="B269" s="44" t="s">
        <v>94</v>
      </c>
      <c r="C269" s="94">
        <v>276026855</v>
      </c>
      <c r="D269" s="94">
        <v>236026855</v>
      </c>
      <c r="E269" s="61">
        <f>F269-10610.63</f>
        <v>0</v>
      </c>
      <c r="F269" s="45">
        <v>10610.63</v>
      </c>
      <c r="G269" s="45">
        <f t="shared" si="56"/>
        <v>1.8182178059612915E-5</v>
      </c>
      <c r="H269" s="45">
        <f t="shared" si="51"/>
        <v>236016244.37</v>
      </c>
      <c r="I269" s="45">
        <f>J269-10610.63</f>
        <v>0</v>
      </c>
      <c r="J269" s="45">
        <v>10610.63</v>
      </c>
      <c r="K269" s="45">
        <f t="shared" si="58"/>
        <v>2.0466754433628417E-5</v>
      </c>
      <c r="L269" s="53">
        <f t="shared" si="52"/>
        <v>236016244.37</v>
      </c>
    </row>
    <row r="270" spans="1:13" ht="14.85" customHeight="1" x14ac:dyDescent="0.25">
      <c r="A270" s="43" t="s">
        <v>95</v>
      </c>
      <c r="B270" s="44" t="s">
        <v>96</v>
      </c>
      <c r="C270" s="94">
        <v>68056576</v>
      </c>
      <c r="D270" s="94">
        <v>67882458</v>
      </c>
      <c r="E270" s="61">
        <f>F270-22975783.99</f>
        <v>22622443.640000004</v>
      </c>
      <c r="F270" s="94">
        <v>45598227.630000003</v>
      </c>
      <c r="G270" s="45">
        <f t="shared" si="56"/>
        <v>7.8136274092247271E-2</v>
      </c>
      <c r="H270" s="45">
        <f t="shared" si="51"/>
        <v>22284230.369999997</v>
      </c>
      <c r="I270" s="45">
        <f>J270-15466252.16</f>
        <v>23851937.860000003</v>
      </c>
      <c r="J270" s="94">
        <v>39318190.020000003</v>
      </c>
      <c r="K270" s="45">
        <f t="shared" si="58"/>
        <v>7.5840524070114573E-2</v>
      </c>
      <c r="L270" s="53">
        <f t="shared" si="52"/>
        <v>28564267.979999997</v>
      </c>
    </row>
    <row r="271" spans="1:13" ht="14.85" customHeight="1" x14ac:dyDescent="0.2">
      <c r="A271" s="40" t="s">
        <v>242</v>
      </c>
      <c r="B271" s="70" t="s">
        <v>243</v>
      </c>
      <c r="C271" s="42">
        <f>SUM(C272:C274)</f>
        <v>0</v>
      </c>
      <c r="D271" s="42">
        <f>SUM(D272:D274)</f>
        <v>0</v>
      </c>
      <c r="E271" s="98">
        <f>SUM(E272:E274)</f>
        <v>0</v>
      </c>
      <c r="F271" s="42">
        <f>SUM(F272:F274)</f>
        <v>0</v>
      </c>
      <c r="G271" s="42">
        <f t="shared" si="56"/>
        <v>0</v>
      </c>
      <c r="H271" s="42">
        <f t="shared" si="51"/>
        <v>0</v>
      </c>
      <c r="I271" s="42">
        <f>SUM(I272:I274)</f>
        <v>0</v>
      </c>
      <c r="J271" s="42">
        <f>SUM(J272:J274)</f>
        <v>0</v>
      </c>
      <c r="K271" s="42">
        <f t="shared" si="58"/>
        <v>0</v>
      </c>
      <c r="L271" s="57">
        <f t="shared" si="52"/>
        <v>0</v>
      </c>
    </row>
    <row r="272" spans="1:13" ht="14.85" customHeight="1" x14ac:dyDescent="0.25">
      <c r="A272" s="43" t="s">
        <v>30</v>
      </c>
      <c r="B272" s="44" t="s">
        <v>31</v>
      </c>
      <c r="C272" s="45">
        <v>0</v>
      </c>
      <c r="D272" s="45">
        <v>0</v>
      </c>
      <c r="E272" s="61">
        <f>F272-0</f>
        <v>0</v>
      </c>
      <c r="F272" s="45">
        <v>0</v>
      </c>
      <c r="G272" s="45">
        <f t="shared" si="56"/>
        <v>0</v>
      </c>
      <c r="H272" s="45">
        <f t="shared" si="51"/>
        <v>0</v>
      </c>
      <c r="I272" s="45">
        <f>J272-0</f>
        <v>0</v>
      </c>
      <c r="J272" s="45">
        <v>0</v>
      </c>
      <c r="K272" s="45">
        <f t="shared" si="58"/>
        <v>0</v>
      </c>
      <c r="L272" s="53">
        <f t="shared" si="52"/>
        <v>0</v>
      </c>
    </row>
    <row r="273" spans="1:12" ht="14.85" customHeight="1" x14ac:dyDescent="0.25">
      <c r="A273" s="43" t="s">
        <v>36</v>
      </c>
      <c r="B273" s="44" t="s">
        <v>37</v>
      </c>
      <c r="C273" s="45">
        <v>0</v>
      </c>
      <c r="D273" s="45">
        <v>0</v>
      </c>
      <c r="E273" s="61">
        <f>F273-0</f>
        <v>0</v>
      </c>
      <c r="F273" s="45">
        <v>0</v>
      </c>
      <c r="G273" s="45">
        <f t="shared" si="56"/>
        <v>0</v>
      </c>
      <c r="H273" s="45">
        <f t="shared" si="51"/>
        <v>0</v>
      </c>
      <c r="I273" s="45">
        <f>J273-0</f>
        <v>0</v>
      </c>
      <c r="J273" s="45">
        <v>0</v>
      </c>
      <c r="K273" s="45">
        <f t="shared" si="58"/>
        <v>0</v>
      </c>
      <c r="L273" s="53">
        <f t="shared" si="52"/>
        <v>0</v>
      </c>
    </row>
    <row r="274" spans="1:12" ht="14.85" customHeight="1" x14ac:dyDescent="0.25">
      <c r="A274" s="43" t="s">
        <v>38</v>
      </c>
      <c r="B274" s="44" t="s">
        <v>39</v>
      </c>
      <c r="C274" s="45">
        <v>0</v>
      </c>
      <c r="D274" s="45">
        <v>0</v>
      </c>
      <c r="E274" s="61">
        <f>F274-0</f>
        <v>0</v>
      </c>
      <c r="F274" s="45">
        <v>0</v>
      </c>
      <c r="G274" s="45">
        <f t="shared" si="56"/>
        <v>0</v>
      </c>
      <c r="H274" s="45">
        <f t="shared" si="51"/>
        <v>0</v>
      </c>
      <c r="I274" s="45">
        <f>J274-0</f>
        <v>0</v>
      </c>
      <c r="J274" s="45">
        <v>0</v>
      </c>
      <c r="K274" s="45">
        <f t="shared" si="58"/>
        <v>0</v>
      </c>
      <c r="L274" s="53">
        <f t="shared" si="52"/>
        <v>0</v>
      </c>
    </row>
    <row r="275" spans="1:12" ht="14.85" customHeight="1" x14ac:dyDescent="0.2">
      <c r="A275" s="40" t="s">
        <v>244</v>
      </c>
      <c r="B275" s="70" t="s">
        <v>245</v>
      </c>
      <c r="C275" s="42">
        <f>SUM(C276:C279)</f>
        <v>27463177</v>
      </c>
      <c r="D275" s="42">
        <f>SUM(D276:D279)</f>
        <v>27451721</v>
      </c>
      <c r="E275" s="98">
        <f>SUM(E276:E279)</f>
        <v>7354404.5299999993</v>
      </c>
      <c r="F275" s="42">
        <f>SUM(F276:F279)</f>
        <v>14659464.609999999</v>
      </c>
      <c r="G275" s="42">
        <f t="shared" si="56"/>
        <v>2.5120185681492428E-2</v>
      </c>
      <c r="H275" s="42">
        <f t="shared" si="51"/>
        <v>12792256.390000001</v>
      </c>
      <c r="I275" s="42">
        <f>SUM(I276:I279)</f>
        <v>7277463.3000000007</v>
      </c>
      <c r="J275" s="42">
        <f>SUM(J276:J279)</f>
        <v>13086334.760000002</v>
      </c>
      <c r="K275" s="42">
        <f t="shared" si="58"/>
        <v>2.5242120398993814E-2</v>
      </c>
      <c r="L275" s="57">
        <f t="shared" si="52"/>
        <v>14365386.239999998</v>
      </c>
    </row>
    <row r="276" spans="1:12" ht="14.85" customHeight="1" x14ac:dyDescent="0.25">
      <c r="A276" s="43" t="s">
        <v>30</v>
      </c>
      <c r="B276" s="44" t="s">
        <v>31</v>
      </c>
      <c r="C276" s="94">
        <v>18021797</v>
      </c>
      <c r="D276" s="94">
        <v>18160341</v>
      </c>
      <c r="E276" s="61">
        <f>F276-7177903.48</f>
        <v>4354404.5299999993</v>
      </c>
      <c r="F276" s="94">
        <v>11532308.01</v>
      </c>
      <c r="G276" s="45">
        <f t="shared" si="56"/>
        <v>1.9761548341250264E-2</v>
      </c>
      <c r="H276" s="45">
        <f t="shared" si="51"/>
        <v>6628032.9900000002</v>
      </c>
      <c r="I276" s="45">
        <f>J276-5684328.51</f>
        <v>4277463.3000000007</v>
      </c>
      <c r="J276" s="94">
        <v>9961791.8100000005</v>
      </c>
      <c r="K276" s="45">
        <f t="shared" si="58"/>
        <v>1.9215215938563571E-2</v>
      </c>
      <c r="L276" s="53">
        <f t="shared" si="52"/>
        <v>8198549.1899999995</v>
      </c>
    </row>
    <row r="277" spans="1:12" ht="14.85" customHeight="1" x14ac:dyDescent="0.25">
      <c r="A277" s="43" t="s">
        <v>32</v>
      </c>
      <c r="B277" s="44" t="s">
        <v>33</v>
      </c>
      <c r="C277" s="94">
        <v>8196959</v>
      </c>
      <c r="D277" s="94">
        <v>5049567.41</v>
      </c>
      <c r="E277" s="61">
        <f>F277-0</f>
        <v>0</v>
      </c>
      <c r="F277" s="45">
        <v>0</v>
      </c>
      <c r="G277" s="45">
        <f t="shared" si="56"/>
        <v>0</v>
      </c>
      <c r="H277" s="45">
        <f t="shared" si="51"/>
        <v>5049567.41</v>
      </c>
      <c r="I277" s="45">
        <f>J277-0</f>
        <v>0</v>
      </c>
      <c r="J277" s="45">
        <v>0</v>
      </c>
      <c r="K277" s="45">
        <f t="shared" si="58"/>
        <v>0</v>
      </c>
      <c r="L277" s="53">
        <f t="shared" si="52"/>
        <v>5049567.41</v>
      </c>
    </row>
    <row r="278" spans="1:12" ht="14.85" customHeight="1" x14ac:dyDescent="0.25">
      <c r="A278" s="43" t="s">
        <v>91</v>
      </c>
      <c r="B278" s="44" t="s">
        <v>92</v>
      </c>
      <c r="C278" s="94">
        <v>12421</v>
      </c>
      <c r="D278" s="94">
        <v>3127156.84</v>
      </c>
      <c r="E278" s="61">
        <f>F278-127156.6</f>
        <v>3000000</v>
      </c>
      <c r="F278" s="45">
        <v>3127156.6</v>
      </c>
      <c r="G278" s="45">
        <f t="shared" si="56"/>
        <v>5.3586373402421655E-3</v>
      </c>
      <c r="H278" s="45">
        <f t="shared" si="51"/>
        <v>0.23999999975785613</v>
      </c>
      <c r="I278" s="45">
        <f>J278-124542.95</f>
        <v>3000000</v>
      </c>
      <c r="J278" s="45">
        <v>3124542.95</v>
      </c>
      <c r="K278" s="45">
        <f t="shared" si="58"/>
        <v>6.0269044604302413E-3</v>
      </c>
      <c r="L278" s="53">
        <f t="shared" si="52"/>
        <v>2613.8899999996647</v>
      </c>
    </row>
    <row r="279" spans="1:12" ht="14.85" customHeight="1" x14ac:dyDescent="0.25">
      <c r="A279" s="43" t="s">
        <v>203</v>
      </c>
      <c r="B279" s="44" t="s">
        <v>204</v>
      </c>
      <c r="C279" s="94">
        <v>1232000</v>
      </c>
      <c r="D279" s="94">
        <v>1114655.75</v>
      </c>
      <c r="E279" s="61">
        <f>F279-0</f>
        <v>0</v>
      </c>
      <c r="F279" s="45">
        <v>0</v>
      </c>
      <c r="G279" s="45">
        <f t="shared" si="56"/>
        <v>0</v>
      </c>
      <c r="H279" s="45">
        <f t="shared" si="51"/>
        <v>1114655.75</v>
      </c>
      <c r="I279" s="45">
        <f>J279-0</f>
        <v>0</v>
      </c>
      <c r="J279" s="45">
        <v>0</v>
      </c>
      <c r="K279" s="45">
        <f t="shared" si="58"/>
        <v>0</v>
      </c>
      <c r="L279" s="53">
        <f t="shared" si="52"/>
        <v>1114655.75</v>
      </c>
    </row>
    <row r="280" spans="1:12" ht="14.85" customHeight="1" x14ac:dyDescent="0.2">
      <c r="A280" s="40" t="s">
        <v>246</v>
      </c>
      <c r="B280" s="70" t="s">
        <v>247</v>
      </c>
      <c r="C280" s="42">
        <f>SUM(C281:C290)</f>
        <v>2622067283</v>
      </c>
      <c r="D280" s="42">
        <f>SUM(D281:D290)</f>
        <v>2928082618.1900001</v>
      </c>
      <c r="E280" s="98">
        <f>SUM(E281:E290)</f>
        <v>630849580.63999999</v>
      </c>
      <c r="F280" s="42">
        <f>SUM(F281:F290)</f>
        <v>1597656998.78</v>
      </c>
      <c r="G280" s="42">
        <f t="shared" si="56"/>
        <v>2.7377152940027822</v>
      </c>
      <c r="H280" s="42">
        <f t="shared" si="51"/>
        <v>1330425619.4100001</v>
      </c>
      <c r="I280" s="42">
        <f>SUM(I281:I290)</f>
        <v>614653390.6500001</v>
      </c>
      <c r="J280" s="42">
        <f>SUM(J281:J290)</f>
        <v>1423022081.1000001</v>
      </c>
      <c r="K280" s="42">
        <f t="shared" si="58"/>
        <v>2.7448552524689456</v>
      </c>
      <c r="L280" s="57">
        <f t="shared" si="52"/>
        <v>1505060537.0899999</v>
      </c>
    </row>
    <row r="281" spans="1:12" ht="14.85" customHeight="1" x14ac:dyDescent="0.25">
      <c r="A281" s="43" t="s">
        <v>30</v>
      </c>
      <c r="B281" s="44" t="s">
        <v>31</v>
      </c>
      <c r="C281" s="94">
        <v>919468234</v>
      </c>
      <c r="D281" s="94">
        <v>779892779.70000005</v>
      </c>
      <c r="E281" s="61">
        <f>F281-276545803.95</f>
        <v>131826104.81</v>
      </c>
      <c r="F281" s="94">
        <v>408371908.75999999</v>
      </c>
      <c r="G281" s="45">
        <f t="shared" si="56"/>
        <v>0.69977850133482367</v>
      </c>
      <c r="H281" s="45">
        <f t="shared" si="51"/>
        <v>371520870.94000006</v>
      </c>
      <c r="I281" s="45">
        <f>J281-263458741.56</f>
        <v>133332251.5</v>
      </c>
      <c r="J281" s="94">
        <v>396790993.06</v>
      </c>
      <c r="K281" s="45">
        <f t="shared" si="58"/>
        <v>0.7653667893833429</v>
      </c>
      <c r="L281" s="53">
        <f t="shared" si="52"/>
        <v>383101786.64000005</v>
      </c>
    </row>
    <row r="282" spans="1:12" ht="14.85" customHeight="1" x14ac:dyDescent="0.25">
      <c r="A282" s="43" t="s">
        <v>34</v>
      </c>
      <c r="B282" s="44" t="s">
        <v>35</v>
      </c>
      <c r="C282" s="45">
        <v>0</v>
      </c>
      <c r="D282" s="45">
        <v>0</v>
      </c>
      <c r="E282" s="61">
        <f t="shared" ref="E282:E289" si="59">F282-0</f>
        <v>0</v>
      </c>
      <c r="F282" s="45">
        <v>0</v>
      </c>
      <c r="G282" s="45">
        <f t="shared" si="56"/>
        <v>0</v>
      </c>
      <c r="H282" s="45">
        <f t="shared" si="51"/>
        <v>0</v>
      </c>
      <c r="I282" s="45">
        <f>J282-0</f>
        <v>0</v>
      </c>
      <c r="J282" s="45">
        <v>0</v>
      </c>
      <c r="K282" s="45">
        <f t="shared" si="58"/>
        <v>0</v>
      </c>
      <c r="L282" s="53">
        <f t="shared" si="52"/>
        <v>0</v>
      </c>
    </row>
    <row r="283" spans="1:12" ht="14.85" customHeight="1" x14ac:dyDescent="0.25">
      <c r="A283" s="43" t="s">
        <v>71</v>
      </c>
      <c r="B283" s="44" t="s">
        <v>72</v>
      </c>
      <c r="C283" s="45">
        <v>0</v>
      </c>
      <c r="D283" s="45">
        <v>0</v>
      </c>
      <c r="E283" s="61">
        <f t="shared" si="59"/>
        <v>0</v>
      </c>
      <c r="F283" s="45">
        <v>0</v>
      </c>
      <c r="G283" s="45">
        <f t="shared" si="56"/>
        <v>0</v>
      </c>
      <c r="H283" s="45">
        <f t="shared" si="51"/>
        <v>0</v>
      </c>
      <c r="I283" s="45">
        <f t="shared" ref="I283" si="60">J283-0</f>
        <v>0</v>
      </c>
      <c r="J283" s="45">
        <v>0</v>
      </c>
      <c r="K283" s="45">
        <f t="shared" si="58"/>
        <v>0</v>
      </c>
      <c r="L283" s="53">
        <f t="shared" si="52"/>
        <v>0</v>
      </c>
    </row>
    <row r="284" spans="1:12" ht="14.85" customHeight="1" x14ac:dyDescent="0.25">
      <c r="A284" s="43" t="s">
        <v>112</v>
      </c>
      <c r="B284" s="44" t="s">
        <v>113</v>
      </c>
      <c r="C284" s="45">
        <v>0</v>
      </c>
      <c r="D284" s="45">
        <v>0</v>
      </c>
      <c r="E284" s="61">
        <f t="shared" si="59"/>
        <v>0</v>
      </c>
      <c r="F284" s="45">
        <v>0</v>
      </c>
      <c r="G284" s="45">
        <f t="shared" si="56"/>
        <v>0</v>
      </c>
      <c r="H284" s="45">
        <f t="shared" si="51"/>
        <v>0</v>
      </c>
      <c r="I284" s="45">
        <f t="shared" ref="I284:I289" si="61">J284-0</f>
        <v>0</v>
      </c>
      <c r="J284" s="45">
        <v>0</v>
      </c>
      <c r="K284" s="45">
        <f t="shared" si="58"/>
        <v>0</v>
      </c>
      <c r="L284" s="53">
        <f t="shared" si="52"/>
        <v>0</v>
      </c>
    </row>
    <row r="285" spans="1:12" ht="14.85" customHeight="1" x14ac:dyDescent="0.25">
      <c r="A285" s="43" t="s">
        <v>77</v>
      </c>
      <c r="B285" s="44" t="s">
        <v>78</v>
      </c>
      <c r="C285" s="94">
        <v>8327452</v>
      </c>
      <c r="D285" s="94">
        <v>165271328.02000001</v>
      </c>
      <c r="E285" s="61">
        <f>F285-80329064.38</f>
        <v>5902956.4300000072</v>
      </c>
      <c r="F285" s="45">
        <v>86232020.810000002</v>
      </c>
      <c r="G285" s="45">
        <f t="shared" si="56"/>
        <v>0.14776558571994938</v>
      </c>
      <c r="H285" s="45">
        <f t="shared" si="51"/>
        <v>79039307.210000008</v>
      </c>
      <c r="I285" s="45">
        <f>J285-40991021</f>
        <v>23324628.549999997</v>
      </c>
      <c r="J285" s="45">
        <v>64315649.549999997</v>
      </c>
      <c r="K285" s="45">
        <f t="shared" si="58"/>
        <v>0.12405791226149195</v>
      </c>
      <c r="L285" s="53">
        <f t="shared" si="52"/>
        <v>100955678.47000001</v>
      </c>
    </row>
    <row r="286" spans="1:12" ht="14.85" customHeight="1" x14ac:dyDescent="0.25">
      <c r="A286" s="43" t="s">
        <v>79</v>
      </c>
      <c r="B286" s="44" t="s">
        <v>80</v>
      </c>
      <c r="C286" s="94">
        <v>1069169073</v>
      </c>
      <c r="D286" s="94">
        <v>1200678543.52</v>
      </c>
      <c r="E286" s="61">
        <f>F286-367805071.44</f>
        <v>327746735.63000005</v>
      </c>
      <c r="F286" s="94">
        <v>695551807.07000005</v>
      </c>
      <c r="G286" s="45">
        <f t="shared" si="56"/>
        <v>1.1918846294548271</v>
      </c>
      <c r="H286" s="45">
        <f t="shared" si="51"/>
        <v>505126736.44999993</v>
      </c>
      <c r="I286" s="45">
        <f>J286-346261771.97</f>
        <v>289396313.24000001</v>
      </c>
      <c r="J286" s="94">
        <v>635658085.21000004</v>
      </c>
      <c r="K286" s="45">
        <f t="shared" si="58"/>
        <v>1.2261155024483485</v>
      </c>
      <c r="L286" s="53">
        <f t="shared" si="52"/>
        <v>565020458.30999994</v>
      </c>
    </row>
    <row r="287" spans="1:12" ht="14.85" customHeight="1" x14ac:dyDescent="0.25">
      <c r="A287" s="43" t="s">
        <v>126</v>
      </c>
      <c r="B287" s="44" t="s">
        <v>127</v>
      </c>
      <c r="C287" s="94">
        <v>10000</v>
      </c>
      <c r="D287" s="94">
        <v>3000</v>
      </c>
      <c r="E287" s="61">
        <f>F287-0</f>
        <v>0</v>
      </c>
      <c r="F287" s="45">
        <v>0</v>
      </c>
      <c r="G287" s="45">
        <f t="shared" si="56"/>
        <v>0</v>
      </c>
      <c r="H287" s="45">
        <f t="shared" si="51"/>
        <v>3000</v>
      </c>
      <c r="I287" s="45">
        <f t="shared" si="61"/>
        <v>0</v>
      </c>
      <c r="J287" s="45">
        <v>0</v>
      </c>
      <c r="K287" s="45">
        <f t="shared" si="58"/>
        <v>0</v>
      </c>
      <c r="L287" s="53">
        <f t="shared" si="52"/>
        <v>3000</v>
      </c>
    </row>
    <row r="288" spans="1:12" ht="14.85" customHeight="1" x14ac:dyDescent="0.25">
      <c r="A288" s="43" t="s">
        <v>128</v>
      </c>
      <c r="B288" s="44" t="s">
        <v>129</v>
      </c>
      <c r="C288" s="94">
        <v>620349404</v>
      </c>
      <c r="D288" s="94">
        <v>770452122.86000001</v>
      </c>
      <c r="E288" s="61">
        <f>F288-238064742.37</f>
        <v>160168529.46999997</v>
      </c>
      <c r="F288" s="94">
        <v>398233271.83999997</v>
      </c>
      <c r="G288" s="45">
        <f t="shared" si="56"/>
        <v>0.68240512183132518</v>
      </c>
      <c r="H288" s="45">
        <f t="shared" si="51"/>
        <v>372218851.02000004</v>
      </c>
      <c r="I288" s="45">
        <f>J288-153652975.93</f>
        <v>163541697.36000001</v>
      </c>
      <c r="J288" s="45">
        <v>317194673.29000002</v>
      </c>
      <c r="K288" s="45">
        <f t="shared" si="58"/>
        <v>0.61183412161968009</v>
      </c>
      <c r="L288" s="53">
        <f t="shared" si="52"/>
        <v>453257449.56999999</v>
      </c>
    </row>
    <row r="289" spans="1:12" ht="14.85" customHeight="1" x14ac:dyDescent="0.25">
      <c r="A289" s="43" t="s">
        <v>97</v>
      </c>
      <c r="B289" s="44" t="s">
        <v>98</v>
      </c>
      <c r="C289" s="94">
        <v>110000</v>
      </c>
      <c r="D289" s="94">
        <v>96000</v>
      </c>
      <c r="E289" s="61">
        <f t="shared" si="59"/>
        <v>0</v>
      </c>
      <c r="F289" s="45">
        <v>0</v>
      </c>
      <c r="G289" s="45">
        <f t="shared" si="56"/>
        <v>0</v>
      </c>
      <c r="H289" s="45">
        <f t="shared" si="51"/>
        <v>96000</v>
      </c>
      <c r="I289" s="45">
        <f t="shared" si="61"/>
        <v>0</v>
      </c>
      <c r="J289" s="45">
        <v>0</v>
      </c>
      <c r="K289" s="45">
        <f t="shared" si="58"/>
        <v>0</v>
      </c>
      <c r="L289" s="53">
        <f t="shared" si="52"/>
        <v>96000</v>
      </c>
    </row>
    <row r="290" spans="1:12" ht="14.85" customHeight="1" x14ac:dyDescent="0.25">
      <c r="A290" s="43" t="s">
        <v>199</v>
      </c>
      <c r="B290" s="44" t="s">
        <v>200</v>
      </c>
      <c r="C290" s="94">
        <v>4633120</v>
      </c>
      <c r="D290" s="94">
        <v>11688844.09</v>
      </c>
      <c r="E290" s="61">
        <f>F290-4062736</f>
        <v>5205254.3000000007</v>
      </c>
      <c r="F290" s="94">
        <v>9267990.3000000007</v>
      </c>
      <c r="G290" s="45">
        <f t="shared" si="56"/>
        <v>1.5881455661856586E-2</v>
      </c>
      <c r="H290" s="45">
        <f t="shared" si="51"/>
        <v>2420853.7899999991</v>
      </c>
      <c r="I290" s="45">
        <f>J290-4004179.99</f>
        <v>5058500</v>
      </c>
      <c r="J290" s="94">
        <v>9062679.9900000002</v>
      </c>
      <c r="K290" s="45">
        <f t="shared" si="58"/>
        <v>1.7480926756082163E-2</v>
      </c>
      <c r="L290" s="53">
        <f t="shared" si="52"/>
        <v>2626164.0999999996</v>
      </c>
    </row>
    <row r="291" spans="1:12" ht="14.85" customHeight="1" x14ac:dyDescent="0.2">
      <c r="A291" s="40" t="s">
        <v>248</v>
      </c>
      <c r="B291" s="70" t="s">
        <v>249</v>
      </c>
      <c r="C291" s="42">
        <f>SUM(C292:C295)</f>
        <v>157014004</v>
      </c>
      <c r="D291" s="42">
        <f>SUM(D292:D295)</f>
        <v>155729832.5</v>
      </c>
      <c r="E291" s="98">
        <f>SUM(E292:E295)</f>
        <v>29082960.390000001</v>
      </c>
      <c r="F291" s="42">
        <f>SUM(F292:F295)</f>
        <v>60252335.640000001</v>
      </c>
      <c r="G291" s="42">
        <f t="shared" si="56"/>
        <v>0.10324728080368853</v>
      </c>
      <c r="H291" s="42">
        <f t="shared" si="51"/>
        <v>95477496.859999999</v>
      </c>
      <c r="I291" s="42">
        <f>SUM(I292:I295)</f>
        <v>29266570.269999996</v>
      </c>
      <c r="J291" s="42">
        <f>SUM(J292:J295)</f>
        <v>58165758.339999996</v>
      </c>
      <c r="K291" s="42">
        <f t="shared" si="58"/>
        <v>0.11219543913891579</v>
      </c>
      <c r="L291" s="57">
        <f t="shared" si="52"/>
        <v>97564074.159999996</v>
      </c>
    </row>
    <row r="292" spans="1:12" ht="14.85" customHeight="1" x14ac:dyDescent="0.25">
      <c r="A292" s="43" t="s">
        <v>30</v>
      </c>
      <c r="B292" s="44" t="s">
        <v>31</v>
      </c>
      <c r="C292" s="94">
        <v>40553637</v>
      </c>
      <c r="D292" s="94">
        <v>40490050.899999999</v>
      </c>
      <c r="E292" s="61">
        <f>F292-11193383.97</f>
        <v>7023052.1500000004</v>
      </c>
      <c r="F292" s="94">
        <v>18216436.120000001</v>
      </c>
      <c r="G292" s="45">
        <f t="shared" si="56"/>
        <v>3.1215345850849979E-2</v>
      </c>
      <c r="H292" s="45">
        <f t="shared" si="51"/>
        <v>22273614.779999997</v>
      </c>
      <c r="I292" s="45">
        <f>J292-10303445.8</f>
        <v>6648944.879999999</v>
      </c>
      <c r="J292" s="94">
        <v>16952390.68</v>
      </c>
      <c r="K292" s="45">
        <f t="shared" si="58"/>
        <v>3.2699322953537259E-2</v>
      </c>
      <c r="L292" s="53">
        <f t="shared" si="52"/>
        <v>23537660.219999999</v>
      </c>
    </row>
    <row r="293" spans="1:12" ht="14.85" customHeight="1" x14ac:dyDescent="0.25">
      <c r="A293" s="43" t="s">
        <v>250</v>
      </c>
      <c r="B293" s="44" t="s">
        <v>251</v>
      </c>
      <c r="C293" s="94">
        <v>17000000</v>
      </c>
      <c r="D293" s="94">
        <v>17000000</v>
      </c>
      <c r="E293" s="61">
        <f>F293-3848000</f>
        <v>2094580</v>
      </c>
      <c r="F293" s="94">
        <v>5942580</v>
      </c>
      <c r="G293" s="45">
        <f t="shared" si="56"/>
        <v>1.0183094471628408E-2</v>
      </c>
      <c r="H293" s="45">
        <f t="shared" si="51"/>
        <v>11057420</v>
      </c>
      <c r="I293" s="45">
        <f>J293-3676660</f>
        <v>2094580</v>
      </c>
      <c r="J293" s="94">
        <v>5771240</v>
      </c>
      <c r="K293" s="45">
        <f t="shared" si="58"/>
        <v>1.1132096007261933E-2</v>
      </c>
      <c r="L293" s="53">
        <f t="shared" si="52"/>
        <v>11228760</v>
      </c>
    </row>
    <row r="294" spans="1:12" ht="14.85" customHeight="1" x14ac:dyDescent="0.25">
      <c r="A294" s="43" t="s">
        <v>132</v>
      </c>
      <c r="B294" s="44" t="s">
        <v>133</v>
      </c>
      <c r="C294" s="94">
        <v>99073565</v>
      </c>
      <c r="D294" s="94">
        <v>97852979.599999994</v>
      </c>
      <c r="E294" s="61">
        <f>F294-16127991.28</f>
        <v>19965328.240000002</v>
      </c>
      <c r="F294" s="94">
        <v>36093319.520000003</v>
      </c>
      <c r="G294" s="45">
        <f t="shared" si="56"/>
        <v>6.1848840481210143E-2</v>
      </c>
      <c r="H294" s="45">
        <f t="shared" si="51"/>
        <v>61759660.079999991</v>
      </c>
      <c r="I294" s="45">
        <f>J294-14919082.27</f>
        <v>20523045.389999997</v>
      </c>
      <c r="J294" s="94">
        <v>35442127.659999996</v>
      </c>
      <c r="K294" s="45">
        <f t="shared" si="58"/>
        <v>6.8364020178116616E-2</v>
      </c>
      <c r="L294" s="53">
        <f t="shared" si="52"/>
        <v>62410851.939999998</v>
      </c>
    </row>
    <row r="295" spans="1:12" ht="14.85" customHeight="1" x14ac:dyDescent="0.25">
      <c r="A295" s="43" t="s">
        <v>252</v>
      </c>
      <c r="B295" s="44" t="s">
        <v>253</v>
      </c>
      <c r="C295" s="94">
        <v>386802</v>
      </c>
      <c r="D295" s="94">
        <v>386802</v>
      </c>
      <c r="E295" s="61">
        <f>F295-0</f>
        <v>0</v>
      </c>
      <c r="F295" s="45">
        <v>0</v>
      </c>
      <c r="G295" s="45">
        <f t="shared" ref="G295:G301" si="62">(F295/$F$307)*100</f>
        <v>0</v>
      </c>
      <c r="H295" s="45">
        <f t="shared" si="51"/>
        <v>386802</v>
      </c>
      <c r="I295" s="45">
        <f>J295-0</f>
        <v>0</v>
      </c>
      <c r="J295" s="45">
        <v>0</v>
      </c>
      <c r="K295" s="45">
        <f t="shared" ref="K295:K299" si="63">(J295/$J$307)*100</f>
        <v>0</v>
      </c>
      <c r="L295" s="53">
        <f t="shared" si="52"/>
        <v>386802</v>
      </c>
    </row>
    <row r="296" spans="1:12" ht="14.85" customHeight="1" x14ac:dyDescent="0.2">
      <c r="A296" s="40" t="s">
        <v>254</v>
      </c>
      <c r="B296" s="70" t="s">
        <v>255</v>
      </c>
      <c r="C296" s="42">
        <f>SUM(C297:C301)</f>
        <v>11797953461</v>
      </c>
      <c r="D296" s="42">
        <f>SUM(D297:D301)</f>
        <v>10636709134.27</v>
      </c>
      <c r="E296" s="98">
        <f>SUM(E297:E301)</f>
        <v>1174702247.54</v>
      </c>
      <c r="F296" s="42">
        <f>SUM(F297:F301)</f>
        <v>3199320354.0100002</v>
      </c>
      <c r="G296" s="42">
        <f t="shared" si="62"/>
        <v>5.4822958058431643</v>
      </c>
      <c r="H296" s="42">
        <f t="shared" si="51"/>
        <v>7437388780.2600002</v>
      </c>
      <c r="I296" s="42">
        <f>SUM(I297:I301)</f>
        <v>1230815813.21</v>
      </c>
      <c r="J296" s="42">
        <f>SUM(J297:J301)</f>
        <v>3199301152.7600002</v>
      </c>
      <c r="K296" s="42">
        <f t="shared" si="63"/>
        <v>6.1711049252271781</v>
      </c>
      <c r="L296" s="57">
        <f t="shared" si="52"/>
        <v>7437407981.5100002</v>
      </c>
    </row>
    <row r="297" spans="1:12" ht="14.85" customHeight="1" x14ac:dyDescent="0.25">
      <c r="A297" s="43" t="s">
        <v>61</v>
      </c>
      <c r="B297" s="44" t="s">
        <v>62</v>
      </c>
      <c r="C297" s="94">
        <v>361863018</v>
      </c>
      <c r="D297" s="94">
        <v>326106024.38999999</v>
      </c>
      <c r="E297" s="61">
        <f>F297-10985317.68</f>
        <v>10712715.5</v>
      </c>
      <c r="F297" s="94">
        <v>21698033.18</v>
      </c>
      <c r="G297" s="45">
        <f t="shared" si="62"/>
        <v>3.7181345765722594E-2</v>
      </c>
      <c r="H297" s="45">
        <f t="shared" si="51"/>
        <v>304407991.20999998</v>
      </c>
      <c r="I297" s="45">
        <f>J297-10881311.23</f>
        <v>10797520.699999999</v>
      </c>
      <c r="J297" s="94">
        <v>21678831.93</v>
      </c>
      <c r="K297" s="45">
        <f t="shared" si="63"/>
        <v>4.1816115491654399E-2</v>
      </c>
      <c r="L297" s="53">
        <f t="shared" si="52"/>
        <v>304427192.45999998</v>
      </c>
    </row>
    <row r="298" spans="1:12" ht="14.85" customHeight="1" x14ac:dyDescent="0.25">
      <c r="A298" s="43" t="s">
        <v>256</v>
      </c>
      <c r="B298" s="44" t="s">
        <v>257</v>
      </c>
      <c r="C298" s="94">
        <v>8454638889</v>
      </c>
      <c r="D298" s="94">
        <v>7715994698.4399996</v>
      </c>
      <c r="E298" s="61">
        <f>F298-1280258334.46</f>
        <v>786920450.76999998</v>
      </c>
      <c r="F298" s="94">
        <v>2067178785.23</v>
      </c>
      <c r="G298" s="45">
        <f t="shared" si="62"/>
        <v>3.5422790874911474</v>
      </c>
      <c r="H298" s="45">
        <f t="shared" si="51"/>
        <v>5648815913.2099991</v>
      </c>
      <c r="I298" s="45">
        <f>J298-1280258334.46</f>
        <v>786920450.76999998</v>
      </c>
      <c r="J298" s="94">
        <v>2067178785.23</v>
      </c>
      <c r="K298" s="45">
        <f t="shared" si="63"/>
        <v>3.9873636690478054</v>
      </c>
      <c r="L298" s="53">
        <f t="shared" si="52"/>
        <v>5648815913.2099991</v>
      </c>
    </row>
    <row r="299" spans="1:12" ht="14.85" customHeight="1" x14ac:dyDescent="0.25">
      <c r="A299" s="43" t="s">
        <v>258</v>
      </c>
      <c r="B299" s="44" t="s">
        <v>259</v>
      </c>
      <c r="C299" s="94">
        <v>625311748</v>
      </c>
      <c r="D299" s="94">
        <v>360101150.25999999</v>
      </c>
      <c r="E299" s="61">
        <f>F299-70639374.13</f>
        <v>35538352.800000012</v>
      </c>
      <c r="F299" s="94">
        <v>106177726.93000001</v>
      </c>
      <c r="G299" s="45">
        <f t="shared" si="62"/>
        <v>0.18194417645382205</v>
      </c>
      <c r="H299" s="45">
        <f t="shared" si="51"/>
        <v>253923423.32999998</v>
      </c>
      <c r="I299" s="45">
        <f>J299-70639374.13</f>
        <v>35538352.800000012</v>
      </c>
      <c r="J299" s="94">
        <v>106177726.93000001</v>
      </c>
      <c r="K299" s="45">
        <f t="shared" si="63"/>
        <v>0.20480531913723929</v>
      </c>
      <c r="L299" s="53">
        <f t="shared" si="52"/>
        <v>253923423.32999998</v>
      </c>
    </row>
    <row r="300" spans="1:12" ht="14.85" customHeight="1" x14ac:dyDescent="0.25">
      <c r="A300" s="43" t="s">
        <v>260</v>
      </c>
      <c r="B300" s="44" t="s">
        <v>261</v>
      </c>
      <c r="C300" s="94">
        <v>10000</v>
      </c>
      <c r="D300" s="94">
        <v>10000</v>
      </c>
      <c r="E300" s="61">
        <f>F300-0</f>
        <v>0</v>
      </c>
      <c r="F300" s="45">
        <v>0</v>
      </c>
      <c r="G300" s="45">
        <f t="shared" si="62"/>
        <v>0</v>
      </c>
      <c r="H300" s="45">
        <f t="shared" ref="H300:H305" si="64">D300-F300</f>
        <v>10000</v>
      </c>
      <c r="I300" s="45">
        <f>J300-0</f>
        <v>0</v>
      </c>
      <c r="J300" s="45">
        <v>0</v>
      </c>
      <c r="K300" s="45">
        <f t="shared" ref="K300:K306" si="65">(J300/$J$307)*100</f>
        <v>0</v>
      </c>
      <c r="L300" s="53">
        <f t="shared" ref="L300:L305" si="66">D300-J300</f>
        <v>10000</v>
      </c>
    </row>
    <row r="301" spans="1:12" ht="14.85" customHeight="1" x14ac:dyDescent="0.25">
      <c r="A301" s="43" t="s">
        <v>262</v>
      </c>
      <c r="B301" s="44" t="s">
        <v>263</v>
      </c>
      <c r="C301" s="94">
        <v>2356129806</v>
      </c>
      <c r="D301" s="94">
        <v>2234497261.1799998</v>
      </c>
      <c r="E301" s="61">
        <f>F301-662735080.2</f>
        <v>341530728.46999991</v>
      </c>
      <c r="F301" s="94">
        <v>1004265808.67</v>
      </c>
      <c r="G301" s="45">
        <f t="shared" si="62"/>
        <v>1.7208911961324724</v>
      </c>
      <c r="H301" s="45">
        <f t="shared" si="64"/>
        <v>1230231452.5099998</v>
      </c>
      <c r="I301" s="45">
        <f>J301-606706319.73</f>
        <v>397559488.93999994</v>
      </c>
      <c r="J301" s="94">
        <v>1004265808.67</v>
      </c>
      <c r="K301" s="45">
        <f t="shared" si="65"/>
        <v>1.9371198215504783</v>
      </c>
      <c r="L301" s="53">
        <f t="shared" si="66"/>
        <v>1230231452.5099998</v>
      </c>
    </row>
    <row r="302" spans="1:12" ht="14.85" customHeight="1" x14ac:dyDescent="0.25">
      <c r="A302" s="40" t="s">
        <v>264</v>
      </c>
      <c r="B302" s="70" t="s">
        <v>265</v>
      </c>
      <c r="C302" s="42">
        <f>SUM(C303:C305)</f>
        <v>780006156</v>
      </c>
      <c r="D302" s="57">
        <f>SUM(D303:D305)</f>
        <v>780006156</v>
      </c>
      <c r="E302" s="103">
        <f>SUM(E303:E305)</f>
        <v>0</v>
      </c>
      <c r="F302" s="77"/>
      <c r="G302" s="77"/>
      <c r="H302" s="42">
        <f t="shared" si="64"/>
        <v>780006156</v>
      </c>
      <c r="I302" s="77"/>
      <c r="J302" s="77"/>
      <c r="K302" s="77"/>
      <c r="L302" s="57">
        <f t="shared" si="66"/>
        <v>780006156</v>
      </c>
    </row>
    <row r="303" spans="1:12" ht="14.85" customHeight="1" x14ac:dyDescent="0.25">
      <c r="A303" s="43" t="s">
        <v>30</v>
      </c>
      <c r="B303" s="52" t="s">
        <v>31</v>
      </c>
      <c r="C303" s="94">
        <v>0</v>
      </c>
      <c r="D303" s="94">
        <v>0</v>
      </c>
      <c r="E303" s="103">
        <v>0</v>
      </c>
      <c r="F303" s="77"/>
      <c r="G303" s="77"/>
      <c r="H303" s="45">
        <f t="shared" si="64"/>
        <v>0</v>
      </c>
      <c r="I303" s="77"/>
      <c r="J303" s="77"/>
      <c r="K303" s="77"/>
      <c r="L303" s="53">
        <f t="shared" si="66"/>
        <v>0</v>
      </c>
    </row>
    <row r="304" spans="1:12" ht="14.85" customHeight="1" x14ac:dyDescent="0.25">
      <c r="A304" s="43" t="s">
        <v>266</v>
      </c>
      <c r="B304" s="52" t="s">
        <v>267</v>
      </c>
      <c r="C304" s="94">
        <v>777506156</v>
      </c>
      <c r="D304" s="94">
        <v>777506156</v>
      </c>
      <c r="E304" s="103">
        <v>0</v>
      </c>
      <c r="F304" s="77"/>
      <c r="G304" s="77"/>
      <c r="H304" s="45">
        <f t="shared" si="64"/>
        <v>777506156</v>
      </c>
      <c r="I304" s="77"/>
      <c r="J304" s="77"/>
      <c r="K304" s="77"/>
      <c r="L304" s="53">
        <f t="shared" si="66"/>
        <v>777506156</v>
      </c>
    </row>
    <row r="305" spans="1:12" ht="14.85" customHeight="1" x14ac:dyDescent="0.25">
      <c r="A305" s="43" t="s">
        <v>268</v>
      </c>
      <c r="B305" s="44" t="s">
        <v>269</v>
      </c>
      <c r="C305" s="94">
        <v>2500000</v>
      </c>
      <c r="D305" s="94">
        <v>2500000</v>
      </c>
      <c r="E305" s="103">
        <v>0</v>
      </c>
      <c r="F305" s="77"/>
      <c r="G305" s="77"/>
      <c r="H305" s="45">
        <f t="shared" si="64"/>
        <v>2500000</v>
      </c>
      <c r="I305" s="77"/>
      <c r="J305" s="77"/>
      <c r="K305" s="77"/>
      <c r="L305" s="53">
        <f t="shared" si="66"/>
        <v>2500000</v>
      </c>
    </row>
    <row r="306" spans="1:12" ht="14.85" customHeight="1" x14ac:dyDescent="0.2">
      <c r="A306" s="40"/>
      <c r="B306" s="70" t="s">
        <v>270</v>
      </c>
      <c r="C306" s="42">
        <f>C323</f>
        <v>7951876408</v>
      </c>
      <c r="D306" s="42">
        <f>D323</f>
        <v>8347236524.2399998</v>
      </c>
      <c r="E306" s="98">
        <f>E323</f>
        <v>1786536182.9100001</v>
      </c>
      <c r="F306" s="42">
        <f>F323</f>
        <v>5167613566.9700003</v>
      </c>
      <c r="G306" s="42">
        <f>(F306/$F$307)*100</f>
        <v>8.8551264173682416</v>
      </c>
      <c r="H306" s="42">
        <f>D306-F306</f>
        <v>3179622957.2699995</v>
      </c>
      <c r="I306" s="42">
        <f>I323</f>
        <v>1858567075.1800003</v>
      </c>
      <c r="J306" s="42">
        <f>J323</f>
        <v>4852334249.7199993</v>
      </c>
      <c r="K306" s="42">
        <f t="shared" si="65"/>
        <v>9.3596264801339633</v>
      </c>
      <c r="L306" s="57">
        <f>D306-J306</f>
        <v>3494902274.5200005</v>
      </c>
    </row>
    <row r="307" spans="1:12" ht="14.85" customHeight="1" x14ac:dyDescent="0.2">
      <c r="A307" s="121" t="s">
        <v>271</v>
      </c>
      <c r="B307" s="122"/>
      <c r="C307" s="59">
        <f t="shared" ref="C307:L307" si="67">C13+C306</f>
        <v>122184861612</v>
      </c>
      <c r="D307" s="59">
        <f t="shared" si="67"/>
        <v>128765100809.05002</v>
      </c>
      <c r="E307" s="104">
        <f t="shared" si="67"/>
        <v>19709950674.849998</v>
      </c>
      <c r="F307" s="59">
        <f t="shared" si="67"/>
        <v>58357309917.500008</v>
      </c>
      <c r="G307" s="59">
        <f t="shared" si="67"/>
        <v>100</v>
      </c>
      <c r="H307" s="59">
        <f t="shared" si="67"/>
        <v>70407790891.550003</v>
      </c>
      <c r="I307" s="59">
        <f t="shared" si="67"/>
        <v>19975059945.740002</v>
      </c>
      <c r="J307" s="59">
        <f t="shared" si="67"/>
        <v>51843246736.599991</v>
      </c>
      <c r="K307" s="59">
        <f t="shared" si="67"/>
        <v>100</v>
      </c>
      <c r="L307" s="60">
        <f t="shared" si="67"/>
        <v>76921854072.450027</v>
      </c>
    </row>
    <row r="308" spans="1:12" ht="15" x14ac:dyDescent="0.25">
      <c r="A308" s="48"/>
      <c r="B308" s="48"/>
      <c r="C308" s="62"/>
      <c r="D308" s="62"/>
      <c r="E308" s="109"/>
      <c r="F308" s="62"/>
      <c r="G308" s="62"/>
      <c r="H308" s="62"/>
      <c r="I308" s="62"/>
      <c r="J308" s="62"/>
      <c r="K308" s="62"/>
      <c r="L308" s="51" t="s">
        <v>272</v>
      </c>
    </row>
    <row r="309" spans="1:12" ht="15" x14ac:dyDescent="0.25">
      <c r="A309" s="48"/>
      <c r="B309" s="48"/>
      <c r="C309" s="62"/>
      <c r="D309" s="62"/>
      <c r="E309" s="62"/>
      <c r="F309" s="62"/>
      <c r="G309" s="62"/>
      <c r="H309" s="62"/>
      <c r="I309" s="62"/>
      <c r="J309" s="62"/>
      <c r="K309" s="62"/>
      <c r="L309" s="62"/>
    </row>
    <row r="310" spans="1:12" ht="15" x14ac:dyDescent="0.25">
      <c r="A310" s="29"/>
      <c r="B310" s="30"/>
      <c r="C310" s="63"/>
      <c r="D310" s="63"/>
      <c r="E310" s="63"/>
      <c r="F310" s="63"/>
      <c r="G310" s="63"/>
      <c r="H310" s="63"/>
      <c r="I310" s="63"/>
      <c r="J310" s="63"/>
      <c r="K310" s="63"/>
      <c r="L310" s="63"/>
    </row>
    <row r="311" spans="1:12" ht="15.75" x14ac:dyDescent="0.25">
      <c r="A311" s="29"/>
      <c r="B311" s="30"/>
      <c r="C311" s="31"/>
      <c r="D311" s="31"/>
      <c r="F311" s="32"/>
      <c r="G311" s="33"/>
      <c r="H311" s="32"/>
      <c r="I311" s="32"/>
      <c r="J311" s="32"/>
      <c r="K311" s="33"/>
      <c r="L311" s="32"/>
    </row>
    <row r="312" spans="1:12" ht="15.75" x14ac:dyDescent="0.25">
      <c r="A312" s="26"/>
      <c r="B312" s="22"/>
      <c r="C312" s="27"/>
      <c r="D312" s="27"/>
      <c r="E312" s="101"/>
      <c r="F312" s="27"/>
      <c r="G312" s="28"/>
      <c r="H312" s="27"/>
      <c r="I312" s="27"/>
      <c r="J312" s="27"/>
      <c r="K312" s="28"/>
      <c r="L312" s="21" t="s">
        <v>179</v>
      </c>
    </row>
    <row r="313" spans="1:12" ht="15.75" x14ac:dyDescent="0.25">
      <c r="A313" s="113" t="s">
        <v>0</v>
      </c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</row>
    <row r="314" spans="1:12" ht="15.75" x14ac:dyDescent="0.25">
      <c r="A314" s="113" t="s">
        <v>1</v>
      </c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</row>
    <row r="315" spans="1:12" ht="15.75" x14ac:dyDescent="0.25">
      <c r="A315" s="120" t="s">
        <v>2</v>
      </c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</row>
    <row r="316" spans="1:12" ht="15.75" x14ac:dyDescent="0.25">
      <c r="A316" s="113" t="s">
        <v>3</v>
      </c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</row>
    <row r="317" spans="1:12" ht="15.75" x14ac:dyDescent="0.25">
      <c r="A317" s="113" t="str">
        <f>A161</f>
        <v>JANEIRO A JUNHO  2025/BIMESTRE MAIO - JUNHO</v>
      </c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</row>
    <row r="318" spans="1:12" ht="15.75" x14ac:dyDescent="0.25">
      <c r="A318" s="26"/>
      <c r="B318" s="26"/>
      <c r="C318" s="35"/>
      <c r="D318" s="26"/>
      <c r="E318" s="67"/>
      <c r="F318" s="26"/>
      <c r="G318" s="26"/>
      <c r="H318" s="26"/>
      <c r="I318" s="26"/>
      <c r="J318" s="26"/>
      <c r="K318" s="26"/>
      <c r="L318" s="21" t="str">
        <f>L162</f>
        <v>Emissão: 22/07/2025</v>
      </c>
    </row>
    <row r="319" spans="1:12" ht="15.75" x14ac:dyDescent="0.25">
      <c r="A319" s="23" t="s">
        <v>4</v>
      </c>
      <c r="B319" s="22"/>
      <c r="C319" s="22"/>
      <c r="D319" s="22"/>
      <c r="E319" s="3"/>
      <c r="F319" s="24"/>
      <c r="G319" s="24"/>
      <c r="H319" s="24"/>
      <c r="I319" s="22"/>
      <c r="J319" s="22"/>
      <c r="K319" s="21"/>
      <c r="L319" s="25">
        <v>1</v>
      </c>
    </row>
    <row r="320" spans="1:12" ht="13.5" customHeight="1" x14ac:dyDescent="0.25">
      <c r="A320" s="8"/>
      <c r="B320" s="9"/>
      <c r="C320" s="10" t="s">
        <v>5</v>
      </c>
      <c r="D320" s="10" t="s">
        <v>5</v>
      </c>
      <c r="E320" s="117" t="s">
        <v>6</v>
      </c>
      <c r="F320" s="118"/>
      <c r="G320" s="119"/>
      <c r="H320" s="10" t="s">
        <v>7</v>
      </c>
      <c r="I320" s="117" t="s">
        <v>8</v>
      </c>
      <c r="J320" s="118"/>
      <c r="K320" s="119"/>
      <c r="L320" s="11" t="s">
        <v>7</v>
      </c>
    </row>
    <row r="321" spans="1:12" ht="14.25" customHeight="1" x14ac:dyDescent="0.2">
      <c r="A321" s="12" t="s">
        <v>9</v>
      </c>
      <c r="B321" s="13" t="s">
        <v>273</v>
      </c>
      <c r="C321" s="13" t="s">
        <v>11</v>
      </c>
      <c r="D321" s="13" t="s">
        <v>12</v>
      </c>
      <c r="E321" s="13" t="s">
        <v>13</v>
      </c>
      <c r="F321" s="13" t="s">
        <v>14</v>
      </c>
      <c r="G321" s="13" t="s">
        <v>15</v>
      </c>
      <c r="H321" s="14"/>
      <c r="I321" s="13" t="s">
        <v>13</v>
      </c>
      <c r="J321" s="13" t="s">
        <v>14</v>
      </c>
      <c r="K321" s="13" t="s">
        <v>15</v>
      </c>
      <c r="L321" s="15"/>
    </row>
    <row r="322" spans="1:12" ht="13.5" customHeight="1" x14ac:dyDescent="0.25">
      <c r="A322" s="16"/>
      <c r="B322" s="17"/>
      <c r="C322" s="17"/>
      <c r="D322" s="18" t="s">
        <v>16</v>
      </c>
      <c r="E322" s="18"/>
      <c r="F322" s="18" t="s">
        <v>17</v>
      </c>
      <c r="G322" s="18" t="s">
        <v>274</v>
      </c>
      <c r="H322" s="19" t="s">
        <v>19</v>
      </c>
      <c r="I322" s="18"/>
      <c r="J322" s="18" t="s">
        <v>20</v>
      </c>
      <c r="K322" s="18" t="s">
        <v>275</v>
      </c>
      <c r="L322" s="20" t="s">
        <v>22</v>
      </c>
    </row>
    <row r="323" spans="1:12" ht="14.85" customHeight="1" x14ac:dyDescent="0.2">
      <c r="A323" s="40"/>
      <c r="B323" s="78" t="s">
        <v>270</v>
      </c>
      <c r="C323" s="79">
        <f>C324+C329+C332+C338+C346+C352+C356+C358+C362+C365+C373+C376+C389+C380+C383+C385+C387+C398+C403+C405+C408+C411+C414+C418+C421</f>
        <v>7951876408</v>
      </c>
      <c r="D323" s="79">
        <f>D324+D329+D332+D338+D346+D352+D356+D358+D362+D365+D373+D376+D380+D383+D385+D387+D389+D398+D403+D405+D408+D414+D418+D421+D411</f>
        <v>8347236524.2399998</v>
      </c>
      <c r="E323" s="105">
        <f>E324+E329+E332+E338+E346+E352+E356+E358+E362+E365+E373+E376+E380+E383+E385+E387+E389+E398+E403+E405+E408+E414+E418+E421+E411</f>
        <v>1786536182.9100001</v>
      </c>
      <c r="F323" s="79">
        <f>F324+F329+F332+F338+F346+F352+F356+F358+F362+F365+F373+F376+F380+F383+F385+F387+F389+F398+F403+F405+F408+F414+F418+F421+F411</f>
        <v>5167613566.9700003</v>
      </c>
      <c r="G323" s="80">
        <f t="shared" ref="G323:G387" si="68">(F323/$F$307)*100</f>
        <v>8.8551264173682416</v>
      </c>
      <c r="H323" s="79">
        <f>D323-F323</f>
        <v>3179622957.2699995</v>
      </c>
      <c r="I323" s="79">
        <f>I324+I329+I332+I338+I346+I352+I356+I358+I362+I365+I373+I376+I380+I383+I385+I387+I389+I398+I403+I405+I408+I414+I418+I421+I411</f>
        <v>1858567075.1800003</v>
      </c>
      <c r="J323" s="79">
        <f>J324+J329+J332+J338+J346+J352+J356+J358+J362+J365+J373+J376+J380+J383+J385+J387+J389+J398+J403+J405+J408+J414+J418+J421+J411</f>
        <v>4852334249.7199993</v>
      </c>
      <c r="K323" s="79">
        <f t="shared" ref="K323:K387" si="69">(J323/$J$307)*100</f>
        <v>9.3596264801339633</v>
      </c>
      <c r="L323" s="80">
        <f>D323-J323</f>
        <v>3494902274.5200005</v>
      </c>
    </row>
    <row r="324" spans="1:12" ht="14.85" customHeight="1" x14ac:dyDescent="0.2">
      <c r="A324" s="40" t="s">
        <v>24</v>
      </c>
      <c r="B324" s="81" t="s">
        <v>25</v>
      </c>
      <c r="C324" s="42">
        <f>SUM(C325:C328)</f>
        <v>149790668</v>
      </c>
      <c r="D324" s="42">
        <f>SUM(D325:D328)</f>
        <v>194607066</v>
      </c>
      <c r="E324" s="98">
        <f>SUM(E325:E328)</f>
        <v>53569634.760000005</v>
      </c>
      <c r="F324" s="42">
        <f>SUM(F325:F328)</f>
        <v>140011911.80000001</v>
      </c>
      <c r="G324" s="80">
        <f t="shared" si="68"/>
        <v>0.23992180585077602</v>
      </c>
      <c r="H324" s="42">
        <f t="shared" ref="H324:H388" si="70">D324-F324</f>
        <v>54595154.199999988</v>
      </c>
      <c r="I324" s="42">
        <f>SUM(I325:I328)</f>
        <v>24486575.700000003</v>
      </c>
      <c r="J324" s="42">
        <f>SUM(J325:J328)</f>
        <v>62352419.07</v>
      </c>
      <c r="K324" s="42">
        <f t="shared" si="69"/>
        <v>0.12027105359892672</v>
      </c>
      <c r="L324" s="80">
        <f t="shared" ref="L324:L388" si="71">D324-J324</f>
        <v>132254646.93000001</v>
      </c>
    </row>
    <row r="325" spans="1:12" ht="14.85" customHeight="1" x14ac:dyDescent="0.25">
      <c r="A325" s="43" t="s">
        <v>26</v>
      </c>
      <c r="B325" s="52" t="s">
        <v>27</v>
      </c>
      <c r="C325" s="45">
        <v>0</v>
      </c>
      <c r="D325" s="45">
        <v>0</v>
      </c>
      <c r="E325" s="61">
        <f>F325-0</f>
        <v>0</v>
      </c>
      <c r="F325" s="45">
        <v>0</v>
      </c>
      <c r="G325" s="50">
        <f t="shared" si="68"/>
        <v>0</v>
      </c>
      <c r="H325" s="42">
        <f t="shared" si="70"/>
        <v>0</v>
      </c>
      <c r="I325" s="45">
        <f>J325-0</f>
        <v>0</v>
      </c>
      <c r="J325" s="45">
        <v>0</v>
      </c>
      <c r="K325" s="45">
        <f t="shared" si="69"/>
        <v>0</v>
      </c>
      <c r="L325" s="50">
        <f t="shared" si="71"/>
        <v>0</v>
      </c>
    </row>
    <row r="326" spans="1:12" ht="14.85" customHeight="1" x14ac:dyDescent="0.25">
      <c r="A326" s="43" t="s">
        <v>30</v>
      </c>
      <c r="B326" s="52" t="s">
        <v>31</v>
      </c>
      <c r="C326" s="95">
        <v>149778573</v>
      </c>
      <c r="D326" s="95">
        <v>194191195</v>
      </c>
      <c r="E326" s="61">
        <f>F326-86442277.04</f>
        <v>53569634.760000005</v>
      </c>
      <c r="F326" s="96">
        <v>140011911.80000001</v>
      </c>
      <c r="G326" s="50">
        <f t="shared" si="68"/>
        <v>0.23992180585077602</v>
      </c>
      <c r="H326" s="45">
        <f t="shared" si="70"/>
        <v>54179283.199999988</v>
      </c>
      <c r="I326" s="45">
        <f>J326-37865843.37</f>
        <v>24486575.700000003</v>
      </c>
      <c r="J326" s="95">
        <v>62352419.07</v>
      </c>
      <c r="K326" s="45">
        <f t="shared" si="69"/>
        <v>0.12027105359892672</v>
      </c>
      <c r="L326" s="50">
        <f t="shared" si="71"/>
        <v>131838775.93000001</v>
      </c>
    </row>
    <row r="327" spans="1:12" ht="14.85" customHeight="1" x14ac:dyDescent="0.25">
      <c r="A327" s="43" t="s">
        <v>32</v>
      </c>
      <c r="B327" s="52" t="s">
        <v>33</v>
      </c>
      <c r="C327" s="45">
        <v>0</v>
      </c>
      <c r="D327" s="45">
        <v>403776</v>
      </c>
      <c r="E327" s="61">
        <f>F327-0</f>
        <v>0</v>
      </c>
      <c r="F327" s="45">
        <v>0</v>
      </c>
      <c r="G327" s="50">
        <f t="shared" si="68"/>
        <v>0</v>
      </c>
      <c r="H327" s="45">
        <f t="shared" si="70"/>
        <v>403776</v>
      </c>
      <c r="I327" s="45">
        <f>J327-0</f>
        <v>0</v>
      </c>
      <c r="J327" s="45">
        <v>0</v>
      </c>
      <c r="K327" s="45">
        <f t="shared" si="69"/>
        <v>0</v>
      </c>
      <c r="L327" s="50">
        <f t="shared" si="71"/>
        <v>403776</v>
      </c>
    </row>
    <row r="328" spans="1:12" ht="14.85" customHeight="1" x14ac:dyDescent="0.25">
      <c r="A328" s="64" t="s">
        <v>34</v>
      </c>
      <c r="B328" s="82" t="s">
        <v>35</v>
      </c>
      <c r="C328" s="95">
        <v>12095</v>
      </c>
      <c r="D328" s="95">
        <v>12095</v>
      </c>
      <c r="E328" s="61">
        <f>F328-0</f>
        <v>0</v>
      </c>
      <c r="F328" s="45">
        <v>0</v>
      </c>
      <c r="G328" s="50">
        <f t="shared" si="68"/>
        <v>0</v>
      </c>
      <c r="H328" s="45">
        <f t="shared" si="70"/>
        <v>12095</v>
      </c>
      <c r="I328" s="45">
        <f>J328-0</f>
        <v>0</v>
      </c>
      <c r="J328" s="45">
        <v>0</v>
      </c>
      <c r="K328" s="45">
        <f t="shared" si="69"/>
        <v>0</v>
      </c>
      <c r="L328" s="50">
        <f t="shared" si="71"/>
        <v>12095</v>
      </c>
    </row>
    <row r="329" spans="1:12" ht="14.85" customHeight="1" x14ac:dyDescent="0.2">
      <c r="A329" s="40" t="s">
        <v>46</v>
      </c>
      <c r="B329" s="78" t="s">
        <v>47</v>
      </c>
      <c r="C329" s="42">
        <f>SUM(C330:C331)</f>
        <v>800100000</v>
      </c>
      <c r="D329" s="42">
        <f>SUM(D330:D331)</f>
        <v>800801742.25999999</v>
      </c>
      <c r="E329" s="98">
        <f>SUM(E330:E331)</f>
        <v>116276887.28</v>
      </c>
      <c r="F329" s="42">
        <f>SUM(F330:F331)</f>
        <v>353894558.04000002</v>
      </c>
      <c r="G329" s="80">
        <f t="shared" si="68"/>
        <v>0.60642712719332392</v>
      </c>
      <c r="H329" s="42">
        <f t="shared" si="70"/>
        <v>446907184.21999997</v>
      </c>
      <c r="I329" s="42">
        <f>SUM(I330:I331)</f>
        <v>116400470.84</v>
      </c>
      <c r="J329" s="42">
        <f>SUM(J330:J331)</f>
        <v>353836545.17000002</v>
      </c>
      <c r="K329" s="42">
        <f t="shared" si="69"/>
        <v>0.68251231827307712</v>
      </c>
      <c r="L329" s="80">
        <f t="shared" si="71"/>
        <v>446965197.08999997</v>
      </c>
    </row>
    <row r="330" spans="1:12" ht="14.85" customHeight="1" x14ac:dyDescent="0.25">
      <c r="A330" s="43" t="s">
        <v>48</v>
      </c>
      <c r="B330" s="52" t="s">
        <v>49</v>
      </c>
      <c r="C330" s="94">
        <v>100000</v>
      </c>
      <c r="D330" s="94">
        <v>801742.26</v>
      </c>
      <c r="E330" s="61">
        <f>F330-350997.73</f>
        <v>0</v>
      </c>
      <c r="F330" s="96">
        <v>350997.73</v>
      </c>
      <c r="G330" s="50">
        <f t="shared" si="68"/>
        <v>6.0146317658611584E-4</v>
      </c>
      <c r="H330" s="45">
        <f t="shared" si="70"/>
        <v>450744.53</v>
      </c>
      <c r="I330" s="45">
        <f>J330-169401.3</f>
        <v>123583.56</v>
      </c>
      <c r="J330" s="94">
        <v>292984.86</v>
      </c>
      <c r="K330" s="45">
        <f t="shared" si="69"/>
        <v>5.6513601759659903E-4</v>
      </c>
      <c r="L330" s="50">
        <f t="shared" si="71"/>
        <v>508757.4</v>
      </c>
    </row>
    <row r="331" spans="1:12" ht="14.85" customHeight="1" x14ac:dyDescent="0.25">
      <c r="A331" s="43" t="s">
        <v>30</v>
      </c>
      <c r="B331" s="52" t="s">
        <v>31</v>
      </c>
      <c r="C331" s="94">
        <v>800000000</v>
      </c>
      <c r="D331" s="94">
        <v>800000000</v>
      </c>
      <c r="E331" s="61">
        <f>F331-237266673.03</f>
        <v>116276887.28</v>
      </c>
      <c r="F331" s="96">
        <v>353543560.31</v>
      </c>
      <c r="G331" s="50">
        <f t="shared" si="68"/>
        <v>0.60582566401673776</v>
      </c>
      <c r="H331" s="45">
        <f t="shared" si="70"/>
        <v>446456439.69</v>
      </c>
      <c r="I331" s="45">
        <f>J331-237266673.03</f>
        <v>116276887.28</v>
      </c>
      <c r="J331" s="94">
        <v>353543560.31</v>
      </c>
      <c r="K331" s="45">
        <f t="shared" si="69"/>
        <v>0.68194718225548057</v>
      </c>
      <c r="L331" s="50">
        <f t="shared" si="71"/>
        <v>446456439.69</v>
      </c>
    </row>
    <row r="332" spans="1:12" ht="14.85" customHeight="1" x14ac:dyDescent="0.2">
      <c r="A332" s="40" t="s">
        <v>50</v>
      </c>
      <c r="B332" s="81" t="s">
        <v>51</v>
      </c>
      <c r="C332" s="42">
        <f>SUM(C333:C337)</f>
        <v>611271032</v>
      </c>
      <c r="D332" s="42">
        <f>SUM(D333:D337)</f>
        <v>517088095.91000003</v>
      </c>
      <c r="E332" s="98">
        <f>SUM(E333:E337)</f>
        <v>36287702.430000037</v>
      </c>
      <c r="F332" s="42">
        <f>SUM(F333:F337)</f>
        <v>397960179.96000004</v>
      </c>
      <c r="G332" s="80">
        <f t="shared" si="68"/>
        <v>0.68193715666914412</v>
      </c>
      <c r="H332" s="42">
        <f t="shared" si="70"/>
        <v>119127915.94999999</v>
      </c>
      <c r="I332" s="42">
        <f>SUM(I333+I334+I335+I337+I336)</f>
        <v>80602938.679999992</v>
      </c>
      <c r="J332" s="42">
        <f>SUM(J333:J337)</f>
        <v>218328195.53999999</v>
      </c>
      <c r="K332" s="42">
        <f t="shared" si="69"/>
        <v>0.4211314091674469</v>
      </c>
      <c r="L332" s="80">
        <f t="shared" si="71"/>
        <v>298759900.37</v>
      </c>
    </row>
    <row r="333" spans="1:12" ht="14.85" customHeight="1" x14ac:dyDescent="0.25">
      <c r="A333" s="43" t="s">
        <v>52</v>
      </c>
      <c r="B333" s="52" t="s">
        <v>53</v>
      </c>
      <c r="C333" s="42">
        <v>0</v>
      </c>
      <c r="D333" s="45">
        <v>0</v>
      </c>
      <c r="E333" s="61">
        <f>F333-0</f>
        <v>0</v>
      </c>
      <c r="F333" s="45">
        <v>0</v>
      </c>
      <c r="G333" s="80">
        <f t="shared" si="68"/>
        <v>0</v>
      </c>
      <c r="H333" s="42">
        <f t="shared" si="70"/>
        <v>0</v>
      </c>
      <c r="I333" s="42">
        <f>J333-0</f>
        <v>0</v>
      </c>
      <c r="J333" s="42">
        <v>0</v>
      </c>
      <c r="K333" s="42">
        <f t="shared" si="69"/>
        <v>0</v>
      </c>
      <c r="L333" s="80">
        <f t="shared" si="71"/>
        <v>0</v>
      </c>
    </row>
    <row r="334" spans="1:12" ht="14.85" customHeight="1" x14ac:dyDescent="0.25">
      <c r="A334" s="43" t="s">
        <v>54</v>
      </c>
      <c r="B334" s="52" t="s">
        <v>55</v>
      </c>
      <c r="C334" s="45">
        <v>100000</v>
      </c>
      <c r="D334" s="45">
        <v>206000</v>
      </c>
      <c r="E334" s="61">
        <f>F334-0</f>
        <v>0</v>
      </c>
      <c r="F334" s="45">
        <v>0</v>
      </c>
      <c r="G334" s="50">
        <f t="shared" si="68"/>
        <v>0</v>
      </c>
      <c r="H334" s="45">
        <f t="shared" si="70"/>
        <v>206000</v>
      </c>
      <c r="I334" s="45">
        <f>J334-0</f>
        <v>0</v>
      </c>
      <c r="J334" s="45">
        <v>0</v>
      </c>
      <c r="K334" s="45">
        <f t="shared" si="69"/>
        <v>0</v>
      </c>
      <c r="L334" s="50">
        <f t="shared" si="71"/>
        <v>206000</v>
      </c>
    </row>
    <row r="335" spans="1:12" ht="14.85" customHeight="1" x14ac:dyDescent="0.25">
      <c r="A335" s="43" t="s">
        <v>30</v>
      </c>
      <c r="B335" s="52" t="s">
        <v>31</v>
      </c>
      <c r="C335" s="94">
        <v>610616032</v>
      </c>
      <c r="D335" s="94">
        <v>515616095.91000003</v>
      </c>
      <c r="E335" s="61">
        <f>F335-361398026.33</f>
        <v>36261205.770000041</v>
      </c>
      <c r="F335" s="96">
        <v>397659232.10000002</v>
      </c>
      <c r="G335" s="50">
        <f t="shared" si="68"/>
        <v>0.68142145801815168</v>
      </c>
      <c r="H335" s="45">
        <f t="shared" si="70"/>
        <v>117956863.81</v>
      </c>
      <c r="I335" s="45">
        <f>J335-137632433.46</f>
        <v>80547310.879999995</v>
      </c>
      <c r="J335" s="94">
        <v>218179744.34</v>
      </c>
      <c r="K335" s="45">
        <f t="shared" si="69"/>
        <v>0.42084506290376822</v>
      </c>
      <c r="L335" s="50">
        <f t="shared" si="71"/>
        <v>297436351.57000005</v>
      </c>
    </row>
    <row r="336" spans="1:12" ht="14.85" customHeight="1" x14ac:dyDescent="0.25">
      <c r="A336" s="43" t="s">
        <v>32</v>
      </c>
      <c r="B336" s="52" t="s">
        <v>33</v>
      </c>
      <c r="C336" s="94">
        <v>250000</v>
      </c>
      <c r="D336" s="94">
        <v>850000</v>
      </c>
      <c r="E336" s="61">
        <f>F336-77551.2</f>
        <v>26496.660000000003</v>
      </c>
      <c r="F336" s="96">
        <v>104047.86</v>
      </c>
      <c r="G336" s="50">
        <f t="shared" si="68"/>
        <v>1.7829447612834268E-4</v>
      </c>
      <c r="H336" s="45">
        <f t="shared" si="70"/>
        <v>745952.14</v>
      </c>
      <c r="I336" s="45">
        <f>J336-58163.4</f>
        <v>19387.799999999996</v>
      </c>
      <c r="J336" s="94">
        <v>77551.199999999997</v>
      </c>
      <c r="K336" s="45">
        <f t="shared" si="69"/>
        <v>1.4958785354245735E-4</v>
      </c>
      <c r="L336" s="50">
        <f t="shared" si="71"/>
        <v>772448.8</v>
      </c>
    </row>
    <row r="337" spans="1:15" ht="14.85" customHeight="1" x14ac:dyDescent="0.25">
      <c r="A337" s="43" t="s">
        <v>34</v>
      </c>
      <c r="B337" s="52" t="s">
        <v>207</v>
      </c>
      <c r="C337" s="94">
        <v>305000</v>
      </c>
      <c r="D337" s="94">
        <v>416000</v>
      </c>
      <c r="E337" s="61">
        <f>F337-196900</f>
        <v>0</v>
      </c>
      <c r="F337" s="96">
        <v>196900</v>
      </c>
      <c r="G337" s="50">
        <f t="shared" si="68"/>
        <v>3.3740417486405458E-4</v>
      </c>
      <c r="H337" s="45">
        <f t="shared" si="70"/>
        <v>219100</v>
      </c>
      <c r="I337" s="45">
        <f>J337-34660</f>
        <v>36240</v>
      </c>
      <c r="J337" s="94">
        <v>70900</v>
      </c>
      <c r="K337" s="45">
        <f t="shared" si="69"/>
        <v>1.3675841013627418E-4</v>
      </c>
      <c r="L337" s="50">
        <f t="shared" si="71"/>
        <v>345100</v>
      </c>
    </row>
    <row r="338" spans="1:15" ht="14.85" customHeight="1" x14ac:dyDescent="0.2">
      <c r="A338" s="40" t="s">
        <v>57</v>
      </c>
      <c r="B338" s="81" t="s">
        <v>58</v>
      </c>
      <c r="C338" s="42">
        <f>SUM(C339:C345)</f>
        <v>173314943</v>
      </c>
      <c r="D338" s="42">
        <f>SUM(D339:D345)</f>
        <v>177738024.58000001</v>
      </c>
      <c r="E338" s="98">
        <f>SUM(E339:E345)</f>
        <v>26873468.229999997</v>
      </c>
      <c r="F338" s="42">
        <f>SUM(F339:F345)</f>
        <v>84160423.36999999</v>
      </c>
      <c r="G338" s="80">
        <f t="shared" si="68"/>
        <v>0.14421573490789408</v>
      </c>
      <c r="H338" s="42">
        <f t="shared" si="70"/>
        <v>93577601.210000023</v>
      </c>
      <c r="I338" s="42">
        <f>SUM(I339:I345)</f>
        <v>29358385.909999996</v>
      </c>
      <c r="J338" s="42">
        <f>SUM(J339:J345)</f>
        <v>80042406.239999995</v>
      </c>
      <c r="K338" s="42">
        <f t="shared" si="69"/>
        <v>0.15439312018144133</v>
      </c>
      <c r="L338" s="80">
        <f t="shared" si="71"/>
        <v>97695618.340000018</v>
      </c>
    </row>
    <row r="339" spans="1:15" ht="14.85" customHeight="1" x14ac:dyDescent="0.25">
      <c r="A339" s="43" t="s">
        <v>30</v>
      </c>
      <c r="B339" s="52" t="s">
        <v>31</v>
      </c>
      <c r="C339" s="94">
        <v>173213743</v>
      </c>
      <c r="D339" s="94">
        <v>177636824.58000001</v>
      </c>
      <c r="E339" s="61">
        <f>F339-57246485.15</f>
        <v>26873468.229999997</v>
      </c>
      <c r="F339" s="96">
        <v>84119953.379999995</v>
      </c>
      <c r="G339" s="50">
        <f t="shared" si="68"/>
        <v>0.14414638628634657</v>
      </c>
      <c r="H339" s="45">
        <f t="shared" si="70"/>
        <v>93516871.200000018</v>
      </c>
      <c r="I339" s="45">
        <f>J339-50673339.1</f>
        <v>29351265.089999996</v>
      </c>
      <c r="J339" s="94">
        <v>80024604.189999998</v>
      </c>
      <c r="K339" s="45">
        <f t="shared" si="69"/>
        <v>0.15435878195781419</v>
      </c>
      <c r="L339" s="50">
        <f t="shared" si="71"/>
        <v>97612220.390000015</v>
      </c>
    </row>
    <row r="340" spans="1:15" ht="14.85" customHeight="1" x14ac:dyDescent="0.25">
      <c r="A340" s="43" t="s">
        <v>61</v>
      </c>
      <c r="B340" s="52" t="s">
        <v>62</v>
      </c>
      <c r="C340" s="45">
        <v>0</v>
      </c>
      <c r="D340" s="45">
        <v>0</v>
      </c>
      <c r="E340" s="61">
        <f t="shared" ref="E340:E345" si="72">F340-0</f>
        <v>0</v>
      </c>
      <c r="F340" s="45">
        <v>0</v>
      </c>
      <c r="G340" s="50">
        <f t="shared" si="68"/>
        <v>0</v>
      </c>
      <c r="H340" s="45">
        <f t="shared" si="70"/>
        <v>0</v>
      </c>
      <c r="I340" s="45">
        <f t="shared" ref="I340:I345" si="73">J340-0</f>
        <v>0</v>
      </c>
      <c r="J340" s="45">
        <v>0</v>
      </c>
      <c r="K340" s="45">
        <f t="shared" si="69"/>
        <v>0</v>
      </c>
      <c r="L340" s="50">
        <f t="shared" si="71"/>
        <v>0</v>
      </c>
    </row>
    <row r="341" spans="1:15" ht="14.85" customHeight="1" x14ac:dyDescent="0.25">
      <c r="A341" s="43" t="s">
        <v>63</v>
      </c>
      <c r="B341" s="52" t="s">
        <v>64</v>
      </c>
      <c r="C341" s="45">
        <v>0</v>
      </c>
      <c r="D341" s="45">
        <v>0</v>
      </c>
      <c r="E341" s="61">
        <f t="shared" si="72"/>
        <v>0</v>
      </c>
      <c r="F341" s="45">
        <v>0</v>
      </c>
      <c r="G341" s="50">
        <f t="shared" si="68"/>
        <v>0</v>
      </c>
      <c r="H341" s="45">
        <f t="shared" si="70"/>
        <v>0</v>
      </c>
      <c r="I341" s="45">
        <f t="shared" si="73"/>
        <v>0</v>
      </c>
      <c r="J341" s="45">
        <v>0</v>
      </c>
      <c r="K341" s="45">
        <f t="shared" si="69"/>
        <v>0</v>
      </c>
      <c r="L341" s="50">
        <f t="shared" si="71"/>
        <v>0</v>
      </c>
      <c r="N341" s="114"/>
      <c r="O341" s="114"/>
    </row>
    <row r="342" spans="1:15" ht="14.85" customHeight="1" x14ac:dyDescent="0.25">
      <c r="A342" s="43" t="s">
        <v>65</v>
      </c>
      <c r="B342" s="52" t="s">
        <v>66</v>
      </c>
      <c r="C342" s="94">
        <v>101200</v>
      </c>
      <c r="D342" s="94">
        <v>101200</v>
      </c>
      <c r="E342" s="61">
        <f>F342-40469.99</f>
        <v>0</v>
      </c>
      <c r="F342" s="96">
        <v>40469.99</v>
      </c>
      <c r="G342" s="50">
        <f t="shared" si="68"/>
        <v>6.9348621547519251E-5</v>
      </c>
      <c r="H342" s="45">
        <f t="shared" si="70"/>
        <v>60730.01</v>
      </c>
      <c r="I342" s="45">
        <f>J342-10681.23</f>
        <v>7120.82</v>
      </c>
      <c r="J342" s="45">
        <v>17802.05</v>
      </c>
      <c r="K342" s="45">
        <f t="shared" si="69"/>
        <v>3.4338223627171504E-5</v>
      </c>
      <c r="L342" s="50">
        <f t="shared" si="71"/>
        <v>83397.95</v>
      </c>
      <c r="N342" s="69"/>
      <c r="O342" s="69"/>
    </row>
    <row r="343" spans="1:15" ht="14.85" customHeight="1" x14ac:dyDescent="0.25">
      <c r="A343" s="43" t="s">
        <v>71</v>
      </c>
      <c r="B343" s="52" t="s">
        <v>72</v>
      </c>
      <c r="C343" s="45">
        <v>0</v>
      </c>
      <c r="D343" s="45">
        <v>0</v>
      </c>
      <c r="E343" s="61">
        <f t="shared" si="72"/>
        <v>0</v>
      </c>
      <c r="F343" s="45">
        <v>0</v>
      </c>
      <c r="G343" s="50">
        <f t="shared" si="68"/>
        <v>0</v>
      </c>
      <c r="H343" s="45">
        <f t="shared" si="70"/>
        <v>0</v>
      </c>
      <c r="I343" s="45">
        <f t="shared" si="73"/>
        <v>0</v>
      </c>
      <c r="J343" s="45">
        <v>0</v>
      </c>
      <c r="K343" s="45">
        <f t="shared" si="69"/>
        <v>0</v>
      </c>
      <c r="L343" s="50">
        <f t="shared" si="71"/>
        <v>0</v>
      </c>
    </row>
    <row r="344" spans="1:15" ht="14.85" customHeight="1" x14ac:dyDescent="0.25">
      <c r="A344" s="43" t="s">
        <v>87</v>
      </c>
      <c r="B344" s="52" t="s">
        <v>88</v>
      </c>
      <c r="C344" s="45">
        <v>0</v>
      </c>
      <c r="D344" s="45">
        <v>0</v>
      </c>
      <c r="E344" s="61">
        <f t="shared" si="72"/>
        <v>0</v>
      </c>
      <c r="F344" s="45">
        <v>0</v>
      </c>
      <c r="G344" s="50">
        <f t="shared" si="68"/>
        <v>0</v>
      </c>
      <c r="H344" s="45">
        <f t="shared" si="70"/>
        <v>0</v>
      </c>
      <c r="I344" s="45">
        <f t="shared" si="73"/>
        <v>0</v>
      </c>
      <c r="J344" s="45">
        <v>0</v>
      </c>
      <c r="K344" s="45">
        <f t="shared" si="69"/>
        <v>0</v>
      </c>
      <c r="L344" s="50">
        <f t="shared" si="71"/>
        <v>0</v>
      </c>
    </row>
    <row r="345" spans="1:15" ht="14.85" customHeight="1" x14ac:dyDescent="0.25">
      <c r="A345" s="43" t="s">
        <v>89</v>
      </c>
      <c r="B345" s="52" t="s">
        <v>90</v>
      </c>
      <c r="C345" s="45">
        <v>0</v>
      </c>
      <c r="D345" s="45">
        <v>0</v>
      </c>
      <c r="E345" s="61">
        <f t="shared" si="72"/>
        <v>0</v>
      </c>
      <c r="F345" s="45">
        <v>0</v>
      </c>
      <c r="G345" s="50">
        <f t="shared" si="68"/>
        <v>0</v>
      </c>
      <c r="H345" s="45">
        <f t="shared" si="70"/>
        <v>0</v>
      </c>
      <c r="I345" s="45">
        <f t="shared" si="73"/>
        <v>0</v>
      </c>
      <c r="J345" s="45">
        <v>0</v>
      </c>
      <c r="K345" s="45">
        <f t="shared" si="69"/>
        <v>0</v>
      </c>
      <c r="L345" s="50">
        <f t="shared" si="71"/>
        <v>0</v>
      </c>
    </row>
    <row r="346" spans="1:15" ht="14.85" customHeight="1" x14ac:dyDescent="0.2">
      <c r="A346" s="40" t="s">
        <v>101</v>
      </c>
      <c r="B346" s="81" t="s">
        <v>102</v>
      </c>
      <c r="C346" s="42">
        <f>SUM(C347:C351)</f>
        <v>793132860</v>
      </c>
      <c r="D346" s="42">
        <f>SUM(D347:D351)</f>
        <v>556315618.14999998</v>
      </c>
      <c r="E346" s="98">
        <f>SUM(E347:E351)</f>
        <v>110777244.45999998</v>
      </c>
      <c r="F346" s="42">
        <f>SUM(F347:F351)</f>
        <v>330136829.70999998</v>
      </c>
      <c r="G346" s="80">
        <f t="shared" si="68"/>
        <v>0.56571632615813838</v>
      </c>
      <c r="H346" s="42">
        <f t="shared" si="70"/>
        <v>226178788.44</v>
      </c>
      <c r="I346" s="42">
        <f>SUM(I347:I351)</f>
        <v>108816739.94000003</v>
      </c>
      <c r="J346" s="42">
        <f>SUM(J347:J351)</f>
        <v>323773598.16000003</v>
      </c>
      <c r="K346" s="42">
        <f t="shared" si="69"/>
        <v>0.62452415413910456</v>
      </c>
      <c r="L346" s="80">
        <f t="shared" si="71"/>
        <v>232542019.98999995</v>
      </c>
    </row>
    <row r="347" spans="1:15" ht="14.85" customHeight="1" x14ac:dyDescent="0.25">
      <c r="A347" s="43" t="s">
        <v>30</v>
      </c>
      <c r="B347" s="52" t="s">
        <v>31</v>
      </c>
      <c r="C347" s="94">
        <v>793132860</v>
      </c>
      <c r="D347" s="94">
        <v>556303522.14999998</v>
      </c>
      <c r="E347" s="61">
        <f>F347-219345185.25</f>
        <v>110779548.45999998</v>
      </c>
      <c r="F347" s="96">
        <v>330124733.70999998</v>
      </c>
      <c r="G347" s="50">
        <f t="shared" si="68"/>
        <v>0.5656955986776957</v>
      </c>
      <c r="H347" s="45">
        <f t="shared" si="70"/>
        <v>226178788.44</v>
      </c>
      <c r="I347" s="45">
        <f>J347-214953978.22</f>
        <v>108807523.94000003</v>
      </c>
      <c r="J347" s="94">
        <v>323761502.16000003</v>
      </c>
      <c r="K347" s="45">
        <f t="shared" si="69"/>
        <v>0.62450082226704517</v>
      </c>
      <c r="L347" s="50">
        <f t="shared" si="71"/>
        <v>232542019.98999995</v>
      </c>
    </row>
    <row r="348" spans="1:15" ht="14.85" customHeight="1" x14ac:dyDescent="0.25">
      <c r="A348" s="43" t="s">
        <v>65</v>
      </c>
      <c r="B348" s="52" t="s">
        <v>66</v>
      </c>
      <c r="C348" s="45">
        <v>0</v>
      </c>
      <c r="D348" s="45">
        <v>0</v>
      </c>
      <c r="E348" s="61">
        <f>F348-0</f>
        <v>0</v>
      </c>
      <c r="F348" s="42">
        <v>0</v>
      </c>
      <c r="G348" s="50">
        <f t="shared" si="68"/>
        <v>0</v>
      </c>
      <c r="H348" s="45">
        <f t="shared" si="70"/>
        <v>0</v>
      </c>
      <c r="I348" s="45">
        <f>J348-0</f>
        <v>0</v>
      </c>
      <c r="J348" s="45">
        <v>0</v>
      </c>
      <c r="K348" s="45">
        <f t="shared" si="69"/>
        <v>0</v>
      </c>
      <c r="L348" s="50">
        <f t="shared" si="71"/>
        <v>0</v>
      </c>
    </row>
    <row r="349" spans="1:15" ht="14.85" customHeight="1" x14ac:dyDescent="0.25">
      <c r="A349" s="43" t="s">
        <v>34</v>
      </c>
      <c r="B349" s="52" t="s">
        <v>35</v>
      </c>
      <c r="C349" s="45">
        <v>0</v>
      </c>
      <c r="D349" s="45">
        <v>0</v>
      </c>
      <c r="E349" s="61">
        <f>F349-0</f>
        <v>0</v>
      </c>
      <c r="F349" s="45">
        <v>0</v>
      </c>
      <c r="G349" s="50">
        <f t="shared" si="68"/>
        <v>0</v>
      </c>
      <c r="H349" s="45">
        <f t="shared" si="70"/>
        <v>0</v>
      </c>
      <c r="I349" s="45">
        <f>J349-0</f>
        <v>0</v>
      </c>
      <c r="J349" s="45">
        <v>0</v>
      </c>
      <c r="K349" s="45">
        <f t="shared" si="69"/>
        <v>0</v>
      </c>
      <c r="L349" s="50">
        <f t="shared" si="71"/>
        <v>0</v>
      </c>
    </row>
    <row r="350" spans="1:15" ht="14.85" customHeight="1" x14ac:dyDescent="0.25">
      <c r="A350" s="43" t="s">
        <v>104</v>
      </c>
      <c r="B350" s="52" t="s">
        <v>105</v>
      </c>
      <c r="C350" s="45">
        <v>0</v>
      </c>
      <c r="D350" s="45">
        <v>12096</v>
      </c>
      <c r="E350" s="61">
        <f>F350-14400</f>
        <v>-2304</v>
      </c>
      <c r="F350" s="45">
        <v>12096</v>
      </c>
      <c r="G350" s="50">
        <f t="shared" si="68"/>
        <v>2.0727480442638926E-5</v>
      </c>
      <c r="H350" s="45">
        <f t="shared" si="70"/>
        <v>0</v>
      </c>
      <c r="I350" s="45">
        <f>J350-2880</f>
        <v>9216</v>
      </c>
      <c r="J350" s="45">
        <v>12096</v>
      </c>
      <c r="K350" s="45">
        <f t="shared" si="69"/>
        <v>2.3331872059356453E-5</v>
      </c>
      <c r="L350" s="50">
        <f t="shared" si="71"/>
        <v>0</v>
      </c>
    </row>
    <row r="351" spans="1:15" ht="14.85" customHeight="1" x14ac:dyDescent="0.25">
      <c r="A351" s="43" t="s">
        <v>106</v>
      </c>
      <c r="B351" s="52" t="s">
        <v>107</v>
      </c>
      <c r="C351" s="45">
        <v>0</v>
      </c>
      <c r="D351" s="45">
        <v>0</v>
      </c>
      <c r="E351" s="61">
        <f>F351-0</f>
        <v>0</v>
      </c>
      <c r="F351" s="45">
        <v>0</v>
      </c>
      <c r="G351" s="50">
        <f t="shared" si="68"/>
        <v>0</v>
      </c>
      <c r="H351" s="45">
        <f t="shared" si="70"/>
        <v>0</v>
      </c>
      <c r="I351" s="45">
        <f>J351-0</f>
        <v>0</v>
      </c>
      <c r="J351" s="45">
        <v>0</v>
      </c>
      <c r="K351" s="45">
        <f t="shared" si="69"/>
        <v>0</v>
      </c>
      <c r="L351" s="50">
        <f t="shared" si="71"/>
        <v>0</v>
      </c>
    </row>
    <row r="352" spans="1:15" ht="14.85" customHeight="1" x14ac:dyDescent="0.2">
      <c r="A352" s="40" t="s">
        <v>134</v>
      </c>
      <c r="B352" s="81" t="s">
        <v>135</v>
      </c>
      <c r="C352" s="42">
        <f>SUM(C353:C355)</f>
        <v>3692131</v>
      </c>
      <c r="D352" s="42">
        <f>SUM(D353:D355)</f>
        <v>5212907.2</v>
      </c>
      <c r="E352" s="98">
        <f>SUM(E353:E355)</f>
        <v>979455.19000000006</v>
      </c>
      <c r="F352" s="42">
        <f>SUM(F353:F355)</f>
        <v>2901391.52</v>
      </c>
      <c r="G352" s="80">
        <f t="shared" si="68"/>
        <v>4.9717705015904787E-3</v>
      </c>
      <c r="H352" s="42">
        <f t="shared" si="70"/>
        <v>2311515.6800000002</v>
      </c>
      <c r="I352" s="42">
        <f>SUM(I353:I355)</f>
        <v>1095681.6700000002</v>
      </c>
      <c r="J352" s="42">
        <f>SUM(J353:J355)</f>
        <v>2621728.4900000002</v>
      </c>
      <c r="K352" s="42">
        <f t="shared" si="69"/>
        <v>5.057029902699222E-3</v>
      </c>
      <c r="L352" s="80">
        <f t="shared" si="71"/>
        <v>2591178.71</v>
      </c>
    </row>
    <row r="353" spans="1:12" ht="14.85" customHeight="1" x14ac:dyDescent="0.25">
      <c r="A353" s="43" t="s">
        <v>30</v>
      </c>
      <c r="B353" s="52" t="s">
        <v>31</v>
      </c>
      <c r="C353" s="94">
        <v>3012131</v>
      </c>
      <c r="D353" s="94">
        <v>4486807.2</v>
      </c>
      <c r="E353" s="61">
        <f>F353-1778921.04</f>
        <v>944404.12000000011</v>
      </c>
      <c r="F353" s="96">
        <v>2723325.16</v>
      </c>
      <c r="G353" s="50">
        <f t="shared" si="68"/>
        <v>4.6666393016572853E-3</v>
      </c>
      <c r="H353" s="45">
        <f t="shared" si="70"/>
        <v>1763482.04</v>
      </c>
      <c r="I353" s="45">
        <f>J353-1455598.29</f>
        <v>1055666.08</v>
      </c>
      <c r="J353" s="94">
        <v>2511264.37</v>
      </c>
      <c r="K353" s="45">
        <f t="shared" si="69"/>
        <v>4.8439565962351515E-3</v>
      </c>
      <c r="L353" s="50">
        <f t="shared" si="71"/>
        <v>1975542.83</v>
      </c>
    </row>
    <row r="354" spans="1:12" ht="14.85" customHeight="1" x14ac:dyDescent="0.25">
      <c r="A354" s="43" t="s">
        <v>110</v>
      </c>
      <c r="B354" s="52" t="s">
        <v>111</v>
      </c>
      <c r="C354" s="94">
        <v>680000</v>
      </c>
      <c r="D354" s="94">
        <v>680000</v>
      </c>
      <c r="E354" s="61">
        <f>F354-96935.29</f>
        <v>35051.069999999992</v>
      </c>
      <c r="F354" s="96">
        <v>131986.35999999999</v>
      </c>
      <c r="G354" s="50">
        <f t="shared" si="68"/>
        <v>2.2616936967552085E-4</v>
      </c>
      <c r="H354" s="45">
        <f t="shared" si="70"/>
        <v>548013.64</v>
      </c>
      <c r="I354" s="45">
        <f>J354-70448.53</f>
        <v>40015.589999999997</v>
      </c>
      <c r="J354" s="94">
        <v>110464.12</v>
      </c>
      <c r="K354" s="45">
        <f t="shared" si="69"/>
        <v>2.1307330646407063E-4</v>
      </c>
      <c r="L354" s="50">
        <f t="shared" si="71"/>
        <v>569535.88</v>
      </c>
    </row>
    <row r="355" spans="1:12" ht="14.85" customHeight="1" x14ac:dyDescent="0.25">
      <c r="A355" s="43" t="s">
        <v>112</v>
      </c>
      <c r="B355" s="52" t="s">
        <v>276</v>
      </c>
      <c r="C355" s="45">
        <v>0</v>
      </c>
      <c r="D355" s="45">
        <v>46100</v>
      </c>
      <c r="E355" s="61">
        <f>F355-46080</f>
        <v>0</v>
      </c>
      <c r="F355" s="45">
        <v>46080</v>
      </c>
      <c r="G355" s="50">
        <f t="shared" si="68"/>
        <v>7.8961830257672094E-5</v>
      </c>
      <c r="H355" s="45">
        <f t="shared" si="70"/>
        <v>20</v>
      </c>
      <c r="I355" s="45">
        <f>J355-0</f>
        <v>0</v>
      </c>
      <c r="J355" s="45">
        <v>0</v>
      </c>
      <c r="K355" s="45">
        <f t="shared" si="69"/>
        <v>0</v>
      </c>
      <c r="L355" s="50">
        <f t="shared" si="71"/>
        <v>46100</v>
      </c>
    </row>
    <row r="356" spans="1:12" ht="14.85" customHeight="1" x14ac:dyDescent="0.2">
      <c r="A356" s="40" t="s">
        <v>140</v>
      </c>
      <c r="B356" s="81" t="s">
        <v>141</v>
      </c>
      <c r="C356" s="42">
        <f>C357</f>
        <v>332837997</v>
      </c>
      <c r="D356" s="42">
        <f>D357</f>
        <v>412837997</v>
      </c>
      <c r="E356" s="98">
        <f>E357</f>
        <v>66983059.36999999</v>
      </c>
      <c r="F356" s="42">
        <f>F357</f>
        <v>200733918.34999999</v>
      </c>
      <c r="G356" s="80">
        <f t="shared" si="68"/>
        <v>0.34397390598329231</v>
      </c>
      <c r="H356" s="42">
        <f t="shared" si="70"/>
        <v>212104078.65000001</v>
      </c>
      <c r="I356" s="42">
        <f>I357</f>
        <v>132146989.67999999</v>
      </c>
      <c r="J356" s="42">
        <f>J357</f>
        <v>200380295.38999999</v>
      </c>
      <c r="K356" s="42">
        <f t="shared" si="69"/>
        <v>0.38651185641993496</v>
      </c>
      <c r="L356" s="80">
        <f t="shared" si="71"/>
        <v>212457701.61000001</v>
      </c>
    </row>
    <row r="357" spans="1:12" ht="14.85" customHeight="1" x14ac:dyDescent="0.25">
      <c r="A357" s="43" t="s">
        <v>30</v>
      </c>
      <c r="B357" s="52" t="s">
        <v>31</v>
      </c>
      <c r="C357" s="94">
        <v>332837997</v>
      </c>
      <c r="D357" s="94">
        <v>412837997</v>
      </c>
      <c r="E357" s="61">
        <f>F357-133750858.98</f>
        <v>66983059.36999999</v>
      </c>
      <c r="F357" s="96">
        <v>200733918.34999999</v>
      </c>
      <c r="G357" s="50">
        <f t="shared" si="68"/>
        <v>0.34397390598329231</v>
      </c>
      <c r="H357" s="45">
        <f t="shared" si="70"/>
        <v>212104078.65000001</v>
      </c>
      <c r="I357" s="45">
        <f>J357-68233305.71</f>
        <v>132146989.67999999</v>
      </c>
      <c r="J357" s="94">
        <v>200380295.38999999</v>
      </c>
      <c r="K357" s="45">
        <f t="shared" si="69"/>
        <v>0.38651185641993496</v>
      </c>
      <c r="L357" s="50">
        <f t="shared" si="71"/>
        <v>212457701.61000001</v>
      </c>
    </row>
    <row r="358" spans="1:12" ht="14.85" customHeight="1" x14ac:dyDescent="0.2">
      <c r="A358" s="40" t="s">
        <v>146</v>
      </c>
      <c r="B358" s="81" t="s">
        <v>147</v>
      </c>
      <c r="C358" s="42">
        <f>SUM(C359:C361)</f>
        <v>3201011981</v>
      </c>
      <c r="D358" s="42">
        <f>SUM(D359:D361)</f>
        <v>3258099239.1500001</v>
      </c>
      <c r="E358" s="98">
        <f>SUM(E359:E361)</f>
        <v>661383834.67000008</v>
      </c>
      <c r="F358" s="42">
        <f>SUM(F359:F361)</f>
        <v>2308917957.54</v>
      </c>
      <c r="G358" s="80">
        <f t="shared" si="68"/>
        <v>3.9565188333803043</v>
      </c>
      <c r="H358" s="42">
        <f t="shared" si="70"/>
        <v>949181281.61000013</v>
      </c>
      <c r="I358" s="42">
        <f>SUM(I359:I361)</f>
        <v>665321222.11000013</v>
      </c>
      <c r="J358" s="42">
        <f>SUM(J359:J361)</f>
        <v>2308610123.9700003</v>
      </c>
      <c r="K358" s="42">
        <f t="shared" si="69"/>
        <v>4.4530585356649377</v>
      </c>
      <c r="L358" s="80">
        <f t="shared" si="71"/>
        <v>949489115.17999983</v>
      </c>
    </row>
    <row r="359" spans="1:12" ht="14.85" customHeight="1" x14ac:dyDescent="0.25">
      <c r="A359" s="43" t="s">
        <v>30</v>
      </c>
      <c r="B359" s="52" t="s">
        <v>31</v>
      </c>
      <c r="C359" s="94">
        <v>138017610</v>
      </c>
      <c r="D359" s="94">
        <v>138513210</v>
      </c>
      <c r="E359" s="61">
        <f>F359-37133737.47</f>
        <v>21284118.960000001</v>
      </c>
      <c r="F359" s="96">
        <v>58417856.43</v>
      </c>
      <c r="G359" s="50">
        <f t="shared" si="68"/>
        <v>0.10010375137679511</v>
      </c>
      <c r="H359" s="45">
        <f t="shared" si="70"/>
        <v>80095353.569999993</v>
      </c>
      <c r="I359" s="45">
        <f>J359-36971803.88</f>
        <v>21148169.979999997</v>
      </c>
      <c r="J359" s="94">
        <v>58119973.859999999</v>
      </c>
      <c r="K359" s="45">
        <f t="shared" si="69"/>
        <v>0.11210712584281263</v>
      </c>
      <c r="L359" s="50">
        <f t="shared" si="71"/>
        <v>80393236.140000001</v>
      </c>
    </row>
    <row r="360" spans="1:12" ht="14.85" customHeight="1" x14ac:dyDescent="0.25">
      <c r="A360" s="43" t="s">
        <v>116</v>
      </c>
      <c r="B360" s="52" t="s">
        <v>117</v>
      </c>
      <c r="C360" s="94">
        <v>3062994371</v>
      </c>
      <c r="D360" s="94">
        <v>3119531127.1500001</v>
      </c>
      <c r="E360" s="61">
        <f>F360-1610390434.4</f>
        <v>640099715.71000004</v>
      </c>
      <c r="F360" s="96">
        <v>2250490150.1100001</v>
      </c>
      <c r="G360" s="50">
        <f t="shared" si="68"/>
        <v>3.8563980301551393</v>
      </c>
      <c r="H360" s="45">
        <f t="shared" si="70"/>
        <v>869040977.03999996</v>
      </c>
      <c r="I360" s="45">
        <f>J360-1606317097.98</f>
        <v>644173052.13000011</v>
      </c>
      <c r="J360" s="94">
        <v>2250490150.1100001</v>
      </c>
      <c r="K360" s="45">
        <f t="shared" si="69"/>
        <v>4.3409514098221251</v>
      </c>
      <c r="L360" s="50">
        <f t="shared" si="71"/>
        <v>869040977.03999996</v>
      </c>
    </row>
    <row r="361" spans="1:12" ht="14.85" customHeight="1" x14ac:dyDescent="0.25">
      <c r="A361" s="43" t="s">
        <v>150</v>
      </c>
      <c r="B361" s="52" t="s">
        <v>151</v>
      </c>
      <c r="C361" s="45">
        <v>0</v>
      </c>
      <c r="D361" s="45">
        <v>54902</v>
      </c>
      <c r="E361" s="61">
        <f>F361-9951</f>
        <v>0</v>
      </c>
      <c r="F361" s="45">
        <v>9951</v>
      </c>
      <c r="G361" s="50">
        <f t="shared" si="68"/>
        <v>1.7051848370097548E-5</v>
      </c>
      <c r="H361" s="45">
        <f t="shared" si="70"/>
        <v>44951</v>
      </c>
      <c r="I361" s="45">
        <f>J361-0</f>
        <v>0</v>
      </c>
      <c r="J361" s="45">
        <v>0</v>
      </c>
      <c r="K361" s="45">
        <f t="shared" si="69"/>
        <v>0</v>
      </c>
      <c r="L361" s="50">
        <f t="shared" si="71"/>
        <v>54902</v>
      </c>
    </row>
    <row r="362" spans="1:12" ht="14.85" customHeight="1" x14ac:dyDescent="0.2">
      <c r="A362" s="40" t="s">
        <v>153</v>
      </c>
      <c r="B362" s="81" t="s">
        <v>154</v>
      </c>
      <c r="C362" s="42">
        <f>C363+C364</f>
        <v>764361</v>
      </c>
      <c r="D362" s="42">
        <f>D363+D364</f>
        <v>1251037.92</v>
      </c>
      <c r="E362" s="98">
        <f>E363+E364</f>
        <v>264467.33</v>
      </c>
      <c r="F362" s="42">
        <f>F363+F364</f>
        <v>581223.62</v>
      </c>
      <c r="G362" s="80">
        <f t="shared" si="68"/>
        <v>9.9597397621939464E-4</v>
      </c>
      <c r="H362" s="42">
        <f t="shared" si="70"/>
        <v>669814.29999999993</v>
      </c>
      <c r="I362" s="42">
        <f>I363+I364</f>
        <v>233743.11</v>
      </c>
      <c r="J362" s="42">
        <f>J363+J364</f>
        <v>547540.6</v>
      </c>
      <c r="K362" s="42">
        <f t="shared" si="69"/>
        <v>1.0561464307625057E-3</v>
      </c>
      <c r="L362" s="80">
        <f t="shared" si="71"/>
        <v>703497.32</v>
      </c>
    </row>
    <row r="363" spans="1:12" ht="14.85" customHeight="1" x14ac:dyDescent="0.25">
      <c r="A363" s="43" t="s">
        <v>30</v>
      </c>
      <c r="B363" s="52" t="s">
        <v>31</v>
      </c>
      <c r="C363" s="94">
        <v>468361</v>
      </c>
      <c r="D363" s="94">
        <v>955037.92</v>
      </c>
      <c r="E363" s="61">
        <f>F363-316756.29</f>
        <v>264467.33</v>
      </c>
      <c r="F363" s="96">
        <v>581223.62</v>
      </c>
      <c r="G363" s="50">
        <f t="shared" si="68"/>
        <v>9.9597397621939464E-4</v>
      </c>
      <c r="H363" s="45">
        <f t="shared" si="70"/>
        <v>373814.30000000005</v>
      </c>
      <c r="I363" s="45">
        <f>J363-313797.49</f>
        <v>233743.11</v>
      </c>
      <c r="J363" s="94">
        <v>547540.6</v>
      </c>
      <c r="K363" s="45">
        <f t="shared" si="69"/>
        <v>1.0561464307625057E-3</v>
      </c>
      <c r="L363" s="50">
        <f t="shared" si="71"/>
        <v>407497.32000000007</v>
      </c>
    </row>
    <row r="364" spans="1:12" ht="14.85" customHeight="1" x14ac:dyDescent="0.25">
      <c r="A364" s="43" t="s">
        <v>158</v>
      </c>
      <c r="B364" s="52" t="s">
        <v>159</v>
      </c>
      <c r="C364" s="45">
        <v>296000</v>
      </c>
      <c r="D364" s="45">
        <v>296000</v>
      </c>
      <c r="E364" s="61">
        <f>F364-0</f>
        <v>0</v>
      </c>
      <c r="F364" s="45">
        <v>0</v>
      </c>
      <c r="G364" s="50">
        <f t="shared" si="68"/>
        <v>0</v>
      </c>
      <c r="H364" s="45">
        <f t="shared" si="70"/>
        <v>296000</v>
      </c>
      <c r="I364" s="45">
        <f>J364-0</f>
        <v>0</v>
      </c>
      <c r="J364" s="45">
        <v>0</v>
      </c>
      <c r="K364" s="45">
        <f t="shared" si="69"/>
        <v>0</v>
      </c>
      <c r="L364" s="50">
        <f t="shared" si="71"/>
        <v>296000</v>
      </c>
    </row>
    <row r="365" spans="1:12" ht="14.85" customHeight="1" x14ac:dyDescent="0.2">
      <c r="A365" s="40" t="s">
        <v>160</v>
      </c>
      <c r="B365" s="81" t="s">
        <v>161</v>
      </c>
      <c r="C365" s="42">
        <f>SUM(C366:C372)</f>
        <v>1218828253</v>
      </c>
      <c r="D365" s="42">
        <f>SUM(D366:D372)</f>
        <v>1222126631.1399999</v>
      </c>
      <c r="E365" s="98">
        <f>SUM(E366:E372)</f>
        <v>185345478.09999999</v>
      </c>
      <c r="F365" s="42">
        <f>SUM(F366:F372)</f>
        <v>558766444.1500001</v>
      </c>
      <c r="G365" s="80">
        <f t="shared" si="68"/>
        <v>0.95749177770519367</v>
      </c>
      <c r="H365" s="42">
        <f t="shared" si="70"/>
        <v>663360186.98999977</v>
      </c>
      <c r="I365" s="42">
        <f>SUM(I366:I372)</f>
        <v>185882623.70999998</v>
      </c>
      <c r="J365" s="42">
        <f>SUM(J366:J372)</f>
        <v>552964875.02999997</v>
      </c>
      <c r="K365" s="42">
        <f t="shared" si="69"/>
        <v>1.0666092689747015</v>
      </c>
      <c r="L365" s="80">
        <f t="shared" si="71"/>
        <v>669161756.1099999</v>
      </c>
    </row>
    <row r="366" spans="1:12" ht="14.85" customHeight="1" x14ac:dyDescent="0.25">
      <c r="A366" s="43" t="s">
        <v>30</v>
      </c>
      <c r="B366" s="52" t="s">
        <v>31</v>
      </c>
      <c r="C366" s="94">
        <v>551551778</v>
      </c>
      <c r="D366" s="94">
        <v>554841936.05999994</v>
      </c>
      <c r="E366" s="61">
        <f>F366-133595599.83</f>
        <v>63719352.980000004</v>
      </c>
      <c r="F366" s="96">
        <v>197314952.81</v>
      </c>
      <c r="G366" s="50">
        <f t="shared" si="68"/>
        <v>0.33811523027525603</v>
      </c>
      <c r="H366" s="45">
        <f t="shared" si="70"/>
        <v>357526983.24999994</v>
      </c>
      <c r="I366" s="45">
        <f>J366-127263454.61</f>
        <v>64255348.149999991</v>
      </c>
      <c r="J366" s="94">
        <v>191518802.75999999</v>
      </c>
      <c r="K366" s="45">
        <f t="shared" si="69"/>
        <v>0.36941899826037067</v>
      </c>
      <c r="L366" s="50">
        <f t="shared" si="71"/>
        <v>363323133.29999995</v>
      </c>
    </row>
    <row r="367" spans="1:12" ht="14.85" customHeight="1" x14ac:dyDescent="0.25">
      <c r="A367" s="43" t="s">
        <v>32</v>
      </c>
      <c r="B367" s="52" t="s">
        <v>33</v>
      </c>
      <c r="C367" s="45">
        <v>0</v>
      </c>
      <c r="D367" s="45">
        <v>6840.08</v>
      </c>
      <c r="E367" s="61">
        <f>F367-6840.08</f>
        <v>0</v>
      </c>
      <c r="F367" s="45">
        <v>6840.08</v>
      </c>
      <c r="G367" s="50">
        <f t="shared" si="68"/>
        <v>1.1721033765384066E-5</v>
      </c>
      <c r="H367" s="45">
        <f t="shared" si="70"/>
        <v>0</v>
      </c>
      <c r="I367" s="45">
        <f>J367-1650.57</f>
        <v>1150.4400000000003</v>
      </c>
      <c r="J367" s="45">
        <v>2801.01</v>
      </c>
      <c r="K367" s="45">
        <f t="shared" si="69"/>
        <v>5.4028444904909085E-6</v>
      </c>
      <c r="L367" s="50">
        <f t="shared" si="71"/>
        <v>4039.0699999999997</v>
      </c>
    </row>
    <row r="368" spans="1:12" ht="14.85" customHeight="1" x14ac:dyDescent="0.25">
      <c r="A368" s="43" t="s">
        <v>110</v>
      </c>
      <c r="B368" s="52" t="s">
        <v>111</v>
      </c>
      <c r="C368" s="45">
        <v>0</v>
      </c>
      <c r="D368" s="45">
        <v>0</v>
      </c>
      <c r="E368" s="61">
        <f t="shared" ref="E368:E372" si="74">F368-0</f>
        <v>0</v>
      </c>
      <c r="F368" s="45">
        <v>0</v>
      </c>
      <c r="G368" s="50">
        <f t="shared" si="68"/>
        <v>0</v>
      </c>
      <c r="H368" s="45">
        <f t="shared" si="70"/>
        <v>0</v>
      </c>
      <c r="I368" s="45">
        <f t="shared" ref="I368:I372" si="75">J368-0</f>
        <v>0</v>
      </c>
      <c r="J368" s="45">
        <v>0</v>
      </c>
      <c r="K368" s="45">
        <f t="shared" si="69"/>
        <v>0</v>
      </c>
      <c r="L368" s="50">
        <f t="shared" si="71"/>
        <v>0</v>
      </c>
    </row>
    <row r="369" spans="1:12" ht="14.85" customHeight="1" x14ac:dyDescent="0.25">
      <c r="A369" s="43" t="s">
        <v>162</v>
      </c>
      <c r="B369" s="52" t="s">
        <v>163</v>
      </c>
      <c r="C369" s="94">
        <v>241383916</v>
      </c>
      <c r="D369" s="94">
        <v>241383916</v>
      </c>
      <c r="E369" s="61">
        <f>F369-63419809.74</f>
        <v>30406531.279999994</v>
      </c>
      <c r="F369" s="96">
        <v>93826341.019999996</v>
      </c>
      <c r="G369" s="50">
        <f t="shared" si="68"/>
        <v>0.16077907146961146</v>
      </c>
      <c r="H369" s="45">
        <f t="shared" si="70"/>
        <v>147557574.98000002</v>
      </c>
      <c r="I369" s="45">
        <f>J369-63419809.74</f>
        <v>30406531.279999994</v>
      </c>
      <c r="J369" s="94">
        <v>93826341.019999996</v>
      </c>
      <c r="K369" s="45">
        <f t="shared" si="69"/>
        <v>0.18098083535682774</v>
      </c>
      <c r="L369" s="50">
        <f t="shared" si="71"/>
        <v>147557574.98000002</v>
      </c>
    </row>
    <row r="370" spans="1:12" ht="14.85" customHeight="1" x14ac:dyDescent="0.25">
      <c r="A370" s="43" t="s">
        <v>164</v>
      </c>
      <c r="B370" s="52" t="s">
        <v>165</v>
      </c>
      <c r="C370" s="94">
        <v>425892559</v>
      </c>
      <c r="D370" s="94">
        <v>425892559</v>
      </c>
      <c r="E370" s="61">
        <f>F370-176397336.4</f>
        <v>91219593.840000004</v>
      </c>
      <c r="F370" s="96">
        <v>267616930.24000001</v>
      </c>
      <c r="G370" s="50">
        <f t="shared" si="68"/>
        <v>0.45858339018424821</v>
      </c>
      <c r="H370" s="45">
        <f t="shared" si="70"/>
        <v>158275628.75999999</v>
      </c>
      <c r="I370" s="45">
        <f>J370-176397336.4</f>
        <v>91219593.840000004</v>
      </c>
      <c r="J370" s="94">
        <v>267616930.24000001</v>
      </c>
      <c r="K370" s="45">
        <f t="shared" si="69"/>
        <v>0.51620403251301272</v>
      </c>
      <c r="L370" s="50">
        <f t="shared" si="71"/>
        <v>158275628.75999999</v>
      </c>
    </row>
    <row r="371" spans="1:12" ht="14.85" customHeight="1" x14ac:dyDescent="0.25">
      <c r="A371" s="43" t="s">
        <v>168</v>
      </c>
      <c r="B371" s="52" t="s">
        <v>169</v>
      </c>
      <c r="C371" s="94">
        <v>0</v>
      </c>
      <c r="D371" s="94">
        <v>1380</v>
      </c>
      <c r="E371" s="61">
        <f>F371-1380</f>
        <v>0</v>
      </c>
      <c r="F371" s="45">
        <v>1380</v>
      </c>
      <c r="G371" s="50">
        <f t="shared" si="68"/>
        <v>2.3647423124042424E-6</v>
      </c>
      <c r="H371" s="45">
        <f t="shared" si="70"/>
        <v>0</v>
      </c>
      <c r="I371" s="45">
        <f>J371-0</f>
        <v>0</v>
      </c>
      <c r="J371" s="45">
        <v>0</v>
      </c>
      <c r="K371" s="45">
        <f t="shared" si="69"/>
        <v>0</v>
      </c>
      <c r="L371" s="50">
        <f t="shared" si="71"/>
        <v>1380</v>
      </c>
    </row>
    <row r="372" spans="1:12" ht="14.85" customHeight="1" x14ac:dyDescent="0.25">
      <c r="A372" s="43" t="s">
        <v>172</v>
      </c>
      <c r="B372" s="52" t="s">
        <v>173</v>
      </c>
      <c r="C372" s="45">
        <v>0</v>
      </c>
      <c r="D372" s="45">
        <v>0</v>
      </c>
      <c r="E372" s="61">
        <f t="shared" si="74"/>
        <v>0</v>
      </c>
      <c r="F372" s="45">
        <v>0</v>
      </c>
      <c r="G372" s="50">
        <f t="shared" si="68"/>
        <v>0</v>
      </c>
      <c r="H372" s="45">
        <f t="shared" si="70"/>
        <v>0</v>
      </c>
      <c r="I372" s="45">
        <f t="shared" si="75"/>
        <v>0</v>
      </c>
      <c r="J372" s="45">
        <v>0</v>
      </c>
      <c r="K372" s="45">
        <f t="shared" si="69"/>
        <v>0</v>
      </c>
      <c r="L372" s="50">
        <f t="shared" si="71"/>
        <v>0</v>
      </c>
    </row>
    <row r="373" spans="1:12" ht="14.85" customHeight="1" x14ac:dyDescent="0.2">
      <c r="A373" s="40" t="s">
        <v>174</v>
      </c>
      <c r="B373" s="81" t="s">
        <v>175</v>
      </c>
      <c r="C373" s="42">
        <f>SUM(C374:C375)</f>
        <v>10607475</v>
      </c>
      <c r="D373" s="42">
        <f>SUM(D374:D375)</f>
        <v>10517889.6</v>
      </c>
      <c r="E373" s="98">
        <f>SUM(E374:E375)</f>
        <v>1447992.8600000003</v>
      </c>
      <c r="F373" s="42">
        <f>SUM(F374:F375)</f>
        <v>4409290.03</v>
      </c>
      <c r="G373" s="80">
        <f t="shared" si="68"/>
        <v>7.5556773200022992E-3</v>
      </c>
      <c r="H373" s="42">
        <f t="shared" si="70"/>
        <v>6108599.5699999994</v>
      </c>
      <c r="I373" s="42">
        <f>SUM(I374:I375)</f>
        <v>1506467.9699999997</v>
      </c>
      <c r="J373" s="42">
        <f>SUM(J374:J375)</f>
        <v>4372207.59</v>
      </c>
      <c r="K373" s="42">
        <f t="shared" si="69"/>
        <v>8.4335142284083352E-3</v>
      </c>
      <c r="L373" s="80">
        <f t="shared" si="71"/>
        <v>6145682.0099999998</v>
      </c>
    </row>
    <row r="374" spans="1:12" ht="14.85" customHeight="1" x14ac:dyDescent="0.25">
      <c r="A374" s="43" t="s">
        <v>30</v>
      </c>
      <c r="B374" s="52" t="s">
        <v>31</v>
      </c>
      <c r="C374" s="94">
        <v>10607475</v>
      </c>
      <c r="D374" s="94">
        <v>10517889.6</v>
      </c>
      <c r="E374" s="61">
        <f>F374-2961297.17</f>
        <v>1447992.8600000003</v>
      </c>
      <c r="F374" s="96">
        <v>4409290.03</v>
      </c>
      <c r="G374" s="50">
        <f t="shared" si="68"/>
        <v>7.5556773200022992E-3</v>
      </c>
      <c r="H374" s="45">
        <f t="shared" si="70"/>
        <v>6108599.5699999994</v>
      </c>
      <c r="I374" s="45">
        <f>J374-2865739.62</f>
        <v>1506467.9699999997</v>
      </c>
      <c r="J374" s="45">
        <v>4372207.59</v>
      </c>
      <c r="K374" s="45">
        <f t="shared" si="69"/>
        <v>8.4335142284083352E-3</v>
      </c>
      <c r="L374" s="50">
        <f t="shared" si="71"/>
        <v>6145682.0099999998</v>
      </c>
    </row>
    <row r="375" spans="1:12" ht="14.85" customHeight="1" x14ac:dyDescent="0.25">
      <c r="A375" s="43" t="s">
        <v>38</v>
      </c>
      <c r="B375" s="52" t="s">
        <v>39</v>
      </c>
      <c r="C375" s="45">
        <v>0</v>
      </c>
      <c r="D375" s="45">
        <v>0</v>
      </c>
      <c r="E375" s="61">
        <f>F375-0</f>
        <v>0</v>
      </c>
      <c r="F375" s="45">
        <v>0</v>
      </c>
      <c r="G375" s="50">
        <f t="shared" si="68"/>
        <v>0</v>
      </c>
      <c r="H375" s="45">
        <f t="shared" si="70"/>
        <v>0</v>
      </c>
      <c r="I375" s="45">
        <f>J375-0</f>
        <v>0</v>
      </c>
      <c r="J375" s="45">
        <v>0</v>
      </c>
      <c r="K375" s="45">
        <f t="shared" si="69"/>
        <v>0</v>
      </c>
      <c r="L375" s="50">
        <f t="shared" si="71"/>
        <v>0</v>
      </c>
    </row>
    <row r="376" spans="1:12" ht="14.85" customHeight="1" x14ac:dyDescent="0.2">
      <c r="A376" s="40" t="s">
        <v>180</v>
      </c>
      <c r="B376" s="81" t="s">
        <v>181</v>
      </c>
      <c r="C376" s="42">
        <f>SUM(C377:C379)</f>
        <v>3898483</v>
      </c>
      <c r="D376" s="42">
        <f>SUM(D377:D379)</f>
        <v>3938853</v>
      </c>
      <c r="E376" s="98">
        <f>SUM(E377:E379)</f>
        <v>372489.09000000008</v>
      </c>
      <c r="F376" s="42">
        <f>SUM(F377:F379)</f>
        <v>979382.35</v>
      </c>
      <c r="G376" s="80">
        <f t="shared" si="68"/>
        <v>1.6782513645412327E-3</v>
      </c>
      <c r="H376" s="42">
        <f t="shared" si="70"/>
        <v>2959470.65</v>
      </c>
      <c r="I376" s="42">
        <f>SUM(I377:I379)</f>
        <v>328842.22000000003</v>
      </c>
      <c r="J376" s="42">
        <f>SUM(J377:J379)</f>
        <v>922870.93</v>
      </c>
      <c r="K376" s="42">
        <f t="shared" si="69"/>
        <v>1.7801179287416755E-3</v>
      </c>
      <c r="L376" s="80">
        <f t="shared" si="71"/>
        <v>3015982.07</v>
      </c>
    </row>
    <row r="377" spans="1:12" ht="14.85" customHeight="1" x14ac:dyDescent="0.25">
      <c r="A377" s="43" t="s">
        <v>30</v>
      </c>
      <c r="B377" s="52" t="s">
        <v>31</v>
      </c>
      <c r="C377" s="94">
        <v>3720517</v>
      </c>
      <c r="D377" s="94">
        <v>3754017</v>
      </c>
      <c r="E377" s="61">
        <f>F377-563691.83</f>
        <v>312168.06000000006</v>
      </c>
      <c r="F377" s="96">
        <v>875859.89</v>
      </c>
      <c r="G377" s="50">
        <f t="shared" si="68"/>
        <v>1.5008572040729896E-3</v>
      </c>
      <c r="H377" s="45">
        <f t="shared" si="70"/>
        <v>2878157.11</v>
      </c>
      <c r="I377" s="45">
        <f>J377-557958.75</f>
        <v>297777.04000000004</v>
      </c>
      <c r="J377" s="94">
        <v>855735.79</v>
      </c>
      <c r="K377" s="45">
        <f t="shared" si="69"/>
        <v>1.6506215252060452E-3</v>
      </c>
      <c r="L377" s="50">
        <f t="shared" si="71"/>
        <v>2898281.21</v>
      </c>
    </row>
    <row r="378" spans="1:12" ht="14.85" customHeight="1" x14ac:dyDescent="0.25">
      <c r="A378" s="43" t="s">
        <v>40</v>
      </c>
      <c r="B378" s="44" t="s">
        <v>41</v>
      </c>
      <c r="C378" s="96">
        <v>177966</v>
      </c>
      <c r="D378" s="94">
        <v>184836</v>
      </c>
      <c r="E378" s="61">
        <f>F378-43201.43</f>
        <v>60321.030000000006</v>
      </c>
      <c r="F378" s="45">
        <v>103522.46</v>
      </c>
      <c r="G378" s="50">
        <f t="shared" si="68"/>
        <v>1.7739416046824326E-4</v>
      </c>
      <c r="H378" s="45">
        <f t="shared" si="70"/>
        <v>81313.539999999994</v>
      </c>
      <c r="I378" s="45">
        <f>J378-36069.96</f>
        <v>31065.18</v>
      </c>
      <c r="J378" s="45">
        <v>67135.14</v>
      </c>
      <c r="K378" s="45">
        <f t="shared" si="69"/>
        <v>1.2949640353563028E-4</v>
      </c>
      <c r="L378" s="50">
        <f t="shared" si="71"/>
        <v>117700.86</v>
      </c>
    </row>
    <row r="379" spans="1:12" ht="14.85" customHeight="1" x14ac:dyDescent="0.25">
      <c r="A379" s="43" t="s">
        <v>65</v>
      </c>
      <c r="B379" s="52" t="s">
        <v>66</v>
      </c>
      <c r="C379" s="45">
        <v>0</v>
      </c>
      <c r="D379" s="45">
        <v>0</v>
      </c>
      <c r="E379" s="61">
        <f>F379-0</f>
        <v>0</v>
      </c>
      <c r="F379" s="45">
        <v>0</v>
      </c>
      <c r="G379" s="50">
        <f t="shared" si="68"/>
        <v>0</v>
      </c>
      <c r="H379" s="45">
        <f t="shared" si="70"/>
        <v>0</v>
      </c>
      <c r="I379" s="45">
        <f>J379-0</f>
        <v>0</v>
      </c>
      <c r="J379" s="45">
        <v>0</v>
      </c>
      <c r="K379" s="45">
        <f t="shared" si="69"/>
        <v>0</v>
      </c>
      <c r="L379" s="50">
        <f t="shared" si="71"/>
        <v>0</v>
      </c>
    </row>
    <row r="380" spans="1:12" ht="14.85" customHeight="1" x14ac:dyDescent="0.2">
      <c r="A380" s="40" t="s">
        <v>183</v>
      </c>
      <c r="B380" s="81" t="s">
        <v>184</v>
      </c>
      <c r="C380" s="42">
        <f>C381+C382</f>
        <v>1059958</v>
      </c>
      <c r="D380" s="42">
        <f>D381+D382</f>
        <v>1107726.3999999999</v>
      </c>
      <c r="E380" s="98">
        <f>E381+E382</f>
        <v>76278.180000000051</v>
      </c>
      <c r="F380" s="42">
        <f>F381+F382</f>
        <v>817193.9</v>
      </c>
      <c r="G380" s="80">
        <f t="shared" si="68"/>
        <v>1.4003282556294501E-3</v>
      </c>
      <c r="H380" s="42">
        <f t="shared" si="70"/>
        <v>290532.49999999988</v>
      </c>
      <c r="I380" s="42">
        <f>I381+I382</f>
        <v>151631.48000000001</v>
      </c>
      <c r="J380" s="42">
        <f>J381+J382</f>
        <v>377479.96</v>
      </c>
      <c r="K380" s="42">
        <f t="shared" si="69"/>
        <v>7.2811790109879239E-4</v>
      </c>
      <c r="L380" s="80">
        <f t="shared" si="71"/>
        <v>730246.44</v>
      </c>
    </row>
    <row r="381" spans="1:12" ht="14.85" customHeight="1" x14ac:dyDescent="0.25">
      <c r="A381" s="54" t="s">
        <v>30</v>
      </c>
      <c r="B381" s="48" t="s">
        <v>31</v>
      </c>
      <c r="C381" s="94">
        <v>1059958</v>
      </c>
      <c r="D381" s="94">
        <v>1107726.3999999999</v>
      </c>
      <c r="E381" s="61">
        <f>F381-740915.72</f>
        <v>76278.180000000051</v>
      </c>
      <c r="F381" s="96">
        <v>817193.9</v>
      </c>
      <c r="G381" s="50">
        <f t="shared" si="68"/>
        <v>1.4003282556294501E-3</v>
      </c>
      <c r="H381" s="45">
        <f t="shared" si="70"/>
        <v>290532.49999999988</v>
      </c>
      <c r="I381" s="45">
        <f>J381-225848.48</f>
        <v>151631.48000000001</v>
      </c>
      <c r="J381" s="45">
        <v>377479.96</v>
      </c>
      <c r="K381" s="45">
        <f t="shared" si="69"/>
        <v>7.2811790109879239E-4</v>
      </c>
      <c r="L381" s="50">
        <f t="shared" si="71"/>
        <v>730246.44</v>
      </c>
    </row>
    <row r="382" spans="1:12" ht="14.85" customHeight="1" x14ac:dyDescent="0.25">
      <c r="A382" s="54" t="s">
        <v>77</v>
      </c>
      <c r="B382" s="48" t="s">
        <v>78</v>
      </c>
      <c r="C382" s="45">
        <v>0</v>
      </c>
      <c r="D382" s="45">
        <v>0</v>
      </c>
      <c r="E382" s="61">
        <f>F382-0</f>
        <v>0</v>
      </c>
      <c r="F382" s="45">
        <v>0</v>
      </c>
      <c r="G382" s="50">
        <f t="shared" si="68"/>
        <v>0</v>
      </c>
      <c r="H382" s="45">
        <f t="shared" si="70"/>
        <v>0</v>
      </c>
      <c r="I382" s="45">
        <f>J382-0</f>
        <v>0</v>
      </c>
      <c r="J382" s="45">
        <v>0</v>
      </c>
      <c r="K382" s="45">
        <f t="shared" si="69"/>
        <v>0</v>
      </c>
      <c r="L382" s="50">
        <f t="shared" si="71"/>
        <v>0</v>
      </c>
    </row>
    <row r="383" spans="1:12" ht="14.85" customHeight="1" x14ac:dyDescent="0.2">
      <c r="A383" s="83" t="s">
        <v>189</v>
      </c>
      <c r="B383" s="84" t="s">
        <v>190</v>
      </c>
      <c r="C383" s="42">
        <f>C384</f>
        <v>449824</v>
      </c>
      <c r="D383" s="42">
        <f>D384</f>
        <v>2131472</v>
      </c>
      <c r="E383" s="98">
        <f>E384</f>
        <v>94972.219999999972</v>
      </c>
      <c r="F383" s="42">
        <f>F384</f>
        <v>1917346.25</v>
      </c>
      <c r="G383" s="80">
        <f t="shared" si="68"/>
        <v>3.2855288441337701E-3</v>
      </c>
      <c r="H383" s="42">
        <f t="shared" si="70"/>
        <v>214125.75</v>
      </c>
      <c r="I383" s="42">
        <f>I384</f>
        <v>107405.30000000005</v>
      </c>
      <c r="J383" s="42">
        <f>J384</f>
        <v>1916203.85</v>
      </c>
      <c r="K383" s="42">
        <f t="shared" si="69"/>
        <v>3.696149393836497E-3</v>
      </c>
      <c r="L383" s="80">
        <f t="shared" si="71"/>
        <v>215268.14999999991</v>
      </c>
    </row>
    <row r="384" spans="1:12" ht="14.85" customHeight="1" x14ac:dyDescent="0.25">
      <c r="A384" s="54" t="s">
        <v>30</v>
      </c>
      <c r="B384" s="48" t="s">
        <v>31</v>
      </c>
      <c r="C384" s="94">
        <v>449824</v>
      </c>
      <c r="D384" s="94">
        <v>2131472</v>
      </c>
      <c r="E384" s="61">
        <f>F384-1822374.03</f>
        <v>94972.219999999972</v>
      </c>
      <c r="F384" s="96">
        <v>1917346.25</v>
      </c>
      <c r="G384" s="50">
        <f t="shared" si="68"/>
        <v>3.2855288441337701E-3</v>
      </c>
      <c r="H384" s="45">
        <f t="shared" si="70"/>
        <v>214125.75</v>
      </c>
      <c r="I384" s="45">
        <f>J384-1808798.55</f>
        <v>107405.30000000005</v>
      </c>
      <c r="J384" s="45">
        <v>1916203.85</v>
      </c>
      <c r="K384" s="45">
        <f t="shared" si="69"/>
        <v>3.696149393836497E-3</v>
      </c>
      <c r="L384" s="50">
        <f t="shared" si="71"/>
        <v>215268.14999999991</v>
      </c>
    </row>
    <row r="385" spans="1:12" ht="14.85" customHeight="1" x14ac:dyDescent="0.2">
      <c r="A385" s="40" t="s">
        <v>191</v>
      </c>
      <c r="B385" s="70" t="s">
        <v>192</v>
      </c>
      <c r="C385" s="42">
        <f>C386</f>
        <v>0</v>
      </c>
      <c r="D385" s="42">
        <f>D386</f>
        <v>0</v>
      </c>
      <c r="E385" s="98">
        <f>E386</f>
        <v>0</v>
      </c>
      <c r="F385" s="42">
        <f>F386</f>
        <v>0</v>
      </c>
      <c r="G385" s="80">
        <f t="shared" si="68"/>
        <v>0</v>
      </c>
      <c r="H385" s="42">
        <f t="shared" si="70"/>
        <v>0</v>
      </c>
      <c r="I385" s="42">
        <f>I386</f>
        <v>0</v>
      </c>
      <c r="J385" s="42">
        <f>J386</f>
        <v>0</v>
      </c>
      <c r="K385" s="42">
        <f t="shared" si="69"/>
        <v>0</v>
      </c>
      <c r="L385" s="80">
        <f t="shared" si="71"/>
        <v>0</v>
      </c>
    </row>
    <row r="386" spans="1:12" ht="14.85" customHeight="1" x14ac:dyDescent="0.25">
      <c r="A386" s="54" t="s">
        <v>91</v>
      </c>
      <c r="B386" s="48" t="s">
        <v>92</v>
      </c>
      <c r="C386" s="45">
        <v>0</v>
      </c>
      <c r="D386" s="45">
        <v>0</v>
      </c>
      <c r="E386" s="61">
        <f>F386-0</f>
        <v>0</v>
      </c>
      <c r="F386" s="45">
        <v>0</v>
      </c>
      <c r="G386" s="50">
        <f t="shared" si="68"/>
        <v>0</v>
      </c>
      <c r="H386" s="45">
        <f t="shared" si="70"/>
        <v>0</v>
      </c>
      <c r="I386" s="45">
        <f>J386-0</f>
        <v>0</v>
      </c>
      <c r="J386" s="45">
        <v>0</v>
      </c>
      <c r="K386" s="45">
        <f t="shared" si="69"/>
        <v>0</v>
      </c>
      <c r="L386" s="50">
        <f t="shared" si="71"/>
        <v>0</v>
      </c>
    </row>
    <row r="387" spans="1:12" ht="14.85" customHeight="1" x14ac:dyDescent="0.2">
      <c r="A387" s="83" t="s">
        <v>195</v>
      </c>
      <c r="B387" s="84" t="s">
        <v>196</v>
      </c>
      <c r="C387" s="42">
        <f>C388</f>
        <v>12219018</v>
      </c>
      <c r="D387" s="42">
        <f>D388</f>
        <v>13105453.58</v>
      </c>
      <c r="E387" s="98">
        <f>E388</f>
        <v>2083181.7999999998</v>
      </c>
      <c r="F387" s="42">
        <f>F388</f>
        <v>6029194.5</v>
      </c>
      <c r="G387" s="80">
        <f t="shared" si="68"/>
        <v>1.0331515466568797E-2</v>
      </c>
      <c r="H387" s="42">
        <f t="shared" si="70"/>
        <v>7076259.0800000001</v>
      </c>
      <c r="I387" s="42">
        <f>I388</f>
        <v>2081890.5300000003</v>
      </c>
      <c r="J387" s="42">
        <f>J388</f>
        <v>5987245.9900000002</v>
      </c>
      <c r="K387" s="42">
        <f t="shared" si="69"/>
        <v>1.1548748133810762E-2</v>
      </c>
      <c r="L387" s="80">
        <f t="shared" si="71"/>
        <v>7118207.5899999999</v>
      </c>
    </row>
    <row r="388" spans="1:12" ht="14.85" customHeight="1" x14ac:dyDescent="0.25">
      <c r="A388" s="54" t="s">
        <v>30</v>
      </c>
      <c r="B388" s="48" t="s">
        <v>31</v>
      </c>
      <c r="C388" s="94">
        <v>12219018</v>
      </c>
      <c r="D388" s="94">
        <v>13105453.58</v>
      </c>
      <c r="E388" s="61">
        <f>F388-3946012.7</f>
        <v>2083181.7999999998</v>
      </c>
      <c r="F388" s="96">
        <v>6029194.5</v>
      </c>
      <c r="G388" s="50">
        <f t="shared" ref="G388:G423" si="76">(F388/$F$307)*100</f>
        <v>1.0331515466568797E-2</v>
      </c>
      <c r="H388" s="45">
        <f t="shared" si="70"/>
        <v>7076259.0800000001</v>
      </c>
      <c r="I388" s="45">
        <f>J388-3905355.46</f>
        <v>2081890.5300000003</v>
      </c>
      <c r="J388" s="94">
        <v>5987245.9900000002</v>
      </c>
      <c r="K388" s="45">
        <f t="shared" ref="K388:K423" si="77">(J388/$J$307)*100</f>
        <v>1.1548748133810762E-2</v>
      </c>
      <c r="L388" s="50">
        <f t="shared" si="71"/>
        <v>7118207.5899999999</v>
      </c>
    </row>
    <row r="389" spans="1:12" ht="14.85" customHeight="1" x14ac:dyDescent="0.2">
      <c r="A389" s="83" t="s">
        <v>201</v>
      </c>
      <c r="B389" s="84" t="s">
        <v>202</v>
      </c>
      <c r="C389" s="42">
        <f>SUM(C390:C397)</f>
        <v>197630489</v>
      </c>
      <c r="D389" s="42">
        <f>SUM(D390:D397)</f>
        <v>192934146.84999999</v>
      </c>
      <c r="E389" s="98">
        <f>SUM(E390:E397)</f>
        <v>26119700.579999998</v>
      </c>
      <c r="F389" s="42">
        <f>SUM(F390:F397)</f>
        <v>109859683.55</v>
      </c>
      <c r="G389" s="80">
        <f t="shared" si="76"/>
        <v>0.18825350878117778</v>
      </c>
      <c r="H389" s="42">
        <f t="shared" ref="H389:H424" si="78">D389-F389</f>
        <v>83074463.299999997</v>
      </c>
      <c r="I389" s="42">
        <f>SUM(I390:I397)</f>
        <v>51115061.289999999</v>
      </c>
      <c r="J389" s="42">
        <f>SUM(J390:J397)</f>
        <v>109558346.78</v>
      </c>
      <c r="K389" s="42">
        <f t="shared" si="77"/>
        <v>0.21132616816348934</v>
      </c>
      <c r="L389" s="80">
        <f t="shared" ref="L389:L424" si="79">D389-J389</f>
        <v>83375800.069999993</v>
      </c>
    </row>
    <row r="390" spans="1:12" ht="14.85" customHeight="1" x14ac:dyDescent="0.25">
      <c r="A390" s="54" t="s">
        <v>30</v>
      </c>
      <c r="B390" s="48" t="s">
        <v>31</v>
      </c>
      <c r="C390" s="94">
        <v>11247533</v>
      </c>
      <c r="D390" s="94">
        <v>6301190.8499999996</v>
      </c>
      <c r="E390" s="61">
        <f>F390-2498451.62</f>
        <v>1088668.58</v>
      </c>
      <c r="F390" s="96">
        <v>3587120.2</v>
      </c>
      <c r="G390" s="50">
        <f t="shared" si="76"/>
        <v>6.1468224033478036E-3</v>
      </c>
      <c r="H390" s="45">
        <f t="shared" si="78"/>
        <v>2714070.6499999994</v>
      </c>
      <c r="I390" s="45">
        <f>J390-2354596.99</f>
        <v>1096417.0399999996</v>
      </c>
      <c r="J390" s="94">
        <v>3451014.03</v>
      </c>
      <c r="K390" s="45">
        <f t="shared" si="77"/>
        <v>6.6566317644679331E-3</v>
      </c>
      <c r="L390" s="50">
        <f t="shared" si="79"/>
        <v>2850176.82</v>
      </c>
    </row>
    <row r="391" spans="1:12" ht="14.85" customHeight="1" x14ac:dyDescent="0.25">
      <c r="A391" s="54" t="s">
        <v>32</v>
      </c>
      <c r="B391" s="48" t="s">
        <v>33</v>
      </c>
      <c r="C391" s="45">
        <v>0</v>
      </c>
      <c r="D391" s="45">
        <v>0</v>
      </c>
      <c r="E391" s="61">
        <v>0</v>
      </c>
      <c r="F391" s="45">
        <v>0</v>
      </c>
      <c r="G391" s="80">
        <f t="shared" si="76"/>
        <v>0</v>
      </c>
      <c r="H391" s="45">
        <f t="shared" si="78"/>
        <v>0</v>
      </c>
      <c r="I391" s="45">
        <f t="shared" ref="I391:I396" si="80">J391-0</f>
        <v>0</v>
      </c>
      <c r="J391" s="45">
        <v>0</v>
      </c>
      <c r="K391" s="45">
        <f t="shared" si="77"/>
        <v>0</v>
      </c>
      <c r="L391" s="50">
        <f t="shared" si="79"/>
        <v>0</v>
      </c>
    </row>
    <row r="392" spans="1:12" ht="14.85" customHeight="1" x14ac:dyDescent="0.25">
      <c r="A392" s="54" t="s">
        <v>67</v>
      </c>
      <c r="B392" s="48" t="s">
        <v>68</v>
      </c>
      <c r="C392" s="45">
        <v>0</v>
      </c>
      <c r="D392" s="45">
        <v>250000</v>
      </c>
      <c r="E392" s="61">
        <f>F392-190131.35</f>
        <v>31032</v>
      </c>
      <c r="F392" s="45">
        <v>221163.35</v>
      </c>
      <c r="G392" s="80">
        <f t="shared" si="76"/>
        <v>3.789813997812093E-4</v>
      </c>
      <c r="H392" s="45">
        <f t="shared" si="78"/>
        <v>28836.649999999994</v>
      </c>
      <c r="I392" s="45">
        <f>J392-37288.5</f>
        <v>18644.25</v>
      </c>
      <c r="J392" s="45">
        <v>55932.75</v>
      </c>
      <c r="K392" s="45">
        <f t="shared" si="77"/>
        <v>1.0788820824470648E-4</v>
      </c>
      <c r="L392" s="50">
        <f t="shared" si="79"/>
        <v>194067.25</v>
      </c>
    </row>
    <row r="393" spans="1:12" ht="14.85" customHeight="1" x14ac:dyDescent="0.25">
      <c r="A393" s="54" t="s">
        <v>87</v>
      </c>
      <c r="B393" s="48" t="s">
        <v>88</v>
      </c>
      <c r="C393" s="45">
        <v>0</v>
      </c>
      <c r="D393" s="45">
        <v>0</v>
      </c>
      <c r="E393" s="61">
        <f>F393-0</f>
        <v>0</v>
      </c>
      <c r="F393" s="45">
        <v>0</v>
      </c>
      <c r="G393" s="80">
        <f t="shared" si="76"/>
        <v>0</v>
      </c>
      <c r="H393" s="45">
        <f t="shared" si="78"/>
        <v>0</v>
      </c>
      <c r="I393" s="45">
        <f t="shared" si="80"/>
        <v>0</v>
      </c>
      <c r="J393" s="45">
        <v>0</v>
      </c>
      <c r="K393" s="45">
        <f t="shared" si="77"/>
        <v>0</v>
      </c>
      <c r="L393" s="50">
        <f t="shared" si="79"/>
        <v>0</v>
      </c>
    </row>
    <row r="394" spans="1:12" ht="14.85" customHeight="1" x14ac:dyDescent="0.25">
      <c r="A394" s="54" t="s">
        <v>89</v>
      </c>
      <c r="B394" s="48" t="s">
        <v>90</v>
      </c>
      <c r="C394" s="45">
        <v>186382956</v>
      </c>
      <c r="D394" s="45">
        <v>186382956</v>
      </c>
      <c r="E394" s="61">
        <f>F394-81051400</f>
        <v>25000000</v>
      </c>
      <c r="F394" s="45">
        <v>106051400</v>
      </c>
      <c r="G394" s="80">
        <f t="shared" si="76"/>
        <v>0.18172770497804877</v>
      </c>
      <c r="H394" s="45">
        <f t="shared" si="78"/>
        <v>80331556</v>
      </c>
      <c r="I394" s="45">
        <f>J394-56051400</f>
        <v>50000000</v>
      </c>
      <c r="J394" s="45">
        <v>106051400</v>
      </c>
      <c r="K394" s="45">
        <f t="shared" si="77"/>
        <v>0.20456164819077671</v>
      </c>
      <c r="L394" s="50">
        <f t="shared" si="79"/>
        <v>80331556</v>
      </c>
    </row>
    <row r="395" spans="1:12" ht="14.85" customHeight="1" x14ac:dyDescent="0.25">
      <c r="A395" s="54" t="s">
        <v>67</v>
      </c>
      <c r="B395" s="48" t="s">
        <v>68</v>
      </c>
      <c r="C395" s="45">
        <v>0</v>
      </c>
      <c r="D395" s="45">
        <v>0</v>
      </c>
      <c r="E395" s="61">
        <v>0</v>
      </c>
      <c r="F395" s="45">
        <v>0</v>
      </c>
      <c r="G395" s="80">
        <f t="shared" si="76"/>
        <v>0</v>
      </c>
      <c r="H395" s="45">
        <f t="shared" si="78"/>
        <v>0</v>
      </c>
      <c r="I395" s="45">
        <f t="shared" si="80"/>
        <v>0</v>
      </c>
      <c r="J395" s="45">
        <v>0</v>
      </c>
      <c r="K395" s="45">
        <f t="shared" si="77"/>
        <v>0</v>
      </c>
      <c r="L395" s="50">
        <f t="shared" si="79"/>
        <v>0</v>
      </c>
    </row>
    <row r="396" spans="1:12" ht="14.85" customHeight="1" x14ac:dyDescent="0.25">
      <c r="A396" s="54" t="s">
        <v>104</v>
      </c>
      <c r="B396" s="48" t="s">
        <v>105</v>
      </c>
      <c r="C396" s="45">
        <v>0</v>
      </c>
      <c r="D396" s="45">
        <v>0</v>
      </c>
      <c r="E396" s="61">
        <f>F396-0</f>
        <v>0</v>
      </c>
      <c r="F396" s="45">
        <v>0</v>
      </c>
      <c r="G396" s="80">
        <f t="shared" si="76"/>
        <v>0</v>
      </c>
      <c r="H396" s="45">
        <f t="shared" si="78"/>
        <v>0</v>
      </c>
      <c r="I396" s="45">
        <f t="shared" si="80"/>
        <v>0</v>
      </c>
      <c r="J396" s="45">
        <v>0</v>
      </c>
      <c r="K396" s="45">
        <f t="shared" si="77"/>
        <v>0</v>
      </c>
      <c r="L396" s="50">
        <f t="shared" si="79"/>
        <v>0</v>
      </c>
    </row>
    <row r="397" spans="1:12" ht="14.85" customHeight="1" x14ac:dyDescent="0.25">
      <c r="A397" s="54" t="s">
        <v>89</v>
      </c>
      <c r="B397" s="48" t="s">
        <v>90</v>
      </c>
      <c r="C397" s="45">
        <v>0</v>
      </c>
      <c r="D397" s="45">
        <v>0</v>
      </c>
      <c r="E397" s="61">
        <f>F397-0</f>
        <v>0</v>
      </c>
      <c r="F397" s="45">
        <v>0</v>
      </c>
      <c r="G397" s="80">
        <f t="shared" si="76"/>
        <v>0</v>
      </c>
      <c r="H397" s="45">
        <f t="shared" si="78"/>
        <v>0</v>
      </c>
      <c r="I397" s="45">
        <f>J397-0</f>
        <v>0</v>
      </c>
      <c r="J397" s="45">
        <v>0</v>
      </c>
      <c r="K397" s="45">
        <f t="shared" si="77"/>
        <v>0</v>
      </c>
      <c r="L397" s="50">
        <f t="shared" si="79"/>
        <v>0</v>
      </c>
    </row>
    <row r="398" spans="1:12" ht="14.85" customHeight="1" x14ac:dyDescent="0.2">
      <c r="A398" s="83" t="s">
        <v>205</v>
      </c>
      <c r="B398" s="84" t="s">
        <v>206</v>
      </c>
      <c r="C398" s="42">
        <f>SUM(C399:C402)</f>
        <v>7181456</v>
      </c>
      <c r="D398" s="42">
        <f>SUM(D399:D402)</f>
        <v>7115489.2799999993</v>
      </c>
      <c r="E398" s="98">
        <f>SUM(E399:E402)</f>
        <v>1033874.8200000001</v>
      </c>
      <c r="F398" s="42">
        <f>SUM(F399:F402)</f>
        <v>2886204.0700000003</v>
      </c>
      <c r="G398" s="80">
        <f t="shared" si="76"/>
        <v>4.9457455699727076E-3</v>
      </c>
      <c r="H398" s="42">
        <f t="shared" si="78"/>
        <v>4229285.209999999</v>
      </c>
      <c r="I398" s="42">
        <f>SUM(I399:I402)</f>
        <v>1041491.0199999998</v>
      </c>
      <c r="J398" s="42">
        <f>SUM(J399:J402)</f>
        <v>2786181.98</v>
      </c>
      <c r="K398" s="42">
        <f t="shared" si="77"/>
        <v>5.3742428481683563E-3</v>
      </c>
      <c r="L398" s="80">
        <f t="shared" si="79"/>
        <v>4329307.2999999989</v>
      </c>
    </row>
    <row r="399" spans="1:12" ht="14.85" customHeight="1" x14ac:dyDescent="0.25">
      <c r="A399" s="43" t="s">
        <v>30</v>
      </c>
      <c r="B399" s="44" t="s">
        <v>31</v>
      </c>
      <c r="C399" s="94">
        <v>7181456</v>
      </c>
      <c r="D399" s="94">
        <v>6938741.8899999997</v>
      </c>
      <c r="E399" s="61">
        <f>F399-1715781.86</f>
        <v>1033874.8200000001</v>
      </c>
      <c r="F399" s="96">
        <v>2749656.68</v>
      </c>
      <c r="G399" s="50">
        <f t="shared" si="76"/>
        <v>4.7117605041891103E-3</v>
      </c>
      <c r="H399" s="45">
        <f t="shared" si="78"/>
        <v>4189085.2099999995</v>
      </c>
      <c r="I399" s="45">
        <f>J399-1689948.79</f>
        <v>1004996.2399999998</v>
      </c>
      <c r="J399" s="94">
        <v>2694945.03</v>
      </c>
      <c r="K399" s="45">
        <f t="shared" si="77"/>
        <v>5.1982566672419423E-3</v>
      </c>
      <c r="L399" s="50">
        <f t="shared" si="79"/>
        <v>4243796.8599999994</v>
      </c>
    </row>
    <row r="400" spans="1:12" ht="14.85" customHeight="1" x14ac:dyDescent="0.25">
      <c r="A400" s="43" t="s">
        <v>87</v>
      </c>
      <c r="B400" s="44" t="s">
        <v>88</v>
      </c>
      <c r="C400" s="45">
        <v>0</v>
      </c>
      <c r="D400" s="45">
        <v>0</v>
      </c>
      <c r="E400" s="61">
        <f>F400-0</f>
        <v>0</v>
      </c>
      <c r="F400" s="45">
        <v>0</v>
      </c>
      <c r="G400" s="50">
        <f t="shared" si="76"/>
        <v>0</v>
      </c>
      <c r="H400" s="45">
        <f t="shared" si="78"/>
        <v>0</v>
      </c>
      <c r="I400" s="45">
        <f>J400-0</f>
        <v>0</v>
      </c>
      <c r="J400" s="45">
        <v>0</v>
      </c>
      <c r="K400" s="45">
        <f t="shared" si="77"/>
        <v>0</v>
      </c>
      <c r="L400" s="50">
        <f t="shared" si="79"/>
        <v>0</v>
      </c>
    </row>
    <row r="401" spans="1:12" ht="14.85" customHeight="1" x14ac:dyDescent="0.25">
      <c r="A401" s="43" t="s">
        <v>216</v>
      </c>
      <c r="B401" s="44" t="s">
        <v>217</v>
      </c>
      <c r="C401" s="45">
        <v>0</v>
      </c>
      <c r="D401" s="45">
        <v>0</v>
      </c>
      <c r="E401" s="61">
        <f>F401-0</f>
        <v>0</v>
      </c>
      <c r="F401" s="45">
        <v>0</v>
      </c>
      <c r="G401" s="50">
        <f t="shared" si="76"/>
        <v>0</v>
      </c>
      <c r="H401" s="45">
        <f t="shared" si="78"/>
        <v>0</v>
      </c>
      <c r="I401" s="45">
        <f>J401-0</f>
        <v>0</v>
      </c>
      <c r="J401" s="45">
        <v>0</v>
      </c>
      <c r="K401" s="45">
        <f t="shared" si="77"/>
        <v>0</v>
      </c>
      <c r="L401" s="50">
        <f t="shared" si="79"/>
        <v>0</v>
      </c>
    </row>
    <row r="402" spans="1:12" ht="14.85" customHeight="1" x14ac:dyDescent="0.25">
      <c r="A402" s="43" t="s">
        <v>218</v>
      </c>
      <c r="B402" s="44" t="s">
        <v>219</v>
      </c>
      <c r="C402" s="45">
        <v>0</v>
      </c>
      <c r="D402" s="94">
        <v>176747.39</v>
      </c>
      <c r="E402" s="61">
        <f>F402-136547.39</f>
        <v>0</v>
      </c>
      <c r="F402" s="45">
        <v>136547.39000000001</v>
      </c>
      <c r="G402" s="50">
        <f t="shared" si="76"/>
        <v>2.3398506578359705E-4</v>
      </c>
      <c r="H402" s="45">
        <f t="shared" si="78"/>
        <v>40200</v>
      </c>
      <c r="I402" s="45">
        <f>J402-54742.17</f>
        <v>36494.78</v>
      </c>
      <c r="J402" s="45">
        <v>91236.95</v>
      </c>
      <c r="K402" s="45">
        <f t="shared" si="77"/>
        <v>1.7598618092641384E-4</v>
      </c>
      <c r="L402" s="50">
        <f t="shared" si="79"/>
        <v>85510.440000000017</v>
      </c>
    </row>
    <row r="403" spans="1:12" ht="14.85" customHeight="1" x14ac:dyDescent="0.2">
      <c r="A403" s="83" t="s">
        <v>222</v>
      </c>
      <c r="B403" s="84" t="s">
        <v>223</v>
      </c>
      <c r="C403" s="42">
        <f>C404</f>
        <v>2794323</v>
      </c>
      <c r="D403" s="42">
        <f>D404</f>
        <v>3784036.44</v>
      </c>
      <c r="E403" s="98">
        <f>E404</f>
        <v>281296.56000000006</v>
      </c>
      <c r="F403" s="42">
        <f>F404</f>
        <v>961502.92</v>
      </c>
      <c r="G403" s="80">
        <f t="shared" si="76"/>
        <v>1.6476135061045155E-3</v>
      </c>
      <c r="H403" s="42">
        <f t="shared" si="78"/>
        <v>2822533.52</v>
      </c>
      <c r="I403" s="42">
        <f>I404</f>
        <v>433108.54</v>
      </c>
      <c r="J403" s="42">
        <f>J404</f>
        <v>878200.98</v>
      </c>
      <c r="K403" s="42">
        <f t="shared" si="77"/>
        <v>1.6939544401257816E-3</v>
      </c>
      <c r="L403" s="80">
        <f t="shared" si="79"/>
        <v>2905835.46</v>
      </c>
    </row>
    <row r="404" spans="1:12" ht="14.85" customHeight="1" x14ac:dyDescent="0.25">
      <c r="A404" s="54" t="s">
        <v>30</v>
      </c>
      <c r="B404" s="48" t="s">
        <v>31</v>
      </c>
      <c r="C404" s="94">
        <v>2794323</v>
      </c>
      <c r="D404" s="94">
        <v>3784036.44</v>
      </c>
      <c r="E404" s="61">
        <f>F404-680206.36</f>
        <v>281296.56000000006</v>
      </c>
      <c r="F404" s="96">
        <v>961502.92</v>
      </c>
      <c r="G404" s="50">
        <f t="shared" si="76"/>
        <v>1.6476135061045155E-3</v>
      </c>
      <c r="H404" s="45">
        <f t="shared" si="78"/>
        <v>2822533.52</v>
      </c>
      <c r="I404" s="45">
        <f>J404-445092.44</f>
        <v>433108.54</v>
      </c>
      <c r="J404" s="94">
        <v>878200.98</v>
      </c>
      <c r="K404" s="45">
        <f t="shared" si="77"/>
        <v>1.6939544401257816E-3</v>
      </c>
      <c r="L404" s="50">
        <f t="shared" si="79"/>
        <v>2905835.46</v>
      </c>
    </row>
    <row r="405" spans="1:12" ht="14.85" customHeight="1" x14ac:dyDescent="0.2">
      <c r="A405" s="83" t="s">
        <v>226</v>
      </c>
      <c r="B405" s="84" t="s">
        <v>227</v>
      </c>
      <c r="C405" s="42">
        <f>C406+C407</f>
        <v>5187642</v>
      </c>
      <c r="D405" s="42">
        <f>D406+D407</f>
        <v>5752877.8099999996</v>
      </c>
      <c r="E405" s="98">
        <f>E406+E407</f>
        <v>919890.79999999981</v>
      </c>
      <c r="F405" s="42">
        <f>F406+F407</f>
        <v>2339665.84</v>
      </c>
      <c r="G405" s="80">
        <f t="shared" si="76"/>
        <v>4.0092078324165314E-3</v>
      </c>
      <c r="H405" s="42">
        <f t="shared" si="78"/>
        <v>3413211.9699999997</v>
      </c>
      <c r="I405" s="42">
        <f>I406+I407</f>
        <v>900874.39999999991</v>
      </c>
      <c r="J405" s="42">
        <f>J406+J407</f>
        <v>2278930.98</v>
      </c>
      <c r="K405" s="42">
        <f t="shared" si="77"/>
        <v>4.3958106859675779E-3</v>
      </c>
      <c r="L405" s="80">
        <f t="shared" si="79"/>
        <v>3473946.8299999996</v>
      </c>
    </row>
    <row r="406" spans="1:12" ht="14.85" customHeight="1" x14ac:dyDescent="0.25">
      <c r="A406" s="54" t="s">
        <v>30</v>
      </c>
      <c r="B406" s="48" t="s">
        <v>31</v>
      </c>
      <c r="C406" s="94">
        <v>5187642</v>
      </c>
      <c r="D406" s="94">
        <v>5752877.8099999996</v>
      </c>
      <c r="E406" s="61">
        <f>F406-1419775.04</f>
        <v>919890.79999999981</v>
      </c>
      <c r="F406" s="96">
        <v>2339665.84</v>
      </c>
      <c r="G406" s="50">
        <f t="shared" si="76"/>
        <v>4.0092078324165314E-3</v>
      </c>
      <c r="H406" s="45">
        <f t="shared" si="78"/>
        <v>3413211.9699999997</v>
      </c>
      <c r="I406" s="45">
        <f>J406-1378056.58</f>
        <v>900874.39999999991</v>
      </c>
      <c r="J406" s="94">
        <v>2278930.98</v>
      </c>
      <c r="K406" s="45">
        <f t="shared" si="77"/>
        <v>4.3958106859675779E-3</v>
      </c>
      <c r="L406" s="50">
        <f t="shared" si="79"/>
        <v>3473946.8299999996</v>
      </c>
    </row>
    <row r="407" spans="1:12" ht="14.85" customHeight="1" x14ac:dyDescent="0.25">
      <c r="A407" s="54" t="s">
        <v>32</v>
      </c>
      <c r="B407" s="48" t="s">
        <v>33</v>
      </c>
      <c r="C407" s="45">
        <v>0</v>
      </c>
      <c r="D407" s="45">
        <v>0</v>
      </c>
      <c r="E407" s="61">
        <f>F407-0</f>
        <v>0</v>
      </c>
      <c r="F407" s="45">
        <v>0</v>
      </c>
      <c r="G407" s="50">
        <f t="shared" si="76"/>
        <v>0</v>
      </c>
      <c r="H407" s="45">
        <f t="shared" si="78"/>
        <v>0</v>
      </c>
      <c r="I407" s="45">
        <f>J407-0</f>
        <v>0</v>
      </c>
      <c r="J407" s="45">
        <v>0</v>
      </c>
      <c r="K407" s="45">
        <f t="shared" si="77"/>
        <v>0</v>
      </c>
      <c r="L407" s="50">
        <f t="shared" si="79"/>
        <v>0</v>
      </c>
    </row>
    <row r="408" spans="1:12" ht="14.85" customHeight="1" x14ac:dyDescent="0.2">
      <c r="A408" s="83" t="s">
        <v>238</v>
      </c>
      <c r="B408" s="84" t="s">
        <v>239</v>
      </c>
      <c r="C408" s="42">
        <f>SUM(C409:C410)</f>
        <v>6747485</v>
      </c>
      <c r="D408" s="42">
        <f>SUM(D409:D410)</f>
        <v>6277485</v>
      </c>
      <c r="E408" s="98">
        <f>SUM(E409:E410)</f>
        <v>801399.37999999989</v>
      </c>
      <c r="F408" s="42">
        <f>SUM(F409:F410)</f>
        <v>2760774.8</v>
      </c>
      <c r="G408" s="80">
        <f t="shared" si="76"/>
        <v>4.7308123076662024E-3</v>
      </c>
      <c r="H408" s="42">
        <f t="shared" si="78"/>
        <v>3516710.2</v>
      </c>
      <c r="I408" s="42">
        <f>SUM(I409:I410)</f>
        <v>797752.3899999999</v>
      </c>
      <c r="J408" s="42">
        <f>SUM(J409:J410)</f>
        <v>2334373.7799999998</v>
      </c>
      <c r="K408" s="42">
        <f t="shared" si="77"/>
        <v>4.502753833802605E-3</v>
      </c>
      <c r="L408" s="80">
        <f t="shared" si="79"/>
        <v>3943111.22</v>
      </c>
    </row>
    <row r="409" spans="1:12" ht="14.85" customHeight="1" x14ac:dyDescent="0.25">
      <c r="A409" s="54" t="s">
        <v>30</v>
      </c>
      <c r="B409" s="48" t="s">
        <v>31</v>
      </c>
      <c r="C409" s="94">
        <v>6747485</v>
      </c>
      <c r="D409" s="94">
        <v>6277485</v>
      </c>
      <c r="E409" s="61">
        <f>F409-1959375.42</f>
        <v>801399.37999999989</v>
      </c>
      <c r="F409" s="96">
        <v>2760774.8</v>
      </c>
      <c r="G409" s="50">
        <f t="shared" si="76"/>
        <v>4.7308123076662024E-3</v>
      </c>
      <c r="H409" s="45">
        <f t="shared" si="78"/>
        <v>3516710.2</v>
      </c>
      <c r="I409" s="45">
        <f>J409-1536621.39</f>
        <v>797752.3899999999</v>
      </c>
      <c r="J409" s="94">
        <v>2334373.7799999998</v>
      </c>
      <c r="K409" s="45">
        <f t="shared" si="77"/>
        <v>4.502753833802605E-3</v>
      </c>
      <c r="L409" s="50">
        <f t="shared" si="79"/>
        <v>3943111.22</v>
      </c>
    </row>
    <row r="410" spans="1:12" ht="14.85" customHeight="1" x14ac:dyDescent="0.25">
      <c r="A410" s="54" t="s">
        <v>95</v>
      </c>
      <c r="B410" s="48" t="s">
        <v>96</v>
      </c>
      <c r="C410" s="45">
        <v>0</v>
      </c>
      <c r="D410" s="45">
        <v>0</v>
      </c>
      <c r="E410" s="61">
        <f>F410-0</f>
        <v>0</v>
      </c>
      <c r="F410" s="45">
        <v>0</v>
      </c>
      <c r="G410" s="50">
        <f t="shared" si="76"/>
        <v>0</v>
      </c>
      <c r="H410" s="45">
        <f t="shared" si="78"/>
        <v>0</v>
      </c>
      <c r="I410" s="45">
        <f>J410-0</f>
        <v>0</v>
      </c>
      <c r="J410" s="45">
        <v>0</v>
      </c>
      <c r="K410" s="45">
        <f t="shared" si="77"/>
        <v>0</v>
      </c>
      <c r="L410" s="50">
        <f t="shared" si="79"/>
        <v>0</v>
      </c>
    </row>
    <row r="411" spans="1:12" ht="14.85" customHeight="1" x14ac:dyDescent="0.25">
      <c r="A411" s="83" t="s">
        <v>244</v>
      </c>
      <c r="B411" s="85" t="s">
        <v>245</v>
      </c>
      <c r="C411" s="42">
        <f>SUM(C412:C413)</f>
        <v>36250</v>
      </c>
      <c r="D411" s="42">
        <f>SUM(D412:D413)</f>
        <v>47706</v>
      </c>
      <c r="E411" s="98">
        <f>SUM(E412:E413)</f>
        <v>23770.799999999999</v>
      </c>
      <c r="F411" s="42">
        <f>SUM(F412:F413)</f>
        <v>23770.799999999999</v>
      </c>
      <c r="G411" s="50">
        <f t="shared" si="76"/>
        <v>4.0733200405578814E-5</v>
      </c>
      <c r="H411" s="42">
        <f t="shared" si="78"/>
        <v>23935.200000000001</v>
      </c>
      <c r="I411" s="42">
        <f>J411-0</f>
        <v>0</v>
      </c>
      <c r="J411" s="42">
        <f>SUM(J412:J413)</f>
        <v>0</v>
      </c>
      <c r="K411" s="45">
        <f>(J411/$J$307)*100</f>
        <v>0</v>
      </c>
      <c r="L411" s="80">
        <f t="shared" si="79"/>
        <v>47706</v>
      </c>
    </row>
    <row r="412" spans="1:12" ht="14.85" customHeight="1" x14ac:dyDescent="0.25">
      <c r="A412" s="54" t="s">
        <v>30</v>
      </c>
      <c r="B412" s="48" t="s">
        <v>31</v>
      </c>
      <c r="C412" s="94">
        <v>36250</v>
      </c>
      <c r="D412" s="94">
        <v>47706</v>
      </c>
      <c r="E412" s="61">
        <f>F412-0</f>
        <v>23770.799999999999</v>
      </c>
      <c r="F412" s="45">
        <v>23770.799999999999</v>
      </c>
      <c r="G412" s="50">
        <f t="shared" si="76"/>
        <v>4.0733200405578814E-5</v>
      </c>
      <c r="H412" s="45">
        <f t="shared" si="78"/>
        <v>23935.200000000001</v>
      </c>
      <c r="I412" s="45">
        <f>J412-0</f>
        <v>0</v>
      </c>
      <c r="J412" s="45">
        <v>0</v>
      </c>
      <c r="K412" s="45">
        <f>(J412/$J$307)*100</f>
        <v>0</v>
      </c>
      <c r="L412" s="50">
        <f t="shared" si="79"/>
        <v>47706</v>
      </c>
    </row>
    <row r="413" spans="1:12" ht="14.85" customHeight="1" x14ac:dyDescent="0.25">
      <c r="A413" s="54" t="s">
        <v>32</v>
      </c>
      <c r="B413" s="48" t="s">
        <v>33</v>
      </c>
      <c r="C413" s="45">
        <v>0</v>
      </c>
      <c r="D413" s="45">
        <v>0</v>
      </c>
      <c r="E413" s="61">
        <f>F413-0</f>
        <v>0</v>
      </c>
      <c r="F413" s="45">
        <v>0</v>
      </c>
      <c r="G413" s="50">
        <f t="shared" si="76"/>
        <v>0</v>
      </c>
      <c r="H413" s="45">
        <f t="shared" si="78"/>
        <v>0</v>
      </c>
      <c r="I413" s="45">
        <f>J413-0</f>
        <v>0</v>
      </c>
      <c r="J413" s="45">
        <v>0</v>
      </c>
      <c r="K413" s="45">
        <f>(J413/$J$307)*100</f>
        <v>0</v>
      </c>
      <c r="L413" s="50">
        <f t="shared" si="79"/>
        <v>0</v>
      </c>
    </row>
    <row r="414" spans="1:12" ht="14.85" customHeight="1" x14ac:dyDescent="0.2">
      <c r="A414" s="83" t="s">
        <v>246</v>
      </c>
      <c r="B414" s="84" t="s">
        <v>247</v>
      </c>
      <c r="C414" s="42">
        <f>SUM(C415:C417)</f>
        <v>31506828</v>
      </c>
      <c r="D414" s="42">
        <f>SUM(D415:D417)</f>
        <v>30611036.030000001</v>
      </c>
      <c r="E414" s="98">
        <f>SUM(E415:E417)</f>
        <v>1140024.5</v>
      </c>
      <c r="F414" s="42">
        <f>SUM(F415:F417)</f>
        <v>3693324.38</v>
      </c>
      <c r="G414" s="80">
        <f t="shared" si="76"/>
        <v>6.3288119092899751E-3</v>
      </c>
      <c r="H414" s="42">
        <f t="shared" si="78"/>
        <v>26917711.650000002</v>
      </c>
      <c r="I414" s="42">
        <f>SUM(I415:I417)</f>
        <v>1139650.29</v>
      </c>
      <c r="J414" s="42">
        <f>SUM(J415:J417)</f>
        <v>3434603.33</v>
      </c>
      <c r="K414" s="42">
        <f t="shared" si="77"/>
        <v>6.6249773040839644E-3</v>
      </c>
      <c r="L414" s="80">
        <f t="shared" si="79"/>
        <v>27176432.700000003</v>
      </c>
    </row>
    <row r="415" spans="1:12" ht="14.85" customHeight="1" x14ac:dyDescent="0.25">
      <c r="A415" s="54" t="s">
        <v>30</v>
      </c>
      <c r="B415" s="48" t="s">
        <v>31</v>
      </c>
      <c r="C415" s="94">
        <v>31506828</v>
      </c>
      <c r="D415" s="94">
        <v>30611036.030000001</v>
      </c>
      <c r="E415" s="61">
        <f>F415-2553299.88</f>
        <v>1140024.5</v>
      </c>
      <c r="F415" s="96">
        <v>3693324.38</v>
      </c>
      <c r="G415" s="50">
        <f t="shared" si="76"/>
        <v>6.3288119092899751E-3</v>
      </c>
      <c r="H415" s="45">
        <f t="shared" si="78"/>
        <v>26917711.650000002</v>
      </c>
      <c r="I415" s="45">
        <f>J415-2294953.04</f>
        <v>1139650.29</v>
      </c>
      <c r="J415" s="94">
        <v>3434603.33</v>
      </c>
      <c r="K415" s="45">
        <f t="shared" si="77"/>
        <v>6.6249773040839644E-3</v>
      </c>
      <c r="L415" s="50">
        <f t="shared" si="79"/>
        <v>27176432.700000003</v>
      </c>
    </row>
    <row r="416" spans="1:12" ht="14.85" customHeight="1" x14ac:dyDescent="0.25">
      <c r="A416" s="54" t="s">
        <v>112</v>
      </c>
      <c r="B416" s="48" t="s">
        <v>113</v>
      </c>
      <c r="C416" s="45">
        <v>0</v>
      </c>
      <c r="D416" s="45">
        <v>0</v>
      </c>
      <c r="E416" s="61">
        <f>F416-0</f>
        <v>0</v>
      </c>
      <c r="F416" s="45">
        <v>0</v>
      </c>
      <c r="G416" s="80">
        <f t="shared" si="76"/>
        <v>0</v>
      </c>
      <c r="H416" s="45">
        <f t="shared" si="78"/>
        <v>0</v>
      </c>
      <c r="I416" s="45">
        <f>J416-0</f>
        <v>0</v>
      </c>
      <c r="J416" s="45">
        <v>0</v>
      </c>
      <c r="K416" s="45">
        <f t="shared" si="77"/>
        <v>0</v>
      </c>
      <c r="L416" s="50">
        <f t="shared" si="79"/>
        <v>0</v>
      </c>
    </row>
    <row r="417" spans="1:12" ht="14.85" customHeight="1" x14ac:dyDescent="0.25">
      <c r="A417" s="54" t="s">
        <v>79</v>
      </c>
      <c r="B417" s="44" t="s">
        <v>80</v>
      </c>
      <c r="C417" s="45">
        <v>0</v>
      </c>
      <c r="D417" s="45">
        <v>0</v>
      </c>
      <c r="E417" s="61">
        <f>F417-0</f>
        <v>0</v>
      </c>
      <c r="F417" s="45">
        <v>0</v>
      </c>
      <c r="G417" s="80">
        <f t="shared" si="76"/>
        <v>0</v>
      </c>
      <c r="H417" s="45">
        <f t="shared" si="78"/>
        <v>0</v>
      </c>
      <c r="I417" s="45">
        <f>J417-0</f>
        <v>0</v>
      </c>
      <c r="J417" s="45">
        <v>0</v>
      </c>
      <c r="K417" s="45">
        <f t="shared" si="77"/>
        <v>0</v>
      </c>
      <c r="L417" s="50">
        <f t="shared" si="79"/>
        <v>0</v>
      </c>
    </row>
    <row r="418" spans="1:12" ht="14.85" customHeight="1" x14ac:dyDescent="0.2">
      <c r="A418" s="83" t="s">
        <v>248</v>
      </c>
      <c r="B418" s="84" t="s">
        <v>249</v>
      </c>
      <c r="C418" s="42">
        <f>SUM(C419:C420)</f>
        <v>1197083</v>
      </c>
      <c r="D418" s="42">
        <f>SUM(D419:D420)</f>
        <v>1495136.5</v>
      </c>
      <c r="E418" s="98">
        <f>SUM(E419:E420)</f>
        <v>278749.64999999997</v>
      </c>
      <c r="F418" s="42">
        <f>SUM(F419:F420)</f>
        <v>738908.27</v>
      </c>
      <c r="G418" s="80">
        <f t="shared" si="76"/>
        <v>1.2661794572858104E-3</v>
      </c>
      <c r="H418" s="42">
        <f t="shared" si="78"/>
        <v>756228.23</v>
      </c>
      <c r="I418" s="42">
        <f>SUM(I419:I420)</f>
        <v>252018.63000000006</v>
      </c>
      <c r="J418" s="42">
        <f>SUM(J419:J420)</f>
        <v>653208.74</v>
      </c>
      <c r="K418" s="42">
        <f t="shared" si="77"/>
        <v>1.2599688119819309E-3</v>
      </c>
      <c r="L418" s="80">
        <f t="shared" si="79"/>
        <v>841927.76</v>
      </c>
    </row>
    <row r="419" spans="1:12" ht="14.85" customHeight="1" x14ac:dyDescent="0.25">
      <c r="A419" s="54" t="s">
        <v>30</v>
      </c>
      <c r="B419" s="48" t="s">
        <v>31</v>
      </c>
      <c r="C419" s="94">
        <v>847083</v>
      </c>
      <c r="D419" s="94">
        <v>1135826.5</v>
      </c>
      <c r="E419" s="61">
        <f>F419-381455.46</f>
        <v>198749.64999999997</v>
      </c>
      <c r="F419" s="96">
        <v>580205.11</v>
      </c>
      <c r="G419" s="50">
        <f t="shared" si="76"/>
        <v>9.942286764421434E-4</v>
      </c>
      <c r="H419" s="45">
        <f t="shared" si="78"/>
        <v>555621.39</v>
      </c>
      <c r="I419" s="45">
        <f>J419-326324.23</f>
        <v>196645.30000000005</v>
      </c>
      <c r="J419" s="94">
        <v>522969.53</v>
      </c>
      <c r="K419" s="45">
        <f t="shared" si="77"/>
        <v>1.0087515017279908E-3</v>
      </c>
      <c r="L419" s="50">
        <f t="shared" si="79"/>
        <v>612856.97</v>
      </c>
    </row>
    <row r="420" spans="1:12" ht="14.85" customHeight="1" x14ac:dyDescent="0.25">
      <c r="A420" s="54" t="s">
        <v>132</v>
      </c>
      <c r="B420" s="48" t="s">
        <v>133</v>
      </c>
      <c r="C420" s="94">
        <v>350000</v>
      </c>
      <c r="D420" s="94">
        <v>359310</v>
      </c>
      <c r="E420" s="61">
        <f>F420-78703.16</f>
        <v>80000</v>
      </c>
      <c r="F420" s="96">
        <v>158703.16</v>
      </c>
      <c r="G420" s="50">
        <f t="shared" si="76"/>
        <v>2.7195078084366704E-4</v>
      </c>
      <c r="H420" s="45">
        <f t="shared" si="78"/>
        <v>200606.84</v>
      </c>
      <c r="I420" s="45">
        <f>J420-74865.88</f>
        <v>55373.33</v>
      </c>
      <c r="J420" s="94">
        <v>130239.21</v>
      </c>
      <c r="K420" s="45">
        <f t="shared" si="77"/>
        <v>2.5121731025393997E-4</v>
      </c>
      <c r="L420" s="50">
        <f t="shared" si="79"/>
        <v>229070.78999999998</v>
      </c>
    </row>
    <row r="421" spans="1:12" ht="14.85" customHeight="1" x14ac:dyDescent="0.2">
      <c r="A421" s="83" t="s">
        <v>254</v>
      </c>
      <c r="B421" s="84" t="s">
        <v>255</v>
      </c>
      <c r="C421" s="42">
        <f>SUM(C422:C423)</f>
        <v>386615868</v>
      </c>
      <c r="D421" s="42">
        <f>SUM(D422:D423)</f>
        <v>922338856.44000006</v>
      </c>
      <c r="E421" s="98">
        <f>SUM(E422:E423)</f>
        <v>493121329.85000002</v>
      </c>
      <c r="F421" s="42">
        <f>SUM(F422:F423)</f>
        <v>652132487.25</v>
      </c>
      <c r="G421" s="80">
        <f t="shared" si="76"/>
        <v>1.1174820912271706</v>
      </c>
      <c r="H421" s="42">
        <f t="shared" si="78"/>
        <v>270206369.19000006</v>
      </c>
      <c r="I421" s="42">
        <f>SUM(I422:I423)</f>
        <v>454365509.76999998</v>
      </c>
      <c r="J421" s="42">
        <f>SUM(J422:J423)</f>
        <v>613376667.16999996</v>
      </c>
      <c r="K421" s="42">
        <f t="shared" si="77"/>
        <v>1.1831370637074161</v>
      </c>
      <c r="L421" s="80">
        <f t="shared" si="79"/>
        <v>308962189.2700001</v>
      </c>
    </row>
    <row r="422" spans="1:12" ht="14.85" customHeight="1" x14ac:dyDescent="0.25">
      <c r="A422" s="54" t="s">
        <v>61</v>
      </c>
      <c r="B422" s="48" t="s">
        <v>62</v>
      </c>
      <c r="C422" s="94">
        <v>386615868</v>
      </c>
      <c r="D422" s="94">
        <v>922338856.44000006</v>
      </c>
      <c r="E422" s="61">
        <f>F422-159011157.4</f>
        <v>493121329.85000002</v>
      </c>
      <c r="F422" s="96">
        <v>652132487.25</v>
      </c>
      <c r="G422" s="50">
        <f t="shared" si="76"/>
        <v>1.1174820912271706</v>
      </c>
      <c r="H422" s="45">
        <f t="shared" si="78"/>
        <v>270206369.19000006</v>
      </c>
      <c r="I422" s="45">
        <f>J422-159011157.4</f>
        <v>454365509.76999998</v>
      </c>
      <c r="J422" s="94">
        <v>613376667.16999996</v>
      </c>
      <c r="K422" s="45">
        <f t="shared" si="77"/>
        <v>1.1831370637074161</v>
      </c>
      <c r="L422" s="50">
        <f t="shared" si="79"/>
        <v>308962189.2700001</v>
      </c>
    </row>
    <row r="423" spans="1:12" ht="14.85" customHeight="1" x14ac:dyDescent="0.25">
      <c r="A423" s="43" t="s">
        <v>262</v>
      </c>
      <c r="B423" s="44" t="s">
        <v>263</v>
      </c>
      <c r="C423" s="45">
        <v>0</v>
      </c>
      <c r="D423" s="45">
        <v>0</v>
      </c>
      <c r="E423" s="61">
        <f>F423-0</f>
        <v>0</v>
      </c>
      <c r="F423" s="45">
        <v>0</v>
      </c>
      <c r="G423" s="50">
        <f t="shared" si="76"/>
        <v>0</v>
      </c>
      <c r="H423" s="45">
        <f t="shared" si="78"/>
        <v>0</v>
      </c>
      <c r="I423" s="45">
        <f>J423-0</f>
        <v>0</v>
      </c>
      <c r="J423" s="45">
        <v>0</v>
      </c>
      <c r="K423" s="45">
        <f t="shared" si="77"/>
        <v>0</v>
      </c>
      <c r="L423" s="50">
        <f t="shared" si="79"/>
        <v>0</v>
      </c>
    </row>
    <row r="424" spans="1:12" ht="14.85" customHeight="1" x14ac:dyDescent="0.25">
      <c r="A424" s="86" t="s">
        <v>264</v>
      </c>
      <c r="B424" s="87" t="s">
        <v>265</v>
      </c>
      <c r="C424" s="88">
        <v>0</v>
      </c>
      <c r="D424" s="88">
        <v>0</v>
      </c>
      <c r="E424" s="106"/>
      <c r="F424" s="89"/>
      <c r="G424" s="89"/>
      <c r="H424" s="88">
        <f t="shared" si="78"/>
        <v>0</v>
      </c>
      <c r="I424" s="89"/>
      <c r="J424" s="89"/>
      <c r="K424" s="89"/>
      <c r="L424" s="90">
        <f t="shared" si="79"/>
        <v>0</v>
      </c>
    </row>
    <row r="425" spans="1:12" ht="15.75" x14ac:dyDescent="0.25">
      <c r="A425" s="39" t="s">
        <v>277</v>
      </c>
      <c r="B425" s="22"/>
      <c r="C425" s="22"/>
      <c r="D425" s="22"/>
      <c r="E425" s="3"/>
      <c r="F425" s="36"/>
      <c r="G425" s="33"/>
      <c r="H425" s="22"/>
      <c r="I425" s="22"/>
      <c r="J425" s="22"/>
      <c r="K425" s="22"/>
      <c r="L425" s="55" t="s">
        <v>278</v>
      </c>
    </row>
    <row r="426" spans="1:12" ht="15.75" x14ac:dyDescent="0.25">
      <c r="A426" s="39" t="s">
        <v>279</v>
      </c>
      <c r="B426" s="22"/>
      <c r="C426" s="22"/>
      <c r="D426" s="22"/>
      <c r="E426" s="3"/>
      <c r="F426" s="22"/>
      <c r="G426" s="22"/>
      <c r="H426" s="22"/>
      <c r="I426" s="36"/>
      <c r="J426" s="22"/>
      <c r="K426" s="22"/>
      <c r="L426" s="22"/>
    </row>
    <row r="427" spans="1:12" ht="15.75" x14ac:dyDescent="0.25">
      <c r="A427" s="39" t="s">
        <v>280</v>
      </c>
      <c r="B427" s="22"/>
      <c r="C427" s="22"/>
      <c r="D427" s="22"/>
      <c r="E427" s="3"/>
      <c r="F427" s="22"/>
      <c r="G427" s="22"/>
      <c r="H427" s="22"/>
      <c r="I427" s="22"/>
      <c r="J427" s="36"/>
      <c r="K427" s="22"/>
      <c r="L427" s="22"/>
    </row>
    <row r="428" spans="1:12" ht="15.75" x14ac:dyDescent="0.25">
      <c r="A428" s="39"/>
      <c r="B428" s="22"/>
      <c r="C428" s="22"/>
      <c r="D428" s="22"/>
      <c r="E428" s="3"/>
      <c r="F428" s="22"/>
      <c r="G428" s="22"/>
      <c r="H428" s="22"/>
      <c r="I428" s="22"/>
      <c r="J428" s="22"/>
      <c r="K428" s="22"/>
      <c r="L428" s="22"/>
    </row>
    <row r="429" spans="1:12" ht="15.75" x14ac:dyDescent="0.25">
      <c r="A429" s="39"/>
      <c r="B429" s="22"/>
      <c r="C429" s="68"/>
      <c r="D429" s="68"/>
      <c r="E429" s="111"/>
      <c r="F429" s="68"/>
      <c r="G429" s="68"/>
      <c r="H429" s="68"/>
      <c r="I429" s="68"/>
      <c r="J429" s="68"/>
      <c r="K429" s="68"/>
      <c r="L429" s="68"/>
    </row>
    <row r="430" spans="1:12" ht="15.75" x14ac:dyDescent="0.25">
      <c r="A430" s="39"/>
      <c r="B430" s="22"/>
      <c r="C430" s="22"/>
      <c r="D430" s="22"/>
      <c r="E430" s="3"/>
      <c r="F430" s="22"/>
      <c r="G430" s="22"/>
      <c r="H430" s="22"/>
      <c r="I430" s="22"/>
      <c r="J430" s="22"/>
      <c r="K430" s="22"/>
      <c r="L430" s="22"/>
    </row>
    <row r="431" spans="1:12" ht="15.75" x14ac:dyDescent="0.25">
      <c r="A431" s="39"/>
      <c r="B431" s="22"/>
      <c r="C431" s="68"/>
      <c r="D431" s="68"/>
      <c r="E431" s="111"/>
      <c r="F431" s="68"/>
      <c r="G431" s="68"/>
      <c r="H431" s="68"/>
      <c r="I431" s="68"/>
      <c r="J431" s="68"/>
      <c r="K431" s="68"/>
      <c r="L431" s="68"/>
    </row>
    <row r="432" spans="1:12" ht="15.75" x14ac:dyDescent="0.25">
      <c r="A432" s="39"/>
      <c r="B432" s="22"/>
      <c r="C432" s="68"/>
      <c r="D432" s="68"/>
      <c r="E432" s="111"/>
      <c r="F432" s="68"/>
      <c r="G432" s="68"/>
      <c r="H432" s="68"/>
      <c r="I432" s="68"/>
      <c r="J432" s="68"/>
      <c r="K432" s="68"/>
      <c r="L432" s="68"/>
    </row>
    <row r="433" spans="1:13" ht="15.75" x14ac:dyDescent="0.25">
      <c r="A433" s="39"/>
      <c r="B433" s="22"/>
      <c r="C433" s="68"/>
      <c r="D433" s="68"/>
      <c r="E433" s="111"/>
      <c r="F433" s="68"/>
      <c r="G433" s="68"/>
      <c r="H433" s="68"/>
      <c r="I433" s="68"/>
      <c r="J433" s="68"/>
      <c r="K433" s="68"/>
      <c r="L433" s="68"/>
    </row>
    <row r="434" spans="1:13" ht="15.75" x14ac:dyDescent="0.25">
      <c r="A434" s="39"/>
      <c r="B434" s="22"/>
      <c r="C434" s="22"/>
      <c r="D434" s="22"/>
      <c r="E434" s="3"/>
      <c r="F434" s="22"/>
      <c r="G434" s="22"/>
      <c r="H434" s="22"/>
      <c r="I434" s="22"/>
      <c r="J434" s="22"/>
      <c r="K434" s="22"/>
      <c r="L434" s="22"/>
    </row>
    <row r="435" spans="1:13" ht="15.75" x14ac:dyDescent="0.25">
      <c r="A435" s="26"/>
      <c r="B435" s="22"/>
      <c r="C435" s="22"/>
      <c r="D435" s="22"/>
      <c r="E435" s="108"/>
      <c r="F435" s="22"/>
      <c r="G435" s="22"/>
      <c r="H435" s="22"/>
      <c r="I435" s="36"/>
      <c r="J435" s="22"/>
      <c r="K435" s="22"/>
      <c r="L435" s="22"/>
      <c r="M435" s="92"/>
    </row>
    <row r="436" spans="1:13" x14ac:dyDescent="0.2">
      <c r="A436" s="34"/>
      <c r="B436" s="31"/>
      <c r="C436" s="31"/>
      <c r="D436" s="31"/>
      <c r="F436" s="31"/>
      <c r="G436" s="31"/>
      <c r="H436" s="31"/>
      <c r="I436" s="31"/>
      <c r="J436" s="31"/>
      <c r="K436" s="31"/>
      <c r="L436" s="31"/>
      <c r="M436" s="92"/>
    </row>
    <row r="437" spans="1:13" x14ac:dyDescent="0.2">
      <c r="A437" s="34"/>
      <c r="B437" s="31"/>
      <c r="C437" s="31"/>
      <c r="D437" s="31"/>
      <c r="F437" s="31"/>
      <c r="G437" s="31"/>
      <c r="H437" s="31"/>
      <c r="I437" s="31"/>
      <c r="J437" s="31"/>
      <c r="K437" s="31"/>
      <c r="L437" s="31"/>
      <c r="M437" s="92"/>
    </row>
    <row r="438" spans="1:13" ht="15.75" x14ac:dyDescent="0.25">
      <c r="A438" s="112" t="s">
        <v>281</v>
      </c>
      <c r="B438" s="112"/>
      <c r="C438" s="113" t="s">
        <v>282</v>
      </c>
      <c r="D438" s="113"/>
      <c r="E438" s="113"/>
      <c r="F438" s="113"/>
      <c r="G438" s="113"/>
      <c r="H438" s="113"/>
      <c r="I438" s="113" t="s">
        <v>283</v>
      </c>
      <c r="J438" s="113"/>
      <c r="K438" s="113"/>
      <c r="L438" s="113"/>
      <c r="M438" s="92"/>
    </row>
    <row r="439" spans="1:13" ht="15.75" x14ac:dyDescent="0.25">
      <c r="A439" s="112" t="s">
        <v>284</v>
      </c>
      <c r="B439" s="112"/>
      <c r="C439" s="113" t="s">
        <v>285</v>
      </c>
      <c r="D439" s="113"/>
      <c r="E439" s="113"/>
      <c r="F439" s="113"/>
      <c r="G439" s="113"/>
      <c r="H439" s="113"/>
      <c r="I439" s="116" t="s">
        <v>286</v>
      </c>
      <c r="J439" s="116"/>
      <c r="K439" s="116"/>
      <c r="L439" s="116"/>
      <c r="M439" s="92"/>
    </row>
    <row r="440" spans="1:13" ht="15.75" x14ac:dyDescent="0.25">
      <c r="A440" s="112" t="s">
        <v>287</v>
      </c>
      <c r="B440" s="112"/>
      <c r="C440" s="113" t="s">
        <v>288</v>
      </c>
      <c r="D440" s="113"/>
      <c r="E440" s="113"/>
      <c r="F440" s="113"/>
      <c r="G440" s="113"/>
      <c r="H440" s="113"/>
      <c r="I440" s="113" t="s">
        <v>289</v>
      </c>
      <c r="J440" s="113"/>
      <c r="K440" s="113"/>
      <c r="L440" s="113"/>
      <c r="M440" s="92"/>
    </row>
    <row r="441" spans="1:13" x14ac:dyDescent="0.2">
      <c r="A441" s="34"/>
      <c r="B441" s="31"/>
      <c r="C441" s="31"/>
      <c r="D441" s="31"/>
      <c r="F441" s="31"/>
      <c r="G441" s="31"/>
      <c r="H441" s="31"/>
      <c r="I441" s="31"/>
      <c r="J441" s="31"/>
      <c r="K441" s="31"/>
      <c r="L441" s="31"/>
      <c r="M441" s="92"/>
    </row>
    <row r="442" spans="1:13" x14ac:dyDescent="0.2">
      <c r="A442" s="34"/>
      <c r="B442" s="31"/>
      <c r="C442" s="31"/>
      <c r="D442" s="31"/>
      <c r="F442" s="31"/>
      <c r="G442" s="31"/>
      <c r="H442" s="31"/>
      <c r="I442" s="31"/>
      <c r="J442" s="31"/>
      <c r="K442" s="31"/>
      <c r="L442" s="31"/>
      <c r="M442" s="92"/>
    </row>
    <row r="443" spans="1:13" x14ac:dyDescent="0.2">
      <c r="A443" s="31"/>
      <c r="B443" s="31"/>
      <c r="C443" s="31"/>
      <c r="D443" s="31"/>
      <c r="F443" s="31"/>
      <c r="G443" s="31"/>
      <c r="H443" s="31"/>
      <c r="I443" s="31"/>
      <c r="J443" s="31"/>
      <c r="K443" s="31"/>
      <c r="L443" s="31"/>
    </row>
    <row r="444" spans="1:13" x14ac:dyDescent="0.2">
      <c r="A444" s="31"/>
      <c r="B444" s="31"/>
      <c r="C444" s="31"/>
      <c r="D444" s="31"/>
      <c r="F444" s="31"/>
      <c r="G444" s="31"/>
      <c r="H444" s="31"/>
      <c r="I444" s="31"/>
      <c r="J444" s="31"/>
      <c r="K444" s="31"/>
      <c r="L444" s="31"/>
    </row>
    <row r="445" spans="1:13" x14ac:dyDescent="0.2">
      <c r="A445" s="31"/>
      <c r="B445" s="31"/>
      <c r="C445" s="93"/>
      <c r="D445" s="93"/>
      <c r="E445" s="107"/>
      <c r="F445" s="93"/>
      <c r="G445" s="93"/>
      <c r="H445" s="93"/>
      <c r="I445" s="93"/>
      <c r="J445" s="93"/>
      <c r="K445" s="93"/>
      <c r="L445" s="93"/>
    </row>
    <row r="446" spans="1:13" ht="15" x14ac:dyDescent="0.25">
      <c r="A446" s="38"/>
      <c r="B446" s="30"/>
      <c r="C446" s="30"/>
      <c r="D446" s="30"/>
      <c r="E446" s="5"/>
      <c r="F446" s="30"/>
      <c r="G446" s="30"/>
      <c r="H446" s="30"/>
      <c r="I446" s="30"/>
      <c r="J446" s="30"/>
      <c r="K446" s="30"/>
      <c r="L446" s="30"/>
    </row>
    <row r="447" spans="1:13" x14ac:dyDescent="0.2">
      <c r="A447" s="34"/>
      <c r="B447" s="31"/>
      <c r="C447" s="63"/>
      <c r="D447" s="63"/>
      <c r="E447" s="110"/>
      <c r="F447" s="63"/>
      <c r="G447" s="63"/>
      <c r="H447" s="63"/>
      <c r="I447" s="63"/>
      <c r="J447" s="63"/>
      <c r="K447" s="63"/>
      <c r="L447" s="63"/>
    </row>
    <row r="448" spans="1:13" x14ac:dyDescent="0.2">
      <c r="A448" s="34"/>
      <c r="B448" s="31"/>
      <c r="C448" s="31"/>
      <c r="D448" s="31"/>
      <c r="F448" s="31"/>
      <c r="G448" s="31"/>
      <c r="H448" s="31"/>
      <c r="I448" s="31"/>
      <c r="J448" s="31"/>
      <c r="K448" s="31"/>
      <c r="L448" s="31"/>
    </row>
    <row r="449" spans="1:12" x14ac:dyDescent="0.2">
      <c r="A449" s="34"/>
      <c r="B449" s="31"/>
      <c r="C449" s="31"/>
      <c r="D449" s="31"/>
      <c r="F449" s="31"/>
      <c r="G449" s="31"/>
      <c r="H449" s="31"/>
      <c r="I449" s="31"/>
      <c r="J449" s="31"/>
      <c r="K449" s="31"/>
      <c r="L449" s="31"/>
    </row>
    <row r="450" spans="1:12" x14ac:dyDescent="0.2">
      <c r="A450" s="34"/>
      <c r="B450" s="31"/>
      <c r="C450" s="31"/>
      <c r="D450" s="31"/>
      <c r="F450" s="31"/>
      <c r="G450" s="31"/>
      <c r="H450" s="31"/>
      <c r="I450" s="31"/>
      <c r="J450" s="31"/>
      <c r="K450" s="31"/>
      <c r="L450" s="31"/>
    </row>
    <row r="451" spans="1:12" x14ac:dyDescent="0.2">
      <c r="A451" s="34"/>
      <c r="B451" s="31"/>
      <c r="C451" s="31"/>
      <c r="D451" s="31"/>
      <c r="F451" s="31"/>
      <c r="G451" s="31"/>
      <c r="H451" s="31"/>
      <c r="I451" s="31"/>
      <c r="J451" s="31"/>
      <c r="K451" s="31"/>
      <c r="L451" s="31"/>
    </row>
    <row r="452" spans="1:12" x14ac:dyDescent="0.2">
      <c r="A452" s="34"/>
      <c r="B452" s="31"/>
      <c r="C452" s="31"/>
      <c r="D452" s="31"/>
      <c r="F452" s="31"/>
      <c r="G452" s="31"/>
      <c r="H452" s="31"/>
      <c r="I452" s="31"/>
      <c r="J452" s="31"/>
      <c r="K452" s="31"/>
      <c r="L452" s="31"/>
    </row>
    <row r="453" spans="1:12" x14ac:dyDescent="0.2">
      <c r="A453" s="34"/>
      <c r="B453" s="31"/>
      <c r="C453" s="31"/>
      <c r="D453" s="31"/>
      <c r="F453" s="31"/>
      <c r="G453" s="31"/>
      <c r="H453" s="31"/>
      <c r="I453" s="31"/>
      <c r="J453" s="31"/>
      <c r="K453" s="31"/>
      <c r="L453" s="31"/>
    </row>
    <row r="454" spans="1:12" x14ac:dyDescent="0.2">
      <c r="A454" s="34"/>
      <c r="B454" s="31"/>
      <c r="C454" s="31"/>
      <c r="D454" s="31"/>
      <c r="F454" s="31"/>
      <c r="G454" s="31"/>
      <c r="H454" s="31"/>
      <c r="I454" s="31"/>
      <c r="J454" s="31"/>
      <c r="K454" s="31"/>
      <c r="L454" s="31"/>
    </row>
    <row r="455" spans="1:12" x14ac:dyDescent="0.2">
      <c r="A455" s="34"/>
      <c r="B455" s="31"/>
      <c r="C455" s="31"/>
      <c r="D455" s="31"/>
      <c r="F455" s="31"/>
      <c r="G455" s="31"/>
      <c r="H455" s="31"/>
      <c r="I455" s="31"/>
      <c r="J455" s="31"/>
      <c r="K455" s="31"/>
      <c r="L455" s="31"/>
    </row>
    <row r="456" spans="1:12" x14ac:dyDescent="0.2">
      <c r="A456" s="34"/>
      <c r="B456" s="31"/>
      <c r="C456" s="31"/>
      <c r="D456" s="31"/>
      <c r="F456" s="31"/>
      <c r="G456" s="31"/>
      <c r="H456" s="31"/>
      <c r="I456" s="31"/>
      <c r="J456" s="31"/>
      <c r="K456" s="31"/>
      <c r="L456" s="31"/>
    </row>
    <row r="457" spans="1:12" x14ac:dyDescent="0.2">
      <c r="A457" s="34"/>
      <c r="B457" s="31"/>
      <c r="C457" s="31"/>
      <c r="D457" s="31"/>
      <c r="F457" s="31"/>
      <c r="G457" s="31"/>
      <c r="H457" s="31"/>
      <c r="I457" s="31"/>
      <c r="J457" s="31"/>
      <c r="K457" s="31"/>
      <c r="L457" s="31"/>
    </row>
    <row r="458" spans="1:12" x14ac:dyDescent="0.2">
      <c r="A458" s="34"/>
      <c r="B458" s="31"/>
      <c r="C458" s="31"/>
      <c r="D458" s="31"/>
      <c r="F458" s="31"/>
      <c r="G458" s="31"/>
      <c r="H458" s="31"/>
      <c r="I458" s="31"/>
      <c r="J458" s="31"/>
      <c r="K458" s="31"/>
      <c r="L458" s="31"/>
    </row>
    <row r="459" spans="1:12" x14ac:dyDescent="0.2">
      <c r="A459" s="34"/>
      <c r="B459" s="31"/>
      <c r="C459" s="31"/>
      <c r="D459" s="31"/>
      <c r="F459" s="31"/>
      <c r="G459" s="31"/>
      <c r="H459" s="31"/>
      <c r="I459" s="31"/>
      <c r="J459" s="31"/>
      <c r="K459" s="31"/>
      <c r="L459" s="31"/>
    </row>
    <row r="460" spans="1:12" x14ac:dyDescent="0.2">
      <c r="A460" s="34"/>
      <c r="B460" s="31"/>
      <c r="C460" s="31"/>
      <c r="D460" s="31"/>
      <c r="F460" s="31"/>
      <c r="G460" s="31"/>
      <c r="H460" s="31"/>
      <c r="I460" s="31"/>
      <c r="J460" s="31"/>
      <c r="K460" s="31"/>
      <c r="L460" s="31"/>
    </row>
    <row r="461" spans="1:12" x14ac:dyDescent="0.2">
      <c r="A461" s="34"/>
      <c r="B461" s="31"/>
      <c r="C461" s="31"/>
      <c r="D461" s="31"/>
      <c r="F461" s="31"/>
      <c r="G461" s="31"/>
      <c r="H461" s="31"/>
      <c r="I461" s="31"/>
      <c r="J461" s="31"/>
      <c r="K461" s="31"/>
      <c r="L461" s="31"/>
    </row>
    <row r="462" spans="1:12" x14ac:dyDescent="0.2">
      <c r="A462" s="34"/>
      <c r="B462" s="31"/>
      <c r="C462" s="31"/>
      <c r="D462" s="31"/>
      <c r="F462" s="31"/>
      <c r="G462" s="31"/>
      <c r="H462" s="31"/>
      <c r="I462" s="31"/>
      <c r="J462" s="31"/>
      <c r="K462" s="31"/>
      <c r="L462" s="31"/>
    </row>
    <row r="463" spans="1:12" x14ac:dyDescent="0.2">
      <c r="A463" s="34"/>
      <c r="B463" s="31"/>
      <c r="C463" s="31"/>
      <c r="D463" s="31"/>
      <c r="F463" s="31"/>
      <c r="G463" s="31"/>
      <c r="H463" s="31"/>
      <c r="I463" s="31"/>
      <c r="J463" s="31"/>
      <c r="K463" s="31"/>
      <c r="L463" s="31"/>
    </row>
    <row r="464" spans="1:12" x14ac:dyDescent="0.2">
      <c r="A464" s="34"/>
      <c r="B464" s="31"/>
      <c r="C464" s="31"/>
      <c r="D464" s="31"/>
      <c r="F464" s="31"/>
      <c r="G464" s="31"/>
      <c r="H464" s="31"/>
      <c r="I464" s="31"/>
      <c r="J464" s="31"/>
      <c r="K464" s="31"/>
      <c r="L464" s="31"/>
    </row>
    <row r="465" spans="1:12" x14ac:dyDescent="0.2">
      <c r="A465" s="34"/>
      <c r="B465" s="31"/>
      <c r="C465" s="31"/>
      <c r="D465" s="31"/>
      <c r="F465" s="31"/>
      <c r="G465" s="31"/>
      <c r="H465" s="31"/>
      <c r="I465" s="31"/>
      <c r="J465" s="31"/>
      <c r="K465" s="31"/>
      <c r="L465" s="31"/>
    </row>
    <row r="466" spans="1:12" x14ac:dyDescent="0.2">
      <c r="A466" s="34"/>
      <c r="B466" s="31"/>
      <c r="C466" s="31"/>
      <c r="D466" s="31"/>
      <c r="F466" s="31"/>
      <c r="G466" s="31"/>
      <c r="H466" s="31"/>
      <c r="I466" s="31"/>
      <c r="J466" s="31"/>
      <c r="K466" s="31"/>
      <c r="L466" s="31"/>
    </row>
    <row r="467" spans="1:12" x14ac:dyDescent="0.2">
      <c r="A467" s="34"/>
      <c r="B467" s="31"/>
      <c r="C467" s="31"/>
      <c r="D467" s="31"/>
      <c r="F467" s="31"/>
      <c r="G467" s="31"/>
      <c r="H467" s="31"/>
      <c r="I467" s="31"/>
      <c r="J467" s="31"/>
      <c r="K467" s="31"/>
      <c r="L467" s="31"/>
    </row>
    <row r="468" spans="1:12" x14ac:dyDescent="0.2">
      <c r="A468" s="34"/>
      <c r="B468" s="31"/>
      <c r="C468" s="31"/>
      <c r="D468" s="31"/>
      <c r="F468" s="31"/>
      <c r="G468" s="31"/>
      <c r="H468" s="31"/>
      <c r="I468" s="31"/>
      <c r="J468" s="31"/>
      <c r="K468" s="31"/>
      <c r="L468" s="31"/>
    </row>
    <row r="469" spans="1:12" x14ac:dyDescent="0.2">
      <c r="A469" s="34"/>
      <c r="B469" s="31"/>
      <c r="C469" s="31"/>
      <c r="D469" s="31"/>
      <c r="F469" s="31"/>
      <c r="G469" s="31"/>
      <c r="H469" s="31"/>
      <c r="I469" s="31"/>
      <c r="J469" s="31"/>
      <c r="K469" s="31"/>
      <c r="L469" s="31"/>
    </row>
    <row r="470" spans="1:12" x14ac:dyDescent="0.2">
      <c r="A470" s="34"/>
      <c r="B470" s="31"/>
      <c r="C470" s="31"/>
      <c r="D470" s="31"/>
      <c r="F470" s="31"/>
      <c r="G470" s="31"/>
      <c r="H470" s="31"/>
      <c r="I470" s="31"/>
      <c r="J470" s="31"/>
      <c r="K470" s="31"/>
      <c r="L470" s="31"/>
    </row>
    <row r="471" spans="1:12" x14ac:dyDescent="0.2">
      <c r="A471" s="34"/>
      <c r="B471" s="31"/>
      <c r="C471" s="31"/>
      <c r="D471" s="31"/>
      <c r="F471" s="31"/>
      <c r="G471" s="31"/>
      <c r="H471" s="31"/>
      <c r="I471" s="31"/>
      <c r="J471" s="31"/>
      <c r="K471" s="31"/>
      <c r="L471" s="31"/>
    </row>
    <row r="472" spans="1:12" x14ac:dyDescent="0.2">
      <c r="A472" s="34"/>
      <c r="B472" s="31"/>
      <c r="C472" s="31"/>
      <c r="D472" s="31"/>
      <c r="F472" s="31"/>
      <c r="G472" s="31"/>
      <c r="H472" s="31"/>
      <c r="I472" s="31"/>
      <c r="J472" s="31"/>
      <c r="K472" s="31"/>
      <c r="L472" s="31"/>
    </row>
    <row r="473" spans="1:12" x14ac:dyDescent="0.2">
      <c r="A473" s="34"/>
      <c r="B473" s="31"/>
      <c r="C473" s="31"/>
      <c r="D473" s="31"/>
      <c r="F473" s="31"/>
      <c r="G473" s="31"/>
      <c r="H473" s="31"/>
      <c r="I473" s="31"/>
      <c r="J473" s="31"/>
      <c r="K473" s="31"/>
      <c r="L473" s="31"/>
    </row>
    <row r="474" spans="1:12" x14ac:dyDescent="0.2">
      <c r="A474" s="34"/>
      <c r="B474" s="31"/>
      <c r="C474" s="31"/>
      <c r="D474" s="31"/>
      <c r="F474" s="31"/>
      <c r="G474" s="31"/>
      <c r="H474" s="31"/>
      <c r="I474" s="31"/>
      <c r="J474" s="31"/>
      <c r="K474" s="31"/>
      <c r="L474" s="31"/>
    </row>
    <row r="475" spans="1:12" x14ac:dyDescent="0.2">
      <c r="A475" s="34"/>
      <c r="B475" s="31"/>
      <c r="C475" s="31"/>
      <c r="D475" s="31"/>
      <c r="F475" s="31"/>
      <c r="G475" s="31"/>
      <c r="H475" s="31"/>
      <c r="I475" s="31"/>
      <c r="J475" s="31"/>
      <c r="K475" s="31"/>
      <c r="L475" s="31"/>
    </row>
    <row r="476" spans="1:12" x14ac:dyDescent="0.2">
      <c r="A476" s="34"/>
      <c r="B476" s="31"/>
      <c r="C476" s="31"/>
      <c r="D476" s="31"/>
      <c r="F476" s="31"/>
      <c r="G476" s="31"/>
      <c r="H476" s="31"/>
      <c r="I476" s="31"/>
      <c r="J476" s="31"/>
      <c r="K476" s="31"/>
      <c r="L476" s="31"/>
    </row>
    <row r="477" spans="1:12" x14ac:dyDescent="0.2">
      <c r="A477" s="34"/>
      <c r="B477" s="31"/>
      <c r="C477" s="31"/>
      <c r="D477" s="31"/>
      <c r="F477" s="31"/>
      <c r="G477" s="31"/>
      <c r="H477" s="31"/>
      <c r="I477" s="31"/>
      <c r="J477" s="31"/>
      <c r="K477" s="31"/>
      <c r="L477" s="31"/>
    </row>
    <row r="478" spans="1:12" x14ac:dyDescent="0.2">
      <c r="A478" s="34"/>
      <c r="B478" s="31"/>
      <c r="C478" s="31"/>
      <c r="D478" s="31"/>
      <c r="F478" s="31"/>
      <c r="G478" s="31"/>
      <c r="H478" s="31"/>
      <c r="I478" s="31"/>
      <c r="J478" s="31"/>
      <c r="K478" s="31"/>
      <c r="L478" s="31"/>
    </row>
    <row r="479" spans="1:12" x14ac:dyDescent="0.2">
      <c r="A479" s="34"/>
      <c r="B479" s="31"/>
      <c r="C479" s="31"/>
      <c r="D479" s="31"/>
      <c r="F479" s="31"/>
      <c r="G479" s="31"/>
      <c r="H479" s="31"/>
      <c r="I479" s="31"/>
      <c r="J479" s="31"/>
      <c r="K479" s="31"/>
      <c r="L479" s="31"/>
    </row>
    <row r="480" spans="1:12" x14ac:dyDescent="0.2">
      <c r="A480" s="34"/>
      <c r="B480" s="31"/>
      <c r="C480" s="31"/>
      <c r="D480" s="31"/>
      <c r="F480" s="31"/>
      <c r="G480" s="31"/>
      <c r="H480" s="31"/>
      <c r="I480" s="31"/>
      <c r="J480" s="31"/>
      <c r="K480" s="31"/>
      <c r="L480" s="31"/>
    </row>
    <row r="481" spans="1:12" x14ac:dyDescent="0.2">
      <c r="A481" s="34"/>
      <c r="B481" s="31"/>
      <c r="C481" s="31"/>
      <c r="D481" s="31"/>
      <c r="F481" s="31"/>
      <c r="G481" s="31"/>
      <c r="H481" s="31"/>
      <c r="I481" s="31"/>
      <c r="J481" s="31"/>
      <c r="K481" s="31"/>
      <c r="L481" s="31"/>
    </row>
    <row r="482" spans="1:12" x14ac:dyDescent="0.2">
      <c r="A482" s="34"/>
      <c r="B482" s="31"/>
      <c r="C482" s="31"/>
      <c r="D482" s="31"/>
      <c r="F482" s="31"/>
      <c r="G482" s="31"/>
      <c r="H482" s="31"/>
      <c r="I482" s="31"/>
      <c r="J482" s="31"/>
      <c r="K482" s="31"/>
      <c r="L482" s="31"/>
    </row>
    <row r="483" spans="1:12" x14ac:dyDescent="0.2">
      <c r="A483" s="34"/>
      <c r="B483" s="31"/>
      <c r="C483" s="31"/>
      <c r="D483" s="31"/>
      <c r="F483" s="31"/>
      <c r="G483" s="31"/>
      <c r="H483" s="31"/>
      <c r="I483" s="31"/>
      <c r="J483" s="31"/>
      <c r="K483" s="31"/>
      <c r="L483" s="31"/>
    </row>
    <row r="484" spans="1:12" x14ac:dyDescent="0.2">
      <c r="A484" s="34"/>
      <c r="B484" s="31"/>
      <c r="C484" s="31"/>
      <c r="D484" s="31"/>
      <c r="F484" s="31"/>
      <c r="G484" s="31"/>
      <c r="H484" s="31"/>
      <c r="I484" s="31"/>
      <c r="J484" s="31"/>
      <c r="K484" s="31"/>
      <c r="L484" s="31"/>
    </row>
    <row r="485" spans="1:12" x14ac:dyDescent="0.2">
      <c r="A485" s="34"/>
      <c r="B485" s="31"/>
      <c r="C485" s="31"/>
      <c r="D485" s="31"/>
      <c r="F485" s="31"/>
      <c r="G485" s="31"/>
      <c r="H485" s="31"/>
      <c r="I485" s="31"/>
      <c r="J485" s="31"/>
      <c r="K485" s="31"/>
      <c r="L485" s="31"/>
    </row>
    <row r="486" spans="1:12" x14ac:dyDescent="0.2">
      <c r="A486" s="34"/>
      <c r="B486" s="31"/>
      <c r="C486" s="31"/>
      <c r="D486" s="31"/>
      <c r="F486" s="31"/>
      <c r="G486" s="31"/>
      <c r="H486" s="31"/>
      <c r="I486" s="31"/>
      <c r="J486" s="31"/>
      <c r="K486" s="31"/>
      <c r="L486" s="31"/>
    </row>
    <row r="487" spans="1:12" x14ac:dyDescent="0.2">
      <c r="A487" s="34"/>
      <c r="B487" s="31"/>
      <c r="C487" s="31"/>
      <c r="D487" s="31"/>
      <c r="F487" s="31"/>
      <c r="G487" s="31"/>
      <c r="H487" s="31"/>
      <c r="I487" s="31"/>
      <c r="J487" s="31"/>
      <c r="K487" s="31"/>
      <c r="L487" s="31"/>
    </row>
    <row r="488" spans="1:12" x14ac:dyDescent="0.2">
      <c r="A488" s="34"/>
      <c r="B488" s="31"/>
      <c r="C488" s="31"/>
      <c r="D488" s="31"/>
      <c r="F488" s="31"/>
      <c r="G488" s="31"/>
      <c r="H488" s="31"/>
      <c r="I488" s="31"/>
      <c r="J488" s="31"/>
      <c r="K488" s="31"/>
      <c r="L488" s="31"/>
    </row>
  </sheetData>
  <mergeCells count="33">
    <mergeCell ref="E10:G10"/>
    <mergeCell ref="I10:K10"/>
    <mergeCell ref="A317:L317"/>
    <mergeCell ref="A157:L157"/>
    <mergeCell ref="A158:L158"/>
    <mergeCell ref="A159:L159"/>
    <mergeCell ref="A160:L160"/>
    <mergeCell ref="A161:L161"/>
    <mergeCell ref="A307:B307"/>
    <mergeCell ref="A3:L3"/>
    <mergeCell ref="A4:L4"/>
    <mergeCell ref="A5:L5"/>
    <mergeCell ref="A6:L6"/>
    <mergeCell ref="A7:L7"/>
    <mergeCell ref="N341:O341"/>
    <mergeCell ref="M184:O184"/>
    <mergeCell ref="I439:L439"/>
    <mergeCell ref="I164:K164"/>
    <mergeCell ref="E164:G164"/>
    <mergeCell ref="E320:G320"/>
    <mergeCell ref="I320:K320"/>
    <mergeCell ref="A313:L313"/>
    <mergeCell ref="A314:L314"/>
    <mergeCell ref="A315:L315"/>
    <mergeCell ref="A316:L316"/>
    <mergeCell ref="A439:B439"/>
    <mergeCell ref="C439:H439"/>
    <mergeCell ref="I438:L438"/>
    <mergeCell ref="A440:B440"/>
    <mergeCell ref="C440:H440"/>
    <mergeCell ref="I440:L440"/>
    <mergeCell ref="A438:B438"/>
    <mergeCell ref="C438:H438"/>
  </mergeCells>
  <printOptions horizontalCentered="1" verticalCentered="1"/>
  <pageMargins left="0.23622047244094491" right="0.23622047244094491" top="0" bottom="0" header="0" footer="0"/>
  <pageSetup paperSize="9" scale="34" fitToHeight="0" orientation="portrait" r:id="rId1"/>
  <rowBreaks count="2" manualBreakCount="2">
    <brk id="152" max="11" man="1"/>
    <brk id="308" max="11" man="1"/>
  </rowBreaks>
  <ignoredErrors>
    <ignoredError sqref="J271 J333 I325 C421:D421 J421 F421 J192" formulaRange="1"/>
    <ignoredError sqref="E25 E307 E29:F29 E35:F35 E106:F106 E147:F147 E242:F242 E280:F280 E352:F352 E356:F356 E358:F358 J387 I358:J358 I356:J356 I352:J352 I346:J346 H307:J307 I242:J242 I101 I106:J106 I147:J147 I240 I117 E199 I87 E400 E398 I199 I280:J280 I226:I228 I271 I283 E271:E275 I398 I400 I403:J403 E403:F403 E117 E210 E177:F177 I177:J177 E223:F223 I223 E383:F383 I383:J383 E380:F380 E379 I382 E382 I379:I380 E218 E194:F194 I186:J186 E184:F186 I218 I62:I63 I296:J296 I291:J291 E296:F296 E291:F291 I57 E188:E189 I188:I189 I194:I195 E295 I295 E333:E334 E332:F332 E346:F346 E329:F329 E344 I340:I341 J35 I51:I53 I29:J29 I25 I35:I36 E230:E231 E44 I47 E78:E80 E85:E87 E96:E97 E220:E221 I344 E257:F259 I261:J261 I263:I264 I266 E263:E264 E266 I250:I252 E251:E252 E47 E340:E341 E51:E53 E62:E63 E89:E90 I44 E405 E57:E58 E101 I210 E246:F246 I246 E327 E338 I338 I405 E408 I408 I184:I185 I230:I231 I255 E122 E146 E120 I197 E414 I414 I410 E410:E411 E416:E418 I416:I418 I421 E60 E73 E93 H119 E124:E126 H123 H127 E141 H134:H140 H144:H145 I257:I259 E362 E365 E373 I376 I373 I365 I362 I275 I332 H121 I393 E393 H122:I122 H120:I120 H124:I126 H146:I146 H141:I141 H128 H182 I391 E75 E133 H129 H131:I131 H130 H133:I133 H132 E261:F261 E192 E376 E385:E387 I385:I387 F387 E389:F389 H387 F385:F386 H384 H389:I389 H385:H386 H388 H390 E195 E215 I215 I326" formula="1"/>
    <ignoredError sqref="A14:A20 A21:B21 A33:B33 A97:B97 A125:B125 A133:B133 B188 A201:B201 A202:A208 A209:B209 A225:B225 A268:A273 A354:B354 M354:IV354 A147:A151 A217:A224 A274:B275 A226:A232 A280:A286 A287:A289 A424 A324:A353 A22:A32 A121 A126:A129 A34:A54 A98:A102 A214 A210:A212 A134:A141 A398:A422 A379:A385 A167:A172 A355:A366 A393:A394 A387:A391 A63:A96 A56:A61 A55 A62 A103 A104:A120 A122:A124 A130:A132 A144:A145 A142:A143 A146 A174:A200 A234:A267 A290:A292 A293:A306 A368:A377" numberStoredAsText="1"/>
    <ignoredError sqref="G307 K307 G132 G133 G130 G131 G129 G128 G141 G146 G124:G126 G120 G122 G121 G144:G145 G134:G140 G127 G123 G119 K121:K129 K144:K146 K119:K120 G182 K130:K141 G384:G390" evalError="1" formula="1"/>
    <ignoredError sqref="G323 K323 K13 G13:G102 G142:G143 G147:G151 K14:K102 K147:K151 K142:K143 G167 G183:G267 G168:G181 K167:K192 K193:K267 K306 G306 G324:G383 K324:K423 G103 K103 G104:G109 K104:K109 G110:G118 K110:K118 G268:G286 K268:K286 G287:G289 K287:K289 G290:G292 K290:K292 G293:G301 K293:K301 G391:G423" evalError="1"/>
    <ignoredError sqref="J199 J329 I329 I333 I334 I327 E42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18A38-DC03-4CBA-ACD2-129A1875E6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4B545-DE12-4DEF-8288-D5823A37CCEB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ebfcc7d6-e1dc-4701-b230-8bbb8f498e6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B2DF9C-919D-4E56-874A-432FEF85BC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- 3º BIM</vt:lpstr>
      <vt:lpstr>'Anexo II - 3º BIM'!Area_de_impressao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2025-07-21T22:02:00Z</cp:lastPrinted>
  <dcterms:created xsi:type="dcterms:W3CDTF">2005-03-08T15:13:02Z</dcterms:created>
  <dcterms:modified xsi:type="dcterms:W3CDTF">2025-07-30T14:30:48Z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