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3ºBIM 2025\SITE\"/>
    </mc:Choice>
  </mc:AlternateContent>
  <xr:revisionPtr revIDLastSave="0" documentId="13_ncr:1_{F0AF54C0-8856-4360-B177-207556475BC5}" xr6:coauthVersionLast="47" xr6:coauthVersionMax="47" xr10:uidLastSave="{00000000-0000-0000-0000-000000000000}"/>
  <bookViews>
    <workbookView xWindow="-120" yWindow="-120" windowWidth="29040" windowHeight="15720" xr2:uid="{C984BC4E-35EF-489B-8B11-094A5B14A57B}"/>
  </bookViews>
  <sheets>
    <sheet name="Anexo 1 - Balanço Orçamentário" sheetId="7" r:id="rId1"/>
  </sheets>
  <definedNames>
    <definedName name="_xlnm.Print_Area" localSheetId="0">'Anexo 1 - Balanço Orçamentário'!$A$1:$L$240</definedName>
    <definedName name="Cancela">#REF!,#REF!</definedName>
    <definedName name="fdsafs">#REF!,#REF!</definedName>
    <definedName name="fdsf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7" l="1"/>
  <c r="G97" i="7" l="1"/>
  <c r="D74" i="7"/>
  <c r="G222" i="7"/>
  <c r="G218" i="7"/>
  <c r="G216" i="7"/>
  <c r="D222" i="7"/>
  <c r="D220" i="7"/>
  <c r="D218" i="7"/>
  <c r="D216" i="7"/>
  <c r="E193" i="7"/>
  <c r="E184" i="7"/>
  <c r="E181" i="7"/>
  <c r="E170" i="7"/>
  <c r="E168" i="7"/>
  <c r="E166" i="7"/>
  <c r="E156" i="7"/>
  <c r="E151" i="7"/>
  <c r="G120" i="7"/>
  <c r="G113" i="7"/>
  <c r="G112" i="7"/>
  <c r="G111" i="7"/>
  <c r="G109" i="7"/>
  <c r="G106" i="7"/>
  <c r="G105" i="7"/>
  <c r="D120" i="7"/>
  <c r="D113" i="7"/>
  <c r="D112" i="7"/>
  <c r="D111" i="7"/>
  <c r="D109" i="7"/>
  <c r="D106" i="7"/>
  <c r="D105" i="7"/>
  <c r="E68" i="7"/>
  <c r="E66" i="7"/>
  <c r="E57" i="7"/>
  <c r="E55" i="7"/>
  <c r="E54" i="7"/>
  <c r="E53" i="7"/>
  <c r="E51" i="7"/>
  <c r="E49" i="7"/>
  <c r="E48" i="7"/>
  <c r="E47" i="7"/>
  <c r="E46" i="7"/>
  <c r="E45" i="7"/>
  <c r="E43" i="7"/>
  <c r="E42" i="7"/>
  <c r="E41" i="7"/>
  <c r="E40" i="7"/>
  <c r="E39" i="7"/>
  <c r="E37" i="7"/>
  <c r="E35" i="7"/>
  <c r="E34" i="7"/>
  <c r="E32" i="7"/>
  <c r="E31" i="7"/>
  <c r="E30" i="7"/>
  <c r="E29" i="7"/>
  <c r="E24" i="7"/>
  <c r="E21" i="7"/>
  <c r="E20" i="7"/>
  <c r="L139" i="7"/>
  <c r="B127" i="7"/>
  <c r="F181" i="7" l="1"/>
  <c r="F166" i="7"/>
  <c r="E159" i="7"/>
  <c r="F151" i="7"/>
  <c r="E64" i="7"/>
  <c r="E63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4" i="7"/>
  <c r="J183" i="7"/>
  <c r="J182" i="7"/>
  <c r="J181" i="7"/>
  <c r="J180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4" i="7"/>
  <c r="J163" i="7"/>
  <c r="J162" i="7"/>
  <c r="J161" i="7"/>
  <c r="J160" i="7"/>
  <c r="J159" i="7"/>
  <c r="J158" i="7"/>
  <c r="J157" i="7"/>
  <c r="J156" i="7"/>
  <c r="J154" i="7"/>
  <c r="J153" i="7"/>
  <c r="J152" i="7"/>
  <c r="J151" i="7"/>
  <c r="J149" i="7"/>
  <c r="J148" i="7"/>
  <c r="J147" i="7"/>
  <c r="J146" i="7"/>
  <c r="I203" i="7"/>
  <c r="I202" i="7"/>
  <c r="I193" i="7"/>
  <c r="I184" i="7"/>
  <c r="I181" i="7"/>
  <c r="I170" i="7"/>
  <c r="I168" i="7"/>
  <c r="I166" i="7"/>
  <c r="I156" i="7"/>
  <c r="I151" i="7"/>
  <c r="F203" i="7"/>
  <c r="F202" i="7"/>
  <c r="F193" i="7"/>
  <c r="F184" i="7"/>
  <c r="F170" i="7"/>
  <c r="F168" i="7"/>
  <c r="F156" i="7"/>
  <c r="J91" i="7" l="1"/>
  <c r="J90" i="7"/>
  <c r="J89" i="7"/>
  <c r="J88" i="7"/>
  <c r="J87" i="7"/>
  <c r="J86" i="7"/>
  <c r="J85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6" i="7"/>
  <c r="J65" i="7"/>
  <c r="J64" i="7"/>
  <c r="J63" i="7"/>
  <c r="J61" i="7"/>
  <c r="J60" i="7"/>
  <c r="J57" i="7"/>
  <c r="J56" i="7"/>
  <c r="J55" i="7"/>
  <c r="J54" i="7"/>
  <c r="J53" i="7"/>
  <c r="J51" i="7"/>
  <c r="J50" i="7"/>
  <c r="J49" i="7"/>
  <c r="J48" i="7"/>
  <c r="J47" i="7"/>
  <c r="J46" i="7"/>
  <c r="J45" i="7"/>
  <c r="J43" i="7"/>
  <c r="J42" i="7"/>
  <c r="J41" i="7"/>
  <c r="J40" i="7"/>
  <c r="J39" i="7"/>
  <c r="J37" i="7"/>
  <c r="J36" i="7"/>
  <c r="J35" i="7"/>
  <c r="J34" i="7"/>
  <c r="J33" i="7"/>
  <c r="J32" i="7"/>
  <c r="J31" i="7"/>
  <c r="J30" i="7"/>
  <c r="J29" i="7"/>
  <c r="J27" i="7"/>
  <c r="J26" i="7"/>
  <c r="J25" i="7"/>
  <c r="J24" i="7"/>
  <c r="J22" i="7"/>
  <c r="J21" i="7"/>
  <c r="J20" i="7"/>
  <c r="F77" i="7"/>
  <c r="F76" i="7"/>
  <c r="F75" i="7"/>
  <c r="F74" i="7"/>
  <c r="F70" i="7"/>
  <c r="F68" i="7"/>
  <c r="F66" i="7"/>
  <c r="F63" i="7"/>
  <c r="F60" i="7"/>
  <c r="F57" i="7"/>
  <c r="F55" i="7"/>
  <c r="F54" i="7"/>
  <c r="F53" i="7"/>
  <c r="F51" i="7"/>
  <c r="F49" i="7"/>
  <c r="F48" i="7"/>
  <c r="F47" i="7"/>
  <c r="F46" i="7"/>
  <c r="F45" i="7"/>
  <c r="F43" i="7"/>
  <c r="F42" i="7"/>
  <c r="F41" i="7"/>
  <c r="F40" i="7"/>
  <c r="F39" i="7"/>
  <c r="F37" i="7"/>
  <c r="F36" i="7"/>
  <c r="F35" i="7"/>
  <c r="F34" i="7"/>
  <c r="F32" i="7"/>
  <c r="F31" i="7"/>
  <c r="F30" i="7"/>
  <c r="F29" i="7"/>
  <c r="F24" i="7"/>
  <c r="F21" i="7"/>
  <c r="F20" i="7"/>
  <c r="I77" i="7"/>
  <c r="I76" i="7"/>
  <c r="I75" i="7"/>
  <c r="I74" i="7"/>
  <c r="I70" i="7"/>
  <c r="I68" i="7"/>
  <c r="I66" i="7"/>
  <c r="I63" i="7"/>
  <c r="I60" i="7"/>
  <c r="I57" i="7"/>
  <c r="I55" i="7"/>
  <c r="I54" i="7"/>
  <c r="I53" i="7"/>
  <c r="I51" i="7"/>
  <c r="I50" i="7"/>
  <c r="I49" i="7"/>
  <c r="I48" i="7"/>
  <c r="I47" i="7"/>
  <c r="I46" i="7"/>
  <c r="I45" i="7"/>
  <c r="I43" i="7"/>
  <c r="I42" i="7"/>
  <c r="I41" i="7"/>
  <c r="I40" i="7"/>
  <c r="I39" i="7"/>
  <c r="I37" i="7"/>
  <c r="I36" i="7"/>
  <c r="I35" i="7"/>
  <c r="I34" i="7"/>
  <c r="I32" i="7"/>
  <c r="I31" i="7"/>
  <c r="I30" i="7"/>
  <c r="I29" i="7"/>
  <c r="I24" i="7"/>
  <c r="I21" i="7"/>
  <c r="I20" i="7"/>
  <c r="B107" i="7" l="1"/>
  <c r="C74" i="7"/>
  <c r="E70" i="7"/>
  <c r="E69" i="7"/>
  <c r="E50" i="7"/>
  <c r="F50" i="7" s="1"/>
  <c r="E74" i="7"/>
  <c r="E180" i="7" l="1"/>
  <c r="E75" i="7"/>
  <c r="E76" i="7"/>
  <c r="E77" i="7"/>
  <c r="D97" i="7"/>
  <c r="K107" i="7"/>
  <c r="K104" i="7" s="1"/>
  <c r="C107" i="7"/>
  <c r="H219" i="7"/>
  <c r="B118" i="7"/>
  <c r="G38" i="7"/>
  <c r="E107" i="7"/>
  <c r="E104" i="7" s="1"/>
  <c r="D38" i="7"/>
  <c r="G67" i="7"/>
  <c r="H67" i="7"/>
  <c r="J223" i="7"/>
  <c r="J222" i="7"/>
  <c r="J221" i="7"/>
  <c r="D171" i="7"/>
  <c r="H107" i="7"/>
  <c r="E22" i="7"/>
  <c r="G223" i="7"/>
  <c r="F114" i="7"/>
  <c r="E201" i="7"/>
  <c r="G179" i="7"/>
  <c r="H179" i="7"/>
  <c r="D165" i="7"/>
  <c r="E82" i="7"/>
  <c r="E71" i="7"/>
  <c r="G52" i="7"/>
  <c r="H52" i="7"/>
  <c r="G44" i="7"/>
  <c r="H44" i="7"/>
  <c r="E36" i="7"/>
  <c r="K219" i="7"/>
  <c r="J120" i="7"/>
  <c r="F113" i="7"/>
  <c r="G95" i="7"/>
  <c r="D67" i="7"/>
  <c r="C67" i="7"/>
  <c r="C219" i="7"/>
  <c r="E219" i="7"/>
  <c r="B219" i="7"/>
  <c r="E162" i="7"/>
  <c r="D62" i="7"/>
  <c r="E56" i="7"/>
  <c r="E183" i="7"/>
  <c r="J127" i="7"/>
  <c r="D223" i="7"/>
  <c r="E173" i="7"/>
  <c r="B104" i="7"/>
  <c r="D219" i="7"/>
  <c r="D221" i="7"/>
  <c r="G220" i="7"/>
  <c r="G221" i="7"/>
  <c r="G217" i="7"/>
  <c r="D217" i="7"/>
  <c r="D215" i="7" s="1"/>
  <c r="E208" i="7"/>
  <c r="E207" i="7"/>
  <c r="E206" i="7"/>
  <c r="E205" i="7"/>
  <c r="E203" i="7"/>
  <c r="E202" i="7"/>
  <c r="E200" i="7"/>
  <c r="E199" i="7"/>
  <c r="E198" i="7"/>
  <c r="E197" i="7"/>
  <c r="E196" i="7"/>
  <c r="E195" i="7"/>
  <c r="E192" i="7"/>
  <c r="E191" i="7"/>
  <c r="E190" i="7"/>
  <c r="E188" i="7"/>
  <c r="E187" i="7"/>
  <c r="E186" i="7" s="1"/>
  <c r="E182" i="7"/>
  <c r="E178" i="7"/>
  <c r="E177" i="7"/>
  <c r="E176" i="7"/>
  <c r="E175" i="7"/>
  <c r="E174" i="7"/>
  <c r="E172" i="7"/>
  <c r="E169" i="7"/>
  <c r="E167" i="7"/>
  <c r="E164" i="7"/>
  <c r="E163" i="7"/>
  <c r="E161" i="7"/>
  <c r="E160" i="7"/>
  <c r="E158" i="7"/>
  <c r="E157" i="7"/>
  <c r="E154" i="7"/>
  <c r="E153" i="7"/>
  <c r="E152" i="7"/>
  <c r="E149" i="7"/>
  <c r="E148" i="7"/>
  <c r="E147" i="7"/>
  <c r="G119" i="7"/>
  <c r="D119" i="7"/>
  <c r="G108" i="7"/>
  <c r="G107" i="7" s="1"/>
  <c r="D108" i="7"/>
  <c r="J109" i="7"/>
  <c r="E81" i="7"/>
  <c r="E80" i="7"/>
  <c r="E79" i="7"/>
  <c r="E73" i="7"/>
  <c r="E72" i="7"/>
  <c r="E65" i="7"/>
  <c r="E61" i="7"/>
  <c r="E60" i="7"/>
  <c r="E33" i="7"/>
  <c r="E27" i="7"/>
  <c r="E26" i="7"/>
  <c r="E25" i="7"/>
  <c r="G28" i="7"/>
  <c r="D59" i="7"/>
  <c r="H215" i="7"/>
  <c r="J113" i="7"/>
  <c r="G23" i="7"/>
  <c r="G59" i="7"/>
  <c r="G19" i="7"/>
  <c r="C171" i="7"/>
  <c r="C38" i="7"/>
  <c r="G146" i="7"/>
  <c r="D146" i="7"/>
  <c r="C146" i="7"/>
  <c r="D19" i="7"/>
  <c r="C19" i="7"/>
  <c r="C23" i="7"/>
  <c r="G123" i="7"/>
  <c r="G122" i="7"/>
  <c r="G121" i="7" s="1"/>
  <c r="H204" i="7"/>
  <c r="G204" i="7"/>
  <c r="D204" i="7"/>
  <c r="C204" i="7"/>
  <c r="H194" i="7"/>
  <c r="G194" i="7"/>
  <c r="D194" i="7"/>
  <c r="C194" i="7"/>
  <c r="G189" i="7"/>
  <c r="D189" i="7"/>
  <c r="C189" i="7"/>
  <c r="G186" i="7"/>
  <c r="G185" i="7" s="1"/>
  <c r="D186" i="7"/>
  <c r="C186" i="7"/>
  <c r="D179" i="7"/>
  <c r="C179" i="7"/>
  <c r="H171" i="7"/>
  <c r="G171" i="7"/>
  <c r="C165" i="7"/>
  <c r="H155" i="7"/>
  <c r="G155" i="7"/>
  <c r="D155" i="7"/>
  <c r="C155" i="7"/>
  <c r="G150" i="7"/>
  <c r="D150" i="7"/>
  <c r="C150" i="7"/>
  <c r="H146" i="7"/>
  <c r="C62" i="7"/>
  <c r="D44" i="7"/>
  <c r="C44" i="7"/>
  <c r="D23" i="7"/>
  <c r="G62" i="7"/>
  <c r="J217" i="7"/>
  <c r="F217" i="7"/>
  <c r="A140" i="7"/>
  <c r="A137" i="7"/>
  <c r="A136" i="7"/>
  <c r="A135" i="7"/>
  <c r="A134" i="7"/>
  <c r="A133" i="7"/>
  <c r="F223" i="7"/>
  <c r="F221" i="7"/>
  <c r="J220" i="7"/>
  <c r="F220" i="7"/>
  <c r="F218" i="7"/>
  <c r="J216" i="7"/>
  <c r="F216" i="7"/>
  <c r="K215" i="7"/>
  <c r="I215" i="7"/>
  <c r="E215" i="7"/>
  <c r="C215" i="7"/>
  <c r="B215" i="7"/>
  <c r="B214" i="7" s="1"/>
  <c r="H110" i="7"/>
  <c r="D123" i="7"/>
  <c r="D122" i="7"/>
  <c r="D78" i="7"/>
  <c r="C78" i="7"/>
  <c r="I121" i="7"/>
  <c r="H121" i="7"/>
  <c r="E121" i="7"/>
  <c r="C121" i="7"/>
  <c r="F121" i="7" s="1"/>
  <c r="B121" i="7"/>
  <c r="H28" i="7"/>
  <c r="C118" i="7"/>
  <c r="D96" i="7"/>
  <c r="F109" i="7"/>
  <c r="H19" i="7"/>
  <c r="H95" i="7"/>
  <c r="C95" i="7"/>
  <c r="H78" i="7"/>
  <c r="F105" i="7"/>
  <c r="K121" i="7"/>
  <c r="K118" i="7"/>
  <c r="J119" i="7"/>
  <c r="J122" i="7"/>
  <c r="J123" i="7"/>
  <c r="I118" i="7"/>
  <c r="I117" i="7" s="1"/>
  <c r="F122" i="7"/>
  <c r="F119" i="7"/>
  <c r="E118" i="7"/>
  <c r="D52" i="7"/>
  <c r="D28" i="7"/>
  <c r="C28" i="7"/>
  <c r="F108" i="7"/>
  <c r="J108" i="7"/>
  <c r="J106" i="7"/>
  <c r="F112" i="7"/>
  <c r="F111" i="7"/>
  <c r="F106" i="7"/>
  <c r="J114" i="7"/>
  <c r="J112" i="7"/>
  <c r="J111" i="7"/>
  <c r="E110" i="7"/>
  <c r="B110" i="7"/>
  <c r="L104" i="7"/>
  <c r="L103" i="7" s="1"/>
  <c r="L116" i="7" s="1"/>
  <c r="L124" i="7" s="1"/>
  <c r="I116" i="7"/>
  <c r="C59" i="7"/>
  <c r="C52" i="7"/>
  <c r="H92" i="7"/>
  <c r="F120" i="7"/>
  <c r="H118" i="7"/>
  <c r="C110" i="7"/>
  <c r="J218" i="7"/>
  <c r="G165" i="7"/>
  <c r="K110" i="7"/>
  <c r="J105" i="7"/>
  <c r="G78" i="7"/>
  <c r="H214" i="7" l="1"/>
  <c r="H115" i="7" s="1"/>
  <c r="J179" i="7"/>
  <c r="I179" i="7"/>
  <c r="J165" i="7"/>
  <c r="I165" i="7"/>
  <c r="J155" i="7"/>
  <c r="I155" i="7"/>
  <c r="J150" i="7"/>
  <c r="I150" i="7"/>
  <c r="J67" i="7"/>
  <c r="I67" i="7"/>
  <c r="I62" i="7"/>
  <c r="J62" i="7"/>
  <c r="F59" i="7"/>
  <c r="J59" i="7"/>
  <c r="I59" i="7"/>
  <c r="J52" i="7"/>
  <c r="I52" i="7"/>
  <c r="I44" i="7"/>
  <c r="J44" i="7"/>
  <c r="J38" i="7"/>
  <c r="I38" i="7"/>
  <c r="I28" i="7"/>
  <c r="J28" i="7"/>
  <c r="I23" i="7"/>
  <c r="J23" i="7"/>
  <c r="J19" i="7"/>
  <c r="I19" i="7"/>
  <c r="E214" i="7"/>
  <c r="E115" i="7" s="1"/>
  <c r="J219" i="7"/>
  <c r="C214" i="7"/>
  <c r="J214" i="7" s="1"/>
  <c r="B103" i="7"/>
  <c r="E23" i="7"/>
  <c r="F23" i="7" s="1"/>
  <c r="D118" i="7"/>
  <c r="D107" i="7"/>
  <c r="D104" i="7" s="1"/>
  <c r="K117" i="7"/>
  <c r="E155" i="7"/>
  <c r="F155" i="7" s="1"/>
  <c r="E171" i="7"/>
  <c r="B115" i="7"/>
  <c r="J107" i="7"/>
  <c r="J121" i="7"/>
  <c r="E204" i="7"/>
  <c r="F110" i="7"/>
  <c r="I124" i="7"/>
  <c r="C117" i="7"/>
  <c r="D121" i="7"/>
  <c r="F118" i="7"/>
  <c r="E78" i="7"/>
  <c r="E189" i="7"/>
  <c r="D110" i="7"/>
  <c r="H117" i="7"/>
  <c r="E117" i="7"/>
  <c r="E146" i="7"/>
  <c r="G219" i="7"/>
  <c r="C145" i="7"/>
  <c r="C18" i="7"/>
  <c r="E59" i="7"/>
  <c r="E194" i="7"/>
  <c r="E165" i="7"/>
  <c r="F165" i="7" s="1"/>
  <c r="C185" i="7"/>
  <c r="G58" i="7"/>
  <c r="G110" i="7"/>
  <c r="E67" i="7"/>
  <c r="F67" i="7" s="1"/>
  <c r="K214" i="7"/>
  <c r="K115" i="7" s="1"/>
  <c r="G215" i="7"/>
  <c r="D214" i="7"/>
  <c r="D115" i="7" s="1"/>
  <c r="F219" i="7"/>
  <c r="J215" i="7"/>
  <c r="G118" i="7"/>
  <c r="G117" i="7" s="1"/>
  <c r="J118" i="7"/>
  <c r="J110" i="7"/>
  <c r="E103" i="7"/>
  <c r="K103" i="7"/>
  <c r="H104" i="7"/>
  <c r="H103" i="7" s="1"/>
  <c r="H116" i="7" s="1"/>
  <c r="F107" i="7"/>
  <c r="C104" i="7"/>
  <c r="F104" i="7" s="1"/>
  <c r="C58" i="7"/>
  <c r="D95" i="7"/>
  <c r="D185" i="7"/>
  <c r="B117" i="7"/>
  <c r="E38" i="7"/>
  <c r="F38" i="7" s="1"/>
  <c r="G104" i="7"/>
  <c r="E150" i="7"/>
  <c r="F150" i="7" s="1"/>
  <c r="G145" i="7"/>
  <c r="E179" i="7"/>
  <c r="F179" i="7" s="1"/>
  <c r="D145" i="7"/>
  <c r="F215" i="7"/>
  <c r="E19" i="7"/>
  <c r="F19" i="7" s="1"/>
  <c r="E62" i="7"/>
  <c r="F62" i="7" s="1"/>
  <c r="D58" i="7"/>
  <c r="E52" i="7"/>
  <c r="F52" i="7" s="1"/>
  <c r="E44" i="7"/>
  <c r="F44" i="7" s="1"/>
  <c r="D18" i="7"/>
  <c r="E28" i="7"/>
  <c r="F28" i="7" s="1"/>
  <c r="G18" i="7"/>
  <c r="I185" i="7" l="1"/>
  <c r="J185" i="7"/>
  <c r="J145" i="7"/>
  <c r="I145" i="7"/>
  <c r="J58" i="7"/>
  <c r="I58" i="7"/>
  <c r="I18" i="7"/>
  <c r="J18" i="7"/>
  <c r="E116" i="7"/>
  <c r="E124" i="7" s="1"/>
  <c r="C144" i="7"/>
  <c r="C83" i="7" s="1"/>
  <c r="J117" i="7"/>
  <c r="D117" i="7"/>
  <c r="B116" i="7"/>
  <c r="B124" i="7" s="1"/>
  <c r="B126" i="7" s="1"/>
  <c r="C17" i="7"/>
  <c r="G214" i="7"/>
  <c r="G115" i="7" s="1"/>
  <c r="F214" i="7"/>
  <c r="C115" i="7"/>
  <c r="F115" i="7" s="1"/>
  <c r="F117" i="7"/>
  <c r="G17" i="7"/>
  <c r="E185" i="7"/>
  <c r="F185" i="7" s="1"/>
  <c r="H124" i="7"/>
  <c r="D103" i="7"/>
  <c r="D116" i="7" s="1"/>
  <c r="G103" i="7"/>
  <c r="E58" i="7"/>
  <c r="F58" i="7" s="1"/>
  <c r="K116" i="7"/>
  <c r="K124" i="7" s="1"/>
  <c r="J104" i="7"/>
  <c r="C103" i="7"/>
  <c r="E145" i="7"/>
  <c r="F145" i="7" s="1"/>
  <c r="D144" i="7"/>
  <c r="G144" i="7"/>
  <c r="D17" i="7"/>
  <c r="E18" i="7"/>
  <c r="F18" i="7" s="1"/>
  <c r="D124" i="7" l="1"/>
  <c r="D126" i="7" s="1"/>
  <c r="I17" i="7"/>
  <c r="G116" i="7"/>
  <c r="G124" i="7" s="1"/>
  <c r="G126" i="7" s="1"/>
  <c r="C84" i="7"/>
  <c r="C92" i="7" s="1"/>
  <c r="C94" i="7" s="1"/>
  <c r="J115" i="7"/>
  <c r="F103" i="7"/>
  <c r="J103" i="7"/>
  <c r="C116" i="7"/>
  <c r="J144" i="7"/>
  <c r="D83" i="7"/>
  <c r="G83" i="7"/>
  <c r="I144" i="7"/>
  <c r="E144" i="7"/>
  <c r="J17" i="7"/>
  <c r="E17" i="7"/>
  <c r="J83" i="7" l="1"/>
  <c r="I83" i="7"/>
  <c r="C124" i="7"/>
  <c r="C126" i="7" s="1"/>
  <c r="J116" i="7"/>
  <c r="J124" i="7" s="1"/>
  <c r="F116" i="7"/>
  <c r="F124" i="7" s="1"/>
  <c r="G84" i="7"/>
  <c r="G92" i="7" s="1"/>
  <c r="E83" i="7"/>
  <c r="F83" i="7" s="1"/>
  <c r="F144" i="7"/>
  <c r="D84" i="7"/>
  <c r="F17" i="7"/>
  <c r="G93" i="7" l="1"/>
  <c r="K125" i="7"/>
  <c r="H125" i="7"/>
  <c r="E125" i="7"/>
  <c r="E126" i="7" s="1"/>
  <c r="J84" i="7"/>
  <c r="I84" i="7"/>
  <c r="D92" i="7"/>
  <c r="E84" i="7"/>
  <c r="F84" i="7" s="1"/>
  <c r="J92" i="7" l="1"/>
  <c r="I92" i="7"/>
  <c r="K126" i="7"/>
  <c r="H126" i="7"/>
  <c r="E92" i="7"/>
  <c r="E94" i="7" s="1"/>
  <c r="G94" i="7"/>
  <c r="D94" i="7"/>
  <c r="F92" i="7" l="1"/>
  <c r="F94" i="7"/>
  <c r="I94" i="7"/>
</calcChain>
</file>

<file path=xl/sharedStrings.xml><?xml version="1.0" encoding="utf-8"?>
<sst xmlns="http://schemas.openxmlformats.org/spreadsheetml/2006/main" count="291" uniqueCount="161">
  <si>
    <t>GOVERNO DO ESTADO DO RIO DE JANEIRO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</si>
  <si>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</si>
  <si>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</si>
  <si>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</si>
  <si>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</si>
  <si>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RECEITAS</t>
  </si>
  <si>
    <t>PREVISÃO INICIAL</t>
  </si>
  <si>
    <t>PREVISÃO</t>
  </si>
  <si>
    <t>RECEITAS REALIZADAS</t>
  </si>
  <si>
    <t>SALDO</t>
  </si>
  <si>
    <t>ATUALIZADA</t>
  </si>
  <si>
    <t>No Bimestre</t>
  </si>
  <si>
    <t>%</t>
  </si>
  <si>
    <t>Até o Bimestre</t>
  </si>
  <si>
    <t>(a)</t>
  </si>
  <si>
    <t>(b)</t>
  </si>
  <si>
    <t>(b/a)</t>
  </si>
  <si>
    <t>( c 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</si>
  <si>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</si>
  <si>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</si>
  <si>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</si>
  <si>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</si>
  <si>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</t>
  </si>
  <si>
    <t xml:space="preserve">              Impostos</t>
  </si>
  <si>
    <t xml:space="preserve">              Taxas</t>
  </si>
  <si>
    <t>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</si>
  <si>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</si>
  <si>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</si>
  <si>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</si>
  <si>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</si>
  <si>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</si>
  <si>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</si>
  <si>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</si>
  <si>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</si>
  <si>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</si>
  <si>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</si>
  <si>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</si>
  <si>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</si>
  <si>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</si>
  <si>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</si>
  <si>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</si>
  <si>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</si>
  <si>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</si>
  <si>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</si>
  <si>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</si>
  <si>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</si>
  <si>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</si>
  <si>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</si>
  <si>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</si>
  <si>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</si>
  <si>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</si>
  <si>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</si>
  <si>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</si>
  <si>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</si>
  <si>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Demais Transferências Correntes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</si>
  <si>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</si>
  <si>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</si>
  <si>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</si>
  <si>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</si>
  <si>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Multas e Juros de Mora das Receitas de Capital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</si>
  <si>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</si>
  <si>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</si>
  <si>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</si>
  <si>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</si>
  <si>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</si>
  <si>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</si>
  <si>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</si>
  <si>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</si>
  <si>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</si>
  <si>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</si>
  <si>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</si>
  <si>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Demais Transferências de Capital</t>
  </si>
  <si>
    <t xml:space="preserve">            Transferências de Pessoas Físicas</t>
  </si>
  <si>
    <t>Essas linhas não constam mais</t>
  </si>
  <si>
    <t xml:space="preserve">            Transferências Provenientes de Depósitos Não Identificados</t>
  </si>
  <si>
    <t xml:space="preserve">            Outras Transferências de Capital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</si>
  <si>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</si>
  <si>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</si>
  <si>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</si>
  <si>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</si>
  <si>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       </t>
  </si>
  <si>
    <t>RECEITAS (INTRA-ORÇAMENTÁRIAS) (II)</t>
  </si>
  <si>
    <t>SUBTOTAL DAS RECEITAS (III) = (I + II)</t>
  </si>
  <si>
    <t>OPERAÇÕES DE CRÉDITO / REFINANCIAMENTO  (IV)</t>
  </si>
  <si>
    <t xml:space="preserve"> 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</si>
  <si>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</si>
  <si>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</si>
  <si>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</si>
  <si>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</si>
  <si>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</si>
  <si>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</si>
  <si>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</si>
  <si>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</si>
  <si>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DESPESAS</t>
  </si>
  <si>
    <t>DOTAÇÃO</t>
  </si>
  <si>
    <t>DESPESAS EMPENHADAS</t>
  </si>
  <si>
    <t>DESPESAS LIQUIDADAS</t>
  </si>
  <si>
    <t>DESPESAS PAGAS ATÉ O BIMESTRE</t>
  </si>
  <si>
    <t>INICIAL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</si>
  <si>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</si>
  <si>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</si>
  <si>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</si>
  <si>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</si>
  <si>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</si>
  <si>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</si>
  <si>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</si>
  <si>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</si>
  <si>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</si>
  <si>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</si>
  <si>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</si>
  <si>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</si>
  <si>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</si>
  <si>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</si>
  <si>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</si>
  <si>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</si>
  <si>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</si>
  <si>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</si>
  <si>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</si>
  <si>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</si>
  <si>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</si>
  <si>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</si>
  <si>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</si>
  <si>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</si>
  <si>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</si>
  <si>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Dívida Contratual</t>
  </si>
  <si>
    <t xml:space="preserve">    Amortização da Dívida Externa</t>
  </si>
  <si>
    <t>TOTAL DAS DESPESAS (XII) = (X + XI)</t>
  </si>
  <si>
    <t>SUPERÁVIT (XIII)</t>
  </si>
  <si>
    <t>TOTAL COM SUPERÁVIT (XIV) = (XII + XIII)</t>
  </si>
  <si>
    <t>RESERVA DO RPPS</t>
  </si>
  <si>
    <t>Continua (1/2)</t>
  </si>
  <si>
    <t>Continuação</t>
  </si>
  <si>
    <t>RECEITAS INTRA-ORÇAMENTÁRIAS</t>
  </si>
  <si>
    <t xml:space="preserve">            Impostos</t>
  </si>
  <si>
    <t xml:space="preserve">            Taxas</t>
  </si>
  <si>
    <t>não constam mais</t>
  </si>
  <si>
    <t>DESPESAS INTRA-ORÇAMENTÁRIAS</t>
  </si>
  <si>
    <t xml:space="preserve">  JUROS E ENCARGOS DA DÍVIDA</t>
  </si>
  <si>
    <t xml:space="preserve">    RESERVA DE CONTIGÊNCIA</t>
  </si>
  <si>
    <t>FONTE: Siafe-Rio - Secretaria de Estado de Fazenda.</t>
  </si>
  <si>
    <t>(2/2)</t>
  </si>
  <si>
    <t>Obs.:  1 - Excluídas a Imprensa Oficial, a CEDAE e a AGERIO por não se enquadrarem no conceito de Empresa Dependente.</t>
  </si>
  <si>
    <t xml:space="preserve">          4 -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</si>
  <si>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                                  Renato Ferreira Costa</t>
  </si>
  <si>
    <t xml:space="preserve">        Ronald Marcio G. Rodrigues</t>
  </si>
  <si>
    <t>Yasmim da Costa Monteiro</t>
  </si>
  <si>
    <t xml:space="preserve">                                          Coordenador - ID: 4.284.985-3</t>
  </si>
  <si>
    <t xml:space="preserve">        Superintendente - ID: 1.943.584-3</t>
  </si>
  <si>
    <t>Subsecretária de Contabilidade Geral - ID: 4.461.243-5</t>
  </si>
  <si>
    <t xml:space="preserve">                                         Contador - CRC-RJ-097281/O-6</t>
  </si>
  <si>
    <t xml:space="preserve">         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</si>
  <si>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</si>
  <si>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</si>
  <si>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 xml:space="preserve">          3 - A diferença de R$ 14.666.138.152,00 (Quatorze bilhões, seiscentos e sessenta e seis milhões, cento e trinta e oito mil e cento e cinquenta e dois reais) entre a Previsão Inicial da Receita e a Dotação Inicial da Despesa é referente ao "Déficit do Orçamento" considerado na Lei Orçamentária Anual de 2025.</t>
  </si>
  <si>
    <r>
      <t>DÉFICIT (VI)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</si>
  <si>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           Transferências a Municípios</t>
    </r>
    <r>
      <rPr>
        <vertAlign val="superscript"/>
        <sz val="12"/>
        <color theme="1"/>
        <rFont val="Times New Roman"/>
        <family val="1"/>
      </rPr>
      <t>2</t>
    </r>
  </si>
  <si>
    <r>
      <t xml:space="preserve">           Demais Despesas Correntes</t>
    </r>
    <r>
      <rPr>
        <vertAlign val="superscript"/>
        <sz val="12"/>
        <color theme="1"/>
        <rFont val="Times New Roman"/>
        <family val="1"/>
      </rPr>
      <t>2</t>
    </r>
  </si>
  <si>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O déficit será apurado pela diferença entre a receita realizada e a despesa liquidada nos cinco primeiros bimestres e a despesa empenhada no último bimestre.</t>
    </r>
  </si>
  <si>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Essa linha será apresentada somente no Demonstrativo aplicado aos Estados.</t>
    </r>
  </si>
  <si>
    <t>JANEIRO A JUNHO 2025/BIMESTRE MAIO - JUNHO</t>
  </si>
  <si>
    <t>Emissão: 22/07/2025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</si>
</sst>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R$ &quot;#,##0.00_);[Red]\(&quot;R$ &quot;#,##0.00\)"/>
    <numFmt numFmtId="167" formatCode="#,##0.0_);\(#,##0.0\)"/>
    <numFmt numFmtId="168" formatCode="_(* #,##0_);_(* \(#,##0\);_(* &quot;-&quot;??_);_(@_)"/>
    <numFmt numFmtId="169" formatCode="_-* #,##0_-;\-* #,##0_-;_-* &quot;-&quot;??_-;_-@_-"/>
    <numFmt numFmtId="170" formatCode="_(* #,##0.00_);_(* \(#,##0.00\);_(* &quot;-&quot;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6">
    <xf numFmtId="0" fontId="0" fillId="0" borderId="0" xfId="0"/>
    <xf numFmtId="0" fontId="5" fillId="0" borderId="0" xfId="1" applyFont="1"/>
    <xf numFmtId="0" fontId="6" fillId="0" borderId="0" xfId="1" applyFont="1"/>
    <xf numFmtId="0" fontId="3" fillId="0" borderId="0" xfId="1" applyFont="1"/>
    <xf numFmtId="0" fontId="7" fillId="0" borderId="0" xfId="1" applyFont="1"/>
    <xf numFmtId="49" fontId="7" fillId="0" borderId="0" xfId="1" applyNumberFormat="1" applyFont="1" applyAlignment="1">
      <alignment horizontal="center"/>
    </xf>
    <xf numFmtId="49" fontId="7" fillId="4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4" borderId="0" xfId="1" applyFont="1" applyFill="1" applyAlignment="1">
      <alignment horizontal="right"/>
    </xf>
    <xf numFmtId="49" fontId="3" fillId="0" borderId="0" xfId="1" applyNumberFormat="1" applyFont="1"/>
    <xf numFmtId="167" fontId="3" fillId="0" borderId="0" xfId="1" applyNumberFormat="1" applyFont="1"/>
    <xf numFmtId="0" fontId="3" fillId="0" borderId="0" xfId="1" applyFont="1" applyAlignment="1">
      <alignment horizontal="right"/>
    </xf>
    <xf numFmtId="166" fontId="3" fillId="0" borderId="0" xfId="1" applyNumberFormat="1" applyFont="1" applyAlignment="1">
      <alignment horizontal="right"/>
    </xf>
    <xf numFmtId="0" fontId="5" fillId="5" borderId="11" xfId="1" applyFont="1" applyFill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 vertical="center"/>
    </xf>
    <xf numFmtId="49" fontId="5" fillId="5" borderId="7" xfId="1" applyNumberFormat="1" applyFont="1" applyFill="1" applyBorder="1" applyAlignment="1">
      <alignment horizontal="center"/>
    </xf>
    <xf numFmtId="170" fontId="5" fillId="4" borderId="11" xfId="5" applyNumberFormat="1" applyFont="1" applyFill="1" applyBorder="1" applyAlignment="1">
      <alignment horizontal="right"/>
    </xf>
    <xf numFmtId="170" fontId="5" fillId="4" borderId="1" xfId="5" applyNumberFormat="1" applyFont="1" applyFill="1" applyBorder="1" applyAlignment="1">
      <alignment horizontal="right"/>
    </xf>
    <xf numFmtId="170" fontId="5" fillId="4" borderId="0" xfId="5" applyNumberFormat="1" applyFont="1" applyFill="1" applyAlignment="1">
      <alignment horizontal="right"/>
    </xf>
    <xf numFmtId="170" fontId="5" fillId="4" borderId="1" xfId="4" applyNumberFormat="1" applyFont="1" applyFill="1" applyBorder="1" applyAlignment="1">
      <alignment horizontal="right"/>
    </xf>
    <xf numFmtId="170" fontId="5" fillId="4" borderId="10" xfId="5" applyNumberFormat="1" applyFont="1" applyFill="1" applyBorder="1" applyAlignment="1">
      <alignment horizontal="right"/>
    </xf>
    <xf numFmtId="3" fontId="3" fillId="0" borderId="0" xfId="1" applyNumberFormat="1" applyFont="1"/>
    <xf numFmtId="170" fontId="5" fillId="4" borderId="3" xfId="5" applyNumberFormat="1" applyFont="1" applyFill="1" applyBorder="1" applyAlignment="1">
      <alignment horizontal="right"/>
    </xf>
    <xf numFmtId="170" fontId="5" fillId="4" borderId="2" xfId="5" applyNumberFormat="1" applyFont="1" applyFill="1" applyBorder="1" applyAlignment="1">
      <alignment horizontal="right"/>
    </xf>
    <xf numFmtId="170" fontId="5" fillId="4" borderId="2" xfId="4" applyNumberFormat="1" applyFont="1" applyFill="1" applyBorder="1" applyAlignment="1">
      <alignment horizontal="right"/>
    </xf>
    <xf numFmtId="170" fontId="5" fillId="4" borderId="8" xfId="5" applyNumberFormat="1" applyFont="1" applyFill="1" applyBorder="1" applyAlignment="1">
      <alignment horizontal="right"/>
    </xf>
    <xf numFmtId="168" fontId="3" fillId="0" borderId="0" xfId="1" applyNumberFormat="1" applyFont="1"/>
    <xf numFmtId="170" fontId="3" fillId="4" borderId="3" xfId="5" applyNumberFormat="1" applyFont="1" applyFill="1" applyBorder="1" applyAlignment="1">
      <alignment horizontal="right"/>
    </xf>
    <xf numFmtId="170" fontId="3" fillId="4" borderId="2" xfId="5" applyNumberFormat="1" applyFont="1" applyFill="1" applyBorder="1" applyAlignment="1">
      <alignment horizontal="right"/>
    </xf>
    <xf numFmtId="170" fontId="3" fillId="4" borderId="0" xfId="5" applyNumberFormat="1" applyFont="1" applyFill="1" applyAlignment="1">
      <alignment horizontal="right"/>
    </xf>
    <xf numFmtId="170" fontId="3" fillId="4" borderId="2" xfId="4" applyNumberFormat="1" applyFont="1" applyFill="1" applyBorder="1" applyAlignment="1">
      <alignment horizontal="right"/>
    </xf>
    <xf numFmtId="170" fontId="3" fillId="4" borderId="8" xfId="5" applyNumberFormat="1" applyFont="1" applyFill="1" applyBorder="1" applyAlignment="1">
      <alignment horizontal="right"/>
    </xf>
    <xf numFmtId="164" fontId="3" fillId="4" borderId="3" xfId="5" applyNumberFormat="1" applyFont="1" applyFill="1" applyBorder="1" applyAlignment="1">
      <alignment horizontal="right"/>
    </xf>
    <xf numFmtId="170" fontId="3" fillId="0" borderId="3" xfId="5" applyNumberFormat="1" applyFont="1" applyFill="1" applyBorder="1" applyAlignment="1">
      <alignment horizontal="right"/>
    </xf>
    <xf numFmtId="170" fontId="3" fillId="0" borderId="2" xfId="5" applyNumberFormat="1" applyFont="1" applyFill="1" applyBorder="1" applyAlignment="1">
      <alignment horizontal="right"/>
    </xf>
    <xf numFmtId="170" fontId="3" fillId="0" borderId="0" xfId="5" applyNumberFormat="1" applyFont="1" applyFill="1" applyAlignment="1">
      <alignment horizontal="right"/>
    </xf>
    <xf numFmtId="170" fontId="3" fillId="0" borderId="2" xfId="4" applyNumberFormat="1" applyFont="1" applyFill="1" applyBorder="1" applyAlignment="1">
      <alignment horizontal="right"/>
    </xf>
    <xf numFmtId="164" fontId="3" fillId="0" borderId="0" xfId="1" applyNumberFormat="1" applyFont="1"/>
    <xf numFmtId="170" fontId="3" fillId="0" borderId="3" xfId="4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 vertical="top" wrapText="1"/>
    </xf>
    <xf numFmtId="4" fontId="3" fillId="2" borderId="16" xfId="0" applyNumberFormat="1" applyFont="1" applyFill="1" applyBorder="1" applyAlignment="1">
      <alignment horizontal="right" vertical="top" wrapText="1"/>
    </xf>
    <xf numFmtId="170" fontId="3" fillId="6" borderId="3" xfId="5" applyNumberFormat="1" applyFont="1" applyFill="1" applyBorder="1" applyAlignment="1">
      <alignment horizontal="right"/>
    </xf>
    <xf numFmtId="170" fontId="3" fillId="6" borderId="2" xfId="5" applyNumberFormat="1" applyFont="1" applyFill="1" applyBorder="1" applyAlignment="1">
      <alignment horizontal="right"/>
    </xf>
    <xf numFmtId="170" fontId="3" fillId="6" borderId="0" xfId="5" applyNumberFormat="1" applyFont="1" applyFill="1" applyAlignment="1">
      <alignment horizontal="right"/>
    </xf>
    <xf numFmtId="170" fontId="3" fillId="6" borderId="2" xfId="4" applyNumberFormat="1" applyFont="1" applyFill="1" applyBorder="1" applyAlignment="1">
      <alignment horizontal="right"/>
    </xf>
    <xf numFmtId="0" fontId="9" fillId="0" borderId="0" xfId="1" applyFont="1" applyAlignment="1">
      <alignment vertical="center" wrapText="1"/>
    </xf>
    <xf numFmtId="170" fontId="5" fillId="4" borderId="13" xfId="5" applyNumberFormat="1" applyFont="1" applyFill="1" applyBorder="1" applyAlignment="1">
      <alignment horizontal="right"/>
    </xf>
    <xf numFmtId="170" fontId="5" fillId="4" borderId="4" xfId="5" applyNumberFormat="1" applyFont="1" applyFill="1" applyBorder="1" applyAlignment="1">
      <alignment horizontal="right"/>
    </xf>
    <xf numFmtId="170" fontId="5" fillId="4" borderId="4" xfId="4" applyNumberFormat="1" applyFont="1" applyFill="1" applyBorder="1" applyAlignment="1">
      <alignment horizontal="right"/>
    </xf>
    <xf numFmtId="170" fontId="5" fillId="4" borderId="14" xfId="5" applyNumberFormat="1" applyFont="1" applyFill="1" applyBorder="1" applyAlignment="1">
      <alignment horizontal="right"/>
    </xf>
    <xf numFmtId="164" fontId="5" fillId="4" borderId="5" xfId="5" applyNumberFormat="1" applyFont="1" applyFill="1" applyBorder="1" applyAlignment="1">
      <alignment horizontal="right"/>
    </xf>
    <xf numFmtId="164" fontId="5" fillId="4" borderId="1" xfId="5" applyNumberFormat="1" applyFont="1" applyFill="1" applyBorder="1" applyAlignment="1">
      <alignment horizontal="right"/>
    </xf>
    <xf numFmtId="164" fontId="5" fillId="4" borderId="0" xfId="5" applyNumberFormat="1" applyFont="1" applyFill="1" applyAlignment="1">
      <alignment horizontal="right"/>
    </xf>
    <xf numFmtId="164" fontId="3" fillId="4" borderId="0" xfId="5" applyNumberFormat="1" applyFont="1" applyFill="1" applyBorder="1" applyAlignment="1">
      <alignment horizontal="right"/>
    </xf>
    <xf numFmtId="164" fontId="3" fillId="4" borderId="2" xfId="5" applyNumberFormat="1" applyFont="1" applyFill="1" applyBorder="1" applyAlignment="1">
      <alignment horizontal="right"/>
    </xf>
    <xf numFmtId="164" fontId="3" fillId="4" borderId="0" xfId="5" applyNumberFormat="1" applyFont="1" applyFill="1" applyAlignment="1">
      <alignment horizontal="right"/>
    </xf>
    <xf numFmtId="164" fontId="3" fillId="4" borderId="8" xfId="5" applyNumberFormat="1" applyFont="1" applyFill="1" applyBorder="1" applyAlignment="1">
      <alignment horizontal="right"/>
    </xf>
    <xf numFmtId="43" fontId="3" fillId="0" borderId="0" xfId="1" applyNumberFormat="1" applyFont="1"/>
    <xf numFmtId="164" fontId="3" fillId="4" borderId="6" xfId="5" applyNumberFormat="1" applyFont="1" applyFill="1" applyBorder="1" applyAlignment="1">
      <alignment horizontal="right"/>
    </xf>
    <xf numFmtId="164" fontId="3" fillId="4" borderId="7" xfId="5" applyNumberFormat="1" applyFont="1" applyFill="1" applyBorder="1" applyAlignment="1">
      <alignment horizontal="right"/>
    </xf>
    <xf numFmtId="170" fontId="3" fillId="4" borderId="7" xfId="4" applyNumberFormat="1" applyFont="1" applyFill="1" applyBorder="1" applyAlignment="1">
      <alignment horizontal="right"/>
    </xf>
    <xf numFmtId="164" fontId="3" fillId="4" borderId="9" xfId="5" applyNumberFormat="1" applyFont="1" applyFill="1" applyBorder="1" applyAlignment="1">
      <alignment horizontal="right"/>
    </xf>
    <xf numFmtId="170" fontId="5" fillId="0" borderId="0" xfId="5" applyNumberFormat="1" applyFont="1" applyFill="1" applyBorder="1" applyAlignment="1">
      <alignment horizontal="right"/>
    </xf>
    <xf numFmtId="170" fontId="5" fillId="0" borderId="4" xfId="5" applyNumberFormat="1" applyFont="1" applyFill="1" applyBorder="1" applyAlignment="1">
      <alignment horizontal="right"/>
    </xf>
    <xf numFmtId="170" fontId="5" fillId="0" borderId="13" xfId="5" applyNumberFormat="1" applyFont="1" applyFill="1" applyBorder="1" applyAlignment="1">
      <alignment horizontal="right"/>
    </xf>
    <xf numFmtId="170" fontId="5" fillId="0" borderId="7" xfId="4" applyNumberFormat="1" applyFont="1" applyFill="1" applyBorder="1" applyAlignment="1">
      <alignment horizontal="right"/>
    </xf>
    <xf numFmtId="170" fontId="5" fillId="0" borderId="14" xfId="5" applyNumberFormat="1" applyFont="1" applyFill="1" applyBorder="1" applyAlignment="1">
      <alignment horizontal="right"/>
    </xf>
    <xf numFmtId="165" fontId="6" fillId="3" borderId="4" xfId="4" applyFont="1" applyFill="1" applyBorder="1" applyAlignment="1"/>
    <xf numFmtId="165" fontId="6" fillId="3" borderId="14" xfId="4" applyFont="1" applyFill="1" applyBorder="1" applyAlignment="1"/>
    <xf numFmtId="170" fontId="5" fillId="4" borderId="7" xfId="4" applyNumberFormat="1" applyFont="1" applyFill="1" applyBorder="1" applyAlignment="1">
      <alignment horizontal="right"/>
    </xf>
    <xf numFmtId="164" fontId="3" fillId="4" borderId="0" xfId="1" applyNumberFormat="1" applyFont="1" applyFill="1" applyAlignment="1">
      <alignment wrapText="1"/>
    </xf>
    <xf numFmtId="170" fontId="3" fillId="4" borderId="4" xfId="5" applyNumberFormat="1" applyFont="1" applyFill="1" applyBorder="1" applyAlignment="1">
      <alignment horizontal="right"/>
    </xf>
    <xf numFmtId="170" fontId="3" fillId="4" borderId="4" xfId="4" applyNumberFormat="1" applyFont="1" applyFill="1" applyBorder="1" applyAlignment="1"/>
    <xf numFmtId="0" fontId="6" fillId="4" borderId="0" xfId="1" applyFont="1" applyFill="1"/>
    <xf numFmtId="37" fontId="6" fillId="4" borderId="0" xfId="1" applyNumberFormat="1" applyFont="1" applyFill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 wrapText="1"/>
    </xf>
    <xf numFmtId="0" fontId="5" fillId="5" borderId="8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/>
    </xf>
    <xf numFmtId="0" fontId="5" fillId="5" borderId="9" xfId="1" applyFont="1" applyFill="1" applyBorder="1" applyAlignment="1">
      <alignment horizontal="center"/>
    </xf>
    <xf numFmtId="0" fontId="5" fillId="0" borderId="0" xfId="1" applyFont="1" applyAlignment="1">
      <alignment wrapText="1"/>
    </xf>
    <xf numFmtId="165" fontId="5" fillId="4" borderId="10" xfId="4" applyFont="1" applyFill="1" applyBorder="1" applyAlignment="1">
      <alignment horizontal="right"/>
    </xf>
    <xf numFmtId="4" fontId="5" fillId="0" borderId="0" xfId="1" applyNumberFormat="1" applyFont="1"/>
    <xf numFmtId="4" fontId="3" fillId="0" borderId="0" xfId="1" applyNumberFormat="1" applyFont="1"/>
    <xf numFmtId="49" fontId="3" fillId="0" borderId="3" xfId="1" applyNumberFormat="1" applyFont="1" applyBorder="1"/>
    <xf numFmtId="165" fontId="6" fillId="3" borderId="2" xfId="4" applyFont="1" applyFill="1" applyBorder="1" applyAlignment="1"/>
    <xf numFmtId="0" fontId="5" fillId="0" borderId="17" xfId="1" applyFont="1" applyBorder="1"/>
    <xf numFmtId="165" fontId="5" fillId="4" borderId="14" xfId="4" applyFont="1" applyFill="1" applyBorder="1" applyAlignment="1">
      <alignment horizontal="right"/>
    </xf>
    <xf numFmtId="0" fontId="6" fillId="0" borderId="0" xfId="0" applyFont="1"/>
    <xf numFmtId="0" fontId="5" fillId="0" borderId="11" xfId="1" applyFont="1" applyBorder="1" applyAlignment="1">
      <alignment horizontal="left" wrapText="1"/>
    </xf>
    <xf numFmtId="165" fontId="3" fillId="4" borderId="2" xfId="4" applyFont="1" applyFill="1" applyBorder="1" applyAlignment="1">
      <alignment horizontal="right"/>
    </xf>
    <xf numFmtId="170" fontId="3" fillId="4" borderId="0" xfId="1" applyNumberFormat="1" applyFont="1" applyFill="1"/>
    <xf numFmtId="170" fontId="3" fillId="4" borderId="9" xfId="5" applyNumberFormat="1" applyFont="1" applyFill="1" applyBorder="1" applyAlignment="1">
      <alignment horizontal="right"/>
    </xf>
    <xf numFmtId="170" fontId="3" fillId="4" borderId="7" xfId="5" applyNumberFormat="1" applyFont="1" applyFill="1" applyBorder="1" applyAlignment="1">
      <alignment horizontal="right"/>
    </xf>
    <xf numFmtId="170" fontId="3" fillId="4" borderId="7" xfId="1" applyNumberFormat="1" applyFont="1" applyFill="1" applyBorder="1"/>
    <xf numFmtId="170" fontId="5" fillId="4" borderId="9" xfId="5" applyNumberFormat="1" applyFont="1" applyFill="1" applyBorder="1" applyAlignment="1">
      <alignment horizontal="right"/>
    </xf>
    <xf numFmtId="170" fontId="5" fillId="4" borderId="12" xfId="5" applyNumberFormat="1" applyFont="1" applyFill="1" applyBorder="1" applyAlignment="1">
      <alignment horizontal="right"/>
    </xf>
    <xf numFmtId="165" fontId="3" fillId="0" borderId="0" xfId="4" applyFont="1" applyFill="1" applyAlignment="1"/>
    <xf numFmtId="0" fontId="5" fillId="0" borderId="6" xfId="1" applyFont="1" applyBorder="1"/>
    <xf numFmtId="170" fontId="5" fillId="4" borderId="7" xfId="5" applyNumberFormat="1" applyFont="1" applyFill="1" applyBorder="1" applyAlignment="1">
      <alignment horizontal="right"/>
    </xf>
    <xf numFmtId="165" fontId="5" fillId="4" borderId="7" xfId="4" applyFont="1" applyFill="1" applyBorder="1" applyAlignment="1">
      <alignment horizontal="right"/>
    </xf>
    <xf numFmtId="165" fontId="5" fillId="0" borderId="9" xfId="4" applyFont="1" applyFill="1" applyBorder="1" applyAlignment="1">
      <alignment horizontal="right"/>
    </xf>
    <xf numFmtId="165" fontId="5" fillId="4" borderId="13" xfId="4" applyFont="1" applyFill="1" applyBorder="1" applyAlignment="1">
      <alignment horizontal="right"/>
    </xf>
    <xf numFmtId="0" fontId="12" fillId="4" borderId="0" xfId="1" applyFont="1" applyFill="1"/>
    <xf numFmtId="37" fontId="12" fillId="4" borderId="0" xfId="1" applyNumberFormat="1" applyFont="1" applyFill="1" applyAlignment="1">
      <alignment horizontal="center"/>
    </xf>
    <xf numFmtId="164" fontId="12" fillId="4" borderId="0" xfId="1" applyNumberFormat="1" applyFont="1" applyFill="1" applyAlignment="1">
      <alignment horizontal="center"/>
    </xf>
    <xf numFmtId="37" fontId="12" fillId="4" borderId="0" xfId="1" applyNumberFormat="1" applyFont="1" applyFill="1" applyAlignment="1">
      <alignment horizontal="center" vertical="center"/>
    </xf>
    <xf numFmtId="37" fontId="3" fillId="4" borderId="0" xfId="1" applyNumberFormat="1" applyFont="1" applyFill="1" applyAlignment="1">
      <alignment horizontal="right" vertical="center"/>
    </xf>
    <xf numFmtId="43" fontId="6" fillId="0" borderId="0" xfId="1" applyNumberFormat="1" applyFont="1"/>
    <xf numFmtId="165" fontId="12" fillId="4" borderId="0" xfId="4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37" fontId="6" fillId="4" borderId="0" xfId="1" applyNumberFormat="1" applyFont="1" applyFill="1" applyAlignment="1">
      <alignment horizontal="center" vertical="center"/>
    </xf>
    <xf numFmtId="37" fontId="3" fillId="4" borderId="0" xfId="1" applyNumberFormat="1" applyFont="1" applyFill="1" applyAlignment="1">
      <alignment horizontal="center" vertical="center"/>
    </xf>
    <xf numFmtId="43" fontId="7" fillId="4" borderId="0" xfId="1" applyNumberFormat="1" applyFont="1" applyFill="1" applyAlignment="1">
      <alignment horizontal="center"/>
    </xf>
    <xf numFmtId="49" fontId="3" fillId="4" borderId="0" xfId="1" applyNumberFormat="1" applyFont="1" applyFill="1" applyAlignment="1">
      <alignment horizontal="center"/>
    </xf>
    <xf numFmtId="165" fontId="3" fillId="4" borderId="0" xfId="4" applyFont="1" applyFill="1" applyAlignment="1">
      <alignment horizontal="center"/>
    </xf>
    <xf numFmtId="0" fontId="3" fillId="4" borderId="0" xfId="1" applyFont="1" applyFill="1" applyAlignment="1">
      <alignment horizontal="center"/>
    </xf>
    <xf numFmtId="49" fontId="3" fillId="4" borderId="0" xfId="1" applyNumberFormat="1" applyFont="1" applyFill="1"/>
    <xf numFmtId="0" fontId="3" fillId="4" borderId="0" xfId="1" applyFont="1" applyFill="1"/>
    <xf numFmtId="164" fontId="6" fillId="0" borderId="0" xfId="1" applyNumberFormat="1" applyFont="1"/>
    <xf numFmtId="166" fontId="3" fillId="4" borderId="0" xfId="1" applyNumberFormat="1" applyFont="1" applyFill="1" applyAlignment="1">
      <alignment horizontal="right"/>
    </xf>
    <xf numFmtId="0" fontId="4" fillId="0" borderId="0" xfId="0" applyFont="1"/>
    <xf numFmtId="170" fontId="5" fillId="0" borderId="3" xfId="5" applyNumberFormat="1" applyFont="1" applyFill="1" applyBorder="1" applyAlignment="1">
      <alignment horizontal="right"/>
    </xf>
    <xf numFmtId="170" fontId="5" fillId="0" borderId="2" xfId="5" applyNumberFormat="1" applyFont="1" applyFill="1" applyBorder="1" applyAlignment="1">
      <alignment horizontal="right"/>
    </xf>
    <xf numFmtId="170" fontId="5" fillId="0" borderId="0" xfId="5" applyNumberFormat="1" applyFont="1" applyFill="1" applyAlignment="1">
      <alignment horizontal="right"/>
    </xf>
    <xf numFmtId="170" fontId="5" fillId="0" borderId="2" xfId="4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 vertical="top" wrapText="1"/>
    </xf>
    <xf numFmtId="170" fontId="3" fillId="4" borderId="12" xfId="5" applyNumberFormat="1" applyFont="1" applyFill="1" applyBorder="1" applyAlignment="1">
      <alignment horizontal="right"/>
    </xf>
    <xf numFmtId="170" fontId="3" fillId="4" borderId="6" xfId="5" applyNumberFormat="1" applyFont="1" applyFill="1" applyBorder="1" applyAlignment="1">
      <alignment horizontal="right"/>
    </xf>
    <xf numFmtId="0" fontId="3" fillId="0" borderId="0" xfId="1" applyFont="1" applyAlignment="1">
      <alignment horizontal="left" indent="2"/>
    </xf>
    <xf numFmtId="0" fontId="5" fillId="0" borderId="12" xfId="1" applyFont="1" applyBorder="1"/>
    <xf numFmtId="0" fontId="12" fillId="0" borderId="0" xfId="1" applyFont="1"/>
    <xf numFmtId="164" fontId="5" fillId="0" borderId="0" xfId="5" applyNumberFormat="1" applyFont="1" applyFill="1" applyBorder="1" applyAlignment="1">
      <alignment horizontal="right"/>
    </xf>
    <xf numFmtId="49" fontId="3" fillId="0" borderId="0" xfId="5" applyNumberFormat="1" applyFont="1" applyFill="1" applyBorder="1" applyAlignment="1">
      <alignment horizontal="right"/>
    </xf>
    <xf numFmtId="0" fontId="12" fillId="0" borderId="0" xfId="1" applyFont="1" applyAlignment="1">
      <alignment horizontal="left" vertical="center"/>
    </xf>
    <xf numFmtId="164" fontId="12" fillId="0" borderId="0" xfId="1" applyNumberFormat="1" applyFont="1"/>
    <xf numFmtId="0" fontId="12" fillId="0" borderId="0" xfId="1" applyFont="1" applyAlignment="1">
      <alignment horizontal="left" vertical="center" wrapText="1"/>
    </xf>
    <xf numFmtId="43" fontId="12" fillId="0" borderId="0" xfId="1" applyNumberFormat="1" applyFont="1" applyAlignment="1">
      <alignment horizontal="left" vertical="center"/>
    </xf>
    <xf numFmtId="169" fontId="12" fillId="0" borderId="0" xfId="1" applyNumberFormat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43" fontId="3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165" fontId="3" fillId="0" borderId="0" xfId="4" applyFont="1" applyFill="1" applyBorder="1" applyAlignment="1">
      <alignment horizontal="right" vertical="center"/>
    </xf>
    <xf numFmtId="165" fontId="3" fillId="0" borderId="0" xfId="4" applyFont="1" applyFill="1" applyBorder="1" applyAlignment="1">
      <alignment horizontal="left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165" fontId="12" fillId="0" borderId="0" xfId="4" applyFont="1" applyAlignment="1">
      <alignment horizontal="left" vertical="center"/>
    </xf>
    <xf numFmtId="49" fontId="3" fillId="0" borderId="3" xfId="1" applyNumberFormat="1" applyFont="1" applyBorder="1" applyAlignment="1">
      <alignment horizontal="left"/>
    </xf>
    <xf numFmtId="170" fontId="5" fillId="4" borderId="8" xfId="5" applyNumberFormat="1" applyFont="1" applyFill="1" applyBorder="1" applyAlignment="1">
      <alignment horizontal="right"/>
    </xf>
    <xf numFmtId="170" fontId="5" fillId="4" borderId="0" xfId="5" applyNumberFormat="1" applyFont="1" applyFill="1" applyBorder="1" applyAlignment="1">
      <alignment horizontal="right"/>
    </xf>
    <xf numFmtId="170" fontId="3" fillId="4" borderId="8" xfId="5" applyNumberFormat="1" applyFont="1" applyFill="1" applyBorder="1" applyAlignment="1">
      <alignment horizontal="center"/>
    </xf>
    <xf numFmtId="170" fontId="3" fillId="4" borderId="3" xfId="5" applyNumberFormat="1" applyFont="1" applyFill="1" applyBorder="1" applyAlignment="1">
      <alignment horizontal="center"/>
    </xf>
    <xf numFmtId="170" fontId="5" fillId="4" borderId="8" xfId="5" applyNumberFormat="1" applyFont="1" applyFill="1" applyBorder="1" applyAlignment="1">
      <alignment horizontal="center"/>
    </xf>
    <xf numFmtId="170" fontId="5" fillId="4" borderId="3" xfId="5" applyNumberFormat="1" applyFont="1" applyFill="1" applyBorder="1" applyAlignment="1">
      <alignment horizontal="center"/>
    </xf>
    <xf numFmtId="49" fontId="5" fillId="0" borderId="3" xfId="1" applyNumberFormat="1" applyFont="1" applyBorder="1" applyAlignment="1">
      <alignment horizontal="left"/>
    </xf>
    <xf numFmtId="170" fontId="3" fillId="4" borderId="8" xfId="5" applyNumberFormat="1" applyFont="1" applyFill="1" applyBorder="1" applyAlignment="1">
      <alignment horizontal="right"/>
    </xf>
    <xf numFmtId="170" fontId="3" fillId="4" borderId="0" xfId="5" applyNumberFormat="1" applyFont="1" applyFill="1" applyBorder="1" applyAlignment="1">
      <alignment horizontal="right"/>
    </xf>
    <xf numFmtId="170" fontId="3" fillId="4" borderId="0" xfId="5" applyNumberFormat="1" applyFont="1" applyFill="1" applyBorder="1" applyAlignment="1">
      <alignment horizontal="center"/>
    </xf>
    <xf numFmtId="170" fontId="3" fillId="6" borderId="8" xfId="5" applyNumberFormat="1" applyFont="1" applyFill="1" applyBorder="1" applyAlignment="1">
      <alignment horizontal="center"/>
    </xf>
    <xf numFmtId="170" fontId="3" fillId="6" borderId="3" xfId="5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4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165" fontId="5" fillId="4" borderId="10" xfId="4" applyFont="1" applyFill="1" applyBorder="1" applyAlignment="1">
      <alignment horizontal="right"/>
    </xf>
    <xf numFmtId="165" fontId="5" fillId="4" borderId="5" xfId="4" applyFont="1" applyFill="1" applyBorder="1" applyAlignment="1">
      <alignment horizontal="right"/>
    </xf>
    <xf numFmtId="165" fontId="3" fillId="4" borderId="8" xfId="4" applyFont="1" applyFill="1" applyBorder="1" applyAlignment="1">
      <alignment horizontal="center"/>
    </xf>
    <xf numFmtId="165" fontId="3" fillId="4" borderId="0" xfId="4" applyFont="1" applyFill="1" applyBorder="1" applyAlignment="1">
      <alignment horizontal="center"/>
    </xf>
    <xf numFmtId="49" fontId="5" fillId="5" borderId="9" xfId="1" applyNumberFormat="1" applyFont="1" applyFill="1" applyBorder="1" applyAlignment="1">
      <alignment horizontal="center"/>
    </xf>
    <xf numFmtId="49" fontId="5" fillId="5" borderId="6" xfId="1" applyNumberFormat="1" applyFont="1" applyFill="1" applyBorder="1" applyAlignment="1">
      <alignment horizontal="center"/>
    </xf>
    <xf numFmtId="170" fontId="3" fillId="0" borderId="8" xfId="5" applyNumberFormat="1" applyFont="1" applyFill="1" applyBorder="1" applyAlignment="1">
      <alignment horizontal="right"/>
    </xf>
    <xf numFmtId="170" fontId="3" fillId="0" borderId="0" xfId="5" applyNumberFormat="1" applyFont="1" applyFill="1" applyBorder="1" applyAlignment="1">
      <alignment horizontal="right"/>
    </xf>
    <xf numFmtId="164" fontId="3" fillId="4" borderId="8" xfId="5" applyNumberFormat="1" applyFont="1" applyFill="1" applyBorder="1" applyAlignment="1">
      <alignment horizontal="right"/>
    </xf>
    <xf numFmtId="164" fontId="3" fillId="4" borderId="0" xfId="5" applyNumberFormat="1" applyFont="1" applyFill="1" applyBorder="1" applyAlignment="1">
      <alignment horizontal="right"/>
    </xf>
    <xf numFmtId="0" fontId="9" fillId="0" borderId="0" xfId="1" applyFont="1" applyAlignment="1">
      <alignment horizontal="center" vertical="center" wrapText="1"/>
    </xf>
    <xf numFmtId="0" fontId="3" fillId="6" borderId="0" xfId="1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4" borderId="0" xfId="1" applyFont="1" applyFill="1" applyAlignment="1">
      <alignment horizontal="center" vertical="center"/>
    </xf>
    <xf numFmtId="170" fontId="3" fillId="6" borderId="0" xfId="5" applyNumberFormat="1" applyFon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170" fontId="5" fillId="4" borderId="8" xfId="4" applyNumberFormat="1" applyFont="1" applyFill="1" applyBorder="1" applyAlignment="1">
      <alignment horizontal="right"/>
    </xf>
    <xf numFmtId="170" fontId="5" fillId="4" borderId="3" xfId="4" applyNumberFormat="1" applyFont="1" applyFill="1" applyBorder="1" applyAlignment="1">
      <alignment horizontal="right"/>
    </xf>
    <xf numFmtId="49" fontId="5" fillId="5" borderId="10" xfId="1" applyNumberFormat="1" applyFont="1" applyFill="1" applyBorder="1" applyAlignment="1">
      <alignment horizontal="center"/>
    </xf>
    <xf numFmtId="49" fontId="5" fillId="5" borderId="5" xfId="1" applyNumberFormat="1" applyFont="1" applyFill="1" applyBorder="1" applyAlignment="1">
      <alignment horizontal="center"/>
    </xf>
    <xf numFmtId="49" fontId="5" fillId="5" borderId="11" xfId="1" applyNumberFormat="1" applyFont="1" applyFill="1" applyBorder="1" applyAlignment="1">
      <alignment horizontal="center"/>
    </xf>
    <xf numFmtId="170" fontId="3" fillId="4" borderId="8" xfId="4" applyNumberFormat="1" applyFont="1" applyFill="1" applyBorder="1" applyAlignment="1">
      <alignment horizontal="right"/>
    </xf>
    <xf numFmtId="170" fontId="3" fillId="4" borderId="3" xfId="4" applyNumberFormat="1" applyFont="1" applyFill="1" applyBorder="1" applyAlignment="1">
      <alignment horizontal="right"/>
    </xf>
    <xf numFmtId="0" fontId="12" fillId="0" borderId="0" xfId="1" applyFont="1" applyAlignment="1">
      <alignment horizontal="left" vertical="center" wrapText="1"/>
    </xf>
    <xf numFmtId="0" fontId="12" fillId="4" borderId="0" xfId="1" applyFont="1" applyFill="1" applyAlignment="1">
      <alignment horizontal="left" vertical="center" wrapText="1"/>
    </xf>
    <xf numFmtId="0" fontId="7" fillId="0" borderId="0" xfId="1" applyFont="1" applyAlignment="1">
      <alignment horizontal="center"/>
    </xf>
    <xf numFmtId="49" fontId="7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49" fontId="7" fillId="4" borderId="0" xfId="1" applyNumberFormat="1" applyFont="1" applyFill="1" applyAlignment="1">
      <alignment horizontal="center"/>
    </xf>
    <xf numFmtId="49" fontId="5" fillId="5" borderId="1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5" fillId="5" borderId="7" xfId="1" applyNumberFormat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49" fontId="5" fillId="5" borderId="8" xfId="1" applyNumberFormat="1" applyFont="1" applyFill="1" applyBorder="1" applyAlignment="1">
      <alignment horizontal="center"/>
    </xf>
    <xf numFmtId="49" fontId="5" fillId="5" borderId="0" xfId="1" applyNumberFormat="1" applyFont="1" applyFill="1" applyAlignment="1">
      <alignment horizontal="center"/>
    </xf>
    <xf numFmtId="49" fontId="5" fillId="5" borderId="12" xfId="1" applyNumberFormat="1" applyFont="1" applyFill="1" applyBorder="1" applyAlignment="1">
      <alignment horizontal="center"/>
    </xf>
    <xf numFmtId="0" fontId="5" fillId="5" borderId="5" xfId="1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5" fillId="0" borderId="3" xfId="1" applyFont="1" applyBorder="1" applyAlignment="1">
      <alignment horizontal="left" wrapText="1"/>
    </xf>
    <xf numFmtId="170" fontId="5" fillId="4" borderId="10" xfId="4" applyNumberFormat="1" applyFont="1" applyFill="1" applyBorder="1" applyAlignment="1">
      <alignment horizontal="right"/>
    </xf>
    <xf numFmtId="170" fontId="5" fillId="4" borderId="11" xfId="4" applyNumberFormat="1" applyFont="1" applyFill="1" applyBorder="1" applyAlignment="1">
      <alignment horizontal="right"/>
    </xf>
    <xf numFmtId="170" fontId="3" fillId="4" borderId="8" xfId="4" applyNumberFormat="1" applyFont="1" applyFill="1" applyBorder="1" applyAlignment="1">
      <alignment horizontal="center"/>
    </xf>
    <xf numFmtId="170" fontId="3" fillId="4" borderId="3" xfId="4" applyNumberFormat="1" applyFont="1" applyFill="1" applyBorder="1" applyAlignment="1">
      <alignment horizontal="center"/>
    </xf>
    <xf numFmtId="49" fontId="3" fillId="0" borderId="3" xfId="1" applyNumberFormat="1" applyFont="1" applyBorder="1" applyAlignment="1">
      <alignment horizontal="left" indent="4"/>
    </xf>
    <xf numFmtId="170" fontId="5" fillId="4" borderId="10" xfId="5" applyNumberFormat="1" applyFont="1" applyFill="1" applyBorder="1" applyAlignment="1">
      <alignment horizontal="right"/>
    </xf>
    <xf numFmtId="170" fontId="5" fillId="4" borderId="5" xfId="5" applyNumberFormat="1" applyFont="1" applyFill="1" applyBorder="1" applyAlignment="1">
      <alignment horizontal="right"/>
    </xf>
    <xf numFmtId="170" fontId="3" fillId="0" borderId="8" xfId="5" applyNumberFormat="1" applyFont="1" applyFill="1" applyBorder="1" applyAlignment="1">
      <alignment horizontal="center"/>
    </xf>
    <xf numFmtId="170" fontId="3" fillId="0" borderId="3" xfId="5" applyNumberFormat="1" applyFont="1" applyFill="1" applyBorder="1" applyAlignment="1">
      <alignment horizontal="center"/>
    </xf>
    <xf numFmtId="170" fontId="3" fillId="0" borderId="0" xfId="5" applyNumberFormat="1" applyFont="1" applyFill="1" applyBorder="1" applyAlignment="1">
      <alignment horizontal="center"/>
    </xf>
    <xf numFmtId="170" fontId="3" fillId="0" borderId="8" xfId="4" applyNumberFormat="1" applyFont="1" applyFill="1" applyBorder="1" applyAlignment="1">
      <alignment horizontal="center"/>
    </xf>
    <xf numFmtId="170" fontId="3" fillId="0" borderId="3" xfId="4" applyNumberFormat="1" applyFont="1" applyFill="1" applyBorder="1" applyAlignment="1">
      <alignment horizontal="center"/>
    </xf>
    <xf numFmtId="164" fontId="3" fillId="4" borderId="3" xfId="5" applyNumberFormat="1" applyFont="1" applyFill="1" applyBorder="1" applyAlignment="1">
      <alignment horizontal="right"/>
    </xf>
    <xf numFmtId="170" fontId="3" fillId="6" borderId="8" xfId="5" applyNumberFormat="1" applyFont="1" applyFill="1" applyBorder="1" applyAlignment="1">
      <alignment horizontal="right"/>
    </xf>
    <xf numFmtId="170" fontId="3" fillId="6" borderId="0" xfId="5" applyNumberFormat="1" applyFont="1" applyFill="1" applyBorder="1" applyAlignment="1">
      <alignment horizontal="right"/>
    </xf>
    <xf numFmtId="49" fontId="3" fillId="0" borderId="0" xfId="1" applyNumberFormat="1" applyFont="1" applyAlignment="1">
      <alignment horizontal="left"/>
    </xf>
    <xf numFmtId="49" fontId="3" fillId="0" borderId="0" xfId="1" applyNumberFormat="1" applyFont="1" applyAlignment="1">
      <alignment horizontal="left" vertical="top"/>
    </xf>
    <xf numFmtId="49" fontId="3" fillId="0" borderId="3" xfId="1" applyNumberFormat="1" applyFont="1" applyBorder="1" applyAlignment="1">
      <alignment horizontal="left" vertical="top"/>
    </xf>
    <xf numFmtId="0" fontId="5" fillId="0" borderId="5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170" fontId="5" fillId="4" borderId="14" xfId="5" applyNumberFormat="1" applyFont="1" applyFill="1" applyBorder="1" applyAlignment="1">
      <alignment horizontal="right"/>
    </xf>
    <xf numFmtId="170" fontId="5" fillId="4" borderId="17" xfId="5" applyNumberFormat="1" applyFont="1" applyFill="1" applyBorder="1" applyAlignment="1">
      <alignment horizontal="right"/>
    </xf>
    <xf numFmtId="49" fontId="5" fillId="0" borderId="17" xfId="1" applyNumberFormat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170" fontId="5" fillId="4" borderId="14" xfId="5" applyNumberFormat="1" applyFont="1" applyFill="1" applyBorder="1" applyAlignment="1">
      <alignment horizontal="center"/>
    </xf>
    <xf numFmtId="170" fontId="5" fillId="4" borderId="13" xfId="5" applyNumberFormat="1" applyFont="1" applyFill="1" applyBorder="1" applyAlignment="1">
      <alignment horizontal="center"/>
    </xf>
    <xf numFmtId="0" fontId="3" fillId="0" borderId="0" xfId="1" applyFont="1" applyAlignment="1">
      <alignment horizontal="left"/>
    </xf>
    <xf numFmtId="164" fontId="5" fillId="4" borderId="10" xfId="5" applyNumberFormat="1" applyFont="1" applyFill="1" applyBorder="1" applyAlignment="1">
      <alignment horizontal="right"/>
    </xf>
    <xf numFmtId="164" fontId="5" fillId="4" borderId="5" xfId="5" applyNumberFormat="1" applyFont="1" applyFill="1" applyBorder="1" applyAlignment="1">
      <alignment horizontal="right"/>
    </xf>
    <xf numFmtId="0" fontId="5" fillId="0" borderId="3" xfId="1" applyFont="1" applyBorder="1" applyAlignment="1">
      <alignment horizontal="left"/>
    </xf>
    <xf numFmtId="170" fontId="5" fillId="4" borderId="9" xfId="5" applyNumberFormat="1" applyFont="1" applyFill="1" applyBorder="1" applyAlignment="1">
      <alignment horizontal="center"/>
    </xf>
    <xf numFmtId="170" fontId="5" fillId="4" borderId="12" xfId="5" applyNumberFormat="1" applyFont="1" applyFill="1" applyBorder="1" applyAlignment="1">
      <alignment horizontal="center"/>
    </xf>
    <xf numFmtId="164" fontId="5" fillId="4" borderId="11" xfId="5" applyNumberFormat="1" applyFont="1" applyFill="1" applyBorder="1" applyAlignment="1">
      <alignment horizontal="right"/>
    </xf>
    <xf numFmtId="49" fontId="5" fillId="0" borderId="13" xfId="1" applyNumberFormat="1" applyFont="1" applyBorder="1" applyAlignment="1">
      <alignment horizontal="left"/>
    </xf>
    <xf numFmtId="170" fontId="5" fillId="0" borderId="14" xfId="5" applyNumberFormat="1" applyFont="1" applyFill="1" applyBorder="1" applyAlignment="1">
      <alignment horizontal="right"/>
    </xf>
    <xf numFmtId="170" fontId="5" fillId="0" borderId="13" xfId="5" applyNumberFormat="1" applyFont="1" applyFill="1" applyBorder="1" applyAlignment="1">
      <alignment horizontal="right"/>
    </xf>
    <xf numFmtId="165" fontId="6" fillId="3" borderId="14" xfId="4" applyFont="1" applyFill="1" applyBorder="1" applyAlignment="1">
      <alignment horizontal="center"/>
    </xf>
    <xf numFmtId="165" fontId="6" fillId="3" borderId="17" xfId="4" applyFont="1" applyFill="1" applyBorder="1" applyAlignment="1">
      <alignment horizontal="center"/>
    </xf>
    <xf numFmtId="0" fontId="3" fillId="0" borderId="6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164" fontId="3" fillId="4" borderId="9" xfId="5" applyNumberFormat="1" applyFont="1" applyFill="1" applyBorder="1" applyAlignment="1">
      <alignment horizontal="right"/>
    </xf>
    <xf numFmtId="164" fontId="3" fillId="4" borderId="12" xfId="5" applyNumberFormat="1" applyFont="1" applyFill="1" applyBorder="1" applyAlignment="1">
      <alignment horizontal="right"/>
    </xf>
    <xf numFmtId="165" fontId="5" fillId="4" borderId="8" xfId="4" applyFont="1" applyFill="1" applyBorder="1" applyAlignment="1">
      <alignment horizontal="right"/>
    </xf>
    <xf numFmtId="165" fontId="5" fillId="4" borderId="0" xfId="4" applyFont="1" applyFill="1" applyBorder="1" applyAlignment="1">
      <alignment horizontal="right"/>
    </xf>
    <xf numFmtId="0" fontId="5" fillId="5" borderId="9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170" fontId="5" fillId="4" borderId="14" xfId="4" applyNumberFormat="1" applyFont="1" applyFill="1" applyBorder="1" applyAlignment="1">
      <alignment horizontal="center"/>
    </xf>
    <xf numFmtId="170" fontId="5" fillId="4" borderId="13" xfId="4" applyNumberFormat="1" applyFont="1" applyFill="1" applyBorder="1" applyAlignment="1">
      <alignment horizontal="center"/>
    </xf>
    <xf numFmtId="49" fontId="5" fillId="0" borderId="5" xfId="1" applyNumberFormat="1" applyFont="1" applyBorder="1" applyAlignment="1">
      <alignment horizontal="left"/>
    </xf>
    <xf numFmtId="49" fontId="5" fillId="0" borderId="11" xfId="1" applyNumberFormat="1" applyFont="1" applyBorder="1" applyAlignment="1">
      <alignment horizontal="left"/>
    </xf>
    <xf numFmtId="170" fontId="5" fillId="4" borderId="13" xfId="5" applyNumberFormat="1" applyFont="1" applyFill="1" applyBorder="1" applyAlignment="1">
      <alignment horizontal="right"/>
    </xf>
    <xf numFmtId="0" fontId="5" fillId="5" borderId="10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0" xfId="1" applyFont="1" applyFill="1" applyAlignment="1">
      <alignment horizontal="center" vertical="center" wrapText="1"/>
    </xf>
    <xf numFmtId="0" fontId="5" fillId="5" borderId="10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165" fontId="6" fillId="3" borderId="13" xfId="4" applyFont="1" applyFill="1" applyBorder="1" applyAlignment="1">
      <alignment horizontal="center"/>
    </xf>
    <xf numFmtId="170" fontId="3" fillId="0" borderId="14" xfId="4" applyNumberFormat="1" applyFont="1" applyFill="1" applyBorder="1" applyAlignment="1">
      <alignment horizontal="center" wrapText="1"/>
    </xf>
    <xf numFmtId="170" fontId="3" fillId="0" borderId="13" xfId="4" applyNumberFormat="1" applyFont="1" applyFill="1" applyBorder="1" applyAlignment="1">
      <alignment horizontal="center" wrapText="1"/>
    </xf>
    <xf numFmtId="0" fontId="5" fillId="5" borderId="14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5" fillId="5" borderId="13" xfId="1" applyFont="1" applyFill="1" applyBorder="1" applyAlignment="1">
      <alignment horizontal="center"/>
    </xf>
    <xf numFmtId="49" fontId="5" fillId="0" borderId="17" xfId="1" applyNumberFormat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/>
    </xf>
    <xf numFmtId="0" fontId="5" fillId="5" borderId="6" xfId="1" applyFont="1" applyFill="1" applyBorder="1" applyAlignment="1">
      <alignment horizontal="center"/>
    </xf>
    <xf numFmtId="170" fontId="5" fillId="4" borderId="10" xfId="5" applyNumberFormat="1" applyFont="1" applyFill="1" applyBorder="1" applyAlignment="1">
      <alignment horizontal="center"/>
    </xf>
    <xf numFmtId="170" fontId="5" fillId="4" borderId="11" xfId="5" applyNumberFormat="1" applyFont="1" applyFill="1" applyBorder="1" applyAlignment="1">
      <alignment horizontal="center"/>
    </xf>
    <xf numFmtId="165" fontId="5" fillId="4" borderId="8" xfId="4" applyFont="1" applyFill="1" applyBorder="1" applyAlignment="1">
      <alignment horizontal="center"/>
    </xf>
    <xf numFmtId="165" fontId="5" fillId="4" borderId="0" xfId="4" applyFont="1" applyFill="1" applyBorder="1" applyAlignment="1">
      <alignment horizontal="center"/>
    </xf>
    <xf numFmtId="165" fontId="6" fillId="3" borderId="8" xfId="4" applyFont="1" applyFill="1" applyBorder="1" applyAlignment="1">
      <alignment horizontal="center"/>
    </xf>
    <xf numFmtId="165" fontId="6" fillId="3" borderId="3" xfId="4" applyFont="1" applyFill="1" applyBorder="1" applyAlignment="1">
      <alignment horizontal="center"/>
    </xf>
    <xf numFmtId="165" fontId="6" fillId="3" borderId="0" xfId="4" applyFont="1" applyFill="1" applyBorder="1" applyAlignment="1">
      <alignment horizontal="center"/>
    </xf>
    <xf numFmtId="165" fontId="5" fillId="4" borderId="14" xfId="4" applyFont="1" applyFill="1" applyBorder="1" applyAlignment="1">
      <alignment horizontal="right"/>
    </xf>
    <xf numFmtId="165" fontId="5" fillId="4" borderId="17" xfId="4" applyFont="1" applyFill="1" applyBorder="1" applyAlignment="1">
      <alignment horizontal="right"/>
    </xf>
    <xf numFmtId="165" fontId="3" fillId="4" borderId="0" xfId="4" applyFont="1" applyFill="1" applyBorder="1" applyAlignment="1">
      <alignment horizontal="right"/>
    </xf>
    <xf numFmtId="0" fontId="7" fillId="4" borderId="0" xfId="1" applyFont="1" applyFill="1" applyAlignment="1">
      <alignment horizontal="center"/>
    </xf>
    <xf numFmtId="0" fontId="8" fillId="4" borderId="0" xfId="1" applyFont="1" applyFill="1" applyAlignment="1">
      <alignment horizontal="center"/>
    </xf>
    <xf numFmtId="164" fontId="3" fillId="4" borderId="9" xfId="5" applyNumberFormat="1" applyFont="1" applyFill="1" applyBorder="1" applyAlignment="1">
      <alignment horizontal="center"/>
    </xf>
    <xf numFmtId="164" fontId="3" fillId="4" borderId="6" xfId="5" applyNumberFormat="1" applyFont="1" applyFill="1" applyBorder="1" applyAlignment="1">
      <alignment horizontal="center"/>
    </xf>
    <xf numFmtId="165" fontId="5" fillId="4" borderId="11" xfId="4" applyFont="1" applyFill="1" applyBorder="1" applyAlignment="1">
      <alignment horizontal="right"/>
    </xf>
    <xf numFmtId="165" fontId="3" fillId="4" borderId="3" xfId="4" applyFont="1" applyFill="1" applyBorder="1" applyAlignment="1">
      <alignment horizontal="center"/>
    </xf>
    <xf numFmtId="165" fontId="3" fillId="4" borderId="8" xfId="4" applyFont="1" applyFill="1" applyBorder="1" applyAlignment="1">
      <alignment horizontal="right"/>
    </xf>
    <xf numFmtId="165" fontId="3" fillId="4" borderId="3" xfId="4" applyFont="1" applyFill="1" applyBorder="1" applyAlignment="1">
      <alignment horizontal="right"/>
    </xf>
    <xf numFmtId="165" fontId="3" fillId="0" borderId="8" xfId="5" applyNumberFormat="1" applyFont="1" applyFill="1" applyBorder="1" applyAlignment="1">
      <alignment horizontal="center"/>
    </xf>
    <xf numFmtId="165" fontId="3" fillId="0" borderId="3" xfId="5" applyNumberFormat="1" applyFont="1" applyFill="1" applyBorder="1" applyAlignment="1">
      <alignment horizontal="center"/>
    </xf>
    <xf numFmtId="165" fontId="3" fillId="0" borderId="8" xfId="4" applyFont="1" applyFill="1" applyBorder="1" applyAlignment="1">
      <alignment horizontal="center"/>
    </xf>
    <xf numFmtId="165" fontId="3" fillId="0" borderId="3" xfId="4" applyFont="1" applyFill="1" applyBorder="1" applyAlignment="1">
      <alignment horizontal="center"/>
    </xf>
    <xf numFmtId="165" fontId="3" fillId="4" borderId="6" xfId="4" applyFont="1" applyFill="1" applyBorder="1" applyAlignment="1">
      <alignment horizontal="right"/>
    </xf>
    <xf numFmtId="165" fontId="6" fillId="3" borderId="4" xfId="4" applyFont="1" applyFill="1" applyBorder="1" applyAlignment="1">
      <alignment horizontal="center"/>
    </xf>
    <xf numFmtId="165" fontId="5" fillId="4" borderId="3" xfId="4" applyFont="1" applyFill="1" applyBorder="1" applyAlignment="1">
      <alignment horizontal="right"/>
    </xf>
    <xf numFmtId="170" fontId="5" fillId="4" borderId="0" xfId="5" applyNumberFormat="1" applyFont="1" applyFill="1" applyBorder="1" applyAlignment="1">
      <alignment horizontal="center"/>
    </xf>
    <xf numFmtId="37" fontId="12" fillId="4" borderId="17" xfId="1" applyNumberFormat="1" applyFont="1" applyFill="1" applyBorder="1" applyAlignment="1">
      <alignment horizontal="center" vertical="center"/>
    </xf>
    <xf numFmtId="170" fontId="3" fillId="4" borderId="9" xfId="5" applyNumberFormat="1" applyFont="1" applyFill="1" applyBorder="1" applyAlignment="1">
      <alignment horizontal="right"/>
    </xf>
    <xf numFmtId="170" fontId="3" fillId="4" borderId="6" xfId="5" applyNumberFormat="1" applyFont="1" applyFill="1" applyBorder="1" applyAlignment="1">
      <alignment horizontal="right"/>
    </xf>
    <xf numFmtId="165" fontId="3" fillId="4" borderId="9" xfId="4" applyFont="1" applyFill="1" applyBorder="1" applyAlignment="1">
      <alignment horizontal="center"/>
    </xf>
    <xf numFmtId="165" fontId="3" fillId="4" borderId="12" xfId="4" applyFont="1" applyFill="1" applyBorder="1" applyAlignment="1">
      <alignment horizontal="center"/>
    </xf>
    <xf numFmtId="49" fontId="3" fillId="0" borderId="12" xfId="1" applyNumberFormat="1" applyFont="1" applyBorder="1" applyAlignment="1">
      <alignment horizontal="left"/>
    </xf>
    <xf numFmtId="170" fontId="5" fillId="4" borderId="6" xfId="5" applyNumberFormat="1" applyFont="1" applyFill="1" applyBorder="1" applyAlignment="1">
      <alignment horizontal="center"/>
    </xf>
    <xf numFmtId="170" fontId="5" fillId="0" borderId="8" xfId="5" applyNumberFormat="1" applyFont="1" applyFill="1" applyBorder="1" applyAlignment="1">
      <alignment horizontal="right"/>
    </xf>
    <xf numFmtId="170" fontId="5" fillId="0" borderId="0" xfId="5" applyNumberFormat="1" applyFont="1" applyFill="1" applyBorder="1" applyAlignment="1">
      <alignment horizontal="right"/>
    </xf>
    <xf numFmtId="165" fontId="5" fillId="0" borderId="8" xfId="4" applyFont="1" applyFill="1" applyBorder="1" applyAlignment="1">
      <alignment horizontal="center"/>
    </xf>
    <xf numFmtId="165" fontId="5" fillId="0" borderId="3" xfId="4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wrapText="1"/>
    </xf>
  </cellXfs>
  <cellStyles count="6">
    <cellStyle name="Normal" xfId="0" builtinId="0"/>
    <cellStyle name="Normal 2" xfId="1" xr:uid="{7DC7437E-AFEA-4D2D-BCDA-67A123371F2E}"/>
    <cellStyle name="Normal 3" xfId="2" xr:uid="{4D720C84-AD1F-4EF3-9F41-6557CA8AB57F}"/>
    <cellStyle name="Separador de milhares 2" xfId="3" xr:uid="{E4026764-3058-4FF7-988A-FE4878B2AF06}"/>
    <cellStyle name="Vírgula" xfId="4" builtinId="3"/>
    <cellStyle name="Vírgula 2" xfId="5" xr:uid="{6C78A4FB-A38D-4961-8F05-FB933A61F8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1110190</xdr:colOff>
      <xdr:row>0</xdr:row>
      <xdr:rowOff>61384</xdr:rowOff>
    </xdr:from>
    <xdr:to>
      <xdr:col>4</xdr:col>
      <xdr:colOff>259291</xdr:colOff>
      <xdr:row>4</xdr:row>
      <xdr:rowOff>80434</xdr:rowOff>
    </xdr:to>
    <xdr:pic>
      <xdr:nvPicPr>
        <xdr:cNvPr id="17879" name="Picture 2">
          <a:extLst>
            <a:ext uri="{FF2B5EF4-FFF2-40B4-BE49-F238E27FC236}">
              <a16:creationId xmlns:a16="http://schemas.microsoft.com/office/drawing/2014/main" id="{3C0A24B0-A803-AFAF-6A99-229915D1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2273" y="61384"/>
          <a:ext cx="630768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994828</xdr:colOff>
      <xdr:row>128</xdr:row>
      <xdr:rowOff>66673</xdr:rowOff>
    </xdr:from>
    <xdr:to>
      <xdr:col>4</xdr:col>
      <xdr:colOff>143929</xdr:colOff>
      <xdr:row>131</xdr:row>
      <xdr:rowOff>180974</xdr:rowOff>
    </xdr:to>
    <xdr:pic>
      <xdr:nvPicPr>
        <xdr:cNvPr id="17880" name="Picture 2">
          <a:extLst>
            <a:ext uri="{FF2B5EF4-FFF2-40B4-BE49-F238E27FC236}">
              <a16:creationId xmlns:a16="http://schemas.microsoft.com/office/drawing/2014/main" id="{BFAE82D0-3992-7440-50E4-450C6D66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6911" y="25085673"/>
          <a:ext cx="630768" cy="664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35F8-6A3D-47EB-925D-A8FAA698123D}">
  <sheetPr>
    <pageSetUpPr fitToPage="1"/>
  </sheetPr>
  <dimension ref="A4:T252"/>
  <sheetViews>
    <sheetView showGridLines="0" tabSelected="1" topLeftCell="C1" zoomScale="90" zoomScaleNormal="90" zoomScaleSheetLayoutView="70" workbookViewId="0">
      <selection activeCell="M201" sqref="M201:P201"/>
    </sheetView>
  </sheetViews>
  <sheetFormatPr defaultColWidth="9.140625" defaultRowHeight="11.25" customHeight="1" x14ac:dyDescent="0.2"/>
  <cols>
    <col min="1" max="1" width="79.7109375" style="2" customWidth="1"/>
    <col min="2" max="2" width="20.85546875" style="2" customWidth="1"/>
    <col min="3" max="3" width="22.5703125" style="2" bestFit="1" customWidth="1"/>
    <col min="4" max="4" width="22.28515625" style="2" bestFit="1" customWidth="1"/>
    <col min="5" max="5" width="23.42578125" style="2" bestFit="1" customWidth="1"/>
    <col min="6" max="6" width="22.140625" style="2" customWidth="1"/>
    <col min="7" max="7" width="21.28515625" style="2" customWidth="1"/>
    <col min="8" max="8" width="12.85546875" style="2" bestFit="1" customWidth="1"/>
    <col min="9" max="9" width="12" style="2" bestFit="1" customWidth="1"/>
    <col min="10" max="10" width="22.5703125" style="2" bestFit="1" customWidth="1"/>
    <col min="11" max="11" width="6.42578125" style="2" customWidth="1"/>
    <col min="12" max="12" width="23.140625" style="2" bestFit="1" customWidth="1"/>
    <col min="13" max="13" width="5" style="2" customWidth="1"/>
    <col min="14" max="14" width="18.5703125" style="2" customWidth="1"/>
    <col min="15" max="15" width="6.5703125" style="2" customWidth="1"/>
    <col min="16" max="16" width="16.42578125" style="2" customWidth="1"/>
    <col min="17" max="17" width="15.42578125" style="2" customWidth="1"/>
    <col min="18" max="18" width="22" style="2" customWidth="1"/>
    <col min="19" max="19" width="13.42578125" style="2" customWidth="1"/>
    <col min="20" max="16384" width="9.140625" style="2"/>
  </cols>
  <sheetData>
    <row r="4" spans="1:12" ht="15.75" x14ac:dyDescent="0.25">
      <c r="A4" s="1"/>
    </row>
    <row r="5" spans="1:12" s="3" customFormat="1" ht="11.25" customHeight="1" x14ac:dyDescent="0.25">
      <c r="A5" s="1"/>
    </row>
    <row r="6" spans="1:12" s="4" customFormat="1" ht="15.75" customHeight="1" x14ac:dyDescent="0.25">
      <c r="A6" s="197" t="s">
        <v>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</row>
    <row r="7" spans="1:12" s="4" customFormat="1" ht="15.75" customHeight="1" x14ac:dyDescent="0.25">
      <c r="A7" s="198" t="s">
        <v>1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</row>
    <row r="8" spans="1:12" s="4" customFormat="1" ht="15.75" customHeight="1" x14ac:dyDescent="0.25">
      <c r="A8" s="199" t="s">
        <v>2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</row>
    <row r="9" spans="1:12" s="4" customFormat="1" ht="15.75" customHeight="1" x14ac:dyDescent="0.25">
      <c r="A9" s="197" t="s">
        <v>3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1:12" s="4" customFormat="1" ht="16.5" x14ac:dyDescent="0.25">
      <c r="A10" s="200" t="s">
        <v>159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</row>
    <row r="11" spans="1:12" s="4" customFormat="1" ht="16.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s="3" customFormat="1" ht="15.75" x14ac:dyDescent="0.25">
      <c r="A12" s="7"/>
      <c r="B12" s="7"/>
      <c r="C12" s="7"/>
      <c r="D12" s="7"/>
      <c r="E12" s="7"/>
      <c r="F12" s="7"/>
      <c r="G12" s="7"/>
      <c r="H12" s="7"/>
      <c r="I12" s="8"/>
      <c r="J12" s="8"/>
      <c r="K12" s="8"/>
      <c r="L12" s="9" t="s">
        <v>160</v>
      </c>
    </row>
    <row r="13" spans="1:12" s="3" customFormat="1" ht="15.75" x14ac:dyDescent="0.25">
      <c r="A13" s="10" t="s">
        <v>4</v>
      </c>
      <c r="E13" s="11"/>
      <c r="H13" s="12"/>
      <c r="I13" s="8"/>
      <c r="J13" s="13"/>
      <c r="L13" s="13">
        <v>1</v>
      </c>
    </row>
    <row r="14" spans="1:12" s="3" customFormat="1" ht="20.25" customHeight="1" x14ac:dyDescent="0.25">
      <c r="A14" s="210" t="s">
        <v>5</v>
      </c>
      <c r="B14" s="211"/>
      <c r="C14" s="201" t="s">
        <v>6</v>
      </c>
      <c r="D14" s="15" t="s">
        <v>7</v>
      </c>
      <c r="E14" s="204" t="s">
        <v>8</v>
      </c>
      <c r="F14" s="205"/>
      <c r="G14" s="205"/>
      <c r="H14" s="205"/>
      <c r="I14" s="206"/>
      <c r="J14" s="190" t="s">
        <v>9</v>
      </c>
      <c r="K14" s="191"/>
      <c r="L14" s="191"/>
    </row>
    <row r="15" spans="1:12" s="3" customFormat="1" ht="15.75" customHeight="1" x14ac:dyDescent="0.25">
      <c r="A15" s="212"/>
      <c r="B15" s="213"/>
      <c r="C15" s="202"/>
      <c r="D15" s="16" t="s">
        <v>10</v>
      </c>
      <c r="E15" s="15" t="s">
        <v>11</v>
      </c>
      <c r="F15" s="17" t="s">
        <v>12</v>
      </c>
      <c r="G15" s="190" t="s">
        <v>13</v>
      </c>
      <c r="H15" s="192"/>
      <c r="I15" s="17" t="s">
        <v>12</v>
      </c>
      <c r="J15" s="207"/>
      <c r="K15" s="208"/>
      <c r="L15" s="208"/>
    </row>
    <row r="16" spans="1:12" s="3" customFormat="1" ht="16.5" customHeight="1" x14ac:dyDescent="0.25">
      <c r="A16" s="214"/>
      <c r="B16" s="215"/>
      <c r="C16" s="203"/>
      <c r="D16" s="19" t="s">
        <v>14</v>
      </c>
      <c r="E16" s="19" t="s">
        <v>15</v>
      </c>
      <c r="F16" s="19" t="s">
        <v>16</v>
      </c>
      <c r="G16" s="176" t="s">
        <v>17</v>
      </c>
      <c r="H16" s="209"/>
      <c r="I16" s="19" t="s">
        <v>18</v>
      </c>
      <c r="J16" s="176" t="s">
        <v>19</v>
      </c>
      <c r="K16" s="177"/>
      <c r="L16" s="177"/>
    </row>
    <row r="17" spans="1:13" s="3" customFormat="1" ht="15.95" customHeight="1" x14ac:dyDescent="0.25">
      <c r="A17" s="216" t="s">
        <v>20</v>
      </c>
      <c r="B17" s="217"/>
      <c r="C17" s="20">
        <f>C18+C58</f>
        <v>99566847052</v>
      </c>
      <c r="D17" s="21">
        <f>D18+D58</f>
        <v>101153012315.03</v>
      </c>
      <c r="E17" s="22">
        <f>E18+E58</f>
        <v>19016762779.439999</v>
      </c>
      <c r="F17" s="23">
        <f>(E17/D17)*100</f>
        <v>18.799996504517701</v>
      </c>
      <c r="G17" s="218">
        <f>G18+G58</f>
        <v>54594536062.869987</v>
      </c>
      <c r="H17" s="219"/>
      <c r="I17" s="23">
        <f>(G17/D17)*100</f>
        <v>53.972229608784438</v>
      </c>
      <c r="J17" s="223">
        <f>D17-G17</f>
        <v>46558476252.160011</v>
      </c>
      <c r="K17" s="224"/>
      <c r="L17" s="224"/>
      <c r="M17" s="25"/>
    </row>
    <row r="18" spans="1:13" s="3" customFormat="1" ht="15.95" customHeight="1" x14ac:dyDescent="0.25">
      <c r="A18" s="161" t="s">
        <v>21</v>
      </c>
      <c r="B18" s="161"/>
      <c r="C18" s="26">
        <f>C19+C23+C28+C36+C37+C38+C44+C52</f>
        <v>98900913618</v>
      </c>
      <c r="D18" s="27">
        <f>D19+D23+D28+D36+D37+D38+D44+D52</f>
        <v>100528391086.17</v>
      </c>
      <c r="E18" s="22">
        <f>E19+E23+E28+E36+E37+E38+E44+E52</f>
        <v>18976032548.34</v>
      </c>
      <c r="F18" s="28">
        <f t="shared" ref="F18:F77" si="0">(E18/D18)*100</f>
        <v>18.876291904517103</v>
      </c>
      <c r="G18" s="188">
        <f>G19+G23+G28+G36+G37+G38+G44+G52</f>
        <v>54490205029.269989</v>
      </c>
      <c r="H18" s="189"/>
      <c r="I18" s="28">
        <f t="shared" ref="I18:I77" si="1">(G18/D18)*100</f>
        <v>54.203796997569157</v>
      </c>
      <c r="J18" s="155">
        <f t="shared" ref="J18:J81" si="2">D18-G18</f>
        <v>46038186056.900009</v>
      </c>
      <c r="K18" s="156"/>
      <c r="L18" s="156"/>
      <c r="M18" s="30"/>
    </row>
    <row r="19" spans="1:13" s="3" customFormat="1" ht="15.95" customHeight="1" x14ac:dyDescent="0.25">
      <c r="A19" s="154" t="s">
        <v>22</v>
      </c>
      <c r="B19" s="154"/>
      <c r="C19" s="31">
        <f>C20+C21+C22</f>
        <v>51303421483</v>
      </c>
      <c r="D19" s="32">
        <f>D20+D21+D22</f>
        <v>53567529728.889999</v>
      </c>
      <c r="E19" s="33">
        <f>E20+E21+E22</f>
        <v>8806974341.6500015</v>
      </c>
      <c r="F19" s="34">
        <f t="shared" si="0"/>
        <v>16.440881978733902</v>
      </c>
      <c r="G19" s="193">
        <f>G20+G21+H22</f>
        <v>28094546333.41</v>
      </c>
      <c r="H19" s="194" t="e">
        <f>G20+G21+#REF!</f>
        <v>#REF!</v>
      </c>
      <c r="I19" s="34">
        <f t="shared" si="1"/>
        <v>52.446970161960017</v>
      </c>
      <c r="J19" s="162">
        <f t="shared" si="2"/>
        <v>25472983395.48</v>
      </c>
      <c r="K19" s="163"/>
      <c r="L19" s="163"/>
      <c r="M19" s="30"/>
    </row>
    <row r="20" spans="1:13" s="3" customFormat="1" ht="15.95" customHeight="1" x14ac:dyDescent="0.25">
      <c r="A20" s="154" t="s">
        <v>23</v>
      </c>
      <c r="B20" s="154"/>
      <c r="C20" s="31">
        <v>46449631008</v>
      </c>
      <c r="D20" s="32">
        <v>48754720042.669998</v>
      </c>
      <c r="E20" s="33">
        <f>G20-17393479820.85</f>
        <v>8064469535.5600014</v>
      </c>
      <c r="F20" s="34">
        <f t="shared" si="0"/>
        <v>16.540900098497129</v>
      </c>
      <c r="G20" s="220">
        <v>25457949356.41</v>
      </c>
      <c r="H20" s="221"/>
      <c r="I20" s="34">
        <f t="shared" si="1"/>
        <v>52.216378914963045</v>
      </c>
      <c r="J20" s="162">
        <f t="shared" si="2"/>
        <v>23296770686.259998</v>
      </c>
      <c r="K20" s="163"/>
      <c r="L20" s="163"/>
    </row>
    <row r="21" spans="1:13" s="3" customFormat="1" ht="15.95" customHeight="1" x14ac:dyDescent="0.25">
      <c r="A21" s="154" t="s">
        <v>24</v>
      </c>
      <c r="B21" s="154"/>
      <c r="C21" s="31">
        <v>4853790475</v>
      </c>
      <c r="D21" s="32">
        <v>4812809686.2200003</v>
      </c>
      <c r="E21" s="33">
        <f>G21-1894092170.91</f>
        <v>742504806.08999991</v>
      </c>
      <c r="F21" s="34">
        <f t="shared" si="0"/>
        <v>15.427678518349353</v>
      </c>
      <c r="G21" s="220">
        <v>2636596977</v>
      </c>
      <c r="H21" s="221"/>
      <c r="I21" s="34">
        <f t="shared" si="1"/>
        <v>54.782905389944759</v>
      </c>
      <c r="J21" s="162">
        <f t="shared" si="2"/>
        <v>2176212709.2200003</v>
      </c>
      <c r="K21" s="163"/>
      <c r="L21" s="163"/>
    </row>
    <row r="22" spans="1:13" s="3" customFormat="1" ht="15.95" customHeight="1" x14ac:dyDescent="0.25">
      <c r="A22" s="222" t="s">
        <v>25</v>
      </c>
      <c r="B22" s="222"/>
      <c r="C22" s="31">
        <v>0</v>
      </c>
      <c r="D22" s="32">
        <v>0</v>
      </c>
      <c r="E22" s="33">
        <f>G22-0</f>
        <v>0</v>
      </c>
      <c r="F22" s="34">
        <v>0</v>
      </c>
      <c r="G22" s="193">
        <v>0</v>
      </c>
      <c r="H22" s="194"/>
      <c r="I22" s="34">
        <v>0</v>
      </c>
      <c r="J22" s="162">
        <f t="shared" si="2"/>
        <v>0</v>
      </c>
      <c r="K22" s="163"/>
      <c r="L22" s="163"/>
    </row>
    <row r="23" spans="1:13" s="3" customFormat="1" ht="17.25" customHeight="1" x14ac:dyDescent="0.25">
      <c r="A23" s="154" t="s">
        <v>26</v>
      </c>
      <c r="B23" s="154"/>
      <c r="C23" s="31">
        <f>C25+C24+C26+C27</f>
        <v>4185040647</v>
      </c>
      <c r="D23" s="32">
        <f>D25+D24+D26+D27</f>
        <v>4185040647</v>
      </c>
      <c r="E23" s="33">
        <f>E25+E24+E26+E27</f>
        <v>725853765.1400001</v>
      </c>
      <c r="F23" s="34">
        <f t="shared" si="0"/>
        <v>17.344007534558127</v>
      </c>
      <c r="G23" s="193">
        <f>SUM(G24:H27)</f>
        <v>2099348855.51</v>
      </c>
      <c r="H23" s="194"/>
      <c r="I23" s="34">
        <f t="shared" si="1"/>
        <v>50.163165249419862</v>
      </c>
      <c r="J23" s="162">
        <f t="shared" si="2"/>
        <v>2085691791.49</v>
      </c>
      <c r="K23" s="163"/>
      <c r="L23" s="163"/>
      <c r="M23" s="30"/>
    </row>
    <row r="24" spans="1:13" s="3" customFormat="1" ht="15.95" customHeight="1" x14ac:dyDescent="0.25">
      <c r="A24" s="154" t="s">
        <v>27</v>
      </c>
      <c r="B24" s="154"/>
      <c r="C24" s="31">
        <v>4185040647</v>
      </c>
      <c r="D24" s="32">
        <v>4185040647</v>
      </c>
      <c r="E24" s="33">
        <f>G24-1373495090.37</f>
        <v>725853765.1400001</v>
      </c>
      <c r="F24" s="34">
        <f t="shared" si="0"/>
        <v>17.344007534558127</v>
      </c>
      <c r="G24" s="220">
        <v>2099348855.51</v>
      </c>
      <c r="H24" s="221"/>
      <c r="I24" s="34">
        <f t="shared" si="1"/>
        <v>50.163165249419862</v>
      </c>
      <c r="J24" s="162">
        <f t="shared" si="2"/>
        <v>2085691791.49</v>
      </c>
      <c r="K24" s="163"/>
      <c r="L24" s="163"/>
    </row>
    <row r="25" spans="1:13" s="3" customFormat="1" ht="15.95" customHeight="1" x14ac:dyDescent="0.25">
      <c r="A25" s="154" t="s">
        <v>28</v>
      </c>
      <c r="B25" s="154"/>
      <c r="C25" s="31">
        <v>0</v>
      </c>
      <c r="D25" s="32">
        <v>0</v>
      </c>
      <c r="E25" s="33">
        <f>G25</f>
        <v>0</v>
      </c>
      <c r="F25" s="34">
        <v>0</v>
      </c>
      <c r="G25" s="193">
        <v>0</v>
      </c>
      <c r="H25" s="194"/>
      <c r="I25" s="34">
        <v>0</v>
      </c>
      <c r="J25" s="162">
        <f t="shared" si="2"/>
        <v>0</v>
      </c>
      <c r="K25" s="163"/>
      <c r="L25" s="163"/>
    </row>
    <row r="26" spans="1:13" s="3" customFormat="1" ht="15.95" customHeight="1" x14ac:dyDescent="0.25">
      <c r="A26" s="154" t="s">
        <v>29</v>
      </c>
      <c r="B26" s="154"/>
      <c r="C26" s="31">
        <v>0</v>
      </c>
      <c r="D26" s="32">
        <v>0</v>
      </c>
      <c r="E26" s="33">
        <f>G26</f>
        <v>0</v>
      </c>
      <c r="F26" s="34">
        <v>0</v>
      </c>
      <c r="G26" s="193">
        <v>0</v>
      </c>
      <c r="H26" s="194"/>
      <c r="I26" s="34">
        <v>0</v>
      </c>
      <c r="J26" s="157">
        <f t="shared" si="2"/>
        <v>0</v>
      </c>
      <c r="K26" s="164"/>
      <c r="L26" s="164"/>
    </row>
    <row r="27" spans="1:13" s="3" customFormat="1" ht="15.95" customHeight="1" x14ac:dyDescent="0.25">
      <c r="A27" s="154" t="s">
        <v>30</v>
      </c>
      <c r="B27" s="154"/>
      <c r="C27" s="31">
        <v>0</v>
      </c>
      <c r="D27" s="32">
        <v>0</v>
      </c>
      <c r="E27" s="33">
        <f>G27</f>
        <v>0</v>
      </c>
      <c r="F27" s="34">
        <v>0</v>
      </c>
      <c r="G27" s="193">
        <v>0</v>
      </c>
      <c r="H27" s="194"/>
      <c r="I27" s="34">
        <v>0</v>
      </c>
      <c r="J27" s="157">
        <f t="shared" si="2"/>
        <v>0</v>
      </c>
      <c r="K27" s="164"/>
      <c r="L27" s="164"/>
    </row>
    <row r="28" spans="1:13" s="3" customFormat="1" ht="15.95" customHeight="1" x14ac:dyDescent="0.25">
      <c r="A28" s="154" t="s">
        <v>31</v>
      </c>
      <c r="B28" s="154"/>
      <c r="C28" s="31">
        <f>SUM(C29:C35)</f>
        <v>30065343435</v>
      </c>
      <c r="D28" s="32">
        <f>SUM(D29:D35)</f>
        <v>29252806130.52</v>
      </c>
      <c r="E28" s="33">
        <f>SUM(E29:E35)</f>
        <v>7023541106.6800003</v>
      </c>
      <c r="F28" s="34">
        <f t="shared" si="0"/>
        <v>24.009802941100439</v>
      </c>
      <c r="G28" s="193">
        <f>SUM(G29:H35)</f>
        <v>16899322766.529999</v>
      </c>
      <c r="H28" s="194">
        <f>SUM(H29:H35)</f>
        <v>0</v>
      </c>
      <c r="I28" s="34">
        <f t="shared" si="1"/>
        <v>57.769920229630955</v>
      </c>
      <c r="J28" s="162">
        <f t="shared" si="2"/>
        <v>12353483363.990002</v>
      </c>
      <c r="K28" s="163"/>
      <c r="L28" s="163"/>
      <c r="M28" s="30"/>
    </row>
    <row r="29" spans="1:13" s="3" customFormat="1" ht="15.95" customHeight="1" x14ac:dyDescent="0.25">
      <c r="A29" s="154" t="s">
        <v>32</v>
      </c>
      <c r="B29" s="154"/>
      <c r="C29" s="31">
        <v>97944740</v>
      </c>
      <c r="D29" s="32">
        <v>97690658.760000005</v>
      </c>
      <c r="E29" s="33">
        <f>G29-27515068.3</f>
        <v>15355607.419999998</v>
      </c>
      <c r="F29" s="34">
        <f t="shared" si="0"/>
        <v>15.718603615648293</v>
      </c>
      <c r="G29" s="220">
        <v>42870675.719999999</v>
      </c>
      <c r="H29" s="221"/>
      <c r="I29" s="34">
        <f t="shared" si="1"/>
        <v>43.884109559872925</v>
      </c>
      <c r="J29" s="162">
        <f t="shared" si="2"/>
        <v>54819983.040000007</v>
      </c>
      <c r="K29" s="163"/>
      <c r="L29" s="163"/>
    </row>
    <row r="30" spans="1:13" s="3" customFormat="1" ht="15.95" customHeight="1" x14ac:dyDescent="0.25">
      <c r="A30" s="154" t="s">
        <v>33</v>
      </c>
      <c r="B30" s="154"/>
      <c r="C30" s="31">
        <v>2596918987</v>
      </c>
      <c r="D30" s="32">
        <v>3471467510.9200001</v>
      </c>
      <c r="E30" s="33">
        <f>G30-1588922805.84</f>
        <v>875123464.49000001</v>
      </c>
      <c r="F30" s="34">
        <f t="shared" si="0"/>
        <v>25.2090351339073</v>
      </c>
      <c r="G30" s="220">
        <v>2464046270.3299999</v>
      </c>
      <c r="H30" s="221"/>
      <c r="I30" s="34">
        <f t="shared" si="1"/>
        <v>70.979960566503593</v>
      </c>
      <c r="J30" s="162">
        <f t="shared" si="2"/>
        <v>1007421240.5900002</v>
      </c>
      <c r="K30" s="163"/>
      <c r="L30" s="163"/>
    </row>
    <row r="31" spans="1:13" s="3" customFormat="1" ht="15.95" customHeight="1" x14ac:dyDescent="0.25">
      <c r="A31" s="154" t="s">
        <v>34</v>
      </c>
      <c r="B31" s="154"/>
      <c r="C31" s="31">
        <v>42308345</v>
      </c>
      <c r="D31" s="32">
        <v>47660104.259999998</v>
      </c>
      <c r="E31" s="33">
        <f>G31-16359902.2</f>
        <v>4453736.7400000021</v>
      </c>
      <c r="F31" s="34">
        <f t="shared" si="0"/>
        <v>9.3447901744057198</v>
      </c>
      <c r="G31" s="220">
        <v>20813638.940000001</v>
      </c>
      <c r="H31" s="221"/>
      <c r="I31" s="34">
        <f t="shared" si="1"/>
        <v>43.670989107483763</v>
      </c>
      <c r="J31" s="162">
        <f t="shared" si="2"/>
        <v>26846465.319999997</v>
      </c>
      <c r="K31" s="163"/>
      <c r="L31" s="163"/>
    </row>
    <row r="32" spans="1:13" s="3" customFormat="1" ht="15.95" customHeight="1" x14ac:dyDescent="0.25">
      <c r="A32" s="154" t="s">
        <v>35</v>
      </c>
      <c r="B32" s="154"/>
      <c r="C32" s="31">
        <v>1368413236</v>
      </c>
      <c r="D32" s="32">
        <v>1531818908.2</v>
      </c>
      <c r="E32" s="33">
        <f>G32-615982374.92</f>
        <v>513706625.44999993</v>
      </c>
      <c r="F32" s="34">
        <f t="shared" si="0"/>
        <v>33.535728192155759</v>
      </c>
      <c r="G32" s="220">
        <v>1129689000.3699999</v>
      </c>
      <c r="H32" s="221"/>
      <c r="I32" s="34">
        <f t="shared" si="1"/>
        <v>73.74820837650239</v>
      </c>
      <c r="J32" s="162">
        <f t="shared" si="2"/>
        <v>402129907.83000016</v>
      </c>
      <c r="K32" s="163"/>
      <c r="L32" s="163"/>
    </row>
    <row r="33" spans="1:13" s="3" customFormat="1" ht="15.95" customHeight="1" x14ac:dyDescent="0.25">
      <c r="A33" s="154" t="s">
        <v>36</v>
      </c>
      <c r="B33" s="154"/>
      <c r="C33" s="31">
        <v>0</v>
      </c>
      <c r="D33" s="32">
        <v>0</v>
      </c>
      <c r="E33" s="33">
        <f>G33</f>
        <v>0</v>
      </c>
      <c r="F33" s="34">
        <v>0</v>
      </c>
      <c r="G33" s="220">
        <v>0</v>
      </c>
      <c r="H33" s="221"/>
      <c r="I33" s="34">
        <v>0</v>
      </c>
      <c r="J33" s="162">
        <f t="shared" si="2"/>
        <v>0</v>
      </c>
      <c r="K33" s="163"/>
      <c r="L33" s="163"/>
    </row>
    <row r="34" spans="1:13" s="3" customFormat="1" ht="15.95" customHeight="1" x14ac:dyDescent="0.25">
      <c r="A34" s="154" t="s">
        <v>37</v>
      </c>
      <c r="B34" s="154"/>
      <c r="C34" s="31">
        <v>578096596</v>
      </c>
      <c r="D34" s="32">
        <v>578096596</v>
      </c>
      <c r="E34" s="33">
        <f>G34-27109374.18</f>
        <v>275612298.17000002</v>
      </c>
      <c r="F34" s="34">
        <f t="shared" si="0"/>
        <v>47.675820974735508</v>
      </c>
      <c r="G34" s="220">
        <v>302721672.35000002</v>
      </c>
      <c r="H34" s="221"/>
      <c r="I34" s="34">
        <f t="shared" si="1"/>
        <v>52.365240419094249</v>
      </c>
      <c r="J34" s="162">
        <f t="shared" si="2"/>
        <v>275374923.64999998</v>
      </c>
      <c r="K34" s="163"/>
      <c r="L34" s="163"/>
    </row>
    <row r="35" spans="1:13" s="3" customFormat="1" ht="15.95" customHeight="1" x14ac:dyDescent="0.25">
      <c r="A35" s="154" t="s">
        <v>38</v>
      </c>
      <c r="B35" s="154"/>
      <c r="C35" s="31">
        <v>25381661531</v>
      </c>
      <c r="D35" s="32">
        <v>23526072352.380001</v>
      </c>
      <c r="E35" s="33">
        <f>G35-7599892134.41</f>
        <v>5339289374.4099998</v>
      </c>
      <c r="F35" s="34">
        <f t="shared" si="0"/>
        <v>22.695200858165574</v>
      </c>
      <c r="G35" s="220">
        <v>12939181508.82</v>
      </c>
      <c r="H35" s="221"/>
      <c r="I35" s="34">
        <f t="shared" si="1"/>
        <v>54.999327193308645</v>
      </c>
      <c r="J35" s="162">
        <f t="shared" si="2"/>
        <v>10586890843.560001</v>
      </c>
      <c r="K35" s="163"/>
      <c r="L35" s="163"/>
    </row>
    <row r="36" spans="1:13" s="3" customFormat="1" ht="15.95" customHeight="1" x14ac:dyDescent="0.25">
      <c r="A36" s="154" t="s">
        <v>39</v>
      </c>
      <c r="B36" s="154"/>
      <c r="C36" s="31">
        <v>129500</v>
      </c>
      <c r="D36" s="32">
        <v>129500</v>
      </c>
      <c r="E36" s="33">
        <f>G36-0</f>
        <v>0</v>
      </c>
      <c r="F36" s="34">
        <f t="shared" si="0"/>
        <v>0</v>
      </c>
      <c r="G36" s="220">
        <v>0</v>
      </c>
      <c r="H36" s="221"/>
      <c r="I36" s="34">
        <f t="shared" si="1"/>
        <v>0</v>
      </c>
      <c r="J36" s="162">
        <f t="shared" si="2"/>
        <v>129500</v>
      </c>
      <c r="K36" s="163"/>
      <c r="L36" s="163"/>
      <c r="M36" s="30"/>
    </row>
    <row r="37" spans="1:13" s="3" customFormat="1" ht="15.95" customHeight="1" x14ac:dyDescent="0.25">
      <c r="A37" s="154" t="s">
        <v>40</v>
      </c>
      <c r="B37" s="154"/>
      <c r="C37" s="31">
        <v>35083783</v>
      </c>
      <c r="D37" s="32">
        <v>35083783</v>
      </c>
      <c r="E37" s="33">
        <f>G37-35562.65</f>
        <v>18488.75</v>
      </c>
      <c r="F37" s="34">
        <f t="shared" si="0"/>
        <v>5.2698849494081074E-2</v>
      </c>
      <c r="G37" s="220">
        <v>54051.4</v>
      </c>
      <c r="H37" s="221"/>
      <c r="I37" s="34">
        <f t="shared" si="1"/>
        <v>0.15406377356740578</v>
      </c>
      <c r="J37" s="162">
        <f t="shared" si="2"/>
        <v>35029731.600000001</v>
      </c>
      <c r="K37" s="163"/>
      <c r="L37" s="163"/>
      <c r="M37" s="30"/>
    </row>
    <row r="38" spans="1:13" s="3" customFormat="1" ht="15.95" customHeight="1" x14ac:dyDescent="0.25">
      <c r="A38" s="154" t="s">
        <v>41</v>
      </c>
      <c r="B38" s="154"/>
      <c r="C38" s="31">
        <f>SUM(C39:C43)</f>
        <v>530269406</v>
      </c>
      <c r="D38" s="32">
        <f>SUM(D39:D43)</f>
        <v>531044561.85000002</v>
      </c>
      <c r="E38" s="33">
        <f>SUM(E39:E43)</f>
        <v>92413264.980000019</v>
      </c>
      <c r="F38" s="34">
        <f t="shared" si="0"/>
        <v>17.402167655772597</v>
      </c>
      <c r="G38" s="193">
        <f>SUM(G39:H43)</f>
        <v>227299979.13</v>
      </c>
      <c r="H38" s="194"/>
      <c r="I38" s="34">
        <f t="shared" si="1"/>
        <v>42.802430428466309</v>
      </c>
      <c r="J38" s="162">
        <f t="shared" si="2"/>
        <v>303744582.72000003</v>
      </c>
      <c r="K38" s="163"/>
      <c r="L38" s="163"/>
      <c r="M38" s="30"/>
    </row>
    <row r="39" spans="1:13" s="3" customFormat="1" ht="15.95" customHeight="1" x14ac:dyDescent="0.25">
      <c r="A39" s="154" t="s">
        <v>42</v>
      </c>
      <c r="B39" s="154"/>
      <c r="C39" s="31">
        <v>312532652</v>
      </c>
      <c r="D39" s="32">
        <v>312533881.32999998</v>
      </c>
      <c r="E39" s="33">
        <f>G39-108978148.6</f>
        <v>59647977.580000013</v>
      </c>
      <c r="F39" s="34">
        <f t="shared" si="0"/>
        <v>19.085283594266883</v>
      </c>
      <c r="G39" s="220">
        <v>168626126.18000001</v>
      </c>
      <c r="H39" s="221"/>
      <c r="I39" s="34">
        <f t="shared" si="1"/>
        <v>53.954510615746685</v>
      </c>
      <c r="J39" s="162">
        <f t="shared" si="2"/>
        <v>143907755.14999998</v>
      </c>
      <c r="K39" s="163"/>
      <c r="L39" s="163"/>
    </row>
    <row r="40" spans="1:13" s="3" customFormat="1" ht="15.95" customHeight="1" x14ac:dyDescent="0.25">
      <c r="A40" s="154" t="s">
        <v>43</v>
      </c>
      <c r="B40" s="154"/>
      <c r="C40" s="31">
        <v>25598407</v>
      </c>
      <c r="D40" s="32">
        <v>25725141.98</v>
      </c>
      <c r="E40" s="33">
        <f>G40-4643693.68</f>
        <v>2917465.4700000007</v>
      </c>
      <c r="F40" s="34">
        <f t="shared" si="0"/>
        <v>11.340911052184602</v>
      </c>
      <c r="G40" s="220">
        <v>7561159.1500000004</v>
      </c>
      <c r="H40" s="221"/>
      <c r="I40" s="34">
        <f t="shared" si="1"/>
        <v>29.392098810876998</v>
      </c>
      <c r="J40" s="157">
        <f t="shared" si="2"/>
        <v>18163982.829999998</v>
      </c>
      <c r="K40" s="164"/>
      <c r="L40" s="164"/>
    </row>
    <row r="41" spans="1:13" s="3" customFormat="1" ht="15.95" customHeight="1" x14ac:dyDescent="0.25">
      <c r="A41" s="154" t="s">
        <v>44</v>
      </c>
      <c r="B41" s="154"/>
      <c r="C41" s="31">
        <v>133348092</v>
      </c>
      <c r="D41" s="32">
        <v>133348092</v>
      </c>
      <c r="E41" s="33">
        <f>G41-196306.58</f>
        <v>176446.67</v>
      </c>
      <c r="F41" s="34">
        <f t="shared" si="0"/>
        <v>0.13232035595979882</v>
      </c>
      <c r="G41" s="220">
        <v>372753.25</v>
      </c>
      <c r="H41" s="221"/>
      <c r="I41" s="34">
        <f t="shared" si="1"/>
        <v>0.27953399588199584</v>
      </c>
      <c r="J41" s="157">
        <f t="shared" si="2"/>
        <v>132975338.75</v>
      </c>
      <c r="K41" s="164"/>
      <c r="L41" s="164"/>
    </row>
    <row r="42" spans="1:13" s="3" customFormat="1" ht="15.95" customHeight="1" x14ac:dyDescent="0.25">
      <c r="A42" s="154" t="s">
        <v>45</v>
      </c>
      <c r="B42" s="154"/>
      <c r="C42" s="31">
        <v>6637471</v>
      </c>
      <c r="D42" s="32">
        <v>7304959.9699999997</v>
      </c>
      <c r="E42" s="33">
        <f>G42-2854312.53</f>
        <v>19825388.919999998</v>
      </c>
      <c r="F42" s="34">
        <f t="shared" si="0"/>
        <v>271.39627049865953</v>
      </c>
      <c r="G42" s="220">
        <v>22679701.449999999</v>
      </c>
      <c r="H42" s="221"/>
      <c r="I42" s="34">
        <f t="shared" si="1"/>
        <v>310.46989364953362</v>
      </c>
      <c r="J42" s="157">
        <f t="shared" si="2"/>
        <v>-15374741.48</v>
      </c>
      <c r="K42" s="164"/>
      <c r="L42" s="164"/>
    </row>
    <row r="43" spans="1:13" s="3" customFormat="1" ht="15.95" customHeight="1" x14ac:dyDescent="0.25">
      <c r="A43" s="154" t="s">
        <v>46</v>
      </c>
      <c r="B43" s="154"/>
      <c r="C43" s="31">
        <v>52152784</v>
      </c>
      <c r="D43" s="32">
        <v>52132486.57</v>
      </c>
      <c r="E43" s="33">
        <f>G43-18214252.76</f>
        <v>9845986.3399999999</v>
      </c>
      <c r="F43" s="34">
        <f t="shared" si="0"/>
        <v>18.886469815283931</v>
      </c>
      <c r="G43" s="220">
        <v>28060239.100000001</v>
      </c>
      <c r="H43" s="221"/>
      <c r="I43" s="34">
        <f t="shared" si="1"/>
        <v>53.824862281070359</v>
      </c>
      <c r="J43" s="157">
        <f t="shared" si="2"/>
        <v>24072247.469999999</v>
      </c>
      <c r="K43" s="164"/>
      <c r="L43" s="164"/>
    </row>
    <row r="44" spans="1:13" s="3" customFormat="1" ht="15.95" customHeight="1" x14ac:dyDescent="0.25">
      <c r="A44" s="154" t="s">
        <v>47</v>
      </c>
      <c r="B44" s="154"/>
      <c r="C44" s="31">
        <f>SUM(C45:C51)</f>
        <v>10400923398</v>
      </c>
      <c r="D44" s="32">
        <f>SUM(D45:D51)</f>
        <v>10575534907.48</v>
      </c>
      <c r="E44" s="33">
        <f>SUM(E45:E51)</f>
        <v>1681009253.0000002</v>
      </c>
      <c r="F44" s="34">
        <f t="shared" si="0"/>
        <v>15.895264567762284</v>
      </c>
      <c r="G44" s="193">
        <f>SUM(G45:H51)</f>
        <v>5646865788.6300001</v>
      </c>
      <c r="H44" s="194">
        <f>SUM(H45:H49)</f>
        <v>0</v>
      </c>
      <c r="I44" s="34">
        <f t="shared" si="1"/>
        <v>53.395557180148046</v>
      </c>
      <c r="J44" s="162">
        <f t="shared" si="2"/>
        <v>4928669118.8499994</v>
      </c>
      <c r="K44" s="163"/>
      <c r="L44" s="163"/>
      <c r="M44" s="30"/>
    </row>
    <row r="45" spans="1:13" s="3" customFormat="1" ht="15.95" customHeight="1" x14ac:dyDescent="0.25">
      <c r="A45" s="154" t="s">
        <v>48</v>
      </c>
      <c r="B45" s="154"/>
      <c r="C45" s="31">
        <v>5966729517</v>
      </c>
      <c r="D45" s="32">
        <v>6141341026.4799995</v>
      </c>
      <c r="E45" s="33">
        <f>G45-2363295294.23</f>
        <v>992506772.84000015</v>
      </c>
      <c r="F45" s="34">
        <f t="shared" si="0"/>
        <v>16.161075709043796</v>
      </c>
      <c r="G45" s="220">
        <v>3355802067.0700002</v>
      </c>
      <c r="H45" s="221"/>
      <c r="I45" s="34">
        <f t="shared" si="1"/>
        <v>54.642822351023682</v>
      </c>
      <c r="J45" s="162">
        <f t="shared" si="2"/>
        <v>2785538959.4099994</v>
      </c>
      <c r="K45" s="163"/>
      <c r="L45" s="163"/>
    </row>
    <row r="46" spans="1:13" s="3" customFormat="1" ht="15.95" customHeight="1" x14ac:dyDescent="0.25">
      <c r="A46" s="154" t="s">
        <v>49</v>
      </c>
      <c r="B46" s="154"/>
      <c r="C46" s="31">
        <v>4991258</v>
      </c>
      <c r="D46" s="32">
        <v>4991258</v>
      </c>
      <c r="E46" s="33">
        <f>G46-716534.43</f>
        <v>260224.53999999992</v>
      </c>
      <c r="F46" s="34">
        <f t="shared" si="0"/>
        <v>5.2136062692010698</v>
      </c>
      <c r="G46" s="220">
        <v>976758.97</v>
      </c>
      <c r="H46" s="221"/>
      <c r="I46" s="34">
        <f t="shared" si="1"/>
        <v>19.569394529395193</v>
      </c>
      <c r="J46" s="162">
        <f t="shared" si="2"/>
        <v>4014499.0300000003</v>
      </c>
      <c r="K46" s="163"/>
      <c r="L46" s="163"/>
    </row>
    <row r="47" spans="1:13" s="3" customFormat="1" ht="15.95" customHeight="1" x14ac:dyDescent="0.25">
      <c r="A47" s="154" t="s">
        <v>50</v>
      </c>
      <c r="B47" s="154"/>
      <c r="C47" s="31">
        <v>134032966</v>
      </c>
      <c r="D47" s="32">
        <v>134032966</v>
      </c>
      <c r="E47" s="33">
        <f>G47-38466278.58</f>
        <v>18065507.060000002</v>
      </c>
      <c r="F47" s="34">
        <f t="shared" si="0"/>
        <v>13.478405797570728</v>
      </c>
      <c r="G47" s="220">
        <v>56531785.640000001</v>
      </c>
      <c r="H47" s="221"/>
      <c r="I47" s="34">
        <f t="shared" si="1"/>
        <v>42.177523431063968</v>
      </c>
      <c r="J47" s="162">
        <f t="shared" si="2"/>
        <v>77501180.359999999</v>
      </c>
      <c r="K47" s="163"/>
      <c r="L47" s="163"/>
    </row>
    <row r="48" spans="1:13" s="3" customFormat="1" ht="15.95" customHeight="1" x14ac:dyDescent="0.25">
      <c r="A48" s="154" t="s">
        <v>51</v>
      </c>
      <c r="B48" s="154"/>
      <c r="C48" s="31">
        <v>54542661</v>
      </c>
      <c r="D48" s="32">
        <v>54542661</v>
      </c>
      <c r="E48" s="33">
        <f>G48-17591628.99</f>
        <v>10685998.020000003</v>
      </c>
      <c r="F48" s="34">
        <f t="shared" si="0"/>
        <v>19.591999774268444</v>
      </c>
      <c r="G48" s="220">
        <v>28277627.010000002</v>
      </c>
      <c r="H48" s="221"/>
      <c r="I48" s="34">
        <f t="shared" si="1"/>
        <v>51.844971425211547</v>
      </c>
      <c r="J48" s="162">
        <f t="shared" si="2"/>
        <v>26265033.989999998</v>
      </c>
      <c r="K48" s="163"/>
      <c r="L48" s="163"/>
    </row>
    <row r="49" spans="1:20" s="3" customFormat="1" ht="15.95" customHeight="1" x14ac:dyDescent="0.25">
      <c r="A49" s="154" t="s">
        <v>52</v>
      </c>
      <c r="B49" s="154"/>
      <c r="C49" s="31">
        <v>4228752036</v>
      </c>
      <c r="D49" s="32">
        <v>4228752036</v>
      </c>
      <c r="E49" s="33">
        <f>G49-1543351576.73</f>
        <v>644764303.1500001</v>
      </c>
      <c r="F49" s="34">
        <f t="shared" si="0"/>
        <v>15.247153241926339</v>
      </c>
      <c r="G49" s="220">
        <v>2188115879.8800001</v>
      </c>
      <c r="H49" s="221"/>
      <c r="I49" s="34">
        <f t="shared" si="1"/>
        <v>51.743773606308473</v>
      </c>
      <c r="J49" s="162">
        <f t="shared" si="2"/>
        <v>2040636156.1199999</v>
      </c>
      <c r="K49" s="163"/>
      <c r="L49" s="163"/>
    </row>
    <row r="50" spans="1:20" s="3" customFormat="1" ht="15.95" customHeight="1" x14ac:dyDescent="0.25">
      <c r="A50" s="154" t="s">
        <v>53</v>
      </c>
      <c r="B50" s="154"/>
      <c r="C50" s="36">
        <v>46400</v>
      </c>
      <c r="D50" s="32">
        <v>46400</v>
      </c>
      <c r="E50" s="33">
        <f t="shared" ref="E50" si="3">G50-0</f>
        <v>5344</v>
      </c>
      <c r="F50" s="34">
        <f t="shared" si="0"/>
        <v>11.517241379310345</v>
      </c>
      <c r="G50" s="157">
        <v>5344</v>
      </c>
      <c r="H50" s="158"/>
      <c r="I50" s="34">
        <f t="shared" si="1"/>
        <v>11.517241379310345</v>
      </c>
      <c r="J50" s="157">
        <f t="shared" si="2"/>
        <v>41056</v>
      </c>
      <c r="K50" s="164"/>
      <c r="L50" s="164"/>
    </row>
    <row r="51" spans="1:20" s="3" customFormat="1" ht="15.95" customHeight="1" x14ac:dyDescent="0.25">
      <c r="A51" s="154" t="s">
        <v>54</v>
      </c>
      <c r="B51" s="154"/>
      <c r="C51" s="37">
        <v>11828560</v>
      </c>
      <c r="D51" s="38">
        <v>11828560</v>
      </c>
      <c r="E51" s="39">
        <f>G51-2435222.67</f>
        <v>14721103.389999999</v>
      </c>
      <c r="F51" s="40">
        <f t="shared" si="0"/>
        <v>124.45389286608007</v>
      </c>
      <c r="G51" s="228">
        <v>17156326.059999999</v>
      </c>
      <c r="H51" s="229"/>
      <c r="I51" s="40">
        <f t="shared" si="1"/>
        <v>145.0415440256464</v>
      </c>
      <c r="J51" s="225">
        <f t="shared" si="2"/>
        <v>-5327766.0599999987</v>
      </c>
      <c r="K51" s="227"/>
      <c r="L51" s="227"/>
      <c r="M51" s="184"/>
      <c r="N51" s="184"/>
    </row>
    <row r="52" spans="1:20" s="3" customFormat="1" ht="15.95" customHeight="1" x14ac:dyDescent="0.25">
      <c r="A52" s="154" t="s">
        <v>55</v>
      </c>
      <c r="B52" s="154"/>
      <c r="C52" s="37">
        <f>SUM(C53:C57)</f>
        <v>2380701966</v>
      </c>
      <c r="D52" s="38">
        <f>SUM(D53:D57)</f>
        <v>2381221827.4299998</v>
      </c>
      <c r="E52" s="39">
        <f>SUM(E53:E57)</f>
        <v>646222328.13999999</v>
      </c>
      <c r="F52" s="40">
        <f t="shared" si="0"/>
        <v>27.138266611534188</v>
      </c>
      <c r="G52" s="225">
        <f>SUM(G53:H57)</f>
        <v>1522767254.6599998</v>
      </c>
      <c r="H52" s="226">
        <f>SUM(H53:H57)</f>
        <v>0</v>
      </c>
      <c r="I52" s="40">
        <f t="shared" si="1"/>
        <v>63.948987747331756</v>
      </c>
      <c r="J52" s="178">
        <f t="shared" si="2"/>
        <v>858454572.76999998</v>
      </c>
      <c r="K52" s="179"/>
      <c r="L52" s="179"/>
      <c r="M52" s="41"/>
    </row>
    <row r="53" spans="1:20" s="3" customFormat="1" ht="15.95" customHeight="1" x14ac:dyDescent="0.25">
      <c r="A53" s="154" t="s">
        <v>56</v>
      </c>
      <c r="B53" s="154"/>
      <c r="C53" s="37">
        <v>456481833</v>
      </c>
      <c r="D53" s="38">
        <v>441230699.26999998</v>
      </c>
      <c r="E53" s="39">
        <f>G53-149549747.23</f>
        <v>116464675.24000001</v>
      </c>
      <c r="F53" s="40">
        <f t="shared" si="0"/>
        <v>26.395415240300945</v>
      </c>
      <c r="G53" s="225">
        <v>266014422.47</v>
      </c>
      <c r="H53" s="226"/>
      <c r="I53" s="40">
        <f t="shared" si="1"/>
        <v>60.289191778838394</v>
      </c>
      <c r="J53" s="178">
        <f t="shared" si="2"/>
        <v>175216276.79999998</v>
      </c>
      <c r="K53" s="179"/>
      <c r="L53" s="179"/>
    </row>
    <row r="54" spans="1:20" s="3" customFormat="1" ht="15.95" customHeight="1" x14ac:dyDescent="0.25">
      <c r="A54" s="154" t="s">
        <v>57</v>
      </c>
      <c r="B54" s="154"/>
      <c r="C54" s="37">
        <v>374302859</v>
      </c>
      <c r="D54" s="38">
        <v>243389317.05000001</v>
      </c>
      <c r="E54" s="39">
        <f>G54-102669727.12</f>
        <v>67848706.49000001</v>
      </c>
      <c r="F54" s="40">
        <f t="shared" si="0"/>
        <v>27.876616489318511</v>
      </c>
      <c r="G54" s="225">
        <v>170518433.61000001</v>
      </c>
      <c r="H54" s="226"/>
      <c r="I54" s="40">
        <f t="shared" si="1"/>
        <v>70.059949909375035</v>
      </c>
      <c r="J54" s="178">
        <f t="shared" si="2"/>
        <v>72870883.439999998</v>
      </c>
      <c r="K54" s="179"/>
      <c r="L54" s="179"/>
    </row>
    <row r="55" spans="1:20" s="3" customFormat="1" ht="15.95" customHeight="1" x14ac:dyDescent="0.25">
      <c r="A55" s="154" t="s">
        <v>58</v>
      </c>
      <c r="B55" s="154"/>
      <c r="C55" s="37">
        <v>263807</v>
      </c>
      <c r="D55" s="40">
        <v>263807</v>
      </c>
      <c r="E55" s="39">
        <f>G55-90905.5</f>
        <v>22064</v>
      </c>
      <c r="F55" s="40">
        <f t="shared" si="0"/>
        <v>8.3636901219452096</v>
      </c>
      <c r="G55" s="225">
        <v>112969.5</v>
      </c>
      <c r="H55" s="226"/>
      <c r="I55" s="40">
        <f t="shared" si="1"/>
        <v>42.822783322656335</v>
      </c>
      <c r="J55" s="178">
        <f t="shared" si="2"/>
        <v>150837.5</v>
      </c>
      <c r="K55" s="179"/>
      <c r="L55" s="179"/>
    </row>
    <row r="56" spans="1:20" s="3" customFormat="1" ht="15.95" customHeight="1" x14ac:dyDescent="0.25">
      <c r="A56" s="154" t="s">
        <v>59</v>
      </c>
      <c r="B56" s="154"/>
      <c r="C56" s="37">
        <v>0</v>
      </c>
      <c r="D56" s="42">
        <v>0</v>
      </c>
      <c r="E56" s="39">
        <f>G56-0</f>
        <v>0</v>
      </c>
      <c r="F56" s="40">
        <v>0</v>
      </c>
      <c r="G56" s="228">
        <v>0</v>
      </c>
      <c r="H56" s="229"/>
      <c r="I56" s="40">
        <v>0</v>
      </c>
      <c r="J56" s="225">
        <f t="shared" si="2"/>
        <v>0</v>
      </c>
      <c r="K56" s="227"/>
      <c r="L56" s="227"/>
      <c r="M56" s="184"/>
      <c r="N56" s="184"/>
    </row>
    <row r="57" spans="1:20" s="3" customFormat="1" ht="15.95" customHeight="1" x14ac:dyDescent="0.25">
      <c r="A57" s="154" t="s">
        <v>60</v>
      </c>
      <c r="B57" s="154"/>
      <c r="C57" s="31">
        <v>1549653467</v>
      </c>
      <c r="D57" s="31">
        <v>1696338004.1099999</v>
      </c>
      <c r="E57" s="33">
        <f>G57-624234546.67</f>
        <v>461886882.40999997</v>
      </c>
      <c r="F57" s="34">
        <f t="shared" si="0"/>
        <v>27.228469873982064</v>
      </c>
      <c r="G57" s="157">
        <v>1086121429.0799999</v>
      </c>
      <c r="H57" s="158"/>
      <c r="I57" s="34">
        <f t="shared" si="1"/>
        <v>64.02741826501989</v>
      </c>
      <c r="J57" s="162">
        <f t="shared" si="2"/>
        <v>610216575.02999997</v>
      </c>
      <c r="K57" s="163"/>
      <c r="L57" s="163"/>
      <c r="M57" s="167"/>
      <c r="N57" s="167"/>
      <c r="O57" s="167"/>
      <c r="P57" s="167"/>
      <c r="Q57" s="167"/>
      <c r="R57" s="167"/>
      <c r="S57" s="167"/>
      <c r="T57" s="167"/>
    </row>
    <row r="58" spans="1:20" s="3" customFormat="1" ht="15.95" customHeight="1" x14ac:dyDescent="0.25">
      <c r="A58" s="161" t="s">
        <v>61</v>
      </c>
      <c r="B58" s="161"/>
      <c r="C58" s="26">
        <f>C59+C62+C66+C67+C78</f>
        <v>665933434</v>
      </c>
      <c r="D58" s="27">
        <f>D59+D62+D66+D67+D78</f>
        <v>624621228.86000001</v>
      </c>
      <c r="E58" s="22">
        <f>E59+E62+E66+E67+E78</f>
        <v>40730231.099999994</v>
      </c>
      <c r="F58" s="28">
        <f t="shared" si="0"/>
        <v>6.5207887945686673</v>
      </c>
      <c r="G58" s="159">
        <f>G59+G62+G66+G67+G78</f>
        <v>104331033.59999999</v>
      </c>
      <c r="H58" s="160"/>
      <c r="I58" s="28">
        <f t="shared" si="1"/>
        <v>16.7030880123007</v>
      </c>
      <c r="J58" s="155">
        <f t="shared" si="2"/>
        <v>520290195.25999999</v>
      </c>
      <c r="K58" s="156"/>
      <c r="L58" s="156"/>
      <c r="M58" s="168"/>
      <c r="N58" s="168"/>
      <c r="O58" s="169"/>
      <c r="P58" s="170"/>
      <c r="Q58" s="1"/>
      <c r="R58" s="1"/>
      <c r="S58" s="1"/>
      <c r="T58" s="1"/>
    </row>
    <row r="59" spans="1:20" s="3" customFormat="1" ht="15.95" customHeight="1" x14ac:dyDescent="0.25">
      <c r="A59" s="154" t="s">
        <v>62</v>
      </c>
      <c r="B59" s="154"/>
      <c r="C59" s="31">
        <f>C60+C61</f>
        <v>51541821</v>
      </c>
      <c r="D59" s="32">
        <f>D60+D61</f>
        <v>18400216</v>
      </c>
      <c r="E59" s="33">
        <f>E60+E61</f>
        <v>0</v>
      </c>
      <c r="F59" s="34">
        <f t="shared" si="0"/>
        <v>0</v>
      </c>
      <c r="G59" s="157">
        <f>G60+G61</f>
        <v>0</v>
      </c>
      <c r="H59" s="158"/>
      <c r="I59" s="34">
        <f t="shared" si="1"/>
        <v>0</v>
      </c>
      <c r="J59" s="162">
        <f t="shared" si="2"/>
        <v>18400216</v>
      </c>
      <c r="K59" s="163"/>
      <c r="L59" s="163"/>
      <c r="M59" s="41"/>
    </row>
    <row r="60" spans="1:20" s="3" customFormat="1" ht="15.95" customHeight="1" x14ac:dyDescent="0.25">
      <c r="A60" s="154" t="s">
        <v>63</v>
      </c>
      <c r="B60" s="154"/>
      <c r="C60" s="31">
        <v>51541821</v>
      </c>
      <c r="D60" s="32">
        <v>18400216</v>
      </c>
      <c r="E60" s="33">
        <f>G60</f>
        <v>0</v>
      </c>
      <c r="F60" s="34">
        <f t="shared" si="0"/>
        <v>0</v>
      </c>
      <c r="G60" s="157">
        <v>0</v>
      </c>
      <c r="H60" s="158"/>
      <c r="I60" s="34">
        <f t="shared" si="1"/>
        <v>0</v>
      </c>
      <c r="J60" s="162">
        <f t="shared" si="2"/>
        <v>18400216</v>
      </c>
      <c r="K60" s="163"/>
      <c r="L60" s="163"/>
    </row>
    <row r="61" spans="1:20" s="3" customFormat="1" ht="15.95" customHeight="1" x14ac:dyDescent="0.25">
      <c r="A61" s="154" t="s">
        <v>64</v>
      </c>
      <c r="B61" s="154"/>
      <c r="C61" s="31">
        <v>0</v>
      </c>
      <c r="D61" s="32">
        <v>0</v>
      </c>
      <c r="E61" s="33">
        <f>G61</f>
        <v>0</v>
      </c>
      <c r="F61" s="34">
        <v>0</v>
      </c>
      <c r="G61" s="157">
        <v>0</v>
      </c>
      <c r="H61" s="158"/>
      <c r="I61" s="34">
        <v>0</v>
      </c>
      <c r="J61" s="162">
        <f t="shared" si="2"/>
        <v>0</v>
      </c>
      <c r="K61" s="163"/>
      <c r="L61" s="163"/>
    </row>
    <row r="62" spans="1:20" s="3" customFormat="1" ht="15.95" customHeight="1" x14ac:dyDescent="0.25">
      <c r="A62" s="154" t="s">
        <v>65</v>
      </c>
      <c r="B62" s="154"/>
      <c r="C62" s="31">
        <f>C63+C64+C65</f>
        <v>167991</v>
      </c>
      <c r="D62" s="32">
        <f>D63+D64+D65</f>
        <v>1093741</v>
      </c>
      <c r="E62" s="33">
        <f>E63+E64+E65</f>
        <v>435300</v>
      </c>
      <c r="F62" s="34">
        <f t="shared" si="0"/>
        <v>39.799184633290693</v>
      </c>
      <c r="G62" s="157">
        <f>SUM(G63:H65)</f>
        <v>4335050</v>
      </c>
      <c r="H62" s="158"/>
      <c r="I62" s="34">
        <f t="shared" si="1"/>
        <v>396.35068997139177</v>
      </c>
      <c r="J62" s="162">
        <f t="shared" si="2"/>
        <v>-3241309</v>
      </c>
      <c r="K62" s="163"/>
      <c r="L62" s="163"/>
    </row>
    <row r="63" spans="1:20" s="3" customFormat="1" ht="15.95" customHeight="1" x14ac:dyDescent="0.25">
      <c r="A63" s="154" t="s">
        <v>66</v>
      </c>
      <c r="B63" s="154"/>
      <c r="C63" s="31">
        <v>167991</v>
      </c>
      <c r="D63" s="32">
        <v>1093741</v>
      </c>
      <c r="E63" s="33">
        <f>G63-925750</f>
        <v>435300</v>
      </c>
      <c r="F63" s="34">
        <f t="shared" si="0"/>
        <v>39.799184633290693</v>
      </c>
      <c r="G63" s="157">
        <v>1361050</v>
      </c>
      <c r="H63" s="158"/>
      <c r="I63" s="34">
        <f t="shared" si="1"/>
        <v>124.43988110530736</v>
      </c>
      <c r="J63" s="162">
        <f t="shared" si="2"/>
        <v>-267309</v>
      </c>
      <c r="K63" s="163"/>
      <c r="L63" s="163"/>
    </row>
    <row r="64" spans="1:20" s="3" customFormat="1" ht="15.95" customHeight="1" x14ac:dyDescent="0.25">
      <c r="A64" s="154" t="s">
        <v>67</v>
      </c>
      <c r="B64" s="154"/>
      <c r="C64" s="31">
        <v>0</v>
      </c>
      <c r="D64" s="32">
        <v>0</v>
      </c>
      <c r="E64" s="33">
        <f>G64-2974000</f>
        <v>0</v>
      </c>
      <c r="F64" s="34">
        <v>0</v>
      </c>
      <c r="G64" s="157">
        <v>2974000</v>
      </c>
      <c r="H64" s="158"/>
      <c r="I64" s="34">
        <v>0</v>
      </c>
      <c r="J64" s="162">
        <f t="shared" si="2"/>
        <v>-2974000</v>
      </c>
      <c r="K64" s="163"/>
      <c r="L64" s="163"/>
    </row>
    <row r="65" spans="1:17" s="3" customFormat="1" ht="15.95" customHeight="1" x14ac:dyDescent="0.25">
      <c r="A65" s="154" t="s">
        <v>68</v>
      </c>
      <c r="B65" s="154"/>
      <c r="C65" s="31">
        <v>0</v>
      </c>
      <c r="D65" s="32">
        <v>0</v>
      </c>
      <c r="E65" s="33">
        <f>G65</f>
        <v>0</v>
      </c>
      <c r="F65" s="34">
        <v>0</v>
      </c>
      <c r="G65" s="157">
        <v>0</v>
      </c>
      <c r="H65" s="158"/>
      <c r="I65" s="34">
        <v>0</v>
      </c>
      <c r="J65" s="157">
        <f t="shared" si="2"/>
        <v>0</v>
      </c>
      <c r="K65" s="164"/>
      <c r="L65" s="164"/>
    </row>
    <row r="66" spans="1:17" s="3" customFormat="1" ht="15.95" customHeight="1" x14ac:dyDescent="0.25">
      <c r="A66" s="154" t="s">
        <v>69</v>
      </c>
      <c r="B66" s="154"/>
      <c r="C66" s="43">
        <v>207292407</v>
      </c>
      <c r="D66" s="44">
        <v>199096497.86000001</v>
      </c>
      <c r="E66" s="33">
        <f>G66-58813468.5</f>
        <v>34778331.099999994</v>
      </c>
      <c r="F66" s="34">
        <f t="shared" si="0"/>
        <v>17.46807777827177</v>
      </c>
      <c r="G66" s="157">
        <v>93591799.599999994</v>
      </c>
      <c r="H66" s="158"/>
      <c r="I66" s="34">
        <f t="shared" si="1"/>
        <v>47.008260118071767</v>
      </c>
      <c r="J66" s="162">
        <f t="shared" si="2"/>
        <v>105504698.26000002</v>
      </c>
      <c r="K66" s="163"/>
      <c r="L66" s="163"/>
    </row>
    <row r="67" spans="1:17" s="3" customFormat="1" ht="15.95" customHeight="1" x14ac:dyDescent="0.25">
      <c r="A67" s="154" t="s">
        <v>70</v>
      </c>
      <c r="B67" s="154"/>
      <c r="C67" s="31">
        <f>SUM(C68:C77)</f>
        <v>406931215</v>
      </c>
      <c r="D67" s="31">
        <f>SUM(D68:D77)</f>
        <v>406030774</v>
      </c>
      <c r="E67" s="33">
        <f>SUM(E68:E77)</f>
        <v>5516600</v>
      </c>
      <c r="F67" s="34">
        <f>(E67/D67)*100</f>
        <v>1.3586654887395309</v>
      </c>
      <c r="G67" s="157">
        <f>SUM(G68:H77)</f>
        <v>6404184</v>
      </c>
      <c r="H67" s="158">
        <f>SUM(H68:H76)</f>
        <v>0</v>
      </c>
      <c r="I67" s="34">
        <f t="shared" si="1"/>
        <v>1.5772656680451518</v>
      </c>
      <c r="J67" s="162">
        <f t="shared" si="2"/>
        <v>399626590</v>
      </c>
      <c r="K67" s="163"/>
      <c r="L67" s="163"/>
    </row>
    <row r="68" spans="1:17" s="3" customFormat="1" ht="15.95" customHeight="1" x14ac:dyDescent="0.25">
      <c r="A68" s="154" t="s">
        <v>48</v>
      </c>
      <c r="B68" s="154"/>
      <c r="C68" s="31">
        <v>380340945</v>
      </c>
      <c r="D68" s="32">
        <v>380340945</v>
      </c>
      <c r="E68" s="33">
        <f>G68-887584</f>
        <v>5516600</v>
      </c>
      <c r="F68" s="34">
        <f t="shared" si="0"/>
        <v>1.4504354770428411</v>
      </c>
      <c r="G68" s="157">
        <v>6404184</v>
      </c>
      <c r="H68" s="158"/>
      <c r="I68" s="34">
        <f t="shared" si="1"/>
        <v>1.6838008329605427</v>
      </c>
      <c r="J68" s="162">
        <f t="shared" si="2"/>
        <v>373936761</v>
      </c>
      <c r="K68" s="163"/>
      <c r="L68" s="163"/>
    </row>
    <row r="69" spans="1:17" s="3" customFormat="1" ht="15.95" customHeight="1" x14ac:dyDescent="0.25">
      <c r="A69" s="154" t="s">
        <v>49</v>
      </c>
      <c r="B69" s="154"/>
      <c r="C69" s="31">
        <v>0</v>
      </c>
      <c r="D69" s="32">
        <v>0</v>
      </c>
      <c r="E69" s="33">
        <f>G69-0</f>
        <v>0</v>
      </c>
      <c r="F69" s="34">
        <v>0</v>
      </c>
      <c r="G69" s="157">
        <v>0</v>
      </c>
      <c r="H69" s="158"/>
      <c r="I69" s="34">
        <v>0</v>
      </c>
      <c r="J69" s="162">
        <f t="shared" si="2"/>
        <v>0</v>
      </c>
      <c r="K69" s="163"/>
      <c r="L69" s="163"/>
    </row>
    <row r="70" spans="1:17" s="3" customFormat="1" ht="15.95" customHeight="1" x14ac:dyDescent="0.25">
      <c r="A70" s="154" t="s">
        <v>50</v>
      </c>
      <c r="B70" s="154"/>
      <c r="C70" s="31">
        <v>12000</v>
      </c>
      <c r="D70" s="32">
        <v>12000</v>
      </c>
      <c r="E70" s="33">
        <f>G70-0</f>
        <v>0</v>
      </c>
      <c r="F70" s="34">
        <f t="shared" si="0"/>
        <v>0</v>
      </c>
      <c r="G70" s="157">
        <v>0</v>
      </c>
      <c r="H70" s="158"/>
      <c r="I70" s="34">
        <f t="shared" si="1"/>
        <v>0</v>
      </c>
      <c r="J70" s="162">
        <f t="shared" si="2"/>
        <v>12000</v>
      </c>
      <c r="K70" s="163"/>
      <c r="L70" s="163"/>
    </row>
    <row r="71" spans="1:17" s="3" customFormat="1" ht="15.95" customHeight="1" x14ac:dyDescent="0.25">
      <c r="A71" s="154" t="s">
        <v>51</v>
      </c>
      <c r="B71" s="154"/>
      <c r="C71" s="31">
        <v>0</v>
      </c>
      <c r="D71" s="32">
        <v>0</v>
      </c>
      <c r="E71" s="39">
        <f>G71-0</f>
        <v>0</v>
      </c>
      <c r="F71" s="34">
        <v>0</v>
      </c>
      <c r="G71" s="157">
        <v>0</v>
      </c>
      <c r="H71" s="158"/>
      <c r="I71" s="34">
        <v>0</v>
      </c>
      <c r="J71" s="162">
        <f t="shared" si="2"/>
        <v>0</v>
      </c>
      <c r="K71" s="163"/>
      <c r="L71" s="163"/>
    </row>
    <row r="72" spans="1:17" s="3" customFormat="1" ht="15.95" customHeight="1" x14ac:dyDescent="0.25">
      <c r="A72" s="154" t="s">
        <v>52</v>
      </c>
      <c r="B72" s="154"/>
      <c r="C72" s="31">
        <v>0</v>
      </c>
      <c r="D72" s="32">
        <v>0</v>
      </c>
      <c r="E72" s="33">
        <f>G72</f>
        <v>0</v>
      </c>
      <c r="F72" s="34">
        <v>0</v>
      </c>
      <c r="G72" s="157">
        <v>0</v>
      </c>
      <c r="H72" s="158"/>
      <c r="I72" s="34">
        <v>0</v>
      </c>
      <c r="J72" s="162">
        <f t="shared" si="2"/>
        <v>0</v>
      </c>
      <c r="K72" s="163"/>
      <c r="L72" s="163"/>
    </row>
    <row r="73" spans="1:17" s="3" customFormat="1" ht="15.95" customHeight="1" x14ac:dyDescent="0.25">
      <c r="A73" s="154" t="s">
        <v>53</v>
      </c>
      <c r="B73" s="154"/>
      <c r="C73" s="31">
        <v>0</v>
      </c>
      <c r="D73" s="32">
        <v>0</v>
      </c>
      <c r="E73" s="33">
        <f>G73</f>
        <v>0</v>
      </c>
      <c r="F73" s="34">
        <v>0</v>
      </c>
      <c r="G73" s="157">
        <v>0</v>
      </c>
      <c r="H73" s="158"/>
      <c r="I73" s="34">
        <v>0</v>
      </c>
      <c r="J73" s="162">
        <f t="shared" si="2"/>
        <v>0</v>
      </c>
      <c r="K73" s="163"/>
      <c r="L73" s="163"/>
    </row>
    <row r="74" spans="1:17" s="3" customFormat="1" ht="15.95" customHeight="1" x14ac:dyDescent="0.25">
      <c r="A74" s="234" t="s">
        <v>71</v>
      </c>
      <c r="B74" s="235"/>
      <c r="C74" s="31">
        <f>25677829+900441</f>
        <v>26578270</v>
      </c>
      <c r="D74" s="37">
        <f>25677829</f>
        <v>25677829</v>
      </c>
      <c r="E74" s="33">
        <f>G74-0</f>
        <v>0</v>
      </c>
      <c r="F74" s="34">
        <f t="shared" si="0"/>
        <v>0</v>
      </c>
      <c r="G74" s="157">
        <v>0</v>
      </c>
      <c r="H74" s="158"/>
      <c r="I74" s="34">
        <f t="shared" si="1"/>
        <v>0</v>
      </c>
      <c r="J74" s="157">
        <f t="shared" si="2"/>
        <v>25677829</v>
      </c>
      <c r="K74" s="164"/>
      <c r="L74" s="164"/>
      <c r="M74" s="324"/>
      <c r="N74" s="324"/>
      <c r="O74" s="324"/>
      <c r="P74" s="324"/>
    </row>
    <row r="75" spans="1:17" s="3" customFormat="1" ht="15.95" hidden="1" customHeight="1" x14ac:dyDescent="0.25">
      <c r="A75" s="233" t="s">
        <v>72</v>
      </c>
      <c r="B75" s="154"/>
      <c r="C75" s="45"/>
      <c r="D75" s="46"/>
      <c r="E75" s="47">
        <f>G75-0</f>
        <v>0</v>
      </c>
      <c r="F75" s="48" t="e">
        <f t="shared" si="0"/>
        <v>#DIV/0!</v>
      </c>
      <c r="G75" s="165"/>
      <c r="H75" s="166"/>
      <c r="I75" s="48" t="e">
        <f t="shared" si="1"/>
        <v>#DIV/0!</v>
      </c>
      <c r="J75" s="165">
        <f t="shared" si="2"/>
        <v>0</v>
      </c>
      <c r="K75" s="186"/>
      <c r="L75" s="186"/>
      <c r="M75" s="183" t="s">
        <v>73</v>
      </c>
      <c r="N75" s="183"/>
      <c r="O75" s="183"/>
      <c r="P75" s="183"/>
    </row>
    <row r="76" spans="1:17" s="3" customFormat="1" ht="15.95" hidden="1" customHeight="1" x14ac:dyDescent="0.25">
      <c r="A76" s="233" t="s">
        <v>74</v>
      </c>
      <c r="B76" s="154"/>
      <c r="C76" s="45">
        <v>0</v>
      </c>
      <c r="D76" s="46">
        <v>0</v>
      </c>
      <c r="E76" s="47">
        <f>G76-0</f>
        <v>0</v>
      </c>
      <c r="F76" s="48" t="e">
        <f t="shared" si="0"/>
        <v>#DIV/0!</v>
      </c>
      <c r="G76" s="165">
        <v>0</v>
      </c>
      <c r="H76" s="166"/>
      <c r="I76" s="48" t="e">
        <f t="shared" si="1"/>
        <v>#DIV/0!</v>
      </c>
      <c r="J76" s="165">
        <f t="shared" si="2"/>
        <v>0</v>
      </c>
      <c r="K76" s="186"/>
      <c r="L76" s="186"/>
      <c r="M76" s="183"/>
      <c r="N76" s="183"/>
      <c r="O76" s="183"/>
      <c r="P76" s="183"/>
      <c r="Q76" s="49"/>
    </row>
    <row r="77" spans="1:17" s="3" customFormat="1" ht="15.95" hidden="1" customHeight="1" x14ac:dyDescent="0.25">
      <c r="A77" s="233" t="s">
        <v>75</v>
      </c>
      <c r="B77" s="154"/>
      <c r="C77" s="45">
        <v>0</v>
      </c>
      <c r="D77" s="46">
        <v>0</v>
      </c>
      <c r="E77" s="47">
        <f>G77-0</f>
        <v>0</v>
      </c>
      <c r="F77" s="48" t="e">
        <f t="shared" si="0"/>
        <v>#DIV/0!</v>
      </c>
      <c r="G77" s="165"/>
      <c r="H77" s="166"/>
      <c r="I77" s="48" t="e">
        <f t="shared" si="1"/>
        <v>#DIV/0!</v>
      </c>
      <c r="J77" s="231">
        <f t="shared" si="2"/>
        <v>0</v>
      </c>
      <c r="K77" s="232"/>
      <c r="L77" s="232"/>
      <c r="M77" s="183"/>
      <c r="N77" s="183"/>
      <c r="O77" s="183"/>
      <c r="P77" s="183"/>
      <c r="Q77" s="49"/>
    </row>
    <row r="78" spans="1:17" s="3" customFormat="1" ht="15.95" customHeight="1" x14ac:dyDescent="0.25">
      <c r="A78" s="233" t="s">
        <v>76</v>
      </c>
      <c r="B78" s="154"/>
      <c r="C78" s="31">
        <f>SUM(C79:C82)</f>
        <v>0</v>
      </c>
      <c r="D78" s="32">
        <f>SUM(D79:D82)</f>
        <v>0</v>
      </c>
      <c r="E78" s="33">
        <f>SUM(E79:E82)</f>
        <v>0</v>
      </c>
      <c r="F78" s="34">
        <v>0</v>
      </c>
      <c r="G78" s="157">
        <f>SUM(G79:H82)</f>
        <v>0</v>
      </c>
      <c r="H78" s="158">
        <f>SUM(H80:H82)</f>
        <v>0</v>
      </c>
      <c r="I78" s="34">
        <v>0</v>
      </c>
      <c r="J78" s="162">
        <f t="shared" si="2"/>
        <v>0</v>
      </c>
      <c r="K78" s="163"/>
      <c r="L78" s="163"/>
      <c r="N78" s="49"/>
      <c r="O78" s="49"/>
      <c r="P78" s="49"/>
      <c r="Q78" s="49"/>
    </row>
    <row r="79" spans="1:17" s="3" customFormat="1" ht="15.95" customHeight="1" x14ac:dyDescent="0.25">
      <c r="A79" s="154" t="s">
        <v>77</v>
      </c>
      <c r="B79" s="154"/>
      <c r="C79" s="31">
        <v>0</v>
      </c>
      <c r="D79" s="32">
        <v>0</v>
      </c>
      <c r="E79" s="33">
        <f>G79</f>
        <v>0</v>
      </c>
      <c r="F79" s="34">
        <v>0</v>
      </c>
      <c r="G79" s="157">
        <v>0</v>
      </c>
      <c r="H79" s="158"/>
      <c r="I79" s="34">
        <v>0</v>
      </c>
      <c r="J79" s="162">
        <f t="shared" si="2"/>
        <v>0</v>
      </c>
      <c r="K79" s="163"/>
      <c r="L79" s="163"/>
      <c r="N79" s="49"/>
      <c r="O79" s="49"/>
      <c r="P79" s="49"/>
      <c r="Q79" s="49"/>
    </row>
    <row r="80" spans="1:17" s="3" customFormat="1" ht="15.95" customHeight="1" x14ac:dyDescent="0.25">
      <c r="A80" s="154" t="s">
        <v>78</v>
      </c>
      <c r="B80" s="154"/>
      <c r="C80" s="31">
        <v>0</v>
      </c>
      <c r="D80" s="32">
        <v>0</v>
      </c>
      <c r="E80" s="33">
        <f>G80</f>
        <v>0</v>
      </c>
      <c r="F80" s="34">
        <v>0</v>
      </c>
      <c r="G80" s="157">
        <v>0</v>
      </c>
      <c r="H80" s="158"/>
      <c r="I80" s="34">
        <v>0</v>
      </c>
      <c r="J80" s="162">
        <f t="shared" si="2"/>
        <v>0</v>
      </c>
      <c r="K80" s="163"/>
      <c r="L80" s="163"/>
    </row>
    <row r="81" spans="1:17" s="3" customFormat="1" ht="15.95" customHeight="1" x14ac:dyDescent="0.25">
      <c r="A81" s="154" t="s">
        <v>79</v>
      </c>
      <c r="B81" s="154"/>
      <c r="C81" s="31">
        <v>0</v>
      </c>
      <c r="D81" s="32">
        <v>0</v>
      </c>
      <c r="E81" s="33">
        <f>G81</f>
        <v>0</v>
      </c>
      <c r="F81" s="34">
        <v>0</v>
      </c>
      <c r="G81" s="157">
        <v>0</v>
      </c>
      <c r="H81" s="158"/>
      <c r="I81" s="34">
        <v>0</v>
      </c>
      <c r="J81" s="162">
        <f t="shared" si="2"/>
        <v>0</v>
      </c>
      <c r="K81" s="163"/>
      <c r="L81" s="163"/>
    </row>
    <row r="82" spans="1:17" s="3" customFormat="1" ht="15.95" customHeight="1" x14ac:dyDescent="0.25">
      <c r="A82" s="154" t="s">
        <v>80</v>
      </c>
      <c r="B82" s="154"/>
      <c r="C82" s="37">
        <v>0</v>
      </c>
      <c r="D82" s="38">
        <v>0</v>
      </c>
      <c r="E82" s="39">
        <f>G82-0</f>
        <v>0</v>
      </c>
      <c r="F82" s="40">
        <v>0</v>
      </c>
      <c r="G82" s="225">
        <v>0</v>
      </c>
      <c r="H82" s="226"/>
      <c r="I82" s="40">
        <v>0</v>
      </c>
      <c r="J82" s="178">
        <f t="shared" ref="J82:J92" si="4">D82-G82</f>
        <v>0</v>
      </c>
      <c r="K82" s="179"/>
      <c r="L82" s="179"/>
      <c r="N82" s="182"/>
      <c r="O82" s="182"/>
      <c r="P82" s="182"/>
      <c r="Q82" s="182"/>
    </row>
    <row r="83" spans="1:17" s="3" customFormat="1" ht="15.95" customHeight="1" x14ac:dyDescent="0.25">
      <c r="A83" s="248" t="s">
        <v>81</v>
      </c>
      <c r="B83" s="238"/>
      <c r="C83" s="26">
        <f>C144</f>
        <v>7951876408</v>
      </c>
      <c r="D83" s="27">
        <f>D144</f>
        <v>7992784133.9300003</v>
      </c>
      <c r="E83" s="22">
        <f>E144</f>
        <v>1290797269.0899999</v>
      </c>
      <c r="F83" s="28">
        <f t="shared" ref="F83:F94" si="5">(E83/D83)*100</f>
        <v>16.149532471550977</v>
      </c>
      <c r="G83" s="249">
        <f>G144</f>
        <v>4044173013.52</v>
      </c>
      <c r="H83" s="250"/>
      <c r="I83" s="28">
        <f t="shared" ref="I83:I94" si="6">(G83/D83)*100</f>
        <v>50.597801038466258</v>
      </c>
      <c r="J83" s="155">
        <f t="shared" si="4"/>
        <v>3948611120.4100003</v>
      </c>
      <c r="K83" s="156"/>
      <c r="L83" s="156"/>
      <c r="N83" s="182"/>
      <c r="O83" s="182"/>
      <c r="P83" s="182"/>
      <c r="Q83" s="182"/>
    </row>
    <row r="84" spans="1:17" s="3" customFormat="1" ht="15.95" customHeight="1" x14ac:dyDescent="0.25">
      <c r="A84" s="241" t="s">
        <v>82</v>
      </c>
      <c r="B84" s="242"/>
      <c r="C84" s="50">
        <f>C17+C83</f>
        <v>107518723460</v>
      </c>
      <c r="D84" s="51">
        <f>D17+D83</f>
        <v>109145796448.95999</v>
      </c>
      <c r="E84" s="50">
        <f>E17+E83</f>
        <v>20307560048.529999</v>
      </c>
      <c r="F84" s="52">
        <f t="shared" si="5"/>
        <v>18.605902113716724</v>
      </c>
      <c r="G84" s="243">
        <f>G17+G83</f>
        <v>58638709076.389984</v>
      </c>
      <c r="H84" s="244"/>
      <c r="I84" s="52">
        <f t="shared" si="6"/>
        <v>53.725119046441051</v>
      </c>
      <c r="J84" s="239">
        <f t="shared" si="4"/>
        <v>50507087372.570007</v>
      </c>
      <c r="K84" s="240"/>
      <c r="L84" s="240"/>
      <c r="N84" s="182"/>
      <c r="O84" s="182"/>
      <c r="P84" s="182"/>
      <c r="Q84" s="182"/>
    </row>
    <row r="85" spans="1:17" s="3" customFormat="1" ht="15.95" customHeight="1" x14ac:dyDescent="0.25">
      <c r="A85" s="236" t="s">
        <v>83</v>
      </c>
      <c r="B85" s="237"/>
      <c r="C85" s="54">
        <v>0</v>
      </c>
      <c r="D85" s="55">
        <v>0</v>
      </c>
      <c r="E85" s="56">
        <v>0</v>
      </c>
      <c r="F85" s="23">
        <v>0</v>
      </c>
      <c r="G85" s="246">
        <v>0</v>
      </c>
      <c r="H85" s="251"/>
      <c r="I85" s="23">
        <v>0</v>
      </c>
      <c r="J85" s="246">
        <f t="shared" si="4"/>
        <v>0</v>
      </c>
      <c r="K85" s="247"/>
      <c r="L85" s="247"/>
    </row>
    <row r="86" spans="1:17" s="3" customFormat="1" ht="15.95" customHeight="1" x14ac:dyDescent="0.25">
      <c r="A86" s="154" t="s">
        <v>84</v>
      </c>
      <c r="B86" s="238"/>
      <c r="C86" s="57">
        <v>0</v>
      </c>
      <c r="D86" s="58">
        <v>0</v>
      </c>
      <c r="E86" s="59">
        <v>0</v>
      </c>
      <c r="F86" s="34">
        <v>0</v>
      </c>
      <c r="G86" s="180">
        <v>0</v>
      </c>
      <c r="H86" s="230"/>
      <c r="I86" s="34">
        <v>0</v>
      </c>
      <c r="J86" s="180">
        <f t="shared" si="4"/>
        <v>0</v>
      </c>
      <c r="K86" s="181"/>
      <c r="L86" s="181"/>
    </row>
    <row r="87" spans="1:17" s="3" customFormat="1" ht="15.95" customHeight="1" x14ac:dyDescent="0.25">
      <c r="A87" s="154" t="s">
        <v>85</v>
      </c>
      <c r="B87" s="238"/>
      <c r="C87" s="57">
        <v>0</v>
      </c>
      <c r="D87" s="58">
        <v>0</v>
      </c>
      <c r="E87" s="59">
        <v>0</v>
      </c>
      <c r="F87" s="34">
        <v>0</v>
      </c>
      <c r="G87" s="180">
        <v>0</v>
      </c>
      <c r="H87" s="230"/>
      <c r="I87" s="34">
        <v>0</v>
      </c>
      <c r="J87" s="180">
        <f t="shared" si="4"/>
        <v>0</v>
      </c>
      <c r="K87" s="181"/>
      <c r="L87" s="181"/>
      <c r="N87" s="61"/>
    </row>
    <row r="88" spans="1:17" s="3" customFormat="1" ht="15.95" customHeight="1" x14ac:dyDescent="0.25">
      <c r="A88" s="245" t="s">
        <v>86</v>
      </c>
      <c r="B88" s="238"/>
      <c r="C88" s="57">
        <v>0</v>
      </c>
      <c r="D88" s="58">
        <v>0</v>
      </c>
      <c r="E88" s="59">
        <v>0</v>
      </c>
      <c r="F88" s="34">
        <v>0</v>
      </c>
      <c r="G88" s="180">
        <v>0</v>
      </c>
      <c r="H88" s="230"/>
      <c r="I88" s="34">
        <v>0</v>
      </c>
      <c r="J88" s="180">
        <f t="shared" si="4"/>
        <v>0</v>
      </c>
      <c r="K88" s="181"/>
      <c r="L88" s="181"/>
    </row>
    <row r="89" spans="1:17" s="3" customFormat="1" ht="15.95" customHeight="1" x14ac:dyDescent="0.25">
      <c r="A89" s="154" t="s">
        <v>87</v>
      </c>
      <c r="B89" s="238"/>
      <c r="C89" s="57">
        <v>0</v>
      </c>
      <c r="D89" s="58">
        <v>0</v>
      </c>
      <c r="E89" s="59">
        <v>0</v>
      </c>
      <c r="F89" s="34">
        <v>0</v>
      </c>
      <c r="G89" s="180">
        <v>0</v>
      </c>
      <c r="H89" s="230"/>
      <c r="I89" s="34">
        <v>0</v>
      </c>
      <c r="J89" s="180">
        <f t="shared" si="4"/>
        <v>0</v>
      </c>
      <c r="K89" s="181"/>
      <c r="L89" s="181"/>
    </row>
    <row r="90" spans="1:17" s="3" customFormat="1" ht="15.95" customHeight="1" x14ac:dyDescent="0.25">
      <c r="A90" s="154" t="s">
        <v>85</v>
      </c>
      <c r="B90" s="238"/>
      <c r="C90" s="57">
        <v>0</v>
      </c>
      <c r="D90" s="58">
        <v>0</v>
      </c>
      <c r="E90" s="59">
        <v>0</v>
      </c>
      <c r="F90" s="34">
        <v>0</v>
      </c>
      <c r="G90" s="180">
        <v>0</v>
      </c>
      <c r="H90" s="230"/>
      <c r="I90" s="34">
        <v>0</v>
      </c>
      <c r="J90" s="180">
        <f t="shared" si="4"/>
        <v>0</v>
      </c>
      <c r="K90" s="181"/>
      <c r="L90" s="181"/>
    </row>
    <row r="91" spans="1:17" s="3" customFormat="1" ht="15.95" customHeight="1" x14ac:dyDescent="0.25">
      <c r="A91" s="257" t="s">
        <v>86</v>
      </c>
      <c r="B91" s="258"/>
      <c r="C91" s="62">
        <v>0</v>
      </c>
      <c r="D91" s="63">
        <v>0</v>
      </c>
      <c r="E91" s="59">
        <v>0</v>
      </c>
      <c r="F91" s="64">
        <v>0</v>
      </c>
      <c r="G91" s="259">
        <v>0</v>
      </c>
      <c r="H91" s="260"/>
      <c r="I91" s="64">
        <v>0</v>
      </c>
      <c r="J91" s="180">
        <f t="shared" si="4"/>
        <v>0</v>
      </c>
      <c r="K91" s="181"/>
      <c r="L91" s="181"/>
      <c r="N91" s="61"/>
    </row>
    <row r="92" spans="1:17" s="3" customFormat="1" ht="15.95" customHeight="1" x14ac:dyDescent="0.25">
      <c r="A92" s="241" t="s">
        <v>88</v>
      </c>
      <c r="B92" s="242"/>
      <c r="C92" s="66">
        <f>C84+C85</f>
        <v>107518723460</v>
      </c>
      <c r="D92" s="67">
        <f>D84+D85</f>
        <v>109145796448.95999</v>
      </c>
      <c r="E92" s="68">
        <f>E84+E85</f>
        <v>20307560048.529999</v>
      </c>
      <c r="F92" s="69">
        <f t="shared" si="5"/>
        <v>18.605902113716724</v>
      </c>
      <c r="G92" s="253">
        <f>G84+G85</f>
        <v>58638709076.389984</v>
      </c>
      <c r="H92" s="254">
        <f>H84+H85</f>
        <v>0</v>
      </c>
      <c r="I92" s="28">
        <f t="shared" si="6"/>
        <v>53.725119046441051</v>
      </c>
      <c r="J92" s="239">
        <f t="shared" si="4"/>
        <v>50507087372.570007</v>
      </c>
      <c r="K92" s="240"/>
      <c r="L92" s="240"/>
      <c r="M92" s="41"/>
    </row>
    <row r="93" spans="1:17" s="3" customFormat="1" ht="15.95" customHeight="1" x14ac:dyDescent="0.25">
      <c r="A93" s="241" t="s">
        <v>154</v>
      </c>
      <c r="B93" s="252"/>
      <c r="C93" s="71"/>
      <c r="D93" s="71"/>
      <c r="E93" s="71"/>
      <c r="F93" s="71"/>
      <c r="G93" s="253">
        <f>IF((H124&gt;G92),(H124-G92),0)</f>
        <v>0</v>
      </c>
      <c r="H93" s="254"/>
      <c r="I93" s="72"/>
      <c r="J93" s="255"/>
      <c r="K93" s="256"/>
      <c r="L93" s="256"/>
      <c r="M93" s="41"/>
    </row>
    <row r="94" spans="1:17" s="3" customFormat="1" ht="15.95" customHeight="1" x14ac:dyDescent="0.25">
      <c r="A94" s="267" t="s">
        <v>89</v>
      </c>
      <c r="B94" s="268"/>
      <c r="C94" s="50">
        <f>C92+C93</f>
        <v>107518723460</v>
      </c>
      <c r="D94" s="51">
        <f>D92+D93</f>
        <v>109145796448.95999</v>
      </c>
      <c r="E94" s="50">
        <f>E92+E93</f>
        <v>20307560048.529999</v>
      </c>
      <c r="F94" s="73">
        <f t="shared" si="5"/>
        <v>18.605902113716724</v>
      </c>
      <c r="G94" s="239">
        <f>G92+G93</f>
        <v>58638709076.389984</v>
      </c>
      <c r="H94" s="269"/>
      <c r="I94" s="52">
        <f t="shared" si="6"/>
        <v>53.725119046441051</v>
      </c>
      <c r="J94" s="255"/>
      <c r="K94" s="256"/>
      <c r="L94" s="256"/>
      <c r="N94" s="325"/>
      <c r="O94" s="325"/>
      <c r="P94" s="325"/>
      <c r="Q94" s="325"/>
    </row>
    <row r="95" spans="1:17" s="3" customFormat="1" ht="15.75" customHeight="1" x14ac:dyDescent="0.25">
      <c r="A95" s="284" t="s">
        <v>90</v>
      </c>
      <c r="B95" s="284"/>
      <c r="C95" s="52">
        <f>SUM(C96:C97)</f>
        <v>0</v>
      </c>
      <c r="D95" s="52">
        <f>SUM(D96:D97)</f>
        <v>6203832754.3599997</v>
      </c>
      <c r="E95" s="71"/>
      <c r="F95" s="71"/>
      <c r="G95" s="265">
        <f>SUM(G96:H97)</f>
        <v>6203832754.3599997</v>
      </c>
      <c r="H95" s="266">
        <f>SUM(H96:H97)</f>
        <v>0</v>
      </c>
      <c r="I95" s="72"/>
      <c r="J95" s="255"/>
      <c r="K95" s="256"/>
      <c r="L95" s="256"/>
      <c r="M95" s="74"/>
      <c r="N95" s="325"/>
      <c r="O95" s="325"/>
      <c r="P95" s="325"/>
      <c r="Q95" s="325"/>
    </row>
    <row r="96" spans="1:17" s="3" customFormat="1" ht="15.95" customHeight="1" x14ac:dyDescent="0.25">
      <c r="A96" s="285" t="s">
        <v>91</v>
      </c>
      <c r="B96" s="285"/>
      <c r="C96" s="75">
        <v>0</v>
      </c>
      <c r="D96" s="76">
        <f>G96</f>
        <v>0</v>
      </c>
      <c r="E96" s="71"/>
      <c r="F96" s="71"/>
      <c r="G96" s="255"/>
      <c r="H96" s="278"/>
      <c r="I96" s="72"/>
      <c r="J96" s="255"/>
      <c r="K96" s="256"/>
      <c r="L96" s="256"/>
      <c r="M96" s="74"/>
      <c r="N96" s="325"/>
      <c r="O96" s="325"/>
      <c r="P96" s="325"/>
      <c r="Q96" s="325"/>
    </row>
    <row r="97" spans="1:17" s="3" customFormat="1" ht="15.95" customHeight="1" x14ac:dyDescent="0.25">
      <c r="A97" s="285" t="s">
        <v>92</v>
      </c>
      <c r="B97" s="285"/>
      <c r="C97" s="71"/>
      <c r="D97" s="76">
        <f>G97</f>
        <v>6203832754.3599997</v>
      </c>
      <c r="E97" s="71"/>
      <c r="F97" s="71"/>
      <c r="G97" s="279">
        <f>6203832754.36</f>
        <v>6203832754.3599997</v>
      </c>
      <c r="H97" s="280"/>
      <c r="I97" s="72"/>
      <c r="J97" s="255"/>
      <c r="K97" s="256"/>
      <c r="L97" s="256"/>
      <c r="M97" s="74"/>
      <c r="N97" s="325"/>
      <c r="O97" s="325"/>
      <c r="P97" s="325"/>
      <c r="Q97" s="325"/>
    </row>
    <row r="98" spans="1:17" ht="12.75" customHeight="1" x14ac:dyDescent="0.25">
      <c r="A98" s="77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325"/>
      <c r="O98" s="325"/>
      <c r="P98" s="325"/>
      <c r="Q98" s="325"/>
    </row>
    <row r="99" spans="1:17" s="3" customFormat="1" ht="17.25" customHeight="1" x14ac:dyDescent="0.25">
      <c r="A99" s="211" t="s">
        <v>93</v>
      </c>
      <c r="B99" s="79" t="s">
        <v>94</v>
      </c>
      <c r="C99" s="79" t="s">
        <v>94</v>
      </c>
      <c r="D99" s="281" t="s">
        <v>95</v>
      </c>
      <c r="E99" s="282"/>
      <c r="F99" s="80" t="s">
        <v>9</v>
      </c>
      <c r="G99" s="281" t="s">
        <v>96</v>
      </c>
      <c r="H99" s="282"/>
      <c r="I99" s="283"/>
      <c r="J99" s="14" t="s">
        <v>9</v>
      </c>
      <c r="K99" s="270" t="s">
        <v>97</v>
      </c>
      <c r="L99" s="271"/>
    </row>
    <row r="100" spans="1:17" s="3" customFormat="1" ht="14.25" customHeight="1" x14ac:dyDescent="0.25">
      <c r="A100" s="213"/>
      <c r="B100" s="81" t="s">
        <v>98</v>
      </c>
      <c r="C100" s="81" t="s">
        <v>10</v>
      </c>
      <c r="D100" s="82" t="s">
        <v>99</v>
      </c>
      <c r="E100" s="82" t="s">
        <v>100</v>
      </c>
      <c r="F100" s="83"/>
      <c r="G100" s="82" t="s">
        <v>99</v>
      </c>
      <c r="H100" s="274" t="s">
        <v>100</v>
      </c>
      <c r="I100" s="275"/>
      <c r="J100" s="84"/>
      <c r="K100" s="272"/>
      <c r="L100" s="273"/>
    </row>
    <row r="101" spans="1:17" s="3" customFormat="1" ht="14.25" customHeight="1" x14ac:dyDescent="0.25">
      <c r="A101" s="213"/>
      <c r="B101" s="81"/>
      <c r="C101" s="81"/>
      <c r="D101" s="83" t="s">
        <v>101</v>
      </c>
      <c r="E101" s="83" t="s">
        <v>101</v>
      </c>
      <c r="F101" s="83"/>
      <c r="G101" s="83" t="s">
        <v>101</v>
      </c>
      <c r="H101" s="276" t="s">
        <v>101</v>
      </c>
      <c r="I101" s="277"/>
      <c r="J101" s="84"/>
      <c r="K101" s="272"/>
      <c r="L101" s="273"/>
    </row>
    <row r="102" spans="1:17" s="3" customFormat="1" ht="16.5" customHeight="1" x14ac:dyDescent="0.25">
      <c r="A102" s="215"/>
      <c r="B102" s="85" t="s">
        <v>102</v>
      </c>
      <c r="C102" s="85" t="s">
        <v>103</v>
      </c>
      <c r="D102" s="85"/>
      <c r="E102" s="85" t="s">
        <v>104</v>
      </c>
      <c r="F102" s="86" t="s">
        <v>105</v>
      </c>
      <c r="G102" s="85"/>
      <c r="H102" s="263" t="s">
        <v>106</v>
      </c>
      <c r="I102" s="264"/>
      <c r="J102" s="18" t="s">
        <v>107</v>
      </c>
      <c r="K102" s="263" t="s">
        <v>108</v>
      </c>
      <c r="L102" s="286"/>
    </row>
    <row r="103" spans="1:17" s="3" customFormat="1" ht="15.95" customHeight="1" x14ac:dyDescent="0.25">
      <c r="A103" s="87" t="s">
        <v>109</v>
      </c>
      <c r="B103" s="27">
        <f>B104+B110+B114</f>
        <v>114232985204</v>
      </c>
      <c r="C103" s="27">
        <f>C104+C110+C114</f>
        <v>119728617651.62999</v>
      </c>
      <c r="D103" s="27">
        <f>D104+D110+D114</f>
        <v>17625961682.920002</v>
      </c>
      <c r="E103" s="27">
        <f>E104+E110+E114</f>
        <v>52500449717.349998</v>
      </c>
      <c r="F103" s="27">
        <f>C103-E103</f>
        <v>67228167934.279991</v>
      </c>
      <c r="G103" s="29">
        <f>G104+G110+G114</f>
        <v>17819040061.540001</v>
      </c>
      <c r="H103" s="287">
        <f>H104+H110+H114</f>
        <v>46301665853.700005</v>
      </c>
      <c r="I103" s="288"/>
      <c r="J103" s="21">
        <f t="shared" ref="J103:J108" si="7">C103-H103</f>
        <v>73426951797.929993</v>
      </c>
      <c r="K103" s="172">
        <f>K104+K110+K114</f>
        <v>43324723833.330002</v>
      </c>
      <c r="L103" s="173" t="e">
        <f>L104+L110+L114+#REF!</f>
        <v>#REF!</v>
      </c>
      <c r="M103" s="25"/>
    </row>
    <row r="104" spans="1:17" s="3" customFormat="1" ht="15.95" customHeight="1" x14ac:dyDescent="0.25">
      <c r="A104" s="1" t="s">
        <v>110</v>
      </c>
      <c r="B104" s="27">
        <f>SUM(B105:B107)</f>
        <v>105920181068</v>
      </c>
      <c r="C104" s="27">
        <f>SUM(C105:C107)</f>
        <v>109067461597.14999</v>
      </c>
      <c r="D104" s="27">
        <f>SUM(D105:D107)</f>
        <v>16741301677.140001</v>
      </c>
      <c r="E104" s="27">
        <f>SUM(E105:E107)</f>
        <v>49981332631.5</v>
      </c>
      <c r="F104" s="27">
        <f>C104-E104</f>
        <v>59086128965.649994</v>
      </c>
      <c r="G104" s="29">
        <f>SUM(G105:G107)</f>
        <v>16955113513.01</v>
      </c>
      <c r="H104" s="159">
        <f>SUM(H105:H107)</f>
        <v>44725701367.950005</v>
      </c>
      <c r="I104" s="160"/>
      <c r="J104" s="27">
        <f t="shared" si="7"/>
        <v>64341760229.199989</v>
      </c>
      <c r="K104" s="261">
        <f>SUM(K105:K107)</f>
        <v>41820277927.330002</v>
      </c>
      <c r="L104" s="262">
        <f>SUM(L105:L107)</f>
        <v>0</v>
      </c>
      <c r="M104" s="41"/>
    </row>
    <row r="105" spans="1:17" s="1" customFormat="1" ht="15.95" customHeight="1" x14ac:dyDescent="0.25">
      <c r="A105" s="3" t="s">
        <v>111</v>
      </c>
      <c r="B105" s="32">
        <v>67017657432</v>
      </c>
      <c r="C105" s="32">
        <v>69909472844.679993</v>
      </c>
      <c r="D105" s="32">
        <f>E105-19912883669.35</f>
        <v>11435303679.300003</v>
      </c>
      <c r="E105" s="32">
        <v>31348187348.650002</v>
      </c>
      <c r="F105" s="32">
        <f>C105-E105</f>
        <v>38561285496.029991</v>
      </c>
      <c r="G105" s="35">
        <f>H105-18519295530.49</f>
        <v>11437177174.23</v>
      </c>
      <c r="H105" s="157">
        <v>29956472704.720001</v>
      </c>
      <c r="I105" s="158"/>
      <c r="J105" s="32">
        <f>C105-H105</f>
        <v>39953000139.959991</v>
      </c>
      <c r="K105" s="174">
        <v>27555351331.790001</v>
      </c>
      <c r="L105" s="175"/>
      <c r="M105" s="89"/>
    </row>
    <row r="106" spans="1:17" s="3" customFormat="1" ht="15.95" customHeight="1" x14ac:dyDescent="0.25">
      <c r="A106" s="3" t="s">
        <v>112</v>
      </c>
      <c r="B106" s="32">
        <v>7849688386</v>
      </c>
      <c r="C106" s="32">
        <v>5025431554.3199997</v>
      </c>
      <c r="D106" s="32">
        <f>E106-892163335.51</f>
        <v>491423753.05999994</v>
      </c>
      <c r="E106" s="32">
        <v>1383587088.5699999</v>
      </c>
      <c r="F106" s="32">
        <f t="shared" ref="F106:F114" si="8">C106-E106</f>
        <v>3641844465.75</v>
      </c>
      <c r="G106" s="35">
        <f>H106-892154585.63</f>
        <v>491425390.00000012</v>
      </c>
      <c r="H106" s="157">
        <v>1383579975.6300001</v>
      </c>
      <c r="I106" s="158"/>
      <c r="J106" s="32">
        <f>C106-H106</f>
        <v>3641851578.6899996</v>
      </c>
      <c r="K106" s="174">
        <v>1383579551.1500001</v>
      </c>
      <c r="L106" s="175"/>
      <c r="M106" s="90"/>
    </row>
    <row r="107" spans="1:17" s="3" customFormat="1" ht="15.95" customHeight="1" x14ac:dyDescent="0.25">
      <c r="A107" s="3" t="s">
        <v>113</v>
      </c>
      <c r="B107" s="32">
        <f>B108+B109</f>
        <v>31052835250</v>
      </c>
      <c r="C107" s="32">
        <f>C108+C109</f>
        <v>34132557198.150002</v>
      </c>
      <c r="D107" s="32">
        <f>D108+D109</f>
        <v>4814574244.7799988</v>
      </c>
      <c r="E107" s="32">
        <f>E108+E109</f>
        <v>17249558194.279999</v>
      </c>
      <c r="F107" s="32">
        <f t="shared" si="8"/>
        <v>16882999003.870003</v>
      </c>
      <c r="G107" s="35">
        <f>G108+G109</f>
        <v>5026510948.7800007</v>
      </c>
      <c r="H107" s="157">
        <f>H108+H109</f>
        <v>13385648687.6</v>
      </c>
      <c r="I107" s="158"/>
      <c r="J107" s="32">
        <f>C107-H107</f>
        <v>20746908510.550003</v>
      </c>
      <c r="K107" s="174">
        <f>K108+K109</f>
        <v>12881347044.389999</v>
      </c>
      <c r="L107" s="175"/>
      <c r="M107" s="61"/>
    </row>
    <row r="108" spans="1:17" s="3" customFormat="1" ht="15.95" customHeight="1" x14ac:dyDescent="0.25">
      <c r="A108" s="91" t="s">
        <v>155</v>
      </c>
      <c r="B108" s="32">
        <v>0</v>
      </c>
      <c r="C108" s="32">
        <v>0</v>
      </c>
      <c r="D108" s="32">
        <f>E108</f>
        <v>0</v>
      </c>
      <c r="E108" s="32">
        <v>0</v>
      </c>
      <c r="F108" s="32">
        <f t="shared" si="8"/>
        <v>0</v>
      </c>
      <c r="G108" s="35">
        <f>H108</f>
        <v>0</v>
      </c>
      <c r="H108" s="157">
        <v>0</v>
      </c>
      <c r="I108" s="158"/>
      <c r="J108" s="32">
        <f t="shared" si="7"/>
        <v>0</v>
      </c>
      <c r="K108" s="174">
        <v>0</v>
      </c>
      <c r="L108" s="175"/>
    </row>
    <row r="109" spans="1:17" s="3" customFormat="1" ht="15.95" customHeight="1" x14ac:dyDescent="0.25">
      <c r="A109" s="91" t="s">
        <v>156</v>
      </c>
      <c r="B109" s="32">
        <v>31052835250</v>
      </c>
      <c r="C109" s="32">
        <v>34132557198.150002</v>
      </c>
      <c r="D109" s="32">
        <f>E109-12434983949.5</f>
        <v>4814574244.7799988</v>
      </c>
      <c r="E109" s="32">
        <v>17249558194.279999</v>
      </c>
      <c r="F109" s="32">
        <f t="shared" si="8"/>
        <v>16882999003.870003</v>
      </c>
      <c r="G109" s="35">
        <f>H109-8359137738.82</f>
        <v>5026510948.7800007</v>
      </c>
      <c r="H109" s="157">
        <v>13385648687.6</v>
      </c>
      <c r="I109" s="158"/>
      <c r="J109" s="32">
        <f t="shared" ref="J109:J117" si="9">C109-H109</f>
        <v>20746908510.550003</v>
      </c>
      <c r="K109" s="174">
        <v>12881347044.389999</v>
      </c>
      <c r="L109" s="175"/>
    </row>
    <row r="110" spans="1:17" s="1" customFormat="1" ht="15.75" x14ac:dyDescent="0.25">
      <c r="A110" s="1" t="s">
        <v>114</v>
      </c>
      <c r="B110" s="27">
        <f>SUM(B111:B113)</f>
        <v>7532797980</v>
      </c>
      <c r="C110" s="27">
        <f>SUM(C111:C113)</f>
        <v>9881149898.4799995</v>
      </c>
      <c r="D110" s="27">
        <f>SUM(D111:D113)</f>
        <v>884660005.77999997</v>
      </c>
      <c r="E110" s="27">
        <f>SUM(E111:E113)</f>
        <v>2519117085.8499999</v>
      </c>
      <c r="F110" s="27">
        <f t="shared" si="8"/>
        <v>7362032812.6299992</v>
      </c>
      <c r="G110" s="29">
        <f>SUM(G111:G113)</f>
        <v>863926548.52999997</v>
      </c>
      <c r="H110" s="159">
        <f>SUM(H111:I113)</f>
        <v>1575964485.75</v>
      </c>
      <c r="I110" s="160"/>
      <c r="J110" s="27">
        <f t="shared" si="9"/>
        <v>8305185412.7299995</v>
      </c>
      <c r="K110" s="289">
        <f>SUM(K111:K113)</f>
        <v>1504445906</v>
      </c>
      <c r="L110" s="290"/>
      <c r="N110" s="89"/>
    </row>
    <row r="111" spans="1:17" s="3" customFormat="1" ht="15.95" customHeight="1" x14ac:dyDescent="0.25">
      <c r="A111" s="3" t="s">
        <v>115</v>
      </c>
      <c r="B111" s="32">
        <v>6033503322</v>
      </c>
      <c r="C111" s="32">
        <v>7243347511.2600002</v>
      </c>
      <c r="D111" s="32">
        <f>E111-1549296197.07</f>
        <v>846342902.22000003</v>
      </c>
      <c r="E111" s="32">
        <v>2395639099.29</v>
      </c>
      <c r="F111" s="32">
        <f t="shared" si="8"/>
        <v>4847708411.9700003</v>
      </c>
      <c r="G111" s="35">
        <f>H111-634177038.63</f>
        <v>824422201.60000002</v>
      </c>
      <c r="H111" s="157">
        <v>1458599240.23</v>
      </c>
      <c r="I111" s="158"/>
      <c r="J111" s="32">
        <f t="shared" si="9"/>
        <v>5784748271.0300007</v>
      </c>
      <c r="K111" s="174">
        <v>1387080838.03</v>
      </c>
      <c r="L111" s="175"/>
      <c r="N111" s="90"/>
    </row>
    <row r="112" spans="1:17" s="3" customFormat="1" ht="15.95" customHeight="1" x14ac:dyDescent="0.25">
      <c r="A112" s="3" t="s">
        <v>116</v>
      </c>
      <c r="B112" s="32">
        <v>198941047</v>
      </c>
      <c r="C112" s="32">
        <v>213868973.13999999</v>
      </c>
      <c r="D112" s="32">
        <f>E112-8781210.57</f>
        <v>0</v>
      </c>
      <c r="E112" s="32">
        <v>8781210.5700000003</v>
      </c>
      <c r="F112" s="32">
        <f t="shared" si="8"/>
        <v>205087762.56999999</v>
      </c>
      <c r="G112" s="35">
        <f>H112-1482045.01</f>
        <v>1328034.8800000001</v>
      </c>
      <c r="H112" s="157">
        <v>2810079.89</v>
      </c>
      <c r="I112" s="158"/>
      <c r="J112" s="32">
        <f t="shared" si="9"/>
        <v>211058893.25</v>
      </c>
      <c r="K112" s="174">
        <v>2810079.89</v>
      </c>
      <c r="L112" s="175"/>
    </row>
    <row r="113" spans="1:17" s="3" customFormat="1" ht="15.95" customHeight="1" x14ac:dyDescent="0.25">
      <c r="A113" s="3" t="s">
        <v>117</v>
      </c>
      <c r="B113" s="32">
        <v>1300353611</v>
      </c>
      <c r="C113" s="32">
        <v>2423933414.0799999</v>
      </c>
      <c r="D113" s="32">
        <f>E113-76379672.43</f>
        <v>38317103.559999987</v>
      </c>
      <c r="E113" s="32">
        <v>114696775.98999999</v>
      </c>
      <c r="F113" s="32">
        <f>C113-E113</f>
        <v>2309236638.0900002</v>
      </c>
      <c r="G113" s="35">
        <f>H113-76378853.58</f>
        <v>38176312.049999997</v>
      </c>
      <c r="H113" s="157">
        <v>114555165.63</v>
      </c>
      <c r="I113" s="158"/>
      <c r="J113" s="32">
        <f t="shared" si="9"/>
        <v>2309378248.4499998</v>
      </c>
      <c r="K113" s="174">
        <v>114554988.08</v>
      </c>
      <c r="L113" s="175"/>
      <c r="N113" s="90"/>
    </row>
    <row r="114" spans="1:17" s="3" customFormat="1" ht="15.95" customHeight="1" x14ac:dyDescent="0.25">
      <c r="A114" s="1" t="s">
        <v>118</v>
      </c>
      <c r="B114" s="29">
        <v>780006156</v>
      </c>
      <c r="C114" s="29">
        <v>780006156</v>
      </c>
      <c r="D114" s="92"/>
      <c r="E114" s="92"/>
      <c r="F114" s="29">
        <f t="shared" si="8"/>
        <v>780006156</v>
      </c>
      <c r="G114" s="92"/>
      <c r="H114" s="291"/>
      <c r="I114" s="292"/>
      <c r="J114" s="29">
        <f t="shared" si="9"/>
        <v>780006156</v>
      </c>
      <c r="K114" s="291"/>
      <c r="L114" s="293"/>
    </row>
    <row r="115" spans="1:17" s="3" customFormat="1" ht="15.95" customHeight="1" x14ac:dyDescent="0.25">
      <c r="A115" s="1" t="s">
        <v>119</v>
      </c>
      <c r="B115" s="29">
        <f>B214</f>
        <v>7951876408</v>
      </c>
      <c r="C115" s="29">
        <f>C214</f>
        <v>8347236524.2399998</v>
      </c>
      <c r="D115" s="29">
        <f>D214</f>
        <v>1786536182.9099998</v>
      </c>
      <c r="E115" s="29">
        <f>E214</f>
        <v>5167613566.9700003</v>
      </c>
      <c r="F115" s="29">
        <f>C115-E115</f>
        <v>3179622957.2699995</v>
      </c>
      <c r="G115" s="29">
        <f>G214</f>
        <v>1858567075.1800001</v>
      </c>
      <c r="H115" s="159">
        <f>H214</f>
        <v>4852334249.7199993</v>
      </c>
      <c r="I115" s="160"/>
      <c r="J115" s="27">
        <f>C115-H115</f>
        <v>3494902274.5200005</v>
      </c>
      <c r="K115" s="289">
        <f>K214</f>
        <v>3715218362.6300001</v>
      </c>
      <c r="L115" s="290"/>
    </row>
    <row r="116" spans="1:17" s="3" customFormat="1" ht="15.95" customHeight="1" x14ac:dyDescent="0.25">
      <c r="A116" s="93" t="s">
        <v>120</v>
      </c>
      <c r="B116" s="53">
        <f>B103+B115</f>
        <v>122184861612</v>
      </c>
      <c r="C116" s="53">
        <f>C103+C115</f>
        <v>128075854175.87</v>
      </c>
      <c r="D116" s="70">
        <f>D103+D115</f>
        <v>19412497865.830002</v>
      </c>
      <c r="E116" s="70">
        <f>E103+E115</f>
        <v>57668063284.32</v>
      </c>
      <c r="F116" s="53">
        <f>C116-E116</f>
        <v>70407790891.549988</v>
      </c>
      <c r="G116" s="53">
        <f>G103+G115</f>
        <v>19677607136.720001</v>
      </c>
      <c r="H116" s="239">
        <f>H103+H115</f>
        <v>51154000103.420006</v>
      </c>
      <c r="I116" s="269" t="e">
        <f>I103+#REF!</f>
        <v>#REF!</v>
      </c>
      <c r="J116" s="21">
        <f t="shared" si="9"/>
        <v>76921854072.449982</v>
      </c>
      <c r="K116" s="294">
        <f>K103+K115</f>
        <v>47039942195.959999</v>
      </c>
      <c r="L116" s="295" t="e">
        <f>L103+#REF!</f>
        <v>#REF!</v>
      </c>
      <c r="M116" s="95"/>
      <c r="N116" s="95"/>
      <c r="O116" s="95"/>
      <c r="P116" s="95"/>
      <c r="Q116" s="95"/>
    </row>
    <row r="117" spans="1:17" s="3" customFormat="1" ht="18.75" customHeight="1" x14ac:dyDescent="0.25">
      <c r="A117" s="96" t="s">
        <v>121</v>
      </c>
      <c r="B117" s="24">
        <f>B118+B121</f>
        <v>0</v>
      </c>
      <c r="C117" s="24">
        <f>C118+C121</f>
        <v>689246633.17999995</v>
      </c>
      <c r="D117" s="88">
        <f>D118+D121</f>
        <v>297452809.01999992</v>
      </c>
      <c r="E117" s="24">
        <f>E118+E121</f>
        <v>689246633.17999995</v>
      </c>
      <c r="F117" s="24">
        <f t="shared" ref="F117:F122" si="10">C117-E117</f>
        <v>0</v>
      </c>
      <c r="G117" s="24">
        <f>G118+G121</f>
        <v>297452809.01999992</v>
      </c>
      <c r="H117" s="223">
        <f>H118+H121</f>
        <v>689246633.17999995</v>
      </c>
      <c r="I117" s="224">
        <f>I118+I121</f>
        <v>0</v>
      </c>
      <c r="J117" s="21">
        <f t="shared" si="9"/>
        <v>0</v>
      </c>
      <c r="K117" s="173">
        <f>K118+K121</f>
        <v>689246633.17999995</v>
      </c>
      <c r="L117" s="173"/>
      <c r="M117" s="95"/>
      <c r="N117" s="95"/>
      <c r="O117" s="95"/>
      <c r="P117" s="95"/>
      <c r="Q117" s="95"/>
    </row>
    <row r="118" spans="1:17" s="3" customFormat="1" ht="15.95" customHeight="1" x14ac:dyDescent="0.25">
      <c r="A118" s="91" t="s">
        <v>122</v>
      </c>
      <c r="B118" s="35">
        <f>B119+B120</f>
        <v>0</v>
      </c>
      <c r="C118" s="35">
        <f>C119+C120</f>
        <v>689246633.17999995</v>
      </c>
      <c r="D118" s="97">
        <f>D119+D120</f>
        <v>297452809.01999992</v>
      </c>
      <c r="E118" s="32">
        <f>E119+E120</f>
        <v>689246633.17999995</v>
      </c>
      <c r="F118" s="32">
        <f t="shared" si="10"/>
        <v>0</v>
      </c>
      <c r="G118" s="35">
        <f>G119+G120</f>
        <v>297452809.01999992</v>
      </c>
      <c r="H118" s="162">
        <f>H119+H120</f>
        <v>689246633.17999995</v>
      </c>
      <c r="I118" s="163">
        <f>I119+I120</f>
        <v>0</v>
      </c>
      <c r="J118" s="32">
        <f t="shared" ref="J118:J123" si="11">C118-H118</f>
        <v>0</v>
      </c>
      <c r="K118" s="296">
        <f>K119+K120</f>
        <v>689246633.17999995</v>
      </c>
      <c r="L118" s="296"/>
      <c r="M118" s="95"/>
      <c r="N118" s="95"/>
      <c r="O118" s="95"/>
      <c r="P118" s="95"/>
      <c r="Q118" s="95"/>
    </row>
    <row r="119" spans="1:17" s="3" customFormat="1" ht="15.95" customHeight="1" x14ac:dyDescent="0.25">
      <c r="A119" s="91" t="s">
        <v>123</v>
      </c>
      <c r="B119" s="35">
        <v>0</v>
      </c>
      <c r="C119" s="60">
        <v>0</v>
      </c>
      <c r="D119" s="97">
        <f>E119</f>
        <v>0</v>
      </c>
      <c r="E119" s="35">
        <v>0</v>
      </c>
      <c r="F119" s="32">
        <f t="shared" si="10"/>
        <v>0</v>
      </c>
      <c r="G119" s="35">
        <f>H119</f>
        <v>0</v>
      </c>
      <c r="H119" s="180">
        <v>0</v>
      </c>
      <c r="I119" s="181"/>
      <c r="J119" s="32">
        <f t="shared" si="11"/>
        <v>0</v>
      </c>
      <c r="K119" s="296">
        <v>0</v>
      </c>
      <c r="L119" s="296"/>
    </row>
    <row r="120" spans="1:17" s="3" customFormat="1" ht="15.95" customHeight="1" x14ac:dyDescent="0.25">
      <c r="A120" s="91" t="s">
        <v>124</v>
      </c>
      <c r="B120" s="35">
        <v>0</v>
      </c>
      <c r="C120" s="35">
        <v>689246633.17999995</v>
      </c>
      <c r="D120" s="97">
        <f>E120-391793824.16</f>
        <v>297452809.01999992</v>
      </c>
      <c r="E120" s="32">
        <v>689246633.17999995</v>
      </c>
      <c r="F120" s="32">
        <f t="shared" si="10"/>
        <v>0</v>
      </c>
      <c r="G120" s="98">
        <f>H120-391793824.16</f>
        <v>297452809.01999992</v>
      </c>
      <c r="H120" s="157">
        <v>689246633.17999995</v>
      </c>
      <c r="I120" s="164"/>
      <c r="J120" s="32">
        <f>C120-H120</f>
        <v>0</v>
      </c>
      <c r="K120" s="296">
        <v>689246633.17999995</v>
      </c>
      <c r="L120" s="296"/>
    </row>
    <row r="121" spans="1:17" s="3" customFormat="1" ht="15.95" customHeight="1" x14ac:dyDescent="0.25">
      <c r="A121" s="91" t="s">
        <v>125</v>
      </c>
      <c r="B121" s="35">
        <f>B122+B123</f>
        <v>0</v>
      </c>
      <c r="C121" s="60">
        <f>C122+C123</f>
        <v>0</v>
      </c>
      <c r="D121" s="58">
        <f>D122+D123</f>
        <v>0</v>
      </c>
      <c r="E121" s="35">
        <f>E122+E123</f>
        <v>0</v>
      </c>
      <c r="F121" s="32">
        <f t="shared" si="10"/>
        <v>0</v>
      </c>
      <c r="G121" s="35">
        <f>G122+G123</f>
        <v>0</v>
      </c>
      <c r="H121" s="180">
        <f>H122+H123</f>
        <v>0</v>
      </c>
      <c r="I121" s="181">
        <f>I122+I123</f>
        <v>0</v>
      </c>
      <c r="J121" s="32">
        <f t="shared" si="11"/>
        <v>0</v>
      </c>
      <c r="K121" s="296">
        <f>K122+K123</f>
        <v>0</v>
      </c>
      <c r="L121" s="296"/>
    </row>
    <row r="122" spans="1:17" s="3" customFormat="1" ht="15.95" customHeight="1" x14ac:dyDescent="0.25">
      <c r="A122" s="91" t="s">
        <v>123</v>
      </c>
      <c r="B122" s="35">
        <v>0</v>
      </c>
      <c r="C122" s="60">
        <v>0</v>
      </c>
      <c r="D122" s="58">
        <f>E122-0</f>
        <v>0</v>
      </c>
      <c r="E122" s="35">
        <v>0</v>
      </c>
      <c r="F122" s="32">
        <f t="shared" si="10"/>
        <v>0</v>
      </c>
      <c r="G122" s="35">
        <f>H122-0</f>
        <v>0</v>
      </c>
      <c r="H122" s="180">
        <v>0</v>
      </c>
      <c r="I122" s="181"/>
      <c r="J122" s="32">
        <f t="shared" si="11"/>
        <v>0</v>
      </c>
      <c r="K122" s="296">
        <v>0</v>
      </c>
      <c r="L122" s="296"/>
    </row>
    <row r="123" spans="1:17" s="3" customFormat="1" ht="15.95" customHeight="1" x14ac:dyDescent="0.25">
      <c r="A123" s="91" t="s">
        <v>124</v>
      </c>
      <c r="B123" s="99">
        <v>0</v>
      </c>
      <c r="C123" s="65">
        <v>0</v>
      </c>
      <c r="D123" s="63">
        <f>E123-0</f>
        <v>0</v>
      </c>
      <c r="E123" s="100">
        <v>0</v>
      </c>
      <c r="F123" s="100">
        <v>0</v>
      </c>
      <c r="G123" s="101">
        <f>H123-0</f>
        <v>0</v>
      </c>
      <c r="H123" s="299">
        <v>0</v>
      </c>
      <c r="I123" s="300"/>
      <c r="J123" s="100">
        <f t="shared" si="11"/>
        <v>0</v>
      </c>
      <c r="K123" s="309">
        <v>0</v>
      </c>
      <c r="L123" s="309"/>
    </row>
    <row r="124" spans="1:17" s="3" customFormat="1" ht="15.95" customHeight="1" x14ac:dyDescent="0.25">
      <c r="A124" s="93" t="s">
        <v>126</v>
      </c>
      <c r="B124" s="51">
        <f t="shared" ref="B124:L124" si="12">B116+B117</f>
        <v>122184861612</v>
      </c>
      <c r="C124" s="102">
        <f>C116+C117</f>
        <v>128765100809.04999</v>
      </c>
      <c r="D124" s="102">
        <f t="shared" si="12"/>
        <v>19709950674.850002</v>
      </c>
      <c r="E124" s="102">
        <f t="shared" si="12"/>
        <v>58357309917.5</v>
      </c>
      <c r="F124" s="102">
        <f>F116+F117</f>
        <v>70407790891.549988</v>
      </c>
      <c r="G124" s="102">
        <f t="shared" si="12"/>
        <v>19975059945.740002</v>
      </c>
      <c r="H124" s="239">
        <f t="shared" si="12"/>
        <v>51843246736.600006</v>
      </c>
      <c r="I124" s="269" t="e">
        <f t="shared" si="12"/>
        <v>#REF!</v>
      </c>
      <c r="J124" s="103">
        <f t="shared" si="12"/>
        <v>76921854072.449982</v>
      </c>
      <c r="K124" s="294">
        <f t="shared" si="12"/>
        <v>47729188829.139999</v>
      </c>
      <c r="L124" s="295" t="e">
        <f t="shared" si="12"/>
        <v>#REF!</v>
      </c>
      <c r="M124" s="104"/>
      <c r="N124" s="61"/>
    </row>
    <row r="125" spans="1:17" s="3" customFormat="1" ht="15.95" customHeight="1" x14ac:dyDescent="0.25">
      <c r="A125" s="93" t="s">
        <v>127</v>
      </c>
      <c r="B125" s="71"/>
      <c r="C125" s="71"/>
      <c r="D125" s="71"/>
      <c r="E125" s="70">
        <f>IF((E124&lt;G92),(G92-E124),0)</f>
        <v>281399158.88998413</v>
      </c>
      <c r="F125" s="71"/>
      <c r="G125" s="71"/>
      <c r="H125" s="253">
        <f>IF((H124&lt;G92),(G92-H124),0)</f>
        <v>6795462339.789978</v>
      </c>
      <c r="I125" s="254"/>
      <c r="J125" s="71"/>
      <c r="K125" s="294">
        <f>IF((K124&lt;G92),(G92-K124),0)</f>
        <v>10909520247.249985</v>
      </c>
      <c r="L125" s="295"/>
      <c r="M125" s="41"/>
    </row>
    <row r="126" spans="1:17" s="3" customFormat="1" ht="15.95" customHeight="1" x14ac:dyDescent="0.25">
      <c r="A126" s="105" t="s">
        <v>128</v>
      </c>
      <c r="B126" s="106">
        <f>B124+B125</f>
        <v>122184861612</v>
      </c>
      <c r="C126" s="102">
        <f>C124+C125</f>
        <v>128765100809.04999</v>
      </c>
      <c r="D126" s="102">
        <f>D124+D125</f>
        <v>19709950674.850002</v>
      </c>
      <c r="E126" s="102">
        <f>E124+E125</f>
        <v>58638709076.389984</v>
      </c>
      <c r="F126" s="71"/>
      <c r="G126" s="53">
        <f>G124+G125</f>
        <v>19975059945.740002</v>
      </c>
      <c r="H126" s="239">
        <f>H124+H125</f>
        <v>58638709076.389984</v>
      </c>
      <c r="I126" s="269"/>
      <c r="J126" s="71"/>
      <c r="K126" s="294">
        <f>K124+K125</f>
        <v>58638709076.389984</v>
      </c>
      <c r="L126" s="295"/>
    </row>
    <row r="127" spans="1:17" s="3" customFormat="1" ht="15.95" customHeight="1" x14ac:dyDescent="0.25">
      <c r="A127" s="105" t="s">
        <v>129</v>
      </c>
      <c r="B127" s="107">
        <f>777506156</f>
        <v>777506156</v>
      </c>
      <c r="C127" s="108">
        <v>777506156</v>
      </c>
      <c r="D127" s="71"/>
      <c r="E127" s="71"/>
      <c r="F127" s="94">
        <f>C127-E127</f>
        <v>777506156</v>
      </c>
      <c r="G127" s="71"/>
      <c r="H127" s="310"/>
      <c r="I127" s="310"/>
      <c r="J127" s="109">
        <f>C127-H127</f>
        <v>777506156</v>
      </c>
      <c r="K127" s="255"/>
      <c r="L127" s="256"/>
    </row>
    <row r="128" spans="1:17" ht="15.75" x14ac:dyDescent="0.25">
      <c r="A128" s="110"/>
      <c r="B128" s="111"/>
      <c r="C128" s="111"/>
      <c r="D128" s="112"/>
      <c r="E128" s="112"/>
      <c r="F128" s="111"/>
      <c r="G128" s="112"/>
      <c r="H128" s="113"/>
      <c r="I128" s="113"/>
      <c r="J128" s="113"/>
      <c r="K128" s="113"/>
      <c r="L128" s="114" t="s">
        <v>130</v>
      </c>
      <c r="M128" s="115"/>
    </row>
    <row r="129" spans="1:13" ht="15" x14ac:dyDescent="0.25">
      <c r="A129" s="110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</row>
    <row r="130" spans="1:13" ht="12.75" x14ac:dyDescent="0.2">
      <c r="A130" s="77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</row>
    <row r="131" spans="1:13" ht="15.75" x14ac:dyDescent="0.2">
      <c r="A131" s="77"/>
      <c r="B131" s="78"/>
      <c r="C131" s="78"/>
      <c r="D131" s="117"/>
      <c r="E131" s="117"/>
      <c r="F131" s="78"/>
      <c r="G131" s="117"/>
      <c r="H131" s="118"/>
      <c r="I131" s="118"/>
      <c r="J131" s="118"/>
      <c r="K131" s="118"/>
      <c r="L131" s="119"/>
    </row>
    <row r="132" spans="1:13" ht="15.75" x14ac:dyDescent="0.2">
      <c r="A132" s="77"/>
      <c r="B132" s="78"/>
      <c r="C132" s="78"/>
      <c r="D132" s="117"/>
      <c r="E132" s="117"/>
      <c r="F132" s="78"/>
      <c r="G132" s="117"/>
      <c r="H132" s="118"/>
      <c r="I132" s="118"/>
      <c r="J132" s="118"/>
      <c r="K132" s="118"/>
      <c r="L132" s="114" t="s">
        <v>131</v>
      </c>
    </row>
    <row r="133" spans="1:13" ht="16.5" x14ac:dyDescent="0.25">
      <c r="A133" s="297" t="str">
        <f>A6</f>
        <v>GOVERNO DO ESTADO DO RIO DE JANEIRO</v>
      </c>
      <c r="B133" s="297"/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</row>
    <row r="134" spans="1:13" ht="16.5" x14ac:dyDescent="0.25">
      <c r="A134" s="200" t="str">
        <f>A7</f>
        <v>RELATÓRIO RESUMIDO DA EXECUÇÃO ORÇAMENTÁRIA</v>
      </c>
      <c r="B134" s="297"/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</row>
    <row r="135" spans="1:13" ht="16.5" x14ac:dyDescent="0.25">
      <c r="A135" s="298" t="str">
        <f>A8</f>
        <v>BALANÇO ORÇAMENTÁRIO</v>
      </c>
      <c r="B135" s="298"/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</row>
    <row r="136" spans="1:13" ht="16.5" x14ac:dyDescent="0.25">
      <c r="A136" s="297" t="str">
        <f>A9</f>
        <v>ORÇAMENTOS FISCAL E DA SEGURIDADE SOCIAL</v>
      </c>
      <c r="B136" s="297"/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</row>
    <row r="137" spans="1:13" ht="16.5" x14ac:dyDescent="0.25">
      <c r="A137" s="200" t="str">
        <f>A10</f>
        <v>JANEIRO A JUNHO 2025/BIMESTRE MAIO - JUNHO</v>
      </c>
      <c r="B137" s="297"/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</row>
    <row r="138" spans="1:13" ht="16.5" x14ac:dyDescent="0.25">
      <c r="A138" s="6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</row>
    <row r="139" spans="1:13" ht="15.75" x14ac:dyDescent="0.25">
      <c r="A139" s="121"/>
      <c r="B139" s="121"/>
      <c r="C139" s="122"/>
      <c r="D139" s="122"/>
      <c r="E139" s="122"/>
      <c r="F139" s="122"/>
      <c r="G139" s="122"/>
      <c r="H139" s="122"/>
      <c r="I139" s="122"/>
      <c r="J139" s="123"/>
      <c r="K139" s="123"/>
      <c r="L139" s="9" t="str">
        <f>L12</f>
        <v>Emissão: 22/07/2025</v>
      </c>
    </row>
    <row r="140" spans="1:13" ht="15.75" x14ac:dyDescent="0.25">
      <c r="A140" s="124" t="str">
        <f>A13</f>
        <v>RREO - Anexo 1 (LRF, Art. 52, inciso I, alíneas "a" e "b" do inciso II e §1º)</v>
      </c>
      <c r="B140" s="125"/>
      <c r="C140" s="126"/>
      <c r="D140" s="126"/>
      <c r="E140" s="126"/>
      <c r="F140" s="126"/>
      <c r="G140" s="126"/>
      <c r="H140" s="126"/>
      <c r="I140" s="123"/>
      <c r="J140" s="127"/>
      <c r="K140" s="125"/>
      <c r="L140" s="127">
        <v>1</v>
      </c>
    </row>
    <row r="141" spans="1:13" ht="15.75" x14ac:dyDescent="0.25">
      <c r="A141" s="210" t="s">
        <v>132</v>
      </c>
      <c r="B141" s="211"/>
      <c r="C141" s="201" t="s">
        <v>6</v>
      </c>
      <c r="D141" s="15" t="s">
        <v>7</v>
      </c>
      <c r="E141" s="204" t="s">
        <v>8</v>
      </c>
      <c r="F141" s="205"/>
      <c r="G141" s="205"/>
      <c r="H141" s="205"/>
      <c r="I141" s="206"/>
      <c r="J141" s="190" t="s">
        <v>9</v>
      </c>
      <c r="K141" s="191"/>
      <c r="L141" s="191"/>
    </row>
    <row r="142" spans="1:13" ht="15.75" x14ac:dyDescent="0.25">
      <c r="A142" s="212"/>
      <c r="B142" s="213"/>
      <c r="C142" s="202"/>
      <c r="D142" s="16" t="s">
        <v>10</v>
      </c>
      <c r="E142" s="15" t="s">
        <v>11</v>
      </c>
      <c r="F142" s="17" t="s">
        <v>12</v>
      </c>
      <c r="G142" s="190" t="s">
        <v>13</v>
      </c>
      <c r="H142" s="192"/>
      <c r="I142" s="17" t="s">
        <v>12</v>
      </c>
      <c r="J142" s="207"/>
      <c r="K142" s="208"/>
      <c r="L142" s="208"/>
    </row>
    <row r="143" spans="1:13" ht="15.75" x14ac:dyDescent="0.25">
      <c r="A143" s="214"/>
      <c r="B143" s="215"/>
      <c r="C143" s="203"/>
      <c r="D143" s="19" t="s">
        <v>14</v>
      </c>
      <c r="E143" s="19" t="s">
        <v>15</v>
      </c>
      <c r="F143" s="19" t="s">
        <v>16</v>
      </c>
      <c r="G143" s="176" t="s">
        <v>17</v>
      </c>
      <c r="H143" s="209"/>
      <c r="I143" s="19" t="s">
        <v>18</v>
      </c>
      <c r="J143" s="176" t="s">
        <v>19</v>
      </c>
      <c r="K143" s="177"/>
      <c r="L143" s="177"/>
    </row>
    <row r="144" spans="1:13" ht="15.75" x14ac:dyDescent="0.25">
      <c r="A144" s="216" t="s">
        <v>81</v>
      </c>
      <c r="B144" s="217"/>
      <c r="C144" s="20">
        <f>C145+C185</f>
        <v>7951876408</v>
      </c>
      <c r="D144" s="21">
        <f>D145+D185</f>
        <v>7992784133.9300003</v>
      </c>
      <c r="E144" s="22">
        <f>E145+E185</f>
        <v>1290797269.0899999</v>
      </c>
      <c r="F144" s="23">
        <f t="shared" ref="F144:F203" si="13">(E144/D144)*100</f>
        <v>16.149532471550977</v>
      </c>
      <c r="G144" s="172">
        <f>G145+G185</f>
        <v>4044173013.52</v>
      </c>
      <c r="H144" s="301"/>
      <c r="I144" s="23">
        <f>(G144/D144)*100</f>
        <v>50.597801038466258</v>
      </c>
      <c r="J144" s="223">
        <f t="shared" ref="J144" si="14">D144-G144</f>
        <v>3948611120.4100003</v>
      </c>
      <c r="K144" s="224"/>
      <c r="L144" s="224"/>
    </row>
    <row r="145" spans="1:12" ht="15.75" x14ac:dyDescent="0.25">
      <c r="A145" s="161" t="s">
        <v>21</v>
      </c>
      <c r="B145" s="161"/>
      <c r="C145" s="26">
        <f>C146+C150+C155+C163+C164+C165+C171+C179</f>
        <v>7951876408</v>
      </c>
      <c r="D145" s="27">
        <f>D146+D150+D155+D163+D164+D165+D171+D179</f>
        <v>7992702292.6000004</v>
      </c>
      <c r="E145" s="22">
        <f>E146+E150+E155+E163+E164+E165+E171+E179</f>
        <v>1290782779.48</v>
      </c>
      <c r="F145" s="28">
        <f t="shared" si="13"/>
        <v>16.149516549303534</v>
      </c>
      <c r="G145" s="261">
        <f>G146+G150+G155+G163+G164+G165+G171+G179</f>
        <v>4044076682.5799999</v>
      </c>
      <c r="H145" s="311"/>
      <c r="I145" s="28">
        <f t="shared" ref="I145:I203" si="15">(G145/D145)*100</f>
        <v>50.597113898814747</v>
      </c>
      <c r="J145" s="155">
        <f t="shared" ref="J145:J208" si="16">D145-G145</f>
        <v>3948625610.0200005</v>
      </c>
      <c r="K145" s="156"/>
      <c r="L145" s="156"/>
    </row>
    <row r="146" spans="1:12" ht="15.75" x14ac:dyDescent="0.25">
      <c r="A146" s="154" t="s">
        <v>22</v>
      </c>
      <c r="B146" s="154"/>
      <c r="C146" s="31">
        <f>C147+C148+C149</f>
        <v>0</v>
      </c>
      <c r="D146" s="32">
        <f>D147+D148+D149</f>
        <v>0</v>
      </c>
      <c r="E146" s="33">
        <f>E147+E148+E149</f>
        <v>0</v>
      </c>
      <c r="F146" s="34">
        <v>0</v>
      </c>
      <c r="G146" s="303">
        <f>G147+G148+G149</f>
        <v>0</v>
      </c>
      <c r="H146" s="304" t="e">
        <f>H147+H148+#REF!</f>
        <v>#REF!</v>
      </c>
      <c r="I146" s="34">
        <v>0</v>
      </c>
      <c r="J146" s="162">
        <f t="shared" si="16"/>
        <v>0</v>
      </c>
      <c r="K146" s="163"/>
      <c r="L146" s="163"/>
    </row>
    <row r="147" spans="1:12" ht="15.75" x14ac:dyDescent="0.25">
      <c r="A147" s="154" t="s">
        <v>133</v>
      </c>
      <c r="B147" s="154"/>
      <c r="C147" s="31">
        <v>0</v>
      </c>
      <c r="D147" s="32">
        <v>0</v>
      </c>
      <c r="E147" s="33">
        <f>G147</f>
        <v>0</v>
      </c>
      <c r="F147" s="34">
        <v>0</v>
      </c>
      <c r="G147" s="174">
        <v>0</v>
      </c>
      <c r="H147" s="302"/>
      <c r="I147" s="34">
        <v>0</v>
      </c>
      <c r="J147" s="162">
        <f t="shared" si="16"/>
        <v>0</v>
      </c>
      <c r="K147" s="163"/>
      <c r="L147" s="163"/>
    </row>
    <row r="148" spans="1:12" ht="15.75" x14ac:dyDescent="0.25">
      <c r="A148" s="154" t="s">
        <v>134</v>
      </c>
      <c r="B148" s="154"/>
      <c r="C148" s="31">
        <v>0</v>
      </c>
      <c r="D148" s="32">
        <v>0</v>
      </c>
      <c r="E148" s="33">
        <f>G148</f>
        <v>0</v>
      </c>
      <c r="F148" s="34">
        <v>0</v>
      </c>
      <c r="G148" s="174">
        <v>0</v>
      </c>
      <c r="H148" s="302"/>
      <c r="I148" s="34">
        <v>0</v>
      </c>
      <c r="J148" s="162">
        <f t="shared" si="16"/>
        <v>0</v>
      </c>
      <c r="K148" s="163"/>
      <c r="L148" s="163"/>
    </row>
    <row r="149" spans="1:12" ht="15.75" x14ac:dyDescent="0.25">
      <c r="A149" s="222" t="s">
        <v>25</v>
      </c>
      <c r="B149" s="222"/>
      <c r="C149" s="31">
        <v>0</v>
      </c>
      <c r="D149" s="32">
        <v>0</v>
      </c>
      <c r="E149" s="33">
        <f>G149</f>
        <v>0</v>
      </c>
      <c r="F149" s="34">
        <v>0</v>
      </c>
      <c r="G149" s="174">
        <v>0</v>
      </c>
      <c r="H149" s="302"/>
      <c r="I149" s="34">
        <v>0</v>
      </c>
      <c r="J149" s="162">
        <f t="shared" si="16"/>
        <v>0</v>
      </c>
      <c r="K149" s="163"/>
      <c r="L149" s="163"/>
    </row>
    <row r="150" spans="1:12" ht="15.75" x14ac:dyDescent="0.25">
      <c r="A150" s="154" t="s">
        <v>26</v>
      </c>
      <c r="B150" s="154"/>
      <c r="C150" s="31">
        <f>C152+C151+C153+C154</f>
        <v>3921995344</v>
      </c>
      <c r="D150" s="32">
        <f>D152+D151+D153+D154</f>
        <v>3921995344</v>
      </c>
      <c r="E150" s="33">
        <f>E152+E151+E153+E154</f>
        <v>543250802.11000013</v>
      </c>
      <c r="F150" s="34">
        <f t="shared" si="13"/>
        <v>13.851388246574118</v>
      </c>
      <c r="G150" s="303">
        <f>G151+G152+G153+G154</f>
        <v>1657344534.1500001</v>
      </c>
      <c r="H150" s="304"/>
      <c r="I150" s="34">
        <f t="shared" si="15"/>
        <v>42.257687446912996</v>
      </c>
      <c r="J150" s="162">
        <f t="shared" si="16"/>
        <v>2264650809.8499999</v>
      </c>
      <c r="K150" s="163"/>
      <c r="L150" s="163"/>
    </row>
    <row r="151" spans="1:12" ht="15.75" x14ac:dyDescent="0.25">
      <c r="A151" s="154" t="s">
        <v>27</v>
      </c>
      <c r="B151" s="154"/>
      <c r="C151" s="43">
        <v>3921995344</v>
      </c>
      <c r="D151" s="44">
        <v>3921995344</v>
      </c>
      <c r="E151" s="33">
        <f>G151-1114093732.04</f>
        <v>543250802.11000013</v>
      </c>
      <c r="F151" s="34">
        <f t="shared" si="13"/>
        <v>13.851388246574118</v>
      </c>
      <c r="G151" s="174">
        <v>1657344534.1500001</v>
      </c>
      <c r="H151" s="302"/>
      <c r="I151" s="34">
        <f t="shared" si="15"/>
        <v>42.257687446912996</v>
      </c>
      <c r="J151" s="162">
        <f t="shared" si="16"/>
        <v>2264650809.8499999</v>
      </c>
      <c r="K151" s="163"/>
      <c r="L151" s="163"/>
    </row>
    <row r="152" spans="1:12" ht="15.75" x14ac:dyDescent="0.25">
      <c r="A152" s="154" t="s">
        <v>28</v>
      </c>
      <c r="B152" s="154"/>
      <c r="C152" s="31">
        <v>0</v>
      </c>
      <c r="D152" s="32">
        <v>0</v>
      </c>
      <c r="E152" s="33">
        <f>G152</f>
        <v>0</v>
      </c>
      <c r="F152" s="34">
        <v>0</v>
      </c>
      <c r="G152" s="174">
        <v>0</v>
      </c>
      <c r="H152" s="302"/>
      <c r="I152" s="34">
        <v>0</v>
      </c>
      <c r="J152" s="162">
        <f t="shared" si="16"/>
        <v>0</v>
      </c>
      <c r="K152" s="163"/>
      <c r="L152" s="163"/>
    </row>
    <row r="153" spans="1:12" ht="15.75" x14ac:dyDescent="0.25">
      <c r="A153" s="154" t="s">
        <v>29</v>
      </c>
      <c r="B153" s="154"/>
      <c r="C153" s="31">
        <v>0</v>
      </c>
      <c r="D153" s="32">
        <v>0</v>
      </c>
      <c r="E153" s="33">
        <f>G153</f>
        <v>0</v>
      </c>
      <c r="F153" s="34">
        <v>0</v>
      </c>
      <c r="G153" s="174">
        <v>0</v>
      </c>
      <c r="H153" s="302"/>
      <c r="I153" s="34">
        <v>0</v>
      </c>
      <c r="J153" s="157">
        <f t="shared" si="16"/>
        <v>0</v>
      </c>
      <c r="K153" s="164"/>
      <c r="L153" s="164"/>
    </row>
    <row r="154" spans="1:12" ht="15.75" x14ac:dyDescent="0.25">
      <c r="A154" s="154" t="s">
        <v>30</v>
      </c>
      <c r="B154" s="154"/>
      <c r="C154" s="31">
        <v>0</v>
      </c>
      <c r="D154" s="32">
        <v>0</v>
      </c>
      <c r="E154" s="33">
        <f>G154</f>
        <v>0</v>
      </c>
      <c r="F154" s="34">
        <v>0</v>
      </c>
      <c r="G154" s="174">
        <v>0</v>
      </c>
      <c r="H154" s="302"/>
      <c r="I154" s="34">
        <v>0</v>
      </c>
      <c r="J154" s="157">
        <f t="shared" si="16"/>
        <v>0</v>
      </c>
      <c r="K154" s="164"/>
      <c r="L154" s="164"/>
    </row>
    <row r="155" spans="1:12" ht="15.75" x14ac:dyDescent="0.25">
      <c r="A155" s="154" t="s">
        <v>31</v>
      </c>
      <c r="B155" s="154"/>
      <c r="C155" s="31">
        <f>SUM(C156:C162)</f>
        <v>16416581</v>
      </c>
      <c r="D155" s="32">
        <f>SUM(D156:D162)</f>
        <v>16416581</v>
      </c>
      <c r="E155" s="33">
        <f>SUM(E156:E162)</f>
        <v>1262652.7300000004</v>
      </c>
      <c r="F155" s="34">
        <f t="shared" si="13"/>
        <v>7.6913258004209313</v>
      </c>
      <c r="G155" s="303">
        <f>SUM(G156:H162)</f>
        <v>4618537.58</v>
      </c>
      <c r="H155" s="304">
        <f>SUM(H156:H162)</f>
        <v>0</v>
      </c>
      <c r="I155" s="34">
        <f t="shared" si="15"/>
        <v>28.133370645203165</v>
      </c>
      <c r="J155" s="162">
        <f t="shared" si="16"/>
        <v>11798043.42</v>
      </c>
      <c r="K155" s="163"/>
      <c r="L155" s="163"/>
    </row>
    <row r="156" spans="1:12" ht="15.75" x14ac:dyDescent="0.25">
      <c r="A156" s="154" t="s">
        <v>32</v>
      </c>
      <c r="B156" s="154"/>
      <c r="C156" s="43">
        <v>16416581</v>
      </c>
      <c r="D156" s="44">
        <v>16416581</v>
      </c>
      <c r="E156" s="33">
        <f>G156-3355758.25</f>
        <v>1262652.7300000004</v>
      </c>
      <c r="F156" s="34">
        <f t="shared" si="13"/>
        <v>7.6913258004209313</v>
      </c>
      <c r="G156" s="174">
        <v>4618410.9800000004</v>
      </c>
      <c r="H156" s="302"/>
      <c r="I156" s="34">
        <f t="shared" si="15"/>
        <v>28.132599473666293</v>
      </c>
      <c r="J156" s="162">
        <f t="shared" si="16"/>
        <v>11798170.02</v>
      </c>
      <c r="K156" s="163"/>
      <c r="L156" s="163"/>
    </row>
    <row r="157" spans="1:12" ht="15.75" x14ac:dyDescent="0.25">
      <c r="A157" s="154" t="s">
        <v>33</v>
      </c>
      <c r="B157" s="154"/>
      <c r="C157" s="31">
        <v>0</v>
      </c>
      <c r="D157" s="32">
        <v>0</v>
      </c>
      <c r="E157" s="33">
        <f t="shared" ref="E157:E164" si="17">G157</f>
        <v>0</v>
      </c>
      <c r="F157" s="34">
        <v>0</v>
      </c>
      <c r="G157" s="174">
        <v>0</v>
      </c>
      <c r="H157" s="302"/>
      <c r="I157" s="34">
        <v>0</v>
      </c>
      <c r="J157" s="162">
        <f t="shared" si="16"/>
        <v>0</v>
      </c>
      <c r="K157" s="163"/>
      <c r="L157" s="163"/>
    </row>
    <row r="158" spans="1:12" ht="15.75" x14ac:dyDescent="0.25">
      <c r="A158" s="154" t="s">
        <v>34</v>
      </c>
      <c r="B158" s="154"/>
      <c r="C158" s="31">
        <v>0</v>
      </c>
      <c r="D158" s="32">
        <v>0</v>
      </c>
      <c r="E158" s="33">
        <f t="shared" si="17"/>
        <v>0</v>
      </c>
      <c r="F158" s="34">
        <v>0</v>
      </c>
      <c r="G158" s="174">
        <v>0</v>
      </c>
      <c r="H158" s="302"/>
      <c r="I158" s="34">
        <v>0</v>
      </c>
      <c r="J158" s="162">
        <f t="shared" si="16"/>
        <v>0</v>
      </c>
      <c r="K158" s="163"/>
      <c r="L158" s="163"/>
    </row>
    <row r="159" spans="1:12" ht="15.75" x14ac:dyDescent="0.25">
      <c r="A159" s="154" t="s">
        <v>35</v>
      </c>
      <c r="B159" s="154"/>
      <c r="C159" s="31">
        <v>0</v>
      </c>
      <c r="D159" s="32">
        <v>0</v>
      </c>
      <c r="E159" s="33">
        <f>G159-126.6</f>
        <v>0</v>
      </c>
      <c r="F159" s="34">
        <v>0</v>
      </c>
      <c r="G159" s="174">
        <v>126.6</v>
      </c>
      <c r="H159" s="302"/>
      <c r="I159" s="34">
        <v>0</v>
      </c>
      <c r="J159" s="162">
        <f t="shared" si="16"/>
        <v>-126.6</v>
      </c>
      <c r="K159" s="163"/>
      <c r="L159" s="163"/>
    </row>
    <row r="160" spans="1:12" ht="15" customHeight="1" x14ac:dyDescent="0.25">
      <c r="A160" s="154" t="s">
        <v>36</v>
      </c>
      <c r="B160" s="154"/>
      <c r="C160" s="31">
        <v>0</v>
      </c>
      <c r="D160" s="32">
        <v>0</v>
      </c>
      <c r="E160" s="33">
        <f t="shared" si="17"/>
        <v>0</v>
      </c>
      <c r="F160" s="34">
        <v>0</v>
      </c>
      <c r="G160" s="174">
        <v>0</v>
      </c>
      <c r="H160" s="302"/>
      <c r="I160" s="34">
        <v>0</v>
      </c>
      <c r="J160" s="162">
        <f t="shared" si="16"/>
        <v>0</v>
      </c>
      <c r="K160" s="163"/>
      <c r="L160" s="163"/>
    </row>
    <row r="161" spans="1:18" ht="15.75" x14ac:dyDescent="0.25">
      <c r="A161" s="154" t="s">
        <v>37</v>
      </c>
      <c r="B161" s="154"/>
      <c r="C161" s="31">
        <v>0</v>
      </c>
      <c r="D161" s="32">
        <v>0</v>
      </c>
      <c r="E161" s="33">
        <f t="shared" si="17"/>
        <v>0</v>
      </c>
      <c r="F161" s="34">
        <v>0</v>
      </c>
      <c r="G161" s="174">
        <v>0</v>
      </c>
      <c r="H161" s="302"/>
      <c r="I161" s="34">
        <v>0</v>
      </c>
      <c r="J161" s="162">
        <f t="shared" si="16"/>
        <v>0</v>
      </c>
      <c r="K161" s="163"/>
      <c r="L161" s="163"/>
      <c r="N161" s="128"/>
      <c r="O161" s="128"/>
      <c r="P161" s="128"/>
      <c r="Q161" s="128"/>
      <c r="R161" s="128"/>
    </row>
    <row r="162" spans="1:18" ht="15.75" customHeight="1" x14ac:dyDescent="0.25">
      <c r="A162" s="154" t="s">
        <v>38</v>
      </c>
      <c r="B162" s="154"/>
      <c r="C162" s="31">
        <v>0</v>
      </c>
      <c r="D162" s="32">
        <v>0</v>
      </c>
      <c r="E162" s="33">
        <f>G162-0</f>
        <v>0</v>
      </c>
      <c r="F162" s="34">
        <v>0</v>
      </c>
      <c r="G162" s="174">
        <v>0</v>
      </c>
      <c r="H162" s="302"/>
      <c r="I162" s="34">
        <v>0</v>
      </c>
      <c r="J162" s="162">
        <f t="shared" si="16"/>
        <v>0</v>
      </c>
      <c r="K162" s="163"/>
      <c r="L162" s="163"/>
      <c r="N162" s="128"/>
      <c r="O162" s="128"/>
      <c r="P162" s="128"/>
      <c r="Q162" s="128"/>
      <c r="R162" s="128"/>
    </row>
    <row r="163" spans="1:18" ht="15.75" x14ac:dyDescent="0.25">
      <c r="A163" s="154" t="s">
        <v>39</v>
      </c>
      <c r="B163" s="154"/>
      <c r="C163" s="31">
        <v>0</v>
      </c>
      <c r="D163" s="32">
        <v>0</v>
      </c>
      <c r="E163" s="33">
        <f t="shared" si="17"/>
        <v>0</v>
      </c>
      <c r="F163" s="34">
        <v>0</v>
      </c>
      <c r="G163" s="303">
        <v>0</v>
      </c>
      <c r="H163" s="304"/>
      <c r="I163" s="34">
        <v>0</v>
      </c>
      <c r="J163" s="162">
        <f t="shared" si="16"/>
        <v>0</v>
      </c>
      <c r="K163" s="163"/>
      <c r="L163" s="163"/>
      <c r="N163" s="128"/>
      <c r="O163" s="128"/>
      <c r="P163" s="128"/>
      <c r="Q163" s="128"/>
      <c r="R163" s="128"/>
    </row>
    <row r="164" spans="1:18" ht="15.75" x14ac:dyDescent="0.25">
      <c r="A164" s="154" t="s">
        <v>40</v>
      </c>
      <c r="B164" s="154"/>
      <c r="C164" s="31">
        <v>0</v>
      </c>
      <c r="D164" s="32">
        <v>0</v>
      </c>
      <c r="E164" s="33">
        <f t="shared" si="17"/>
        <v>0</v>
      </c>
      <c r="F164" s="34">
        <v>0</v>
      </c>
      <c r="G164" s="303">
        <v>0</v>
      </c>
      <c r="H164" s="304"/>
      <c r="I164" s="34">
        <v>0</v>
      </c>
      <c r="J164" s="162">
        <f t="shared" si="16"/>
        <v>0</v>
      </c>
      <c r="K164" s="163"/>
      <c r="L164" s="163"/>
    </row>
    <row r="165" spans="1:18" ht="15.75" x14ac:dyDescent="0.25">
      <c r="A165" s="154" t="s">
        <v>41</v>
      </c>
      <c r="B165" s="154"/>
      <c r="C165" s="31">
        <f>SUM(C166:C170)</f>
        <v>3427735451</v>
      </c>
      <c r="D165" s="32">
        <f>SUM(D166:D170)</f>
        <v>3427735451</v>
      </c>
      <c r="E165" s="33">
        <f>SUM(E166:E170)</f>
        <v>581767400.5799998</v>
      </c>
      <c r="F165" s="34">
        <f t="shared" si="13"/>
        <v>16.972354164913057</v>
      </c>
      <c r="G165" s="303">
        <f>SUM(G166:H170)</f>
        <v>1946314623.6199999</v>
      </c>
      <c r="H165" s="304"/>
      <c r="I165" s="34">
        <f t="shared" si="15"/>
        <v>56.781354671119274</v>
      </c>
      <c r="J165" s="162">
        <f t="shared" si="16"/>
        <v>1481420827.3800001</v>
      </c>
      <c r="K165" s="163"/>
      <c r="L165" s="163"/>
    </row>
    <row r="166" spans="1:18" ht="15.75" x14ac:dyDescent="0.25">
      <c r="A166" s="154" t="s">
        <v>42</v>
      </c>
      <c r="B166" s="154"/>
      <c r="C166" s="43">
        <v>330629582</v>
      </c>
      <c r="D166" s="44">
        <v>330629582</v>
      </c>
      <c r="E166" s="33">
        <f>G166-65540677.39</f>
        <v>65530089.640000001</v>
      </c>
      <c r="F166" s="34">
        <f t="shared" si="13"/>
        <v>19.819790244903132</v>
      </c>
      <c r="G166" s="174">
        <v>131070767.03</v>
      </c>
      <c r="H166" s="302"/>
      <c r="I166" s="34">
        <f t="shared" si="15"/>
        <v>39.642782789472236</v>
      </c>
      <c r="J166" s="162">
        <f t="shared" si="16"/>
        <v>199558814.97</v>
      </c>
      <c r="K166" s="163"/>
      <c r="L166" s="163"/>
    </row>
    <row r="167" spans="1:18" ht="15.75" x14ac:dyDescent="0.25">
      <c r="A167" s="154" t="s">
        <v>43</v>
      </c>
      <c r="B167" s="154"/>
      <c r="C167" s="31">
        <v>0</v>
      </c>
      <c r="D167" s="32">
        <v>0</v>
      </c>
      <c r="E167" s="33">
        <f>G167</f>
        <v>0</v>
      </c>
      <c r="F167" s="34">
        <v>0</v>
      </c>
      <c r="G167" s="174">
        <v>0</v>
      </c>
      <c r="H167" s="302"/>
      <c r="I167" s="34">
        <v>0</v>
      </c>
      <c r="J167" s="157">
        <f t="shared" si="16"/>
        <v>0</v>
      </c>
      <c r="K167" s="164"/>
      <c r="L167" s="164"/>
    </row>
    <row r="168" spans="1:18" ht="15.75" x14ac:dyDescent="0.25">
      <c r="A168" s="154" t="s">
        <v>44</v>
      </c>
      <c r="B168" s="154"/>
      <c r="C168" s="43">
        <v>3000000000</v>
      </c>
      <c r="D168" s="44">
        <v>3000000000</v>
      </c>
      <c r="E168" s="33">
        <f>G168-1271159302.38</f>
        <v>503779166.92999983</v>
      </c>
      <c r="F168" s="34">
        <f t="shared" si="13"/>
        <v>16.792638897666663</v>
      </c>
      <c r="G168" s="174">
        <v>1774938469.3099999</v>
      </c>
      <c r="H168" s="302"/>
      <c r="I168" s="34">
        <f t="shared" si="15"/>
        <v>59.164615643666664</v>
      </c>
      <c r="J168" s="157">
        <f t="shared" si="16"/>
        <v>1225061530.6900001</v>
      </c>
      <c r="K168" s="164"/>
      <c r="L168" s="164"/>
    </row>
    <row r="169" spans="1:18" ht="15.75" x14ac:dyDescent="0.25">
      <c r="A169" s="154" t="s">
        <v>45</v>
      </c>
      <c r="B169" s="154"/>
      <c r="C169" s="31">
        <v>0</v>
      </c>
      <c r="D169" s="32">
        <v>0</v>
      </c>
      <c r="E169" s="33">
        <f>G169</f>
        <v>0</v>
      </c>
      <c r="F169" s="34">
        <v>0</v>
      </c>
      <c r="G169" s="174">
        <v>0</v>
      </c>
      <c r="H169" s="302"/>
      <c r="I169" s="34">
        <v>0</v>
      </c>
      <c r="J169" s="157">
        <f t="shared" si="16"/>
        <v>0</v>
      </c>
      <c r="K169" s="164"/>
      <c r="L169" s="164"/>
    </row>
    <row r="170" spans="1:18" ht="15.75" x14ac:dyDescent="0.25">
      <c r="A170" s="154" t="s">
        <v>46</v>
      </c>
      <c r="B170" s="154"/>
      <c r="C170" s="31">
        <v>97105869</v>
      </c>
      <c r="D170" s="32">
        <v>97105869</v>
      </c>
      <c r="E170" s="33">
        <f>G170-27847243.27</f>
        <v>12458144.010000002</v>
      </c>
      <c r="F170" s="34">
        <f t="shared" si="13"/>
        <v>12.829444953527991</v>
      </c>
      <c r="G170" s="174">
        <v>40305387.280000001</v>
      </c>
      <c r="H170" s="302"/>
      <c r="I170" s="34">
        <f t="shared" si="15"/>
        <v>41.506643929009066</v>
      </c>
      <c r="J170" s="157">
        <f t="shared" si="16"/>
        <v>56800481.719999999</v>
      </c>
      <c r="K170" s="164"/>
      <c r="L170" s="164"/>
    </row>
    <row r="171" spans="1:18" ht="15.75" x14ac:dyDescent="0.25">
      <c r="A171" s="154" t="s">
        <v>47</v>
      </c>
      <c r="B171" s="154"/>
      <c r="C171" s="31">
        <f>SUM(C172:C178)</f>
        <v>0</v>
      </c>
      <c r="D171" s="32">
        <f>SUM(D172:D178)</f>
        <v>0</v>
      </c>
      <c r="E171" s="33">
        <f>SUM(E172:E178)</f>
        <v>0</v>
      </c>
      <c r="F171" s="34">
        <v>0</v>
      </c>
      <c r="G171" s="303">
        <f>SUM(G172:H178)</f>
        <v>0</v>
      </c>
      <c r="H171" s="304">
        <f>SUM(H172:H176)</f>
        <v>0</v>
      </c>
      <c r="I171" s="34">
        <v>0</v>
      </c>
      <c r="J171" s="162">
        <f t="shared" si="16"/>
        <v>0</v>
      </c>
      <c r="K171" s="163"/>
      <c r="L171" s="163"/>
    </row>
    <row r="172" spans="1:18" ht="15.75" x14ac:dyDescent="0.25">
      <c r="A172" s="154" t="s">
        <v>48</v>
      </c>
      <c r="B172" s="154"/>
      <c r="C172" s="31">
        <v>0</v>
      </c>
      <c r="D172" s="32">
        <v>0</v>
      </c>
      <c r="E172" s="33">
        <f t="shared" ref="E172:E178" si="18">G172</f>
        <v>0</v>
      </c>
      <c r="F172" s="34">
        <v>0</v>
      </c>
      <c r="G172" s="174">
        <v>0</v>
      </c>
      <c r="H172" s="302"/>
      <c r="I172" s="34">
        <v>0</v>
      </c>
      <c r="J172" s="162">
        <f t="shared" si="16"/>
        <v>0</v>
      </c>
      <c r="K172" s="163"/>
      <c r="L172" s="163"/>
    </row>
    <row r="173" spans="1:18" ht="15.75" x14ac:dyDescent="0.25">
      <c r="A173" s="154" t="s">
        <v>49</v>
      </c>
      <c r="B173" s="154"/>
      <c r="C173" s="37">
        <v>0</v>
      </c>
      <c r="D173" s="38">
        <v>0</v>
      </c>
      <c r="E173" s="33">
        <f>G173-0</f>
        <v>0</v>
      </c>
      <c r="F173" s="34">
        <v>0</v>
      </c>
      <c r="G173" s="174">
        <v>0</v>
      </c>
      <c r="H173" s="302"/>
      <c r="I173" s="34">
        <v>0</v>
      </c>
      <c r="J173" s="162">
        <f t="shared" si="16"/>
        <v>0</v>
      </c>
      <c r="K173" s="163"/>
      <c r="L173" s="163"/>
    </row>
    <row r="174" spans="1:18" ht="15.75" x14ac:dyDescent="0.25">
      <c r="A174" s="154" t="s">
        <v>50</v>
      </c>
      <c r="B174" s="154"/>
      <c r="C174" s="37">
        <v>0</v>
      </c>
      <c r="D174" s="38">
        <v>0</v>
      </c>
      <c r="E174" s="33">
        <f t="shared" si="18"/>
        <v>0</v>
      </c>
      <c r="F174" s="34">
        <v>0</v>
      </c>
      <c r="G174" s="174">
        <v>0</v>
      </c>
      <c r="H174" s="302"/>
      <c r="I174" s="34">
        <v>0</v>
      </c>
      <c r="J174" s="162">
        <f t="shared" si="16"/>
        <v>0</v>
      </c>
      <c r="K174" s="163"/>
      <c r="L174" s="163"/>
    </row>
    <row r="175" spans="1:18" ht="15.75" x14ac:dyDescent="0.25">
      <c r="A175" s="154" t="s">
        <v>51</v>
      </c>
      <c r="B175" s="154"/>
      <c r="C175" s="37">
        <v>0</v>
      </c>
      <c r="D175" s="38">
        <v>0</v>
      </c>
      <c r="E175" s="39">
        <f t="shared" si="18"/>
        <v>0</v>
      </c>
      <c r="F175" s="40">
        <v>0</v>
      </c>
      <c r="G175" s="307">
        <v>0</v>
      </c>
      <c r="H175" s="308"/>
      <c r="I175" s="40">
        <v>0</v>
      </c>
      <c r="J175" s="178">
        <f t="shared" si="16"/>
        <v>0</v>
      </c>
      <c r="K175" s="179"/>
      <c r="L175" s="179"/>
    </row>
    <row r="176" spans="1:18" ht="15.75" x14ac:dyDescent="0.25">
      <c r="A176" s="154" t="s">
        <v>52</v>
      </c>
      <c r="B176" s="154"/>
      <c r="C176" s="37">
        <v>0</v>
      </c>
      <c r="D176" s="38">
        <v>0</v>
      </c>
      <c r="E176" s="39">
        <f t="shared" si="18"/>
        <v>0</v>
      </c>
      <c r="F176" s="40">
        <v>0</v>
      </c>
      <c r="G176" s="307">
        <v>0</v>
      </c>
      <c r="H176" s="308"/>
      <c r="I176" s="40">
        <v>0</v>
      </c>
      <c r="J176" s="178">
        <f t="shared" si="16"/>
        <v>0</v>
      </c>
      <c r="K176" s="179"/>
      <c r="L176" s="179"/>
    </row>
    <row r="177" spans="1:14" ht="15.75" x14ac:dyDescent="0.25">
      <c r="A177" s="154" t="s">
        <v>53</v>
      </c>
      <c r="B177" s="154"/>
      <c r="C177" s="37">
        <v>0</v>
      </c>
      <c r="D177" s="38">
        <v>0</v>
      </c>
      <c r="E177" s="39">
        <f t="shared" si="18"/>
        <v>0</v>
      </c>
      <c r="F177" s="40">
        <v>0</v>
      </c>
      <c r="G177" s="307">
        <v>0</v>
      </c>
      <c r="H177" s="308"/>
      <c r="I177" s="40">
        <v>0</v>
      </c>
      <c r="J177" s="225">
        <f t="shared" si="16"/>
        <v>0</v>
      </c>
      <c r="K177" s="227"/>
      <c r="L177" s="227"/>
    </row>
    <row r="178" spans="1:14" ht="15.75" x14ac:dyDescent="0.25">
      <c r="A178" s="154" t="s">
        <v>54</v>
      </c>
      <c r="B178" s="154"/>
      <c r="C178" s="37">
        <v>0</v>
      </c>
      <c r="D178" s="38">
        <v>0</v>
      </c>
      <c r="E178" s="39">
        <f t="shared" si="18"/>
        <v>0</v>
      </c>
      <c r="F178" s="40">
        <v>0</v>
      </c>
      <c r="G178" s="307">
        <v>0</v>
      </c>
      <c r="H178" s="308"/>
      <c r="I178" s="40">
        <v>0</v>
      </c>
      <c r="J178" s="225">
        <f t="shared" si="16"/>
        <v>0</v>
      </c>
      <c r="K178" s="227"/>
      <c r="L178" s="227"/>
      <c r="M178" s="171"/>
      <c r="N178" s="171"/>
    </row>
    <row r="179" spans="1:14" ht="15.75" x14ac:dyDescent="0.25">
      <c r="A179" s="154" t="s">
        <v>55</v>
      </c>
      <c r="B179" s="154"/>
      <c r="C179" s="37">
        <f>SUM(C180:C184)</f>
        <v>585729032</v>
      </c>
      <c r="D179" s="38">
        <f>SUM(D180:D184)</f>
        <v>626554916.60000002</v>
      </c>
      <c r="E179" s="39">
        <f>SUM(E180:E184)</f>
        <v>164501924.06000003</v>
      </c>
      <c r="F179" s="40">
        <f t="shared" si="13"/>
        <v>26.254988940581566</v>
      </c>
      <c r="G179" s="305">
        <f>SUM(G180:H184)</f>
        <v>435798987.23000002</v>
      </c>
      <c r="H179" s="306">
        <f>SUM(H180:H184)</f>
        <v>0</v>
      </c>
      <c r="I179" s="40">
        <f t="shared" si="15"/>
        <v>69.554794908459584</v>
      </c>
      <c r="J179" s="178">
        <f t="shared" si="16"/>
        <v>190755929.37</v>
      </c>
      <c r="K179" s="179"/>
      <c r="L179" s="179"/>
    </row>
    <row r="180" spans="1:14" ht="15.75" x14ac:dyDescent="0.25">
      <c r="A180" s="154" t="s">
        <v>56</v>
      </c>
      <c r="B180" s="154"/>
      <c r="C180" s="37">
        <v>0</v>
      </c>
      <c r="D180" s="38">
        <v>0</v>
      </c>
      <c r="E180" s="39">
        <f>G180-0</f>
        <v>0</v>
      </c>
      <c r="F180" s="40">
        <v>0</v>
      </c>
      <c r="G180" s="307">
        <v>0</v>
      </c>
      <c r="H180" s="308"/>
      <c r="I180" s="40">
        <v>0</v>
      </c>
      <c r="J180" s="178">
        <f t="shared" si="16"/>
        <v>0</v>
      </c>
      <c r="K180" s="179"/>
      <c r="L180" s="179"/>
    </row>
    <row r="181" spans="1:14" ht="15.75" x14ac:dyDescent="0.25">
      <c r="A181" s="154" t="s">
        <v>57</v>
      </c>
      <c r="B181" s="154"/>
      <c r="C181" s="37">
        <v>399346076</v>
      </c>
      <c r="D181" s="38">
        <v>440171960.60000002</v>
      </c>
      <c r="E181" s="39">
        <f>G181-197250658.17</f>
        <v>114476364.94000003</v>
      </c>
      <c r="F181" s="40">
        <f t="shared" si="13"/>
        <v>26.007191549401938</v>
      </c>
      <c r="G181" s="305">
        <v>311727023.11000001</v>
      </c>
      <c r="H181" s="306"/>
      <c r="I181" s="40">
        <f t="shared" si="15"/>
        <v>70.819373111609323</v>
      </c>
      <c r="J181" s="178">
        <f t="shared" si="16"/>
        <v>128444937.49000001</v>
      </c>
      <c r="K181" s="179"/>
      <c r="L181" s="179"/>
    </row>
    <row r="182" spans="1:14" ht="15.75" x14ac:dyDescent="0.25">
      <c r="A182" s="154" t="s">
        <v>58</v>
      </c>
      <c r="B182" s="154"/>
      <c r="C182" s="37">
        <v>0</v>
      </c>
      <c r="D182" s="40">
        <v>0</v>
      </c>
      <c r="E182" s="39">
        <f>G182</f>
        <v>0</v>
      </c>
      <c r="F182" s="40">
        <v>0</v>
      </c>
      <c r="G182" s="307">
        <v>0</v>
      </c>
      <c r="H182" s="308"/>
      <c r="I182" s="40">
        <v>0</v>
      </c>
      <c r="J182" s="178">
        <f t="shared" si="16"/>
        <v>0</v>
      </c>
      <c r="K182" s="179"/>
      <c r="L182" s="179"/>
    </row>
    <row r="183" spans="1:14" ht="15.75" x14ac:dyDescent="0.25">
      <c r="A183" s="154" t="s">
        <v>59</v>
      </c>
      <c r="B183" s="154"/>
      <c r="C183" s="37">
        <v>0</v>
      </c>
      <c r="D183" s="40">
        <v>0</v>
      </c>
      <c r="E183" s="39">
        <f>G183</f>
        <v>0</v>
      </c>
      <c r="F183" s="40">
        <v>0</v>
      </c>
      <c r="G183" s="307">
        <v>0</v>
      </c>
      <c r="H183" s="308"/>
      <c r="I183" s="40">
        <v>0</v>
      </c>
      <c r="J183" s="178">
        <f t="shared" si="16"/>
        <v>0</v>
      </c>
      <c r="K183" s="179"/>
      <c r="L183" s="179"/>
      <c r="M183" s="171"/>
      <c r="N183" s="171"/>
    </row>
    <row r="184" spans="1:14" ht="15" customHeight="1" x14ac:dyDescent="0.25">
      <c r="A184" s="154" t="s">
        <v>60</v>
      </c>
      <c r="B184" s="154"/>
      <c r="C184" s="37">
        <v>186382956</v>
      </c>
      <c r="D184" s="37">
        <v>186382956</v>
      </c>
      <c r="E184" s="39">
        <f>G184-74046405</f>
        <v>50025559.120000005</v>
      </c>
      <c r="F184" s="40">
        <f t="shared" si="13"/>
        <v>26.840200517047279</v>
      </c>
      <c r="G184" s="307">
        <v>124071964.12</v>
      </c>
      <c r="H184" s="308"/>
      <c r="I184" s="40">
        <f t="shared" si="15"/>
        <v>66.568299367459332</v>
      </c>
      <c r="J184" s="178">
        <f t="shared" si="16"/>
        <v>62310991.879999995</v>
      </c>
      <c r="K184" s="179"/>
      <c r="L184" s="179"/>
    </row>
    <row r="185" spans="1:14" ht="15.75" x14ac:dyDescent="0.25">
      <c r="A185" s="161" t="s">
        <v>61</v>
      </c>
      <c r="B185" s="161"/>
      <c r="C185" s="129">
        <f>C186+C189+C193+C194+C204</f>
        <v>0</v>
      </c>
      <c r="D185" s="130">
        <f>D186+D189+D193+D194+D204</f>
        <v>81841.33</v>
      </c>
      <c r="E185" s="131">
        <f>E186+E189+E193+E194+E204</f>
        <v>14489.61</v>
      </c>
      <c r="F185" s="132">
        <f t="shared" si="13"/>
        <v>17.704514332794936</v>
      </c>
      <c r="G185" s="322">
        <f>G186+G189+G193+G194+G204</f>
        <v>96330.94</v>
      </c>
      <c r="H185" s="323"/>
      <c r="I185" s="132">
        <f t="shared" si="15"/>
        <v>117.70451433279494</v>
      </c>
      <c r="J185" s="320">
        <f t="shared" si="16"/>
        <v>-14489.61</v>
      </c>
      <c r="K185" s="321"/>
      <c r="L185" s="321"/>
    </row>
    <row r="186" spans="1:14" ht="15.75" x14ac:dyDescent="0.25">
      <c r="A186" s="154" t="s">
        <v>62</v>
      </c>
      <c r="B186" s="154"/>
      <c r="C186" s="31">
        <f>C187+C188</f>
        <v>0</v>
      </c>
      <c r="D186" s="32">
        <f>D187+D188</f>
        <v>0</v>
      </c>
      <c r="E186" s="33">
        <f>E187+E188</f>
        <v>0</v>
      </c>
      <c r="F186" s="34">
        <v>0</v>
      </c>
      <c r="G186" s="174">
        <f>G187+G188</f>
        <v>0</v>
      </c>
      <c r="H186" s="302"/>
      <c r="I186" s="34">
        <v>0</v>
      </c>
      <c r="J186" s="162">
        <f t="shared" si="16"/>
        <v>0</v>
      </c>
      <c r="K186" s="163"/>
      <c r="L186" s="163"/>
    </row>
    <row r="187" spans="1:14" ht="15.75" x14ac:dyDescent="0.25">
      <c r="A187" s="154" t="s">
        <v>63</v>
      </c>
      <c r="B187" s="154"/>
      <c r="C187" s="31">
        <v>0</v>
      </c>
      <c r="D187" s="32">
        <v>0</v>
      </c>
      <c r="E187" s="33">
        <f>G187</f>
        <v>0</v>
      </c>
      <c r="F187" s="34">
        <v>0</v>
      </c>
      <c r="G187" s="174">
        <v>0</v>
      </c>
      <c r="H187" s="302"/>
      <c r="I187" s="34">
        <v>0</v>
      </c>
      <c r="J187" s="162">
        <f t="shared" si="16"/>
        <v>0</v>
      </c>
      <c r="K187" s="163"/>
      <c r="L187" s="163"/>
    </row>
    <row r="188" spans="1:14" ht="15.75" x14ac:dyDescent="0.25">
      <c r="A188" s="154" t="s">
        <v>64</v>
      </c>
      <c r="B188" s="154"/>
      <c r="C188" s="31">
        <v>0</v>
      </c>
      <c r="D188" s="32">
        <v>0</v>
      </c>
      <c r="E188" s="33">
        <f>G188</f>
        <v>0</v>
      </c>
      <c r="F188" s="34">
        <v>0</v>
      </c>
      <c r="G188" s="174">
        <v>0</v>
      </c>
      <c r="H188" s="302"/>
      <c r="I188" s="34">
        <v>0</v>
      </c>
      <c r="J188" s="162">
        <f t="shared" si="16"/>
        <v>0</v>
      </c>
      <c r="K188" s="163"/>
      <c r="L188" s="163"/>
    </row>
    <row r="189" spans="1:14" ht="15.75" x14ac:dyDescent="0.25">
      <c r="A189" s="154" t="s">
        <v>65</v>
      </c>
      <c r="B189" s="154"/>
      <c r="C189" s="31">
        <f>C190+C191+C192</f>
        <v>0</v>
      </c>
      <c r="D189" s="32">
        <f>D190+D191+D192</f>
        <v>0</v>
      </c>
      <c r="E189" s="33">
        <f>E190+E191+E192</f>
        <v>0</v>
      </c>
      <c r="F189" s="34">
        <v>0</v>
      </c>
      <c r="G189" s="174">
        <f>SUM(G190:H192)</f>
        <v>0</v>
      </c>
      <c r="H189" s="302"/>
      <c r="I189" s="34">
        <v>0</v>
      </c>
      <c r="J189" s="162">
        <f t="shared" si="16"/>
        <v>0</v>
      </c>
      <c r="K189" s="163"/>
      <c r="L189" s="163"/>
    </row>
    <row r="190" spans="1:14" ht="15.75" x14ac:dyDescent="0.25">
      <c r="A190" s="154" t="s">
        <v>66</v>
      </c>
      <c r="B190" s="154"/>
      <c r="C190" s="31">
        <v>0</v>
      </c>
      <c r="D190" s="32">
        <v>0</v>
      </c>
      <c r="E190" s="33">
        <f>G190</f>
        <v>0</v>
      </c>
      <c r="F190" s="34">
        <v>0</v>
      </c>
      <c r="G190" s="174">
        <v>0</v>
      </c>
      <c r="H190" s="302"/>
      <c r="I190" s="34">
        <v>0</v>
      </c>
      <c r="J190" s="162">
        <f t="shared" si="16"/>
        <v>0</v>
      </c>
      <c r="K190" s="163"/>
      <c r="L190" s="163"/>
    </row>
    <row r="191" spans="1:14" ht="15.75" x14ac:dyDescent="0.25">
      <c r="A191" s="154" t="s">
        <v>67</v>
      </c>
      <c r="B191" s="154"/>
      <c r="C191" s="31">
        <v>0</v>
      </c>
      <c r="D191" s="32">
        <v>0</v>
      </c>
      <c r="E191" s="33">
        <f>G191</f>
        <v>0</v>
      </c>
      <c r="F191" s="34">
        <v>0</v>
      </c>
      <c r="G191" s="174">
        <v>0</v>
      </c>
      <c r="H191" s="302"/>
      <c r="I191" s="34">
        <v>0</v>
      </c>
      <c r="J191" s="162">
        <f t="shared" si="16"/>
        <v>0</v>
      </c>
      <c r="K191" s="163"/>
      <c r="L191" s="163"/>
    </row>
    <row r="192" spans="1:14" ht="15.75" x14ac:dyDescent="0.25">
      <c r="A192" s="154" t="s">
        <v>68</v>
      </c>
      <c r="B192" s="154"/>
      <c r="C192" s="31">
        <v>0</v>
      </c>
      <c r="D192" s="32">
        <v>0</v>
      </c>
      <c r="E192" s="33">
        <f>G192</f>
        <v>0</v>
      </c>
      <c r="F192" s="34">
        <v>0</v>
      </c>
      <c r="G192" s="174">
        <v>0</v>
      </c>
      <c r="H192" s="302"/>
      <c r="I192" s="34">
        <v>0</v>
      </c>
      <c r="J192" s="157">
        <f t="shared" si="16"/>
        <v>0</v>
      </c>
      <c r="K192" s="164"/>
      <c r="L192" s="164"/>
    </row>
    <row r="193" spans="1:16" ht="15.75" x14ac:dyDescent="0.25">
      <c r="A193" s="154" t="s">
        <v>69</v>
      </c>
      <c r="B193" s="154"/>
      <c r="C193" s="31">
        <v>0</v>
      </c>
      <c r="D193" s="133">
        <v>81841.33</v>
      </c>
      <c r="E193" s="33">
        <f>G193-81841.33</f>
        <v>14489.61</v>
      </c>
      <c r="F193" s="34">
        <f t="shared" si="13"/>
        <v>17.704514332794936</v>
      </c>
      <c r="G193" s="174">
        <v>96330.94</v>
      </c>
      <c r="H193" s="302"/>
      <c r="I193" s="34">
        <f t="shared" si="15"/>
        <v>117.70451433279494</v>
      </c>
      <c r="J193" s="162">
        <f t="shared" si="16"/>
        <v>-14489.61</v>
      </c>
      <c r="K193" s="163"/>
      <c r="L193" s="163"/>
    </row>
    <row r="194" spans="1:16" ht="15.75" x14ac:dyDescent="0.25">
      <c r="A194" s="154" t="s">
        <v>70</v>
      </c>
      <c r="B194" s="154"/>
      <c r="C194" s="31">
        <f>SUM(C195:C203)</f>
        <v>0</v>
      </c>
      <c r="D194" s="31">
        <f>SUM(D195:D203)</f>
        <v>0</v>
      </c>
      <c r="E194" s="33">
        <f>SUM(E195:E203)</f>
        <v>0</v>
      </c>
      <c r="F194" s="34">
        <v>0</v>
      </c>
      <c r="G194" s="174">
        <f>SUM(G195:H203)</f>
        <v>0</v>
      </c>
      <c r="H194" s="302">
        <f>SUM(H195:H203)</f>
        <v>0</v>
      </c>
      <c r="I194" s="34">
        <v>0</v>
      </c>
      <c r="J194" s="162">
        <f t="shared" si="16"/>
        <v>0</v>
      </c>
      <c r="K194" s="163"/>
      <c r="L194" s="163"/>
    </row>
    <row r="195" spans="1:16" ht="15.75" x14ac:dyDescent="0.25">
      <c r="A195" s="154" t="s">
        <v>48</v>
      </c>
      <c r="B195" s="154"/>
      <c r="C195" s="31">
        <v>0</v>
      </c>
      <c r="D195" s="32">
        <v>0</v>
      </c>
      <c r="E195" s="33">
        <f t="shared" ref="E195:E203" si="19">G195</f>
        <v>0</v>
      </c>
      <c r="F195" s="34">
        <v>0</v>
      </c>
      <c r="G195" s="174">
        <v>0</v>
      </c>
      <c r="H195" s="302"/>
      <c r="I195" s="34">
        <v>0</v>
      </c>
      <c r="J195" s="162">
        <f t="shared" si="16"/>
        <v>0</v>
      </c>
      <c r="K195" s="163"/>
      <c r="L195" s="163"/>
    </row>
    <row r="196" spans="1:16" ht="15.75" x14ac:dyDescent="0.25">
      <c r="A196" s="154" t="s">
        <v>49</v>
      </c>
      <c r="B196" s="154"/>
      <c r="C196" s="31">
        <v>0</v>
      </c>
      <c r="D196" s="32">
        <v>0</v>
      </c>
      <c r="E196" s="33">
        <f t="shared" si="19"/>
        <v>0</v>
      </c>
      <c r="F196" s="34">
        <v>0</v>
      </c>
      <c r="G196" s="174">
        <v>0</v>
      </c>
      <c r="H196" s="302"/>
      <c r="I196" s="34">
        <v>0</v>
      </c>
      <c r="J196" s="162">
        <f t="shared" si="16"/>
        <v>0</v>
      </c>
      <c r="K196" s="163"/>
      <c r="L196" s="163"/>
    </row>
    <row r="197" spans="1:16" ht="15.75" x14ac:dyDescent="0.25">
      <c r="A197" s="154" t="s">
        <v>50</v>
      </c>
      <c r="B197" s="154"/>
      <c r="C197" s="31">
        <v>0</v>
      </c>
      <c r="D197" s="32">
        <v>0</v>
      </c>
      <c r="E197" s="33">
        <f t="shared" si="19"/>
        <v>0</v>
      </c>
      <c r="F197" s="34">
        <v>0</v>
      </c>
      <c r="G197" s="174">
        <v>0</v>
      </c>
      <c r="H197" s="302"/>
      <c r="I197" s="34">
        <v>0</v>
      </c>
      <c r="J197" s="162">
        <f t="shared" si="16"/>
        <v>0</v>
      </c>
      <c r="K197" s="163"/>
      <c r="L197" s="163"/>
    </row>
    <row r="198" spans="1:16" ht="15.75" x14ac:dyDescent="0.25">
      <c r="A198" s="154" t="s">
        <v>51</v>
      </c>
      <c r="B198" s="154"/>
      <c r="C198" s="31">
        <v>0</v>
      </c>
      <c r="D198" s="32">
        <v>0</v>
      </c>
      <c r="E198" s="33">
        <f t="shared" si="19"/>
        <v>0</v>
      </c>
      <c r="F198" s="34">
        <v>0</v>
      </c>
      <c r="G198" s="174">
        <v>0</v>
      </c>
      <c r="H198" s="302"/>
      <c r="I198" s="34">
        <v>0</v>
      </c>
      <c r="J198" s="162">
        <f t="shared" si="16"/>
        <v>0</v>
      </c>
      <c r="K198" s="163"/>
      <c r="L198" s="163"/>
    </row>
    <row r="199" spans="1:16" ht="15.75" x14ac:dyDescent="0.25">
      <c r="A199" s="154" t="s">
        <v>52</v>
      </c>
      <c r="B199" s="154"/>
      <c r="C199" s="31">
        <v>0</v>
      </c>
      <c r="D199" s="32">
        <v>0</v>
      </c>
      <c r="E199" s="33">
        <f t="shared" si="19"/>
        <v>0</v>
      </c>
      <c r="F199" s="34">
        <v>0</v>
      </c>
      <c r="G199" s="174">
        <v>0</v>
      </c>
      <c r="H199" s="302"/>
      <c r="I199" s="34">
        <v>0</v>
      </c>
      <c r="J199" s="162">
        <f t="shared" si="16"/>
        <v>0</v>
      </c>
      <c r="K199" s="163"/>
      <c r="L199" s="163"/>
    </row>
    <row r="200" spans="1:16" ht="15.75" x14ac:dyDescent="0.25">
      <c r="A200" s="154" t="s">
        <v>53</v>
      </c>
      <c r="B200" s="154"/>
      <c r="C200" s="31">
        <v>0</v>
      </c>
      <c r="D200" s="32">
        <v>0</v>
      </c>
      <c r="E200" s="33">
        <f t="shared" si="19"/>
        <v>0</v>
      </c>
      <c r="F200" s="34">
        <v>0</v>
      </c>
      <c r="G200" s="174">
        <v>0</v>
      </c>
      <c r="H200" s="302"/>
      <c r="I200" s="34">
        <v>0</v>
      </c>
      <c r="J200" s="162">
        <f t="shared" si="16"/>
        <v>0</v>
      </c>
      <c r="K200" s="163"/>
      <c r="L200" s="163"/>
    </row>
    <row r="201" spans="1:16" ht="15.75" x14ac:dyDescent="0.25">
      <c r="A201" s="233" t="s">
        <v>71</v>
      </c>
      <c r="B201" s="154"/>
      <c r="C201" s="31">
        <v>0</v>
      </c>
      <c r="D201" s="32">
        <v>0</v>
      </c>
      <c r="E201" s="33">
        <f>G201-0</f>
        <v>0</v>
      </c>
      <c r="F201" s="34">
        <v>0</v>
      </c>
      <c r="G201" s="174">
        <v>0</v>
      </c>
      <c r="H201" s="302"/>
      <c r="I201" s="34">
        <v>0</v>
      </c>
      <c r="J201" s="162">
        <f t="shared" si="16"/>
        <v>0</v>
      </c>
      <c r="K201" s="163"/>
      <c r="L201" s="163"/>
      <c r="M201" s="324"/>
      <c r="N201" s="324"/>
      <c r="O201" s="324"/>
      <c r="P201" s="324"/>
    </row>
    <row r="202" spans="1:16" ht="15.75" hidden="1" x14ac:dyDescent="0.25">
      <c r="A202" s="154" t="s">
        <v>72</v>
      </c>
      <c r="B202" s="154"/>
      <c r="C202" s="31">
        <v>0</v>
      </c>
      <c r="D202" s="32">
        <v>0</v>
      </c>
      <c r="E202" s="33">
        <f t="shared" si="19"/>
        <v>0</v>
      </c>
      <c r="F202" s="34" t="e">
        <f t="shared" si="13"/>
        <v>#DIV/0!</v>
      </c>
      <c r="G202" s="174">
        <v>0</v>
      </c>
      <c r="H202" s="302"/>
      <c r="I202" s="34" t="e">
        <f t="shared" si="15"/>
        <v>#DIV/0!</v>
      </c>
      <c r="J202" s="157">
        <f t="shared" si="16"/>
        <v>0</v>
      </c>
      <c r="K202" s="164"/>
      <c r="L202" s="164"/>
      <c r="N202" s="187" t="s">
        <v>135</v>
      </c>
    </row>
    <row r="203" spans="1:16" ht="15.75" hidden="1" x14ac:dyDescent="0.25">
      <c r="A203" s="154" t="s">
        <v>74</v>
      </c>
      <c r="B203" s="154"/>
      <c r="C203" s="31">
        <v>0</v>
      </c>
      <c r="D203" s="32">
        <v>0</v>
      </c>
      <c r="E203" s="33">
        <f t="shared" si="19"/>
        <v>0</v>
      </c>
      <c r="F203" s="34" t="e">
        <f t="shared" si="13"/>
        <v>#DIV/0!</v>
      </c>
      <c r="G203" s="174">
        <v>0</v>
      </c>
      <c r="H203" s="302"/>
      <c r="I203" s="34" t="e">
        <f t="shared" si="15"/>
        <v>#DIV/0!</v>
      </c>
      <c r="J203" s="157">
        <f t="shared" si="16"/>
        <v>0</v>
      </c>
      <c r="K203" s="164"/>
      <c r="L203" s="164"/>
      <c r="N203" s="187"/>
    </row>
    <row r="204" spans="1:16" ht="15.75" x14ac:dyDescent="0.25">
      <c r="A204" s="233" t="s">
        <v>76</v>
      </c>
      <c r="B204" s="154"/>
      <c r="C204" s="31">
        <f>SUM(C205:C208)</f>
        <v>0</v>
      </c>
      <c r="D204" s="32">
        <f>SUM(D205:D208)</f>
        <v>0</v>
      </c>
      <c r="E204" s="33">
        <f>SUM(E205:E208)</f>
        <v>0</v>
      </c>
      <c r="F204" s="34">
        <v>0</v>
      </c>
      <c r="G204" s="174">
        <f>SUM(G205:H208)</f>
        <v>0</v>
      </c>
      <c r="H204" s="302">
        <f>SUM(H206:H208)</f>
        <v>0</v>
      </c>
      <c r="I204" s="34">
        <v>0</v>
      </c>
      <c r="J204" s="162">
        <f t="shared" si="16"/>
        <v>0</v>
      </c>
      <c r="K204" s="163"/>
      <c r="L204" s="163"/>
    </row>
    <row r="205" spans="1:16" ht="15.75" x14ac:dyDescent="0.25">
      <c r="A205" s="154" t="s">
        <v>77</v>
      </c>
      <c r="B205" s="154"/>
      <c r="C205" s="31">
        <v>0</v>
      </c>
      <c r="D205" s="32">
        <v>0</v>
      </c>
      <c r="E205" s="33">
        <f>G205</f>
        <v>0</v>
      </c>
      <c r="F205" s="34">
        <v>0</v>
      </c>
      <c r="G205" s="174">
        <v>0</v>
      </c>
      <c r="H205" s="302"/>
      <c r="I205" s="34">
        <v>0</v>
      </c>
      <c r="J205" s="162">
        <f t="shared" si="16"/>
        <v>0</v>
      </c>
      <c r="K205" s="163"/>
      <c r="L205" s="163"/>
    </row>
    <row r="206" spans="1:16" ht="15.75" x14ac:dyDescent="0.25">
      <c r="A206" s="154" t="s">
        <v>78</v>
      </c>
      <c r="B206" s="154"/>
      <c r="C206" s="31">
        <v>0</v>
      </c>
      <c r="D206" s="32">
        <v>0</v>
      </c>
      <c r="E206" s="33">
        <f>G206</f>
        <v>0</v>
      </c>
      <c r="F206" s="34">
        <v>0</v>
      </c>
      <c r="G206" s="174">
        <v>0</v>
      </c>
      <c r="H206" s="302"/>
      <c r="I206" s="34">
        <v>0</v>
      </c>
      <c r="J206" s="162">
        <f t="shared" si="16"/>
        <v>0</v>
      </c>
      <c r="K206" s="163"/>
      <c r="L206" s="163"/>
    </row>
    <row r="207" spans="1:16" ht="15.75" x14ac:dyDescent="0.25">
      <c r="A207" s="154" t="s">
        <v>79</v>
      </c>
      <c r="B207" s="154"/>
      <c r="C207" s="31">
        <v>0</v>
      </c>
      <c r="D207" s="32">
        <v>0</v>
      </c>
      <c r="E207" s="33">
        <f>G207</f>
        <v>0</v>
      </c>
      <c r="F207" s="34">
        <v>0</v>
      </c>
      <c r="G207" s="174">
        <v>0</v>
      </c>
      <c r="H207" s="302"/>
      <c r="I207" s="34">
        <v>0</v>
      </c>
      <c r="J207" s="162">
        <f t="shared" si="16"/>
        <v>0</v>
      </c>
      <c r="K207" s="163"/>
      <c r="L207" s="163"/>
    </row>
    <row r="208" spans="1:16" ht="15.75" x14ac:dyDescent="0.25">
      <c r="A208" s="318" t="s">
        <v>80</v>
      </c>
      <c r="B208" s="318"/>
      <c r="C208" s="134">
        <v>0</v>
      </c>
      <c r="D208" s="100">
        <v>0</v>
      </c>
      <c r="E208" s="135">
        <f>G208</f>
        <v>0</v>
      </c>
      <c r="F208" s="64">
        <v>0</v>
      </c>
      <c r="G208" s="316">
        <v>0</v>
      </c>
      <c r="H208" s="317"/>
      <c r="I208" s="64">
        <v>0</v>
      </c>
      <c r="J208" s="314">
        <f t="shared" si="16"/>
        <v>0</v>
      </c>
      <c r="K208" s="315"/>
      <c r="L208" s="315"/>
    </row>
    <row r="209" spans="1:12" ht="15.75" customHeight="1" x14ac:dyDescent="0.25">
      <c r="A209" s="110"/>
      <c r="B209" s="111"/>
      <c r="C209" s="111"/>
      <c r="D209" s="112"/>
      <c r="E209" s="116"/>
      <c r="F209" s="111"/>
      <c r="G209" s="116"/>
      <c r="H209" s="313"/>
      <c r="I209" s="313"/>
      <c r="J209" s="113"/>
      <c r="K209" s="313"/>
      <c r="L209" s="313"/>
    </row>
    <row r="210" spans="1:12" ht="15.75" x14ac:dyDescent="0.25">
      <c r="A210" s="211" t="s">
        <v>136</v>
      </c>
      <c r="B210" s="79" t="s">
        <v>94</v>
      </c>
      <c r="C210" s="79" t="s">
        <v>94</v>
      </c>
      <c r="D210" s="281" t="s">
        <v>95</v>
      </c>
      <c r="E210" s="282"/>
      <c r="F210" s="80" t="s">
        <v>9</v>
      </c>
      <c r="G210" s="281" t="s">
        <v>96</v>
      </c>
      <c r="H210" s="282"/>
      <c r="I210" s="283"/>
      <c r="J210" s="14" t="s">
        <v>9</v>
      </c>
      <c r="K210" s="270" t="s">
        <v>97</v>
      </c>
      <c r="L210" s="271"/>
    </row>
    <row r="211" spans="1:12" ht="15.75" x14ac:dyDescent="0.25">
      <c r="A211" s="213"/>
      <c r="B211" s="81" t="s">
        <v>98</v>
      </c>
      <c r="C211" s="81" t="s">
        <v>10</v>
      </c>
      <c r="D211" s="82" t="s">
        <v>99</v>
      </c>
      <c r="E211" s="82" t="s">
        <v>100</v>
      </c>
      <c r="F211" s="83"/>
      <c r="G211" s="82" t="s">
        <v>99</v>
      </c>
      <c r="H211" s="274" t="s">
        <v>100</v>
      </c>
      <c r="I211" s="275"/>
      <c r="J211" s="84"/>
      <c r="K211" s="272"/>
      <c r="L211" s="273"/>
    </row>
    <row r="212" spans="1:12" ht="15.75" x14ac:dyDescent="0.25">
      <c r="A212" s="213"/>
      <c r="B212" s="81"/>
      <c r="C212" s="81"/>
      <c r="D212" s="83" t="s">
        <v>101</v>
      </c>
      <c r="E212" s="83" t="s">
        <v>101</v>
      </c>
      <c r="F212" s="83"/>
      <c r="G212" s="83" t="s">
        <v>101</v>
      </c>
      <c r="H212" s="276" t="s">
        <v>101</v>
      </c>
      <c r="I212" s="277"/>
      <c r="J212" s="84"/>
      <c r="K212" s="272"/>
      <c r="L212" s="273"/>
    </row>
    <row r="213" spans="1:12" ht="15.75" x14ac:dyDescent="0.25">
      <c r="A213" s="215"/>
      <c r="B213" s="85" t="s">
        <v>102</v>
      </c>
      <c r="C213" s="85" t="s">
        <v>103</v>
      </c>
      <c r="D213" s="85"/>
      <c r="E213" s="85" t="s">
        <v>104</v>
      </c>
      <c r="F213" s="86" t="s">
        <v>105</v>
      </c>
      <c r="G213" s="85"/>
      <c r="H213" s="263" t="s">
        <v>106</v>
      </c>
      <c r="I213" s="264"/>
      <c r="J213" s="18" t="s">
        <v>107</v>
      </c>
      <c r="K213" s="263" t="s">
        <v>108</v>
      </c>
      <c r="L213" s="286"/>
    </row>
    <row r="214" spans="1:12" s="3" customFormat="1" ht="15.75" x14ac:dyDescent="0.25">
      <c r="A214" s="1" t="s">
        <v>119</v>
      </c>
      <c r="B214" s="29">
        <f>B215+B219</f>
        <v>7951876408</v>
      </c>
      <c r="C214" s="29">
        <f>C215+C219</f>
        <v>8347236524.2399998</v>
      </c>
      <c r="D214" s="29">
        <f>D215+D219</f>
        <v>1786536182.9099998</v>
      </c>
      <c r="E214" s="29">
        <f>E215+E219</f>
        <v>5167613566.9700003</v>
      </c>
      <c r="F214" s="29">
        <f>C214-E214</f>
        <v>3179622957.2699995</v>
      </c>
      <c r="G214" s="29">
        <f>G215+G219</f>
        <v>1858567075.1800001</v>
      </c>
      <c r="H214" s="159">
        <f>H215+H219</f>
        <v>4852334249.7199993</v>
      </c>
      <c r="I214" s="160"/>
      <c r="J214" s="27">
        <f t="shared" ref="J214:J223" si="20">C214-H214</f>
        <v>3494902274.5200005</v>
      </c>
      <c r="K214" s="159">
        <f>K215+K219</f>
        <v>3715218362.6300001</v>
      </c>
      <c r="L214" s="312"/>
    </row>
    <row r="215" spans="1:12" s="3" customFormat="1" ht="15.75" x14ac:dyDescent="0.25">
      <c r="A215" s="1" t="s">
        <v>110</v>
      </c>
      <c r="B215" s="29">
        <f>SUM(B216:B218)</f>
        <v>7951415679</v>
      </c>
      <c r="C215" s="29">
        <f>SUM(C216:C218)</f>
        <v>8304880658.5599995</v>
      </c>
      <c r="D215" s="29">
        <f>SUM(D216:D218)</f>
        <v>1786513121.9199998</v>
      </c>
      <c r="E215" s="29">
        <f>SUM(E216:E218)</f>
        <v>5167457275.1199999</v>
      </c>
      <c r="F215" s="29">
        <f t="shared" ref="F215:F223" si="21">C215-E215</f>
        <v>3137423383.4399996</v>
      </c>
      <c r="G215" s="29">
        <f>SUM(G216:G218)</f>
        <v>1858544014.1900001</v>
      </c>
      <c r="H215" s="159">
        <f>SUM(H216:I218)</f>
        <v>4852244557.0299997</v>
      </c>
      <c r="I215" s="160">
        <f>SUM(I216:I218)</f>
        <v>0</v>
      </c>
      <c r="J215" s="27">
        <f t="shared" si="20"/>
        <v>3452636101.5299997</v>
      </c>
      <c r="K215" s="159">
        <f>SUM(K216:L218)</f>
        <v>3715128669.9400001</v>
      </c>
      <c r="L215" s="312"/>
    </row>
    <row r="216" spans="1:12" s="3" customFormat="1" ht="15.95" customHeight="1" x14ac:dyDescent="0.25">
      <c r="A216" s="3" t="s">
        <v>111</v>
      </c>
      <c r="B216" s="35">
        <v>3924184249</v>
      </c>
      <c r="C216" s="35">
        <v>4047596932.6300001</v>
      </c>
      <c r="D216" s="35">
        <f>E216-1378750432.9</f>
        <v>956123957.36999989</v>
      </c>
      <c r="E216" s="43">
        <v>2334874390.27</v>
      </c>
      <c r="F216" s="35">
        <f t="shared" si="21"/>
        <v>1712722542.3600001</v>
      </c>
      <c r="G216" s="35">
        <f>H216-1099640645.99</f>
        <v>976595208.07999992</v>
      </c>
      <c r="H216" s="157">
        <v>2076235854.0699999</v>
      </c>
      <c r="I216" s="158"/>
      <c r="J216" s="32">
        <f t="shared" si="20"/>
        <v>1971361078.5600002</v>
      </c>
      <c r="K216" s="157">
        <v>1465935425.4400001</v>
      </c>
      <c r="L216" s="164"/>
    </row>
    <row r="217" spans="1:12" s="3" customFormat="1" ht="15.95" customHeight="1" x14ac:dyDescent="0.25">
      <c r="A217" s="136" t="s">
        <v>137</v>
      </c>
      <c r="B217" s="35">
        <v>0</v>
      </c>
      <c r="C217" s="35">
        <v>0</v>
      </c>
      <c r="D217" s="35">
        <f>E217</f>
        <v>0</v>
      </c>
      <c r="E217" s="35">
        <v>0</v>
      </c>
      <c r="F217" s="35">
        <f t="shared" si="21"/>
        <v>0</v>
      </c>
      <c r="G217" s="35">
        <f>H217</f>
        <v>0</v>
      </c>
      <c r="H217" s="157">
        <v>0</v>
      </c>
      <c r="I217" s="158"/>
      <c r="J217" s="32">
        <f t="shared" si="20"/>
        <v>0</v>
      </c>
      <c r="K217" s="157">
        <v>0</v>
      </c>
      <c r="L217" s="164"/>
    </row>
    <row r="218" spans="1:12" s="3" customFormat="1" ht="15.95" customHeight="1" x14ac:dyDescent="0.25">
      <c r="A218" s="3" t="s">
        <v>113</v>
      </c>
      <c r="B218" s="43">
        <v>4027231430</v>
      </c>
      <c r="C218" s="43">
        <v>4257283725.9299998</v>
      </c>
      <c r="D218" s="35">
        <f>E218-2002193720.3</f>
        <v>830389164.54999995</v>
      </c>
      <c r="E218" s="43">
        <v>2832582884.8499999</v>
      </c>
      <c r="F218" s="35">
        <f t="shared" si="21"/>
        <v>1424700841.0799999</v>
      </c>
      <c r="G218" s="35">
        <f>H218-1894059896.85</f>
        <v>881948806.11000013</v>
      </c>
      <c r="H218" s="157">
        <v>2776008702.96</v>
      </c>
      <c r="I218" s="158"/>
      <c r="J218" s="32">
        <f t="shared" si="20"/>
        <v>1481275022.9699998</v>
      </c>
      <c r="K218" s="157">
        <v>2249193244.5</v>
      </c>
      <c r="L218" s="164"/>
    </row>
    <row r="219" spans="1:12" s="3" customFormat="1" ht="15.95" customHeight="1" x14ac:dyDescent="0.25">
      <c r="A219" s="1" t="s">
        <v>114</v>
      </c>
      <c r="B219" s="29">
        <f>B220+B221+B222</f>
        <v>460729</v>
      </c>
      <c r="C219" s="29">
        <f>C220+C221+C222</f>
        <v>42355865.68</v>
      </c>
      <c r="D219" s="29">
        <f>D220+D221+D222</f>
        <v>23060.990000000005</v>
      </c>
      <c r="E219" s="29">
        <f>E220+E221+E222</f>
        <v>156291.85</v>
      </c>
      <c r="F219" s="29">
        <f t="shared" si="21"/>
        <v>42199573.829999998</v>
      </c>
      <c r="G219" s="29">
        <f>G220+G221+G222</f>
        <v>23060.990000000005</v>
      </c>
      <c r="H219" s="159">
        <f>H220+H221+H222</f>
        <v>89692.69</v>
      </c>
      <c r="I219" s="160"/>
      <c r="J219" s="27">
        <f t="shared" si="20"/>
        <v>42266172.990000002</v>
      </c>
      <c r="K219" s="159">
        <f>K220+K221+K222</f>
        <v>89692.69</v>
      </c>
      <c r="L219" s="312"/>
    </row>
    <row r="220" spans="1:12" s="3" customFormat="1" ht="15.95" customHeight="1" x14ac:dyDescent="0.25">
      <c r="A220" s="3" t="s">
        <v>115</v>
      </c>
      <c r="B220" s="35">
        <v>202007</v>
      </c>
      <c r="C220" s="35">
        <v>42097143.68</v>
      </c>
      <c r="D220" s="35">
        <f>E220-66599.16</f>
        <v>0</v>
      </c>
      <c r="E220" s="35">
        <v>66599.16</v>
      </c>
      <c r="F220" s="35">
        <f t="shared" si="21"/>
        <v>42030544.520000003</v>
      </c>
      <c r="G220" s="32">
        <f>H220</f>
        <v>0</v>
      </c>
      <c r="H220" s="164">
        <v>0</v>
      </c>
      <c r="I220" s="158"/>
      <c r="J220" s="32">
        <f t="shared" si="20"/>
        <v>42097143.68</v>
      </c>
      <c r="K220" s="164">
        <v>0</v>
      </c>
      <c r="L220" s="164"/>
    </row>
    <row r="221" spans="1:12" s="3" customFormat="1" ht="15.95" customHeight="1" x14ac:dyDescent="0.25">
      <c r="A221" s="3" t="s">
        <v>116</v>
      </c>
      <c r="B221" s="35">
        <v>0</v>
      </c>
      <c r="C221" s="35">
        <v>0</v>
      </c>
      <c r="D221" s="35">
        <f>E221</f>
        <v>0</v>
      </c>
      <c r="E221" s="35">
        <v>0</v>
      </c>
      <c r="F221" s="35">
        <f t="shared" si="21"/>
        <v>0</v>
      </c>
      <c r="G221" s="32">
        <f>H221</f>
        <v>0</v>
      </c>
      <c r="H221" s="157">
        <v>0</v>
      </c>
      <c r="I221" s="158"/>
      <c r="J221" s="32">
        <f t="shared" si="20"/>
        <v>0</v>
      </c>
      <c r="K221" s="157">
        <v>0</v>
      </c>
      <c r="L221" s="164"/>
    </row>
    <row r="222" spans="1:12" s="3" customFormat="1" ht="15.95" customHeight="1" x14ac:dyDescent="0.25">
      <c r="A222" s="3" t="s">
        <v>117</v>
      </c>
      <c r="B222" s="35">
        <v>258722</v>
      </c>
      <c r="C222" s="35">
        <v>258722</v>
      </c>
      <c r="D222" s="35">
        <f>E222-66631.7</f>
        <v>23060.990000000005</v>
      </c>
      <c r="E222" s="43">
        <v>89692.69</v>
      </c>
      <c r="F222" s="35">
        <v>0</v>
      </c>
      <c r="G222" s="35">
        <f>H222-66631.7</f>
        <v>23060.990000000005</v>
      </c>
      <c r="H222" s="157">
        <v>89692.69</v>
      </c>
      <c r="I222" s="158"/>
      <c r="J222" s="32">
        <f t="shared" si="20"/>
        <v>169029.31</v>
      </c>
      <c r="K222" s="157">
        <v>89692.69</v>
      </c>
      <c r="L222" s="164"/>
    </row>
    <row r="223" spans="1:12" s="3" customFormat="1" ht="15.95" customHeight="1" x14ac:dyDescent="0.25">
      <c r="A223" s="137" t="s">
        <v>138</v>
      </c>
      <c r="B223" s="102">
        <v>0</v>
      </c>
      <c r="C223" s="102">
        <v>0</v>
      </c>
      <c r="D223" s="102">
        <f>E223-0</f>
        <v>0</v>
      </c>
      <c r="E223" s="102">
        <v>0</v>
      </c>
      <c r="F223" s="102">
        <f t="shared" si="21"/>
        <v>0</v>
      </c>
      <c r="G223" s="102">
        <f>H223-0</f>
        <v>0</v>
      </c>
      <c r="H223" s="249">
        <v>0</v>
      </c>
      <c r="I223" s="250"/>
      <c r="J223" s="100">
        <f t="shared" si="20"/>
        <v>0</v>
      </c>
      <c r="K223" s="249">
        <v>0</v>
      </c>
      <c r="L223" s="319"/>
    </row>
    <row r="224" spans="1:12" s="3" customFormat="1" ht="15.75" x14ac:dyDescent="0.25">
      <c r="A224" s="138" t="s">
        <v>139</v>
      </c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40" t="s">
        <v>140</v>
      </c>
    </row>
    <row r="225" spans="1:13" s="3" customFormat="1" ht="18" x14ac:dyDescent="0.25">
      <c r="A225" s="138" t="s">
        <v>157</v>
      </c>
      <c r="B225" s="139"/>
      <c r="C225" s="139"/>
      <c r="D225" s="139"/>
      <c r="E225" s="139"/>
      <c r="F225" s="139"/>
      <c r="G225" s="139"/>
      <c r="H225" s="139"/>
      <c r="I225" s="139"/>
      <c r="J225" s="139"/>
      <c r="K225" s="139"/>
      <c r="L225" s="140"/>
    </row>
    <row r="226" spans="1:13" s="3" customFormat="1" ht="18" x14ac:dyDescent="0.25">
      <c r="A226" s="138" t="s">
        <v>158</v>
      </c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40"/>
    </row>
    <row r="227" spans="1:13" s="3" customFormat="1" ht="15.95" customHeight="1" x14ac:dyDescent="0.25">
      <c r="A227" s="141" t="s">
        <v>141</v>
      </c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2"/>
    </row>
    <row r="228" spans="1:13" s="3" customFormat="1" ht="15.95" customHeight="1" x14ac:dyDescent="0.25">
      <c r="A228" s="141" t="s">
        <v>152</v>
      </c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38"/>
    </row>
    <row r="229" spans="1:13" s="3" customFormat="1" ht="15.95" customHeight="1" x14ac:dyDescent="0.25">
      <c r="A229" s="196" t="s">
        <v>153</v>
      </c>
      <c r="B229" s="196"/>
      <c r="C229" s="196"/>
      <c r="D229" s="196"/>
      <c r="E229" s="196"/>
      <c r="F229" s="196"/>
      <c r="G229" s="196"/>
      <c r="H229" s="196"/>
      <c r="I229" s="196"/>
      <c r="J229" s="196"/>
      <c r="K229" s="196"/>
      <c r="L229" s="196"/>
    </row>
    <row r="230" spans="1:13" s="3" customFormat="1" ht="15.75" x14ac:dyDescent="0.25">
      <c r="A230" s="195" t="s">
        <v>142</v>
      </c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</row>
    <row r="231" spans="1:13" s="3" customFormat="1" ht="15.95" customHeight="1" x14ac:dyDescent="0.25">
      <c r="A231" s="144"/>
      <c r="B231" s="141"/>
      <c r="C231" s="145"/>
      <c r="D231" s="141"/>
      <c r="E231" s="146"/>
      <c r="F231" s="141"/>
      <c r="G231" s="146"/>
      <c r="H231" s="141"/>
      <c r="I231" s="141"/>
      <c r="J231" s="141"/>
      <c r="K231" s="141"/>
      <c r="L231" s="141"/>
    </row>
    <row r="232" spans="1:13" s="3" customFormat="1" ht="15.95" customHeight="1" x14ac:dyDescent="0.25">
      <c r="A232" s="147"/>
      <c r="B232" s="148"/>
      <c r="C232" s="148"/>
      <c r="D232" s="148"/>
      <c r="E232" s="148"/>
      <c r="F232" s="148"/>
      <c r="G232" s="148"/>
      <c r="H232" s="148"/>
      <c r="I232" s="148"/>
      <c r="J232" s="148"/>
      <c r="K232" s="148"/>
      <c r="L232" s="148"/>
    </row>
    <row r="233" spans="1:13" s="3" customFormat="1" ht="15.95" customHeight="1" x14ac:dyDescent="0.25">
      <c r="A233" s="149"/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1"/>
    </row>
    <row r="234" spans="1:13" s="3" customFormat="1" ht="15.95" customHeight="1" x14ac:dyDescent="0.25">
      <c r="A234" s="150"/>
      <c r="B234" s="148"/>
      <c r="C234" s="148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</row>
    <row r="235" spans="1:13" s="3" customFormat="1" ht="15.95" customHeight="1" x14ac:dyDescent="0.25">
      <c r="A235" s="150"/>
      <c r="B235" s="148"/>
      <c r="C235" s="148"/>
      <c r="D235" s="148"/>
      <c r="E235" s="148"/>
      <c r="F235" s="148"/>
      <c r="G235" s="148"/>
      <c r="H235" s="148"/>
      <c r="I235" s="148"/>
      <c r="J235" s="148"/>
      <c r="K235" s="148"/>
      <c r="L235" s="148"/>
    </row>
    <row r="236" spans="1:13" s="3" customFormat="1" ht="15.95" customHeight="1" x14ac:dyDescent="0.25">
      <c r="A236" s="152"/>
      <c r="B236" s="152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</row>
    <row r="237" spans="1:13" s="3" customFormat="1" ht="15.95" customHeight="1" x14ac:dyDescent="0.25">
      <c r="A237" s="152"/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</row>
    <row r="238" spans="1:13" s="3" customFormat="1" ht="15.95" customHeight="1" x14ac:dyDescent="0.25">
      <c r="A238" s="170" t="s">
        <v>143</v>
      </c>
      <c r="B238" s="170"/>
      <c r="C238" s="170" t="s">
        <v>144</v>
      </c>
      <c r="D238" s="170"/>
      <c r="E238" s="170"/>
      <c r="F238" s="170"/>
      <c r="G238" s="185" t="s">
        <v>145</v>
      </c>
      <c r="H238" s="185"/>
      <c r="I238" s="185"/>
      <c r="J238" s="185"/>
      <c r="K238" s="185"/>
      <c r="L238" s="185"/>
    </row>
    <row r="239" spans="1:13" s="3" customFormat="1" ht="15.95" customHeight="1" x14ac:dyDescent="0.25">
      <c r="A239" s="170" t="s">
        <v>146</v>
      </c>
      <c r="B239" s="170"/>
      <c r="C239" s="170" t="s">
        <v>147</v>
      </c>
      <c r="D239" s="170"/>
      <c r="E239" s="170"/>
      <c r="F239" s="170"/>
      <c r="G239" s="185" t="s">
        <v>148</v>
      </c>
      <c r="H239" s="185"/>
      <c r="I239" s="185"/>
      <c r="J239" s="185"/>
      <c r="K239" s="185"/>
      <c r="L239" s="185"/>
    </row>
    <row r="240" spans="1:13" s="3" customFormat="1" ht="15.95" customHeight="1" x14ac:dyDescent="0.25">
      <c r="A240" s="170" t="s">
        <v>149</v>
      </c>
      <c r="B240" s="170"/>
      <c r="C240" s="170" t="s">
        <v>150</v>
      </c>
      <c r="D240" s="170"/>
      <c r="E240" s="170"/>
      <c r="F240" s="170"/>
      <c r="G240" s="185" t="s">
        <v>151</v>
      </c>
      <c r="H240" s="185"/>
      <c r="I240" s="185"/>
      <c r="J240" s="185"/>
      <c r="K240" s="185"/>
      <c r="L240" s="185"/>
    </row>
    <row r="241" spans="1:12" ht="15.95" customHeight="1" x14ac:dyDescent="0.2">
      <c r="A241" s="141"/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</row>
    <row r="242" spans="1:12" ht="11.25" customHeight="1" x14ac:dyDescent="0.2">
      <c r="A242" s="141"/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</row>
    <row r="243" spans="1:12" ht="11.25" customHeight="1" x14ac:dyDescent="0.2">
      <c r="A243" s="141"/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</row>
    <row r="244" spans="1:12" ht="11.25" customHeight="1" x14ac:dyDescent="0.2">
      <c r="A244" s="141"/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</row>
    <row r="245" spans="1:12" ht="11.25" customHeight="1" x14ac:dyDescent="0.2">
      <c r="A245" s="141"/>
      <c r="B245" s="141"/>
      <c r="C245" s="141"/>
      <c r="D245" s="153"/>
      <c r="E245" s="141"/>
      <c r="F245" s="141"/>
      <c r="G245" s="141"/>
      <c r="H245" s="141"/>
      <c r="I245" s="141"/>
      <c r="J245" s="141"/>
      <c r="K245" s="141"/>
      <c r="L245" s="141"/>
    </row>
    <row r="246" spans="1:12" ht="11.25" customHeight="1" x14ac:dyDescent="0.2">
      <c r="A246" s="141"/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</row>
    <row r="247" spans="1:12" ht="11.25" customHeight="1" x14ac:dyDescent="0.2">
      <c r="A247" s="141"/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</row>
    <row r="248" spans="1:12" ht="11.25" customHeight="1" x14ac:dyDescent="0.2">
      <c r="A248" s="141"/>
      <c r="B248" s="141"/>
      <c r="C248" s="141"/>
      <c r="D248" s="141"/>
      <c r="E248" s="141"/>
      <c r="F248" s="141"/>
      <c r="G248" s="141"/>
      <c r="H248" s="141"/>
      <c r="I248" s="141"/>
      <c r="J248" s="141"/>
      <c r="K248" s="141"/>
      <c r="L248" s="141"/>
    </row>
    <row r="249" spans="1:12" ht="11.25" customHeight="1" x14ac:dyDescent="0.25">
      <c r="A249" s="138"/>
      <c r="B249" s="138"/>
      <c r="C249" s="138"/>
      <c r="D249" s="138"/>
      <c r="E249" s="138"/>
      <c r="F249" s="138"/>
      <c r="G249" s="138"/>
      <c r="H249" s="138"/>
      <c r="I249" s="138"/>
      <c r="J249" s="138"/>
      <c r="K249" s="138"/>
      <c r="L249" s="138"/>
    </row>
    <row r="250" spans="1:12" ht="11.25" customHeight="1" x14ac:dyDescent="0.25">
      <c r="A250" s="138"/>
      <c r="B250" s="138"/>
      <c r="C250" s="138"/>
      <c r="D250" s="138"/>
      <c r="E250" s="138"/>
      <c r="F250" s="138"/>
      <c r="G250" s="138"/>
      <c r="H250" s="138"/>
      <c r="I250" s="138"/>
      <c r="J250" s="138"/>
      <c r="K250" s="138"/>
      <c r="L250" s="138"/>
    </row>
    <row r="251" spans="1:12" ht="11.25" customHeight="1" x14ac:dyDescent="0.25">
      <c r="A251" s="138"/>
      <c r="B251" s="138"/>
      <c r="C251" s="138"/>
      <c r="D251" s="138"/>
      <c r="E251" s="138"/>
      <c r="F251" s="138"/>
      <c r="G251" s="138"/>
      <c r="H251" s="138"/>
      <c r="I251" s="138"/>
      <c r="J251" s="138"/>
      <c r="K251" s="138"/>
      <c r="L251" s="138"/>
    </row>
    <row r="252" spans="1:12" ht="11.25" customHeight="1" x14ac:dyDescent="0.25">
      <c r="A252" s="138"/>
      <c r="B252" s="138"/>
      <c r="C252" s="138"/>
      <c r="D252" s="138"/>
      <c r="E252" s="138"/>
      <c r="F252" s="138"/>
      <c r="G252" s="138"/>
      <c r="H252" s="138"/>
      <c r="I252" s="138"/>
      <c r="J252" s="138"/>
      <c r="K252" s="138"/>
      <c r="L252" s="138"/>
    </row>
  </sheetData>
  <dataConsolidate/>
  <mergeCells count="577">
    <mergeCell ref="J184:L184"/>
    <mergeCell ref="A198:B198"/>
    <mergeCell ref="A199:B199"/>
    <mergeCell ref="A192:B192"/>
    <mergeCell ref="G198:H198"/>
    <mergeCell ref="J205:L205"/>
    <mergeCell ref="J194:L194"/>
    <mergeCell ref="G195:H195"/>
    <mergeCell ref="A201:B201"/>
    <mergeCell ref="G204:H204"/>
    <mergeCell ref="G205:H205"/>
    <mergeCell ref="G203:H203"/>
    <mergeCell ref="J199:L199"/>
    <mergeCell ref="J196:L196"/>
    <mergeCell ref="J197:L197"/>
    <mergeCell ref="A193:B193"/>
    <mergeCell ref="G185:H185"/>
    <mergeCell ref="J189:L189"/>
    <mergeCell ref="G182:H182"/>
    <mergeCell ref="A188:B188"/>
    <mergeCell ref="A189:B189"/>
    <mergeCell ref="G188:H188"/>
    <mergeCell ref="G184:H184"/>
    <mergeCell ref="G193:H193"/>
    <mergeCell ref="A186:B186"/>
    <mergeCell ref="G186:H186"/>
    <mergeCell ref="A184:B184"/>
    <mergeCell ref="A183:B183"/>
    <mergeCell ref="A185:B185"/>
    <mergeCell ref="G187:H187"/>
    <mergeCell ref="G183:H183"/>
    <mergeCell ref="J167:L167"/>
    <mergeCell ref="J200:L200"/>
    <mergeCell ref="J202:L202"/>
    <mergeCell ref="J204:L204"/>
    <mergeCell ref="J203:L203"/>
    <mergeCell ref="G194:H194"/>
    <mergeCell ref="A195:B195"/>
    <mergeCell ref="G199:H199"/>
    <mergeCell ref="G189:H189"/>
    <mergeCell ref="G190:H190"/>
    <mergeCell ref="G192:H192"/>
    <mergeCell ref="G191:H191"/>
    <mergeCell ref="G196:H196"/>
    <mergeCell ref="A191:B191"/>
    <mergeCell ref="A196:B196"/>
    <mergeCell ref="A194:B194"/>
    <mergeCell ref="G180:H180"/>
    <mergeCell ref="A180:B180"/>
    <mergeCell ref="A181:B181"/>
    <mergeCell ref="A182:B182"/>
    <mergeCell ref="A197:B197"/>
    <mergeCell ref="A187:B187"/>
    <mergeCell ref="J190:L190"/>
    <mergeCell ref="A190:B190"/>
    <mergeCell ref="G175:H175"/>
    <mergeCell ref="H216:I216"/>
    <mergeCell ref="K216:L216"/>
    <mergeCell ref="H218:I218"/>
    <mergeCell ref="K218:L218"/>
    <mergeCell ref="H219:I219"/>
    <mergeCell ref="K219:L219"/>
    <mergeCell ref="K221:L221"/>
    <mergeCell ref="H223:I223"/>
    <mergeCell ref="K223:L223"/>
    <mergeCell ref="K222:L222"/>
    <mergeCell ref="H222:I222"/>
    <mergeCell ref="H211:I211"/>
    <mergeCell ref="H212:I212"/>
    <mergeCell ref="G181:H181"/>
    <mergeCell ref="J195:L195"/>
    <mergeCell ref="J193:L193"/>
    <mergeCell ref="J191:L191"/>
    <mergeCell ref="J192:L192"/>
    <mergeCell ref="J183:L183"/>
    <mergeCell ref="J187:L187"/>
    <mergeCell ref="J188:L188"/>
    <mergeCell ref="J186:L186"/>
    <mergeCell ref="J185:L185"/>
    <mergeCell ref="D210:E210"/>
    <mergeCell ref="G210:I210"/>
    <mergeCell ref="A203:B203"/>
    <mergeCell ref="G207:H207"/>
    <mergeCell ref="G200:H200"/>
    <mergeCell ref="A204:B204"/>
    <mergeCell ref="G208:H208"/>
    <mergeCell ref="A207:B207"/>
    <mergeCell ref="G202:H202"/>
    <mergeCell ref="A210:A213"/>
    <mergeCell ref="A205:B205"/>
    <mergeCell ref="A202:B202"/>
    <mergeCell ref="A200:B200"/>
    <mergeCell ref="A208:B208"/>
    <mergeCell ref="H209:I209"/>
    <mergeCell ref="G206:H206"/>
    <mergeCell ref="A206:B206"/>
    <mergeCell ref="H214:I214"/>
    <mergeCell ref="K214:L214"/>
    <mergeCell ref="H215:I215"/>
    <mergeCell ref="K215:L215"/>
    <mergeCell ref="H213:I213"/>
    <mergeCell ref="K213:L213"/>
    <mergeCell ref="J198:L198"/>
    <mergeCell ref="G197:H197"/>
    <mergeCell ref="K210:L212"/>
    <mergeCell ref="G201:H201"/>
    <mergeCell ref="J201:L201"/>
    <mergeCell ref="K209:L209"/>
    <mergeCell ref="J208:L208"/>
    <mergeCell ref="J206:L206"/>
    <mergeCell ref="J207:L207"/>
    <mergeCell ref="J160:L160"/>
    <mergeCell ref="J174:L174"/>
    <mergeCell ref="A48:B48"/>
    <mergeCell ref="A133:L133"/>
    <mergeCell ref="A134:L134"/>
    <mergeCell ref="A168:B168"/>
    <mergeCell ref="G153:H153"/>
    <mergeCell ref="A167:B167"/>
    <mergeCell ref="A173:B173"/>
    <mergeCell ref="G167:H167"/>
    <mergeCell ref="J168:L168"/>
    <mergeCell ref="J169:L169"/>
    <mergeCell ref="J170:L170"/>
    <mergeCell ref="A162:B162"/>
    <mergeCell ref="G162:H162"/>
    <mergeCell ref="G169:H169"/>
    <mergeCell ref="A71:B71"/>
    <mergeCell ref="A72:B72"/>
    <mergeCell ref="J171:L171"/>
    <mergeCell ref="J172:L172"/>
    <mergeCell ref="J165:L165"/>
    <mergeCell ref="A151:B151"/>
    <mergeCell ref="G151:H151"/>
    <mergeCell ref="J151:L151"/>
    <mergeCell ref="A56:B56"/>
    <mergeCell ref="G56:H56"/>
    <mergeCell ref="G71:H71"/>
    <mergeCell ref="A148:B148"/>
    <mergeCell ref="G148:H148"/>
    <mergeCell ref="G143:H143"/>
    <mergeCell ref="A137:L137"/>
    <mergeCell ref="K123:L123"/>
    <mergeCell ref="H124:I124"/>
    <mergeCell ref="K120:L120"/>
    <mergeCell ref="K124:L124"/>
    <mergeCell ref="H121:I121"/>
    <mergeCell ref="H115:I115"/>
    <mergeCell ref="K115:L115"/>
    <mergeCell ref="K127:L127"/>
    <mergeCell ref="H127:I127"/>
    <mergeCell ref="A145:B145"/>
    <mergeCell ref="G145:H145"/>
    <mergeCell ref="A65:B65"/>
    <mergeCell ref="J145:L145"/>
    <mergeCell ref="A146:B146"/>
    <mergeCell ref="G146:H146"/>
    <mergeCell ref="J146:L146"/>
    <mergeCell ref="A147:B147"/>
    <mergeCell ref="A179:B179"/>
    <mergeCell ref="G179:H179"/>
    <mergeCell ref="A160:B160"/>
    <mergeCell ref="A172:B172"/>
    <mergeCell ref="G176:H176"/>
    <mergeCell ref="A175:B175"/>
    <mergeCell ref="A176:B176"/>
    <mergeCell ref="G177:H177"/>
    <mergeCell ref="A170:B170"/>
    <mergeCell ref="A177:B177"/>
    <mergeCell ref="A178:B178"/>
    <mergeCell ref="G178:H178"/>
    <mergeCell ref="A161:B161"/>
    <mergeCell ref="G163:H163"/>
    <mergeCell ref="G168:H168"/>
    <mergeCell ref="A169:B169"/>
    <mergeCell ref="A171:B171"/>
    <mergeCell ref="G171:H171"/>
    <mergeCell ref="G172:H172"/>
    <mergeCell ref="A174:B174"/>
    <mergeCell ref="G174:H174"/>
    <mergeCell ref="G173:H173"/>
    <mergeCell ref="G160:H160"/>
    <mergeCell ref="G170:H170"/>
    <mergeCell ref="J178:L178"/>
    <mergeCell ref="J175:L175"/>
    <mergeCell ref="J177:L177"/>
    <mergeCell ref="A152:B152"/>
    <mergeCell ref="G152:H152"/>
    <mergeCell ref="J152:L152"/>
    <mergeCell ref="A155:B155"/>
    <mergeCell ref="G155:H155"/>
    <mergeCell ref="J155:L155"/>
    <mergeCell ref="J153:L153"/>
    <mergeCell ref="G154:H154"/>
    <mergeCell ref="J154:L154"/>
    <mergeCell ref="A153:B153"/>
    <mergeCell ref="A163:B163"/>
    <mergeCell ref="A166:B166"/>
    <mergeCell ref="G166:H166"/>
    <mergeCell ref="A154:B154"/>
    <mergeCell ref="J158:L158"/>
    <mergeCell ref="A159:B159"/>
    <mergeCell ref="G159:H159"/>
    <mergeCell ref="J159:L159"/>
    <mergeCell ref="A158:B158"/>
    <mergeCell ref="A165:B165"/>
    <mergeCell ref="G165:H165"/>
    <mergeCell ref="G164:H164"/>
    <mergeCell ref="A164:B164"/>
    <mergeCell ref="J163:L163"/>
    <mergeCell ref="A149:B149"/>
    <mergeCell ref="A40:B40"/>
    <mergeCell ref="J50:L50"/>
    <mergeCell ref="A66:B66"/>
    <mergeCell ref="G67:H67"/>
    <mergeCell ref="J56:L56"/>
    <mergeCell ref="A156:B156"/>
    <mergeCell ref="G156:H156"/>
    <mergeCell ref="J156:L156"/>
    <mergeCell ref="A157:B157"/>
    <mergeCell ref="G157:H157"/>
    <mergeCell ref="J157:L157"/>
    <mergeCell ref="J164:L164"/>
    <mergeCell ref="G161:H161"/>
    <mergeCell ref="J161:L161"/>
    <mergeCell ref="G158:H158"/>
    <mergeCell ref="J75:L75"/>
    <mergeCell ref="A150:B150"/>
    <mergeCell ref="G150:H150"/>
    <mergeCell ref="J150:L150"/>
    <mergeCell ref="G147:H147"/>
    <mergeCell ref="A144:B144"/>
    <mergeCell ref="G144:H144"/>
    <mergeCell ref="J144:L144"/>
    <mergeCell ref="G149:H149"/>
    <mergeCell ref="C141:C143"/>
    <mergeCell ref="E141:I141"/>
    <mergeCell ref="G142:H142"/>
    <mergeCell ref="J142:L142"/>
    <mergeCell ref="A141:B143"/>
    <mergeCell ref="J141:L141"/>
    <mergeCell ref="H118:I118"/>
    <mergeCell ref="K118:L118"/>
    <mergeCell ref="K119:L119"/>
    <mergeCell ref="A136:L136"/>
    <mergeCell ref="K122:L122"/>
    <mergeCell ref="H120:I120"/>
    <mergeCell ref="H119:I119"/>
    <mergeCell ref="A135:L135"/>
    <mergeCell ref="K121:L121"/>
    <mergeCell ref="H122:I122"/>
    <mergeCell ref="H126:I126"/>
    <mergeCell ref="K126:L126"/>
    <mergeCell ref="K125:L125"/>
    <mergeCell ref="H123:I123"/>
    <mergeCell ref="H125:I125"/>
    <mergeCell ref="H114:I114"/>
    <mergeCell ref="K114:L114"/>
    <mergeCell ref="H111:I111"/>
    <mergeCell ref="H112:I112"/>
    <mergeCell ref="H113:I113"/>
    <mergeCell ref="K111:L111"/>
    <mergeCell ref="K112:L112"/>
    <mergeCell ref="K113:L113"/>
    <mergeCell ref="H117:I117"/>
    <mergeCell ref="K117:L117"/>
    <mergeCell ref="H116:I116"/>
    <mergeCell ref="K116:L116"/>
    <mergeCell ref="H108:I108"/>
    <mergeCell ref="K108:L108"/>
    <mergeCell ref="K107:L107"/>
    <mergeCell ref="H109:I109"/>
    <mergeCell ref="K109:L109"/>
    <mergeCell ref="H106:I106"/>
    <mergeCell ref="H107:I107"/>
    <mergeCell ref="H105:I105"/>
    <mergeCell ref="H110:I110"/>
    <mergeCell ref="K110:L110"/>
    <mergeCell ref="H104:I104"/>
    <mergeCell ref="K104:L104"/>
    <mergeCell ref="K105:L105"/>
    <mergeCell ref="H102:I102"/>
    <mergeCell ref="G95:H95"/>
    <mergeCell ref="J95:L95"/>
    <mergeCell ref="J94:L94"/>
    <mergeCell ref="A94:B94"/>
    <mergeCell ref="G94:H94"/>
    <mergeCell ref="K99:L101"/>
    <mergeCell ref="H100:I100"/>
    <mergeCell ref="H101:I101"/>
    <mergeCell ref="J96:L96"/>
    <mergeCell ref="G96:H96"/>
    <mergeCell ref="J97:L97"/>
    <mergeCell ref="A99:A102"/>
    <mergeCell ref="G97:H97"/>
    <mergeCell ref="D99:E99"/>
    <mergeCell ref="G99:I99"/>
    <mergeCell ref="A95:B95"/>
    <mergeCell ref="A97:B97"/>
    <mergeCell ref="A96:B96"/>
    <mergeCell ref="K102:L102"/>
    <mergeCell ref="H103:I103"/>
    <mergeCell ref="A93:B93"/>
    <mergeCell ref="G93:H93"/>
    <mergeCell ref="J93:L93"/>
    <mergeCell ref="A92:B92"/>
    <mergeCell ref="G92:H92"/>
    <mergeCell ref="J92:L92"/>
    <mergeCell ref="A89:B89"/>
    <mergeCell ref="G89:H89"/>
    <mergeCell ref="J89:L89"/>
    <mergeCell ref="A91:B91"/>
    <mergeCell ref="G91:H91"/>
    <mergeCell ref="J91:L91"/>
    <mergeCell ref="A90:B90"/>
    <mergeCell ref="G90:H90"/>
    <mergeCell ref="J90:L90"/>
    <mergeCell ref="A87:B87"/>
    <mergeCell ref="A88:B88"/>
    <mergeCell ref="G88:H88"/>
    <mergeCell ref="J88:L88"/>
    <mergeCell ref="A82:B82"/>
    <mergeCell ref="J83:L83"/>
    <mergeCell ref="J85:L85"/>
    <mergeCell ref="A83:B83"/>
    <mergeCell ref="G83:H83"/>
    <mergeCell ref="G87:H87"/>
    <mergeCell ref="G85:H85"/>
    <mergeCell ref="J80:L80"/>
    <mergeCell ref="G82:H82"/>
    <mergeCell ref="A86:B86"/>
    <mergeCell ref="A79:B79"/>
    <mergeCell ref="J79:L79"/>
    <mergeCell ref="G79:H79"/>
    <mergeCell ref="J84:L84"/>
    <mergeCell ref="A84:B84"/>
    <mergeCell ref="G80:H80"/>
    <mergeCell ref="G84:H84"/>
    <mergeCell ref="G75:H75"/>
    <mergeCell ref="J86:L86"/>
    <mergeCell ref="A81:B81"/>
    <mergeCell ref="J67:L67"/>
    <mergeCell ref="A69:B69"/>
    <mergeCell ref="J69:L69"/>
    <mergeCell ref="A70:B70"/>
    <mergeCell ref="J68:L68"/>
    <mergeCell ref="J78:L78"/>
    <mergeCell ref="A73:B73"/>
    <mergeCell ref="G86:H86"/>
    <mergeCell ref="J82:L82"/>
    <mergeCell ref="A80:B80"/>
    <mergeCell ref="G73:H73"/>
    <mergeCell ref="G77:H77"/>
    <mergeCell ref="J77:L77"/>
    <mergeCell ref="A76:B76"/>
    <mergeCell ref="A74:B74"/>
    <mergeCell ref="A75:B75"/>
    <mergeCell ref="A78:B78"/>
    <mergeCell ref="A77:B77"/>
    <mergeCell ref="G74:H74"/>
    <mergeCell ref="J81:L81"/>
    <mergeCell ref="A85:B85"/>
    <mergeCell ref="J49:L49"/>
    <mergeCell ref="G49:H49"/>
    <mergeCell ref="G55:H55"/>
    <mergeCell ref="A52:B52"/>
    <mergeCell ref="J52:L52"/>
    <mergeCell ref="G50:H50"/>
    <mergeCell ref="G52:H52"/>
    <mergeCell ref="J55:L55"/>
    <mergeCell ref="J51:L51"/>
    <mergeCell ref="G51:H51"/>
    <mergeCell ref="J54:L54"/>
    <mergeCell ref="G53:H53"/>
    <mergeCell ref="G54:H54"/>
    <mergeCell ref="J53:L53"/>
    <mergeCell ref="A53:B53"/>
    <mergeCell ref="A49:B49"/>
    <mergeCell ref="A50:B50"/>
    <mergeCell ref="A51:B51"/>
    <mergeCell ref="A54:B54"/>
    <mergeCell ref="A55:B55"/>
    <mergeCell ref="G47:H47"/>
    <mergeCell ref="G48:H48"/>
    <mergeCell ref="J48:L48"/>
    <mergeCell ref="A47:B47"/>
    <mergeCell ref="J47:L47"/>
    <mergeCell ref="J46:L46"/>
    <mergeCell ref="J38:L38"/>
    <mergeCell ref="G39:H39"/>
    <mergeCell ref="A45:B45"/>
    <mergeCell ref="J45:L45"/>
    <mergeCell ref="A46:B46"/>
    <mergeCell ref="G41:H41"/>
    <mergeCell ref="G42:H42"/>
    <mergeCell ref="G43:H43"/>
    <mergeCell ref="J41:L41"/>
    <mergeCell ref="J42:L42"/>
    <mergeCell ref="G40:H40"/>
    <mergeCell ref="G45:H45"/>
    <mergeCell ref="G46:H46"/>
    <mergeCell ref="J39:L39"/>
    <mergeCell ref="A39:B39"/>
    <mergeCell ref="A38:B38"/>
    <mergeCell ref="A44:B44"/>
    <mergeCell ref="G44:H44"/>
    <mergeCell ref="J44:L44"/>
    <mergeCell ref="J43:L43"/>
    <mergeCell ref="G38:H38"/>
    <mergeCell ref="A37:B37"/>
    <mergeCell ref="G37:H37"/>
    <mergeCell ref="J37:L37"/>
    <mergeCell ref="A35:B35"/>
    <mergeCell ref="J35:L35"/>
    <mergeCell ref="G35:H35"/>
    <mergeCell ref="A36:B36"/>
    <mergeCell ref="G36:H36"/>
    <mergeCell ref="J36:L36"/>
    <mergeCell ref="A41:B41"/>
    <mergeCell ref="A42:B42"/>
    <mergeCell ref="A43:B43"/>
    <mergeCell ref="J40:L40"/>
    <mergeCell ref="A34:B34"/>
    <mergeCell ref="J34:L34"/>
    <mergeCell ref="A32:B32"/>
    <mergeCell ref="J32:L32"/>
    <mergeCell ref="G34:H34"/>
    <mergeCell ref="G31:H31"/>
    <mergeCell ref="A31:B31"/>
    <mergeCell ref="A29:B29"/>
    <mergeCell ref="J29:L29"/>
    <mergeCell ref="J30:L30"/>
    <mergeCell ref="A30:B30"/>
    <mergeCell ref="G29:H29"/>
    <mergeCell ref="G22:H22"/>
    <mergeCell ref="A25:B25"/>
    <mergeCell ref="G25:H25"/>
    <mergeCell ref="J24:L24"/>
    <mergeCell ref="G26:H26"/>
    <mergeCell ref="A33:B33"/>
    <mergeCell ref="J33:L33"/>
    <mergeCell ref="G32:H32"/>
    <mergeCell ref="G33:H33"/>
    <mergeCell ref="A27:B27"/>
    <mergeCell ref="G27:H27"/>
    <mergeCell ref="J31:L31"/>
    <mergeCell ref="G30:H30"/>
    <mergeCell ref="A17:B17"/>
    <mergeCell ref="G17:H17"/>
    <mergeCell ref="A21:B21"/>
    <mergeCell ref="G21:H21"/>
    <mergeCell ref="J21:L21"/>
    <mergeCell ref="A23:B23"/>
    <mergeCell ref="A28:B28"/>
    <mergeCell ref="G23:H23"/>
    <mergeCell ref="J23:L23"/>
    <mergeCell ref="A22:B22"/>
    <mergeCell ref="A26:B26"/>
    <mergeCell ref="J25:L25"/>
    <mergeCell ref="A24:B24"/>
    <mergeCell ref="G24:H24"/>
    <mergeCell ref="J26:L26"/>
    <mergeCell ref="J27:L27"/>
    <mergeCell ref="G28:H28"/>
    <mergeCell ref="J28:L28"/>
    <mergeCell ref="A20:B20"/>
    <mergeCell ref="G20:H20"/>
    <mergeCell ref="J20:L20"/>
    <mergeCell ref="J17:L17"/>
    <mergeCell ref="J18:L18"/>
    <mergeCell ref="J22:L22"/>
    <mergeCell ref="A6:L6"/>
    <mergeCell ref="A7:L7"/>
    <mergeCell ref="A8:L8"/>
    <mergeCell ref="A9:L9"/>
    <mergeCell ref="A10:L10"/>
    <mergeCell ref="C14:C16"/>
    <mergeCell ref="E14:I14"/>
    <mergeCell ref="J15:L15"/>
    <mergeCell ref="G16:H16"/>
    <mergeCell ref="J16:L16"/>
    <mergeCell ref="A14:B16"/>
    <mergeCell ref="A18:B18"/>
    <mergeCell ref="G18:H18"/>
    <mergeCell ref="J14:L14"/>
    <mergeCell ref="G15:H15"/>
    <mergeCell ref="A19:B19"/>
    <mergeCell ref="G19:H19"/>
    <mergeCell ref="J19:L19"/>
    <mergeCell ref="A240:B240"/>
    <mergeCell ref="H217:I217"/>
    <mergeCell ref="K217:L217"/>
    <mergeCell ref="C238:F238"/>
    <mergeCell ref="C239:F239"/>
    <mergeCell ref="C240:F240"/>
    <mergeCell ref="A230:L230"/>
    <mergeCell ref="H220:I220"/>
    <mergeCell ref="K220:L220"/>
    <mergeCell ref="H221:I221"/>
    <mergeCell ref="G240:L240"/>
    <mergeCell ref="A239:B239"/>
    <mergeCell ref="A238:B238"/>
    <mergeCell ref="A229:L229"/>
    <mergeCell ref="G57:H57"/>
    <mergeCell ref="A59:B59"/>
    <mergeCell ref="J57:L57"/>
    <mergeCell ref="Q57:T57"/>
    <mergeCell ref="N82:Q84"/>
    <mergeCell ref="M74:P74"/>
    <mergeCell ref="M75:P77"/>
    <mergeCell ref="M51:N51"/>
    <mergeCell ref="M56:N56"/>
    <mergeCell ref="G239:L239"/>
    <mergeCell ref="G238:L238"/>
    <mergeCell ref="G81:H81"/>
    <mergeCell ref="G65:H65"/>
    <mergeCell ref="G68:H68"/>
    <mergeCell ref="G66:H66"/>
    <mergeCell ref="J73:L73"/>
    <mergeCell ref="G70:H70"/>
    <mergeCell ref="G72:H72"/>
    <mergeCell ref="J66:L66"/>
    <mergeCell ref="G69:H69"/>
    <mergeCell ref="J71:L71"/>
    <mergeCell ref="J74:L74"/>
    <mergeCell ref="G78:H78"/>
    <mergeCell ref="J76:L76"/>
    <mergeCell ref="J72:L72"/>
    <mergeCell ref="N202:N203"/>
    <mergeCell ref="M57:N57"/>
    <mergeCell ref="M58:N58"/>
    <mergeCell ref="O57:P57"/>
    <mergeCell ref="O58:P58"/>
    <mergeCell ref="M178:N178"/>
    <mergeCell ref="M183:N183"/>
    <mergeCell ref="J70:L70"/>
    <mergeCell ref="K103:L103"/>
    <mergeCell ref="K106:L106"/>
    <mergeCell ref="J143:L143"/>
    <mergeCell ref="J148:L148"/>
    <mergeCell ref="J166:L166"/>
    <mergeCell ref="J162:L162"/>
    <mergeCell ref="J176:L176"/>
    <mergeCell ref="J173:L173"/>
    <mergeCell ref="J180:L180"/>
    <mergeCell ref="J179:L179"/>
    <mergeCell ref="J181:L181"/>
    <mergeCell ref="J182:L182"/>
    <mergeCell ref="J59:L59"/>
    <mergeCell ref="J61:L61"/>
    <mergeCell ref="J87:L87"/>
    <mergeCell ref="J147:L147"/>
    <mergeCell ref="J149:L149"/>
    <mergeCell ref="A57:B57"/>
    <mergeCell ref="A60:B60"/>
    <mergeCell ref="J58:L58"/>
    <mergeCell ref="G60:H60"/>
    <mergeCell ref="G58:H58"/>
    <mergeCell ref="G59:H59"/>
    <mergeCell ref="A58:B58"/>
    <mergeCell ref="J60:L60"/>
    <mergeCell ref="M201:P201"/>
    <mergeCell ref="A61:B61"/>
    <mergeCell ref="A62:B62"/>
    <mergeCell ref="J63:L63"/>
    <mergeCell ref="G61:H61"/>
    <mergeCell ref="G63:H63"/>
    <mergeCell ref="J62:L62"/>
    <mergeCell ref="A64:B64"/>
    <mergeCell ref="G62:H62"/>
    <mergeCell ref="A67:B67"/>
    <mergeCell ref="G64:H64"/>
    <mergeCell ref="J64:L64"/>
    <mergeCell ref="A68:B68"/>
    <mergeCell ref="A63:B63"/>
    <mergeCell ref="J65:L65"/>
    <mergeCell ref="G76:H76"/>
  </mergeCells>
  <printOptions horizontalCentered="1"/>
  <pageMargins left="0.39370078740157483" right="0.39370078740157483" top="0.39370078740157483" bottom="0.39370078740157483" header="0" footer="0.19685039370078741"/>
  <pageSetup paperSize="9" scale="33" fitToHeight="0" orientation="portrait" r:id="rId1"/>
  <headerFooter alignWithMargins="0"/>
  <rowBreaks count="1" manualBreakCount="1">
    <brk id="128" max="11" man="1"/>
  </rowBreaks>
  <ignoredErrors>
    <ignoredError sqref="F115:F118 J116:J118 J103 F121:G121 J121 F103:F105 F218:F219 F214:F216 E28 E23 E194 E189 E179 E155 E150 E38 D121 E44 E58 H92 H94 H93 E62 D107:D108 E204 G217 D217 E52 E171 E172:E173 E169 E65 E163:E164 E160:E161 E165 E167 E162 E201 E33 E67 E71 F18 F94 F92 F84 F145:F164 F171:F178 F186:F208" formula="1"/>
    <ignoredError sqref="B104:C104 K104:L104 B110:C110 K110 L116 H104 K124:L124 I124 L117 B122:C122 B123:C123 L118 L121 D104:E104 C78:D78 C155:D155 C28:D28 C204:D204 E110" formulaRange="1"/>
    <ignoredError sqref="F110 G104 F106:F109 F111:F112 J104 I116 J110:J112 F114 J114 E78 D110" formula="1" formulaRange="1"/>
    <ignoredError sqref="I144 E85:E92 G44:H44 F60:F66 I165:I195 F68:F74 F44:F57 I44:I60" evalError="1"/>
    <ignoredError sqref="F144 F17 E84 F58:F59 F83 F165:F170 F179:F185" evalError="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B6671F-1C1E-4AA9-A540-3FDE1B3688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3BF14-21DF-4831-8AA1-DB3088D7E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FA27B0-2487-4C29-87DA-3DF4E02FDDCD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ebfcc7d6-e1dc-4701-b230-8bbb8f498e60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1 - Balanço Orçamentário</vt:lpstr>
      <vt:lpstr>'Anexo 1 - Balanço Orçamentário'!Area_de_impressao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2025-07-21T21:29:06Z</cp:lastPrinted>
  <dcterms:created xsi:type="dcterms:W3CDTF">2005-03-07T15:54:32Z</dcterms:created>
  <dcterms:modified xsi:type="dcterms:W3CDTF">2025-07-30T14:29:27Z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ContentTypeId">
    <vt:lpwstr>0x010100C874BBF854C49E478CC09B3E53C2FE20</vt:lpwstr>
  </property>
  <property fmtid="{D5CDD505-2E9C-101B-9397-08002B2CF9AE}" pid="4" name="MediaServiceImageTags">
    <vt:lpwstr/>
  </property>
</Properties>
</file>