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1463" documentId="8_{914259F3-C29A-4AC9-A21D-6C75AA65D69B}" xr6:coauthVersionLast="47" xr6:coauthVersionMax="47" xr10:uidLastSave="{1AFE500A-1474-4D39-B410-9CC92994A03A}"/>
  <bookViews>
    <workbookView xWindow="-120" yWindow="-120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Estados-Novo'!$A$1:$K$311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08" l="1"/>
  <c r="B161" i="208"/>
  <c r="B249" i="208" l="1"/>
  <c r="D249" i="208"/>
  <c r="G249" i="208"/>
  <c r="J249" i="208"/>
  <c r="J246" i="208"/>
  <c r="G246" i="208"/>
  <c r="D246" i="208"/>
  <c r="B246" i="208"/>
  <c r="B244" i="208"/>
  <c r="D244" i="208"/>
  <c r="G244" i="208"/>
  <c r="J244" i="208"/>
  <c r="J243" i="208"/>
  <c r="G243" i="208"/>
  <c r="D243" i="208"/>
  <c r="B243" i="208"/>
  <c r="B226" i="208"/>
  <c r="D226" i="208"/>
  <c r="G226" i="208"/>
  <c r="J226" i="208"/>
  <c r="J222" i="208"/>
  <c r="G222" i="208"/>
  <c r="D222" i="208"/>
  <c r="B222" i="208"/>
  <c r="E210" i="208"/>
  <c r="J209" i="208"/>
  <c r="E209" i="208"/>
  <c r="E208" i="208"/>
  <c r="J208" i="208"/>
  <c r="J207" i="208"/>
  <c r="E207" i="208"/>
  <c r="E206" i="208"/>
  <c r="J205" i="208"/>
  <c r="E205" i="208"/>
  <c r="F197" i="208"/>
  <c r="F195" i="208"/>
  <c r="H194" i="208"/>
  <c r="H192" i="208"/>
  <c r="F192" i="208"/>
  <c r="D192" i="208"/>
  <c r="F191" i="208"/>
  <c r="J161" i="208"/>
  <c r="G161" i="208"/>
  <c r="D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J137" i="208"/>
  <c r="G137" i="208"/>
  <c r="D137" i="208"/>
  <c r="B137" i="208"/>
  <c r="J135" i="208"/>
  <c r="G135" i="208"/>
  <c r="D135" i="208"/>
  <c r="B135" i="208"/>
  <c r="B134" i="208"/>
  <c r="D134" i="208"/>
  <c r="G134" i="208"/>
  <c r="J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/>
  <c r="G129" i="208"/>
  <c r="D129" i="208"/>
  <c r="B129" i="208"/>
  <c r="F121" i="208"/>
  <c r="F120" i="208"/>
  <c r="I104" i="208"/>
  <c r="I108" i="208"/>
  <c r="G108" i="208"/>
  <c r="D108" i="208"/>
  <c r="J97" i="208"/>
  <c r="G97" i="208"/>
  <c r="D97" i="208"/>
  <c r="D92" i="208"/>
  <c r="G92" i="208"/>
  <c r="J92" i="208"/>
  <c r="J91" i="208"/>
  <c r="G91" i="208"/>
  <c r="D91" i="208"/>
  <c r="D86" i="208"/>
  <c r="G86" i="208"/>
  <c r="J86" i="208"/>
  <c r="J85" i="208"/>
  <c r="G85" i="208"/>
  <c r="D85" i="208"/>
  <c r="B97" i="208"/>
  <c r="B95" i="208"/>
  <c r="B92" i="208"/>
  <c r="B91" i="208"/>
  <c r="B89" i="208"/>
  <c r="B86" i="208"/>
  <c r="B85" i="208"/>
  <c r="J51" i="208"/>
  <c r="J48" i="208"/>
  <c r="J47" i="208"/>
  <c r="E47" i="208"/>
  <c r="J37" i="208"/>
  <c r="E37" i="208"/>
  <c r="E34" i="208"/>
  <c r="J34" i="208"/>
  <c r="J33" i="208"/>
  <c r="E33" i="208"/>
  <c r="E32" i="208"/>
  <c r="J32" i="208"/>
  <c r="J31" i="208"/>
  <c r="E31" i="208"/>
  <c r="E29" i="208"/>
  <c r="J29" i="208"/>
  <c r="E28" i="208"/>
  <c r="E27" i="208"/>
  <c r="J27" i="208"/>
  <c r="J26" i="208"/>
  <c r="E26" i="208"/>
  <c r="E24" i="208"/>
  <c r="J24" i="208"/>
  <c r="J21" i="208"/>
  <c r="E21" i="208"/>
  <c r="E20" i="208"/>
  <c r="J20" i="208"/>
  <c r="J19" i="208"/>
  <c r="E19" i="208"/>
  <c r="E18" i="208"/>
  <c r="J18" i="208"/>
  <c r="J17" i="208"/>
  <c r="E17" i="208"/>
  <c r="K121" i="208"/>
  <c r="K237" i="208"/>
  <c r="F196" i="208" l="1"/>
  <c r="B197" i="208"/>
  <c r="J197" i="208" s="1"/>
  <c r="F193" i="208"/>
  <c r="B195" i="208"/>
  <c r="H193" i="208"/>
  <c r="B194" i="208"/>
  <c r="B193" i="208" s="1"/>
  <c r="H181" i="208"/>
  <c r="D181" i="208"/>
  <c r="B192" i="208"/>
  <c r="J192" i="208" s="1"/>
  <c r="B191" i="208"/>
  <c r="B190" i="208"/>
  <c r="B189" i="208"/>
  <c r="B188" i="208"/>
  <c r="B187" i="208"/>
  <c r="B186" i="208"/>
  <c r="B185" i="208"/>
  <c r="B184" i="208"/>
  <c r="B183" i="208"/>
  <c r="B182" i="208"/>
  <c r="H196" i="208"/>
  <c r="D196" i="208"/>
  <c r="D193" i="208"/>
  <c r="D121" i="208"/>
  <c r="D120" i="208"/>
  <c r="B121" i="208"/>
  <c r="B120" i="208"/>
  <c r="E112" i="208"/>
  <c r="J65" i="208"/>
  <c r="F181" i="208"/>
  <c r="B196" i="208" l="1"/>
  <c r="J195" i="208"/>
  <c r="J196" i="208"/>
  <c r="J30" i="208"/>
  <c r="E30" i="208"/>
  <c r="H112" i="208"/>
  <c r="B247" i="208"/>
  <c r="J218" i="208" l="1"/>
  <c r="J183" i="208"/>
  <c r="J90" i="208"/>
  <c r="J46" i="208"/>
  <c r="E16" i="208"/>
  <c r="J191" i="208"/>
  <c r="J190" i="208"/>
  <c r="J189" i="208"/>
  <c r="J188" i="208"/>
  <c r="J187" i="208"/>
  <c r="J185" i="208"/>
  <c r="J184" i="208"/>
  <c r="J166" i="208"/>
  <c r="F119" i="208"/>
  <c r="E46" i="208"/>
  <c r="E62" i="208"/>
  <c r="J25" i="208"/>
  <c r="E22" i="208"/>
  <c r="J247" i="208"/>
  <c r="D247" i="208"/>
  <c r="D242" i="208"/>
  <c r="B218" i="208"/>
  <c r="D218" i="208"/>
  <c r="D127" i="208"/>
  <c r="D84" i="208"/>
  <c r="J22" i="208"/>
  <c r="G247" i="208"/>
  <c r="J186" i="208"/>
  <c r="J50" i="208"/>
  <c r="B119" i="208"/>
  <c r="J154" i="208"/>
  <c r="J153" i="208" s="1"/>
  <c r="E50" i="208"/>
  <c r="E54" i="208"/>
  <c r="J54" i="208"/>
  <c r="B113" i="208" s="1"/>
  <c r="E58" i="208"/>
  <c r="J58" i="208"/>
  <c r="A73" i="208"/>
  <c r="A142" i="208" s="1"/>
  <c r="A231" i="208" s="1"/>
  <c r="A74" i="208"/>
  <c r="A143" i="208" s="1"/>
  <c r="A232" i="208" s="1"/>
  <c r="A75" i="208"/>
  <c r="A144" i="208" s="1"/>
  <c r="A233" i="208" s="1"/>
  <c r="A76" i="208"/>
  <c r="A145" i="208" s="1"/>
  <c r="A234" i="208" s="1"/>
  <c r="A77" i="208"/>
  <c r="A146" i="208" s="1"/>
  <c r="A235" i="208" s="1"/>
  <c r="K78" i="208"/>
  <c r="K147" i="208" s="1"/>
  <c r="K236" i="208" s="1"/>
  <c r="K79" i="208"/>
  <c r="K148" i="208" s="1"/>
  <c r="E113" i="208"/>
  <c r="H113" i="208"/>
  <c r="H119" i="208"/>
  <c r="B154" i="208"/>
  <c r="B153" i="208" s="1"/>
  <c r="D154" i="208"/>
  <c r="D153" i="208" s="1"/>
  <c r="G154" i="208"/>
  <c r="G153" i="208" s="1"/>
  <c r="E204" i="208"/>
  <c r="E203" i="208" s="1"/>
  <c r="J242" i="208"/>
  <c r="B242" i="208"/>
  <c r="B241" i="208" s="1"/>
  <c r="G127" i="208"/>
  <c r="J165" i="208" s="1"/>
  <c r="D119" i="208"/>
  <c r="G242" i="208"/>
  <c r="G218" i="208"/>
  <c r="J204" i="208"/>
  <c r="J203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J182" i="208" l="1"/>
  <c r="J181" i="208" s="1"/>
  <c r="B181" i="208"/>
  <c r="B180" i="208" s="1"/>
  <c r="K120" i="208"/>
  <c r="E45" i="208"/>
  <c r="J194" i="208"/>
  <c r="J193" i="208" s="1"/>
  <c r="J64" i="208"/>
  <c r="J241" i="208"/>
  <c r="F180" i="208"/>
  <c r="D83" i="208"/>
  <c r="D104" i="208" s="1"/>
  <c r="D241" i="208"/>
  <c r="G241" i="208"/>
  <c r="H180" i="208"/>
  <c r="J170" i="208" s="1"/>
  <c r="D180" i="208"/>
  <c r="G83" i="208"/>
  <c r="G104" i="208" s="1"/>
  <c r="G103" i="208" s="1"/>
  <c r="J83" i="208"/>
  <c r="I103" i="208" s="1"/>
  <c r="B83" i="208"/>
  <c r="K107" i="208"/>
  <c r="K106" i="208"/>
  <c r="J45" i="208"/>
  <c r="K105" i="208"/>
  <c r="J16" i="208"/>
  <c r="J39" i="208" s="1"/>
  <c r="E15" i="208"/>
  <c r="E35" i="208" s="1"/>
  <c r="J112" i="208" l="1"/>
  <c r="B116" i="208"/>
  <c r="J15" i="208"/>
  <c r="J180" i="208"/>
  <c r="K119" i="208"/>
  <c r="J168" i="208" s="1"/>
  <c r="K104" i="208"/>
  <c r="K103" i="208" s="1"/>
  <c r="E116" i="208" s="1"/>
  <c r="D103" i="208"/>
  <c r="J68" i="208"/>
  <c r="B112" i="208"/>
  <c r="J35" i="208" l="1"/>
  <c r="D175" i="208" s="1"/>
  <c r="G116" i="208"/>
  <c r="K116" i="208" s="1"/>
  <c r="I116" i="208" l="1"/>
  <c r="J167" i="208" s="1"/>
  <c r="J171" i="208" l="1"/>
  <c r="H175" i="208" s="1"/>
  <c r="J175" i="208" l="1"/>
</calcChain>
</file>

<file path=xl/sharedStrings.xml><?xml version="1.0" encoding="utf-8"?>
<sst xmlns="http://schemas.openxmlformats.org/spreadsheetml/2006/main" count="552" uniqueCount="400">
  <si>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</si>
  <si>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</si>
  <si>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</si>
  <si>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</si>
  <si>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</si>
  <si>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</si>
  <si>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</si>
  <si>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</si>
  <si>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</si>
  <si>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</si>
  <si>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</si>
  <si>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</si>
  <si>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</si>
  <si>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</si>
  <si>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</si>
  <si>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</si>
  <si>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</si>
  <si>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</si>
  <si>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</si>
  <si>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</si>
  <si>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</si>
  <si>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</si>
  <si>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</si>
  <si>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</si>
  <si>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</si>
  <si>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</si>
  <si>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</si>
  <si>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</si>
  <si>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</si>
  <si>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</si>
  <si>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</si>
  <si>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</si>
  <si>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</si>
  <si>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</si>
  <si>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</si>
  <si>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</si>
  <si>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</si>
  <si>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</si>
  <si>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</si>
  <si>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</si>
  <si>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</si>
  <si>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</si>
  <si>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</si>
  <si>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</si>
  <si>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</si>
  <si>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</si>
  <si>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</si>
  <si>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</si>
  <si>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</si>
  <si>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</si>
  <si>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</si>
  <si>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</si>
  <si>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</si>
  <si>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</si>
  <si>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</si>
  <si>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</si>
  <si>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</si>
  <si>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</si>
  <si>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</si>
  <si>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</si>
  <si>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</si>
  <si>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</si>
  <si>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</si>
  <si>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</si>
  <si>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</si>
  <si>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</si>
  <si>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</si>
  <si>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</si>
  <si>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</si>
  <si>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</si>
  <si>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</si>
  <si>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</si>
  <si>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</si>
  <si>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</si>
  <si>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</si>
  <si>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</si>
  <si>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</si>
  <si>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</si>
  <si>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</si>
  <si>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</si>
  <si>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</si>
  <si>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</si>
  <si>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</si>
  <si>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</si>
  <si>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</si>
  <si>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</si>
  <si>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</si>
  <si>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</si>
  <si>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</si>
  <si>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</si>
  <si>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</si>
  <si>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</si>
  <si>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</si>
  <si>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</si>
  <si>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</si>
  <si>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</si>
  <si>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</si>
  <si>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</si>
  <si>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</si>
  <si>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</si>
  <si>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</si>
  <si>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</si>
  <si>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</si>
  <si>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</si>
  <si>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</si>
  <si>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</si>
  <si>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</si>
  <si>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</si>
  <si>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</si>
  <si>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</si>
  <si>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</si>
  <si>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</si>
  <si>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</si>
  <si>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</si>
  <si>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</si>
  <si>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</si>
  <si>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</si>
  <si>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</si>
  <si>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</si>
  <si>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</si>
  <si>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</si>
  <si>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</si>
  <si>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</si>
  <si>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</si>
  <si>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</si>
  <si>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</si>
  <si>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</si>
  <si>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</si>
  <si>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</si>
  <si>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</si>
  <si>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</si>
  <si>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</si>
  <si>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</si>
  <si>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</si>
  <si>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</si>
  <si>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</si>
  <si>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</si>
  <si>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</si>
  <si>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</si>
  <si>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</si>
  <si>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</si>
  <si>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</si>
  <si>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</si>
  <si>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</si>
  <si>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</si>
  <si>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</si>
  <si>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</si>
  <si>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</si>
  <si>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</si>
  <si>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</si>
  <si>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</si>
  <si>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</si>
  <si>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</si>
  <si>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</si>
  <si>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</si>
  <si>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</si>
  <si>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</si>
  <si>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</si>
  <si>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</si>
  <si>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</si>
  <si>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</si>
  <si>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</si>
  <si>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</si>
  <si>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</si>
  <si>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</si>
  <si>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</si>
  <si>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</si>
  <si>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</si>
  <si>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</si>
  <si>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</si>
  <si>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</si>
  <si>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</si>
  <si>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</si>
  <si>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</si>
  <si>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</si>
  <si>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</si>
  <si>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</si>
  <si>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</si>
  <si>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</si>
  <si>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</si>
  <si>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</si>
  <si>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</si>
  <si>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</si>
  <si>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</si>
  <si>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</si>
  <si>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</si>
  <si>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</si>
  <si>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</si>
  <si>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</si>
  <si>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</si>
  <si>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</si>
  <si>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</si>
  <si>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</si>
  <si>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</si>
  <si>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</si>
  <si>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</si>
  <si>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</si>
  <si>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</si>
  <si>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</si>
  <si>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</si>
  <si>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</si>
  <si>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</si>
  <si>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</si>
  <si>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</si>
  <si>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</si>
  <si>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</si>
  <si>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</si>
  <si>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</si>
  <si>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</si>
  <si>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</si>
  <si>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</si>
  <si>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</si>
  <si>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</si>
  <si>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</si>
  <si>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</si>
  <si>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</si>
  <si>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</si>
  <si>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</si>
  <si>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</si>
  <si>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</si>
  <si>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</si>
  <si>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</si>
  <si>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</si>
  <si>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</si>
  <si>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</si>
  <si>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</si>
  <si>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</si>
  <si>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</si>
  <si>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</si>
  <si>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</si>
  <si>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</si>
  <si>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</si>
  <si>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</si>
  <si>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</si>
  <si>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</si>
  <si>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</si>
  <si>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</si>
  <si>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</si>
  <si>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</si>
  <si>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</si>
  <si>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</si>
  <si>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</si>
  <si>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</si>
  <si>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</si>
  <si>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</si>
  <si>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</si>
  <si>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</si>
  <si>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</si>
  <si>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</si>
  <si>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</si>
  <si>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</si>
  <si>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</si>
  <si>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</si>
  <si>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</si>
  <si>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</si>
  <si>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</si>
  <si>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</si>
  <si>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</si>
  <si>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</si>
  <si>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</si>
  <si>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</si>
  <si>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</si>
  <si>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</si>
  <si>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</si>
  <si>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</si>
  <si>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</si>
  <si>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</si>
  <si>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</si>
  <si>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</si>
  <si>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</si>
  <si>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</si>
  <si>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</si>
  <si>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</si>
  <si>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</si>
  <si>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</si>
  <si>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</si>
  <si>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</si>
  <si>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</si>
  <si>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</si>
  <si>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</si>
  <si>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</si>
  <si>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</si>
  <si>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</si>
  <si>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</si>
  <si>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</si>
  <si>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</si>
  <si>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</si>
  <si>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</si>
  <si>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</si>
  <si>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t>24- (-) SUPERÁVIT PERMITIDO NO EXERCÍCIO IMEDIATAMENTE ANTERIOR NÃO APLICADO ATÉ O PRIMEIRO QUADRIMESTRE DO EXERCÍCIO ATUAL  = L18(x)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</si>
  <si>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</si>
  <si>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 xml:space="preserve">26 (-) CANCELAMENTO, NO EXERCÍCIO, DE RESTOS A PAGAR INSCRITOS COM DISPONIBILIDADE FINANCEIRA DE RECURSOS DE IMPOSTOS VINCULADOS AO ENSINO = (L29.1(af) + L29.2(af)) </t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</si>
  <si>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</si>
  <si>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</si>
  <si>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</si>
  <si>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</si>
  <si>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</si>
  <si>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</si>
  <si>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</si>
  <si>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</si>
  <si>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</si>
  <si>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</si>
  <si>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</si>
  <si>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</si>
  <si>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</si>
  <si>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</si>
  <si>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</si>
  <si>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</si>
  <si>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</si>
  <si>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</si>
  <si>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</si>
  <si>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</si>
  <si>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</si>
  <si>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</si>
  <si>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</si>
  <si>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</si>
  <si>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</si>
  <si>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</si>
  <si>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</si>
  <si>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</si>
  <si>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</si>
  <si>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</si>
  <si>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</si>
  <si>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</si>
  <si>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</si>
  <si>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</si>
  <si>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</si>
  <si>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</si>
  <si>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</si>
  <si>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</si>
  <si>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</si>
  <si>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</si>
  <si>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</si>
  <si>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</si>
  <si>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</si>
  <si>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 xml:space="preserve">   30.5- OUTRAS RECEITAS PARA FINANCIAMENTO DO ENSINO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</si>
  <si>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</si>
  <si>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</si>
  <si>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</si>
  <si>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</si>
  <si>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</si>
  <si>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</si>
  <si>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</si>
  <si>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</si>
  <si>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</si>
  <si>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</si>
  <si>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</si>
  <si>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</si>
  <si>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</si>
  <si>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</si>
  <si>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</si>
  <si>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</si>
  <si>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</si>
  <si>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</si>
  <si>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</si>
  <si>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</si>
  <si>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</si>
  <si>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</si>
  <si>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</si>
  <si>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</si>
  <si>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</si>
  <si>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</si>
  <si>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</si>
  <si>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</si>
  <si>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</si>
  <si>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</si>
  <si>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</si>
  <si>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</si>
  <si>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</si>
  <si>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</si>
  <si>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</si>
  <si>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</si>
  <si>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</si>
  <si>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</si>
  <si>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</si>
  <si>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</si>
  <si>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</si>
  <si>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</si>
  <si>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</si>
  <si>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</si>
  <si>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</si>
  <si>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</si>
  <si>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</si>
  <si>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</si>
  <si>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</si>
  <si>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</si>
  <si>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</si>
  <si>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</si>
  <si>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</si>
  <si>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</si>
  <si>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</si>
  <si>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</si>
  <si>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t>33- DISPONIBILIDADE FINANCEIRA EM 31 DE DEZEMBRO DE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</si>
  <si>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</si>
  <si>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r>
      <t>5- TOTAL DESTINADO AO FUNDEB - 20% DE ((1.1 - 3.1) + (1.2) + (1.3 - 3.2) + (2.1) + (2.2 - 3.3) + (2.4 - 3.4))</t>
    </r>
    <r>
      <rPr>
        <b/>
        <vertAlign val="superscript"/>
        <sz val="12"/>
        <rFont val="Times New Roman"/>
        <family val="1"/>
      </rPr>
      <t>1</t>
    </r>
  </si>
  <si>
    <t>6- VALOR MÍNIMO A SER APLICADO ALÉM DO VALOR DESTINADO AO FUNDEB - 5% DE ((1.1 - 3.1) + (1.2) + (1.3 - 3.2) + (2.1) + (2.2 - 3.3) + (2.4 - 3.4)) + 25% DE (1.4 + 2.3)</t>
  </si>
  <si>
    <t>JANEIRO A ABRIL 2025/BIMESTRE MARÇO - ABRIL</t>
  </si>
  <si>
    <t xml:space="preserve"> DESPESAS COM AÇÕES TÍPICAS DE MDE - RECEITAS DE IMPOSTOS - EXCETO FUNDEB (Por Subfunção)</t>
  </si>
  <si>
    <t>Emissão: 21/05/2025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</si>
  <si>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2º Bimestre/2025, o Estado do Rio de Janeiro cancelou R$ 10.134.786,13 dos Restos a Pagar inscritos em 2022 e 2024.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2025,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</si>
</sst>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29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4" fillId="0" borderId="0"/>
    <xf numFmtId="0" fontId="3" fillId="0" borderId="0"/>
    <xf numFmtId="0" fontId="1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53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5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wrapText="1"/>
    </xf>
    <xf numFmtId="0" fontId="17" fillId="0" borderId="15" xfId="2" applyFont="1" applyBorder="1" applyAlignment="1">
      <alignment horizontal="left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13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6" fillId="3" borderId="13" xfId="14" applyFont="1" applyFill="1" applyBorder="1" applyAlignment="1">
      <alignment vertical="top" wrapText="1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0" fontId="6" fillId="4" borderId="15" xfId="2" applyFont="1" applyFill="1" applyBorder="1" applyAlignment="1">
      <alignment horizontal="center" vertical="top"/>
    </xf>
    <xf numFmtId="43" fontId="8" fillId="3" borderId="0" xfId="1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164" fontId="8" fillId="3" borderId="9" xfId="14" applyNumberFormat="1" applyFont="1" applyFill="1" applyBorder="1" applyAlignment="1">
      <alignment vertical="center" wrapText="1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43" fontId="6" fillId="0" borderId="0" xfId="14" applyFont="1" applyBorder="1" applyAlignment="1">
      <alignment horizontal="center"/>
    </xf>
    <xf numFmtId="43" fontId="6" fillId="3" borderId="13" xfId="14" applyFont="1" applyFill="1" applyBorder="1" applyAlignment="1">
      <alignment horizontal="left" vertical="top" wrapText="1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43" fontId="6" fillId="0" borderId="13" xfId="14" applyFont="1" applyBorder="1" applyAlignment="1">
      <alignment horizontal="left" vertical="top" wrapText="1"/>
    </xf>
    <xf numFmtId="43" fontId="6" fillId="0" borderId="12" xfId="14" applyFont="1" applyBorder="1" applyAlignment="1">
      <alignment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6" fillId="0" borderId="13" xfId="14" applyFont="1" applyBorder="1" applyAlignment="1"/>
    <xf numFmtId="43" fontId="2" fillId="3" borderId="0" xfId="2" applyNumberFormat="1" applyFont="1" applyFill="1" applyAlignment="1">
      <alignment horizontal="center"/>
    </xf>
    <xf numFmtId="0" fontId="2" fillId="3" borderId="0" xfId="2" applyFont="1" applyFill="1" applyAlignment="1">
      <alignment horizontal="center"/>
    </xf>
    <xf numFmtId="43" fontId="2" fillId="0" borderId="0" xfId="4" applyNumberFormat="1" applyFont="1" applyAlignment="1">
      <alignment horizontal="center"/>
    </xf>
    <xf numFmtId="0" fontId="8" fillId="3" borderId="0" xfId="2" applyFont="1" applyFill="1" applyAlignment="1">
      <alignment wrapText="1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8" fillId="3" borderId="0" xfId="2" applyFont="1" applyFill="1" applyAlignment="1">
      <alignment horizontal="left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28" fillId="0" borderId="0" xfId="0" applyFont="1" applyAlignment="1">
      <alignment horizontal="right"/>
    </xf>
    <xf numFmtId="0" fontId="28" fillId="3" borderId="0" xfId="2" applyFont="1" applyFill="1" applyAlignment="1">
      <alignment horizontal="right"/>
    </xf>
    <xf numFmtId="0" fontId="28" fillId="3" borderId="0" xfId="0" applyFont="1" applyFill="1" applyAlignment="1">
      <alignment horizontal="right"/>
    </xf>
    <xf numFmtId="0" fontId="28" fillId="0" borderId="0" xfId="2" applyFont="1" applyAlignment="1">
      <alignment horizontal="right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3" fontId="8" fillId="0" borderId="0" xfId="0" applyNumberFormat="1" applyFont="1"/>
    <xf numFmtId="0" fontId="8" fillId="3" borderId="0" xfId="2" applyFont="1" applyFill="1" applyAlignment="1">
      <alignment horizontal="right"/>
    </xf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8" fillId="0" borderId="5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164" fontId="8" fillId="3" borderId="9" xfId="2" applyNumberFormat="1" applyFont="1" applyFill="1" applyBorder="1" applyAlignment="1">
      <alignment horizontal="center" vertical="center" wrapText="1"/>
    </xf>
    <xf numFmtId="164" fontId="8" fillId="3" borderId="15" xfId="2" applyNumberFormat="1" applyFont="1" applyFill="1" applyBorder="1" applyAlignment="1">
      <alignment horizontal="center" vertical="center" wrapText="1"/>
    </xf>
    <xf numFmtId="164" fontId="8" fillId="3" borderId="8" xfId="2" applyNumberFormat="1" applyFont="1" applyFill="1" applyBorder="1" applyAlignment="1">
      <alignment horizontal="center" vertical="center" wrapText="1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3" borderId="13" xfId="14" applyFont="1" applyFill="1" applyBorder="1" applyAlignment="1">
      <alignment horizontal="center" vertical="center"/>
    </xf>
    <xf numFmtId="43" fontId="6" fillId="3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43" fontId="8" fillId="0" borderId="0" xfId="14" applyFont="1" applyAlignment="1">
      <alignment horizontal="center"/>
    </xf>
    <xf numFmtId="0" fontId="6" fillId="4" borderId="14" xfId="2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8" fillId="0" borderId="12" xfId="14" applyFont="1" applyBorder="1" applyAlignment="1">
      <alignment horizontal="center"/>
    </xf>
    <xf numFmtId="43" fontId="8" fillId="0" borderId="14" xfId="14" applyFont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13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" xfId="14" applyFont="1" applyBorder="1" applyAlignment="1">
      <alignment horizontal="center"/>
    </xf>
    <xf numFmtId="43" fontId="8" fillId="0" borderId="6" xfId="14" applyFont="1" applyBorder="1" applyAlignment="1">
      <alignment horizontal="center"/>
    </xf>
    <xf numFmtId="43" fontId="6" fillId="3" borderId="0" xfId="14" applyFont="1" applyFill="1" applyBorder="1" applyAlignment="1">
      <alignment horizontal="center"/>
    </xf>
    <xf numFmtId="0" fontId="6" fillId="4" borderId="0" xfId="4" applyFont="1" applyFill="1" applyAlignment="1">
      <alignment horizontal="center" vertical="center" wrapText="1"/>
    </xf>
    <xf numFmtId="43" fontId="6" fillId="3" borderId="5" xfId="14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8" fillId="0" borderId="11" xfId="14" applyFont="1" applyBorder="1" applyAlignment="1">
      <alignment horizontal="center"/>
    </xf>
    <xf numFmtId="43" fontId="6" fillId="3" borderId="13" xfId="14" applyFont="1" applyFill="1" applyBorder="1" applyAlignment="1">
      <alignment horizontal="center" vertical="center" wrapText="1"/>
    </xf>
    <xf numFmtId="43" fontId="6" fillId="3" borderId="14" xfId="14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/>
    </xf>
    <xf numFmtId="43" fontId="6" fillId="3" borderId="5" xfId="14" applyFont="1" applyFill="1" applyBorder="1" applyAlignment="1">
      <alignment horizontal="center" vertical="top" wrapText="1"/>
    </xf>
    <xf numFmtId="0" fontId="6" fillId="4" borderId="14" xfId="4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/>
    </xf>
    <xf numFmtId="43" fontId="6" fillId="0" borderId="15" xfId="14" applyFont="1" applyBorder="1" applyAlignment="1">
      <alignment horizontal="center"/>
    </xf>
    <xf numFmtId="43" fontId="6" fillId="3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0" borderId="8" xfId="14" applyFont="1" applyBorder="1" applyAlignment="1">
      <alignment horizontal="center"/>
    </xf>
    <xf numFmtId="43" fontId="6" fillId="3" borderId="15" xfId="14" applyFont="1" applyFill="1" applyBorder="1" applyAlignment="1">
      <alignment horizontal="center" wrapText="1"/>
    </xf>
    <xf numFmtId="43" fontId="6" fillId="3" borderId="8" xfId="14" applyFont="1" applyFill="1" applyBorder="1" applyAlignment="1">
      <alignment horizontal="center" wrapText="1"/>
    </xf>
    <xf numFmtId="43" fontId="6" fillId="3" borderId="12" xfId="14" applyFont="1" applyFill="1" applyBorder="1" applyAlignment="1">
      <alignment horizontal="center" vertical="top" wrapText="1"/>
    </xf>
    <xf numFmtId="43" fontId="6" fillId="3" borderId="14" xfId="14" applyFont="1" applyFill="1" applyBorder="1" applyAlignment="1">
      <alignment horizontal="center" vertical="top" wrapText="1"/>
    </xf>
    <xf numFmtId="43" fontId="6" fillId="3" borderId="12" xfId="14" applyFont="1" applyFill="1" applyBorder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0" xfId="14" applyFont="1" applyAlignment="1">
      <alignment horizontal="center"/>
    </xf>
    <xf numFmtId="164" fontId="6" fillId="3" borderId="1" xfId="13" applyFont="1" applyFill="1" applyBorder="1" applyAlignment="1">
      <alignment horizontal="center"/>
    </xf>
    <xf numFmtId="164" fontId="6" fillId="3" borderId="6" xfId="13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13" xfId="14" applyFont="1" applyFill="1" applyBorder="1" applyAlignment="1">
      <alignment horizontal="center" vertical="top" wrapText="1"/>
    </xf>
    <xf numFmtId="43" fontId="6" fillId="3" borderId="0" xfId="14" applyFont="1" applyFill="1" applyBorder="1" applyAlignment="1">
      <alignment horizontal="center" vertical="top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8" fillId="3" borderId="1" xfId="14" applyFont="1" applyFill="1" applyBorder="1" applyAlignment="1">
      <alignment horizontal="center" vertical="top" wrapText="1"/>
    </xf>
    <xf numFmtId="43" fontId="8" fillId="3" borderId="0" xfId="14" applyFont="1" applyFill="1" applyBorder="1" applyAlignment="1">
      <alignment horizontal="center" vertical="top" wrapText="1"/>
    </xf>
    <xf numFmtId="0" fontId="6" fillId="4" borderId="15" xfId="2" applyFont="1" applyFill="1" applyBorder="1" applyAlignment="1">
      <alignment horizontal="center" vertical="top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43" fontId="8" fillId="3" borderId="13" xfId="14" applyFont="1" applyFill="1" applyBorder="1" applyAlignment="1">
      <alignment horizontal="center" vertical="center"/>
    </xf>
    <xf numFmtId="43" fontId="8" fillId="3" borderId="14" xfId="14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wrapText="1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0" borderId="0" xfId="14" applyFont="1" applyBorder="1" applyAlignment="1">
      <alignment horizontal="center"/>
    </xf>
    <xf numFmtId="43" fontId="8" fillId="3" borderId="13" xfId="14" applyFont="1" applyFill="1" applyBorder="1" applyAlignment="1">
      <alignment horizontal="center" vertical="center" wrapText="1"/>
    </xf>
    <xf numFmtId="43" fontId="8" fillId="3" borderId="12" xfId="14" applyFont="1" applyFill="1" applyBorder="1" applyAlignment="1">
      <alignment horizontal="center" vertical="center" wrapText="1"/>
    </xf>
    <xf numFmtId="43" fontId="8" fillId="3" borderId="9" xfId="2" applyNumberFormat="1" applyFont="1" applyFill="1" applyBorder="1" applyAlignment="1">
      <alignment horizontal="center" vertical="center" wrapText="1"/>
    </xf>
    <xf numFmtId="43" fontId="8" fillId="3" borderId="15" xfId="2" applyNumberFormat="1" applyFont="1" applyFill="1" applyBorder="1" applyAlignment="1">
      <alignment horizontal="center" vertical="center" wrapText="1"/>
    </xf>
    <xf numFmtId="43" fontId="8" fillId="3" borderId="8" xfId="2" applyNumberFormat="1" applyFont="1" applyFill="1" applyBorder="1" applyAlignment="1">
      <alignment horizontal="center" vertical="center" wrapText="1"/>
    </xf>
    <xf numFmtId="43" fontId="6" fillId="0" borderId="12" xfId="14" applyFont="1" applyBorder="1" applyAlignment="1">
      <alignment horizontal="center" vertical="top" wrapText="1"/>
    </xf>
    <xf numFmtId="43" fontId="6" fillId="0" borderId="14" xfId="14" applyFont="1" applyBorder="1" applyAlignment="1">
      <alignment horizontal="center" vertical="top" wrapText="1"/>
    </xf>
    <xf numFmtId="43" fontId="8" fillId="0" borderId="0" xfId="14" applyFont="1" applyBorder="1" applyAlignment="1">
      <alignment horizontal="center" vertical="top" wrapText="1"/>
    </xf>
    <xf numFmtId="43" fontId="6" fillId="0" borderId="13" xfId="14" applyFont="1" applyBorder="1" applyAlignment="1">
      <alignment horizontal="center" vertical="top" wrapText="1"/>
    </xf>
    <xf numFmtId="43" fontId="8" fillId="3" borderId="12" xfId="14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43" fontId="8" fillId="0" borderId="0" xfId="14" applyFont="1" applyAlignment="1">
      <alignment horizontal="center" vertical="top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43" fontId="6" fillId="0" borderId="5" xfId="14" applyFont="1" applyBorder="1" applyAlignment="1">
      <alignment horizontal="center" vertical="top" wrapText="1"/>
    </xf>
    <xf numFmtId="43" fontId="6" fillId="0" borderId="2" xfId="14" applyFont="1" applyBorder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43" fontId="6" fillId="0" borderId="0" xfId="14" applyFont="1" applyBorder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43" fontId="6" fillId="0" borderId="9" xfId="14" applyFont="1" applyBorder="1" applyAlignment="1">
      <alignment horizontal="center" vertical="center"/>
    </xf>
    <xf numFmtId="43" fontId="6" fillId="0" borderId="15" xfId="14" applyFont="1" applyBorder="1" applyAlignment="1">
      <alignment horizontal="center" vertical="center"/>
    </xf>
    <xf numFmtId="43" fontId="6" fillId="0" borderId="8" xfId="14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15" xfId="2" applyFont="1" applyFill="1" applyBorder="1" applyAlignment="1">
      <alignment horizontal="center" vertical="center"/>
    </xf>
    <xf numFmtId="43" fontId="6" fillId="0" borderId="0" xfId="14" applyFont="1" applyBorder="1" applyAlignment="1">
      <alignment horizontal="center" vertical="top" wrapText="1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0" fontId="2" fillId="0" borderId="0" xfId="2" applyFont="1" applyAlignment="1">
      <alignment horizontal="left" wrapText="1"/>
    </xf>
    <xf numFmtId="43" fontId="6" fillId="0" borderId="9" xfId="14" applyFont="1" applyBorder="1" applyAlignment="1">
      <alignment horizontal="center" vertical="top" wrapText="1"/>
    </xf>
    <xf numFmtId="43" fontId="6" fillId="0" borderId="12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0" fontId="3" fillId="0" borderId="0" xfId="0" applyFont="1" applyFill="1"/>
    <xf numFmtId="0" fontId="2" fillId="0" borderId="0" xfId="2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3" fillId="0" borderId="0" xfId="14" applyFont="1" applyFill="1"/>
    <xf numFmtId="43" fontId="2" fillId="0" borderId="0" xfId="14" applyFont="1" applyFill="1"/>
    <xf numFmtId="43" fontId="2" fillId="0" borderId="0" xfId="2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6" fillId="0" borderId="0" xfId="0" applyFont="1" applyFill="1"/>
    <xf numFmtId="0" fontId="27" fillId="0" borderId="0" xfId="2" applyFont="1" applyFill="1"/>
    <xf numFmtId="0" fontId="21" fillId="0" borderId="0" xfId="0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3" fontId="8" fillId="0" borderId="0" xfId="14" applyFont="1" applyFill="1" applyAlignment="1"/>
    <xf numFmtId="43" fontId="6" fillId="0" borderId="0" xfId="14" applyFont="1" applyFill="1" applyAlignment="1"/>
    <xf numFmtId="43" fontId="3" fillId="0" borderId="0" xfId="14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227</xdr:row>
      <xdr:rowOff>28575</xdr:rowOff>
    </xdr:from>
    <xdr:to>
      <xdr:col>2</xdr:col>
      <xdr:colOff>714375</xdr:colOff>
      <xdr:row>229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69487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638175</xdr:colOff>
      <xdr:row>72</xdr:row>
      <xdr:rowOff>0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41351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58794</xdr:colOff>
      <xdr:row>274</xdr:row>
      <xdr:rowOff>82314</xdr:rowOff>
    </xdr:from>
    <xdr:to>
      <xdr:col>10</xdr:col>
      <xdr:colOff>1952036</xdr:colOff>
      <xdr:row>305</xdr:row>
      <xdr:rowOff>94074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5A4C86-E98E-6CF8-8149-07B26843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94" y="56479721"/>
          <a:ext cx="19308705" cy="511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51" t="s">
        <v>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2" ht="11.25" customHeight="1" x14ac:dyDescent="0.2">
      <c r="A4" s="352" t="s">
        <v>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</row>
    <row r="5" spans="1:12" ht="11.25" customHeight="1" x14ac:dyDescent="0.2">
      <c r="A5" s="353" t="s">
        <v>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</row>
    <row r="6" spans="1:12" ht="11.25" customHeight="1" x14ac:dyDescent="0.2">
      <c r="A6" s="351" t="s">
        <v>4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</row>
    <row r="7" spans="1:12" ht="11.25" customHeight="1" x14ac:dyDescent="0.2">
      <c r="A7" s="352" t="s">
        <v>5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10" t="s">
        <v>8</v>
      </c>
      <c r="C10" s="311"/>
      <c r="D10" s="310" t="s">
        <v>9</v>
      </c>
      <c r="E10" s="311"/>
      <c r="F10" s="314" t="s">
        <v>10</v>
      </c>
      <c r="G10" s="315"/>
      <c r="H10" s="315"/>
      <c r="I10" s="315"/>
      <c r="J10" s="315"/>
      <c r="K10" s="316"/>
      <c r="L10" s="31" t="s">
        <v>11</v>
      </c>
    </row>
    <row r="11" spans="1:12" ht="12.75" customHeight="1" x14ac:dyDescent="0.2">
      <c r="A11" s="32" t="s">
        <v>12</v>
      </c>
      <c r="B11" s="312"/>
      <c r="C11" s="313"/>
      <c r="D11" s="312"/>
      <c r="E11" s="313"/>
      <c r="F11" s="317" t="s">
        <v>13</v>
      </c>
      <c r="G11" s="318"/>
      <c r="H11" s="33" t="s">
        <v>14</v>
      </c>
      <c r="I11" s="319" t="s">
        <v>15</v>
      </c>
      <c r="J11" s="320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29" t="s">
        <v>16</v>
      </c>
      <c r="E12" s="330"/>
      <c r="F12" s="329" t="s">
        <v>17</v>
      </c>
      <c r="G12" s="330"/>
      <c r="H12" s="38" t="s">
        <v>18</v>
      </c>
      <c r="I12" s="329" t="s">
        <v>19</v>
      </c>
      <c r="J12" s="330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32"/>
      <c r="E14" s="333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34"/>
      <c r="C22" s="335"/>
      <c r="D22" s="348"/>
      <c r="E22" s="348"/>
      <c r="F22" s="334"/>
      <c r="G22" s="335"/>
      <c r="H22" s="103"/>
      <c r="I22" s="349" t="s">
        <v>30</v>
      </c>
      <c r="J22" s="350"/>
      <c r="K22" s="68"/>
      <c r="L22" s="68"/>
    </row>
    <row r="23" spans="1:12" ht="15" customHeight="1" x14ac:dyDescent="0.2">
      <c r="A23" s="50" t="s">
        <v>31</v>
      </c>
      <c r="B23" s="342"/>
      <c r="C23" s="344"/>
      <c r="D23" s="342"/>
      <c r="E23" s="344"/>
      <c r="F23" s="342"/>
      <c r="G23" s="344"/>
      <c r="H23" s="69"/>
      <c r="I23" s="334" t="s">
        <v>32</v>
      </c>
      <c r="J23" s="335"/>
      <c r="K23" s="69"/>
      <c r="L23" s="69"/>
    </row>
    <row r="24" spans="1:12" ht="12.75" x14ac:dyDescent="0.2">
      <c r="A24" s="70" t="s">
        <v>33</v>
      </c>
      <c r="B24" s="122"/>
      <c r="C24" s="71"/>
      <c r="D24" s="346"/>
      <c r="E24" s="347"/>
      <c r="F24" s="346"/>
      <c r="G24" s="347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34"/>
      <c r="C25" s="335"/>
      <c r="D25" s="12"/>
      <c r="E25" s="11"/>
      <c r="F25" s="340"/>
      <c r="G25" s="345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32"/>
      <c r="C26" s="333"/>
      <c r="D26" s="334"/>
      <c r="E26" s="335"/>
      <c r="F26" s="123"/>
      <c r="G26" s="124"/>
      <c r="H26" s="74"/>
      <c r="I26" s="340"/>
      <c r="J26" s="341"/>
      <c r="K26" s="74"/>
      <c r="L26" s="74"/>
    </row>
    <row r="27" spans="1:12" ht="12.75" x14ac:dyDescent="0.2">
      <c r="A27" s="77" t="s">
        <v>36</v>
      </c>
      <c r="B27" s="342"/>
      <c r="C27" s="343"/>
      <c r="D27" s="332"/>
      <c r="E27" s="333"/>
      <c r="F27" s="342"/>
      <c r="G27" s="344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14" t="s">
        <v>38</v>
      </c>
      <c r="E29" s="315"/>
      <c r="F29" s="23" t="s">
        <v>11</v>
      </c>
      <c r="G29" s="314" t="s">
        <v>39</v>
      </c>
      <c r="H29" s="316"/>
      <c r="I29" s="23" t="s">
        <v>11</v>
      </c>
      <c r="J29" s="321" t="s">
        <v>40</v>
      </c>
      <c r="K29" s="323" t="s">
        <v>41</v>
      </c>
      <c r="L29" s="324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22"/>
      <c r="K30" s="325"/>
      <c r="L30" s="326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22"/>
      <c r="K31" s="325"/>
      <c r="L31" s="326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27"/>
      <c r="L32" s="328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32"/>
      <c r="L34" s="333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36"/>
      <c r="L35" s="336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38"/>
      <c r="L36" s="339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37"/>
      <c r="L37" s="337"/>
    </row>
    <row r="38" spans="1:12" ht="12.75" customHeight="1" x14ac:dyDescent="0.2">
      <c r="A38" s="331" t="s">
        <v>65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09"/>
    </row>
    <row r="39" spans="1:12" ht="13.5" customHeight="1" x14ac:dyDescent="0.2">
      <c r="A39" s="309" t="s">
        <v>66</v>
      </c>
      <c r="B39" s="309"/>
      <c r="C39" s="309"/>
      <c r="D39" s="309"/>
      <c r="E39" s="309"/>
      <c r="F39" s="309"/>
      <c r="G39" s="309"/>
      <c r="H39" s="309"/>
      <c r="I39" s="125"/>
      <c r="J39" s="125"/>
      <c r="K39" s="125"/>
    </row>
    <row r="40" spans="1:12" ht="12.75" customHeight="1" x14ac:dyDescent="0.2">
      <c r="A40" s="309" t="s">
        <v>67</v>
      </c>
      <c r="B40" s="309"/>
      <c r="C40" s="309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10" t="s">
        <v>8</v>
      </c>
      <c r="C43" s="311"/>
      <c r="D43" s="310" t="s">
        <v>9</v>
      </c>
      <c r="E43" s="311"/>
      <c r="F43" s="314" t="s">
        <v>10</v>
      </c>
      <c r="G43" s="315"/>
      <c r="H43" s="315"/>
      <c r="I43" s="315"/>
      <c r="J43" s="315"/>
      <c r="K43" s="316"/>
      <c r="L43" s="31" t="s">
        <v>11</v>
      </c>
    </row>
    <row r="44" spans="1:12" ht="11.25" customHeight="1" x14ac:dyDescent="0.2">
      <c r="A44" s="88" t="s">
        <v>69</v>
      </c>
      <c r="B44" s="312"/>
      <c r="C44" s="313"/>
      <c r="D44" s="312"/>
      <c r="E44" s="313"/>
      <c r="F44" s="317" t="s">
        <v>13</v>
      </c>
      <c r="G44" s="318"/>
      <c r="H44" s="33" t="s">
        <v>14</v>
      </c>
      <c r="I44" s="319" t="s">
        <v>15</v>
      </c>
      <c r="J44" s="320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29" t="s">
        <v>16</v>
      </c>
      <c r="E45" s="330"/>
      <c r="F45" s="329" t="s">
        <v>17</v>
      </c>
      <c r="G45" s="330"/>
      <c r="H45" s="38" t="s">
        <v>18</v>
      </c>
      <c r="I45" s="329" t="s">
        <v>19</v>
      </c>
      <c r="J45" s="330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14" t="s">
        <v>38</v>
      </c>
      <c r="E111" s="315"/>
      <c r="F111" s="23" t="s">
        <v>11</v>
      </c>
      <c r="G111" s="314" t="s">
        <v>39</v>
      </c>
      <c r="H111" s="316"/>
      <c r="I111" s="23" t="s">
        <v>11</v>
      </c>
      <c r="J111" s="321" t="s">
        <v>40</v>
      </c>
      <c r="K111" s="323" t="s">
        <v>128</v>
      </c>
      <c r="L111" s="324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22"/>
      <c r="K112" s="325"/>
      <c r="L112" s="326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27"/>
      <c r="L113" s="328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1"/>
  <sheetViews>
    <sheetView showGridLines="0" tabSelected="1" topLeftCell="F19" zoomScaleNormal="100" workbookViewId="0">
      <selection activeCell="B91" sqref="B91:C97"/>
    </sheetView>
  </sheetViews>
  <sheetFormatPr defaultRowHeight="12.75" x14ac:dyDescent="0.2"/>
  <cols>
    <col min="1" max="1" width="124.7109375" style="189" customWidth="1"/>
    <col min="2" max="2" width="13.5703125" style="189" customWidth="1"/>
    <col min="3" max="3" width="15.42578125" style="189" customWidth="1"/>
    <col min="4" max="4" width="14.42578125" style="189" customWidth="1"/>
    <col min="5" max="5" width="15.28515625" style="189" customWidth="1"/>
    <col min="6" max="6" width="15.42578125" style="189" customWidth="1"/>
    <col min="7" max="7" width="13.85546875" style="189" customWidth="1"/>
    <col min="8" max="8" width="13.7109375" style="189" customWidth="1"/>
    <col min="9" max="9" width="15.5703125" style="189" customWidth="1"/>
    <col min="10" max="10" width="19.28515625" style="189" customWidth="1"/>
    <col min="11" max="11" width="30.28515625" style="189" customWidth="1"/>
    <col min="12" max="12" width="15.5703125" style="184" customWidth="1"/>
    <col min="13" max="13" width="18.140625" style="189" customWidth="1"/>
    <col min="14" max="15" width="19.140625" style="189" bestFit="1" customWidth="1"/>
    <col min="16" max="16" width="15.85546875" style="189" customWidth="1"/>
    <col min="17" max="17" width="18.28515625" style="189" customWidth="1"/>
    <col min="18" max="18" width="16" style="189" bestFit="1" customWidth="1"/>
    <col min="19" max="16384" width="9.140625" style="189"/>
  </cols>
  <sheetData>
    <row r="1" spans="1:12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4"/>
    </row>
    <row r="2" spans="1:12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4"/>
    </row>
    <row r="3" spans="1:12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4"/>
    </row>
    <row r="4" spans="1:12" s="112" customFormat="1" ht="15.75" x14ac:dyDescent="0.2">
      <c r="A4" s="456" t="s">
        <v>141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184"/>
    </row>
    <row r="5" spans="1:12" s="112" customFormat="1" ht="15.75" x14ac:dyDescent="0.25">
      <c r="A5" s="395" t="s">
        <v>2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184"/>
    </row>
    <row r="6" spans="1:12" s="112" customFormat="1" ht="15.75" x14ac:dyDescent="0.25">
      <c r="A6" s="457" t="s">
        <v>142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184"/>
    </row>
    <row r="7" spans="1:12" s="112" customFormat="1" ht="15.75" x14ac:dyDescent="0.25">
      <c r="A7" s="395" t="s">
        <v>4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184"/>
    </row>
    <row r="8" spans="1:12" s="112" customFormat="1" ht="15.75" x14ac:dyDescent="0.25">
      <c r="A8" s="395" t="s">
        <v>396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184"/>
    </row>
    <row r="9" spans="1:12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4"/>
      <c r="K9" s="308" t="s">
        <v>398</v>
      </c>
      <c r="L9" s="184"/>
    </row>
    <row r="10" spans="1:12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4"/>
    </row>
    <row r="11" spans="1:12" s="112" customFormat="1" ht="18" customHeight="1" x14ac:dyDescent="0.2">
      <c r="A11" s="458" t="s">
        <v>144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184"/>
    </row>
    <row r="12" spans="1:12" s="112" customFormat="1" ht="15.75" x14ac:dyDescent="0.25">
      <c r="A12" s="390" t="s">
        <v>145</v>
      </c>
      <c r="B12" s="443" t="s">
        <v>146</v>
      </c>
      <c r="C12" s="444"/>
      <c r="D12" s="444"/>
      <c r="E12" s="444"/>
      <c r="F12" s="445"/>
      <c r="G12" s="443" t="s">
        <v>10</v>
      </c>
      <c r="H12" s="444"/>
      <c r="I12" s="444"/>
      <c r="J12" s="444"/>
      <c r="K12" s="444"/>
      <c r="L12" s="184"/>
    </row>
    <row r="13" spans="1:12" s="112" customFormat="1" ht="15.75" x14ac:dyDescent="0.25">
      <c r="A13" s="402"/>
      <c r="B13" s="387" t="s">
        <v>44</v>
      </c>
      <c r="C13" s="396"/>
      <c r="D13" s="396"/>
      <c r="E13" s="396"/>
      <c r="F13" s="388"/>
      <c r="G13" s="387" t="s">
        <v>15</v>
      </c>
      <c r="H13" s="396"/>
      <c r="I13" s="396"/>
      <c r="J13" s="396"/>
      <c r="K13" s="396"/>
      <c r="L13" s="184"/>
    </row>
    <row r="14" spans="1:12" s="112" customFormat="1" ht="15.75" x14ac:dyDescent="0.25">
      <c r="A14" s="403"/>
      <c r="B14" s="413" t="s">
        <v>16</v>
      </c>
      <c r="C14" s="414"/>
      <c r="D14" s="414"/>
      <c r="E14" s="414"/>
      <c r="F14" s="415"/>
      <c r="G14" s="413" t="s">
        <v>17</v>
      </c>
      <c r="H14" s="414"/>
      <c r="I14" s="414"/>
      <c r="J14" s="414"/>
      <c r="K14" s="414"/>
      <c r="L14" s="184"/>
    </row>
    <row r="15" spans="1:12" s="112" customFormat="1" ht="15.75" x14ac:dyDescent="0.25">
      <c r="A15" s="170" t="s">
        <v>147</v>
      </c>
      <c r="B15" s="169" t="s">
        <v>148</v>
      </c>
      <c r="C15" s="117"/>
      <c r="D15" s="117"/>
      <c r="E15" s="460">
        <f>E16+E19+E20+E21+E22</f>
        <v>74710584195.430008</v>
      </c>
      <c r="F15" s="420"/>
      <c r="G15" s="169"/>
      <c r="H15" s="117"/>
      <c r="I15" s="117"/>
      <c r="J15" s="460">
        <f>J16+J19+J20+J21+J22</f>
        <v>27804664010.119999</v>
      </c>
      <c r="K15" s="460"/>
      <c r="L15" s="184"/>
    </row>
    <row r="16" spans="1:12" s="112" customFormat="1" ht="29.25" customHeight="1" x14ac:dyDescent="0.25">
      <c r="A16" s="270" t="s">
        <v>149</v>
      </c>
      <c r="B16" s="140"/>
      <c r="C16" s="3"/>
      <c r="D16" s="3"/>
      <c r="E16" s="393">
        <f>E17+E18</f>
        <v>60074868931.060005</v>
      </c>
      <c r="F16" s="358"/>
      <c r="G16" s="140"/>
      <c r="H16" s="3"/>
      <c r="I16" s="3"/>
      <c r="J16" s="393">
        <f>J17+J18</f>
        <v>21063406852.52</v>
      </c>
      <c r="K16" s="393"/>
      <c r="L16" s="184"/>
    </row>
    <row r="17" spans="1:17" s="112" customFormat="1" ht="12.75" customHeight="1" x14ac:dyDescent="0.25">
      <c r="A17" s="270" t="s">
        <v>150</v>
      </c>
      <c r="B17" s="140"/>
      <c r="C17" s="3"/>
      <c r="D17" s="3"/>
      <c r="E17" s="393">
        <f>53180783064.12</f>
        <v>53180783064.120003</v>
      </c>
      <c r="F17" s="358"/>
      <c r="G17" s="140"/>
      <c r="H17" s="3"/>
      <c r="I17" s="3"/>
      <c r="J17" s="393">
        <f>18678063146.9</f>
        <v>18678063146.900002</v>
      </c>
      <c r="K17" s="393"/>
      <c r="L17" s="184"/>
    </row>
    <row r="18" spans="1:17" s="112" customFormat="1" ht="12.75" customHeight="1" x14ac:dyDescent="0.25">
      <c r="A18" s="270" t="s">
        <v>151</v>
      </c>
      <c r="B18" s="140"/>
      <c r="C18" s="3"/>
      <c r="D18" s="3"/>
      <c r="E18" s="393">
        <f>6894085866.94</f>
        <v>6894085866.9399996</v>
      </c>
      <c r="F18" s="358"/>
      <c r="G18" s="140"/>
      <c r="H18" s="3"/>
      <c r="I18" s="3"/>
      <c r="J18" s="393">
        <f>2385343705.62</f>
        <v>2385343705.6199999</v>
      </c>
      <c r="K18" s="393"/>
      <c r="L18" s="530"/>
      <c r="M18" s="531"/>
      <c r="N18" s="531"/>
      <c r="O18" s="531"/>
      <c r="P18" s="531"/>
      <c r="Q18" s="531"/>
    </row>
    <row r="19" spans="1:17" s="112" customFormat="1" ht="15.75" x14ac:dyDescent="0.25">
      <c r="A19" s="214" t="s">
        <v>152</v>
      </c>
      <c r="B19" s="140"/>
      <c r="C19" s="3"/>
      <c r="D19" s="3"/>
      <c r="E19" s="393">
        <f>1678062136.72</f>
        <v>1678062136.72</v>
      </c>
      <c r="F19" s="358"/>
      <c r="G19" s="140"/>
      <c r="H19" s="3"/>
      <c r="I19" s="3"/>
      <c r="J19" s="393">
        <f>466027905.67</f>
        <v>466027905.67000002</v>
      </c>
      <c r="K19" s="393"/>
      <c r="L19" s="532"/>
      <c r="M19" s="531"/>
      <c r="N19" s="531"/>
      <c r="O19" s="531"/>
      <c r="P19" s="531"/>
      <c r="Q19" s="531"/>
    </row>
    <row r="20" spans="1:17" s="112" customFormat="1" ht="15.75" x14ac:dyDescent="0.25">
      <c r="A20" s="214" t="s">
        <v>153</v>
      </c>
      <c r="B20" s="140"/>
      <c r="C20" s="3"/>
      <c r="D20" s="3"/>
      <c r="E20" s="393">
        <f>5448604371.23</f>
        <v>5448604371.2299995</v>
      </c>
      <c r="F20" s="358"/>
      <c r="G20" s="140"/>
      <c r="H20" s="3"/>
      <c r="I20" s="3"/>
      <c r="J20" s="393">
        <f>3877599418.4</f>
        <v>3877599418.4000001</v>
      </c>
      <c r="K20" s="393"/>
      <c r="L20" s="530"/>
      <c r="M20" s="531"/>
      <c r="N20" s="531"/>
      <c r="O20" s="531"/>
      <c r="P20" s="531"/>
      <c r="Q20" s="531"/>
    </row>
    <row r="21" spans="1:17" s="112" customFormat="1" ht="15.75" x14ac:dyDescent="0.25">
      <c r="A21" s="214" t="s">
        <v>154</v>
      </c>
      <c r="B21" s="140" t="s">
        <v>148</v>
      </c>
      <c r="C21" s="3"/>
      <c r="D21" s="3"/>
      <c r="E21" s="393">
        <f>7508675813.8</f>
        <v>7508675813.8000002</v>
      </c>
      <c r="F21" s="358"/>
      <c r="G21" s="140"/>
      <c r="H21" s="3"/>
      <c r="I21" s="3"/>
      <c r="J21" s="393">
        <f>2397515409.33</f>
        <v>2397515409.3299999</v>
      </c>
      <c r="K21" s="393"/>
      <c r="L21" s="530"/>
      <c r="M21" s="531"/>
      <c r="N21" s="531"/>
      <c r="O21" s="531"/>
      <c r="P21" s="531"/>
      <c r="Q21" s="531"/>
    </row>
    <row r="22" spans="1:17" s="112" customFormat="1" ht="15.75" x14ac:dyDescent="0.25">
      <c r="A22" s="270" t="s">
        <v>155</v>
      </c>
      <c r="B22" s="140"/>
      <c r="C22" s="3"/>
      <c r="D22" s="3"/>
      <c r="E22" s="393">
        <f>E23+E24</f>
        <v>372942.62</v>
      </c>
      <c r="F22" s="358"/>
      <c r="G22" s="140"/>
      <c r="H22" s="3"/>
      <c r="I22" s="3"/>
      <c r="J22" s="393">
        <f>J23+J24</f>
        <v>114424.2</v>
      </c>
      <c r="K22" s="393"/>
      <c r="L22" s="533"/>
      <c r="M22" s="531"/>
      <c r="N22" s="531"/>
      <c r="O22" s="531"/>
      <c r="P22" s="531"/>
      <c r="Q22" s="531"/>
    </row>
    <row r="23" spans="1:17" s="112" customFormat="1" ht="15.75" x14ac:dyDescent="0.25">
      <c r="A23" s="270" t="s">
        <v>156</v>
      </c>
      <c r="B23" s="140"/>
      <c r="C23" s="3"/>
      <c r="D23" s="3"/>
      <c r="E23" s="393">
        <v>0</v>
      </c>
      <c r="F23" s="358"/>
      <c r="G23" s="140"/>
      <c r="H23" s="3"/>
      <c r="I23" s="3"/>
      <c r="J23" s="393">
        <v>0</v>
      </c>
      <c r="K23" s="393"/>
      <c r="L23" s="533"/>
      <c r="M23" s="531"/>
      <c r="N23" s="531"/>
      <c r="O23" s="531"/>
      <c r="P23" s="531"/>
      <c r="Q23" s="531"/>
    </row>
    <row r="24" spans="1:17" s="112" customFormat="1" ht="15.75" x14ac:dyDescent="0.25">
      <c r="A24" s="270" t="s">
        <v>157</v>
      </c>
      <c r="B24" s="140"/>
      <c r="C24" s="3"/>
      <c r="D24" s="3"/>
      <c r="E24" s="393">
        <f>372942.62</f>
        <v>372942.62</v>
      </c>
      <c r="F24" s="358"/>
      <c r="G24" s="140"/>
      <c r="H24" s="3"/>
      <c r="I24" s="3"/>
      <c r="J24" s="393">
        <f>114424.2</f>
        <v>114424.2</v>
      </c>
      <c r="K24" s="393"/>
      <c r="L24" s="533"/>
      <c r="M24" s="531"/>
      <c r="N24" s="531"/>
      <c r="O24" s="531"/>
      <c r="P24" s="531"/>
      <c r="Q24" s="531"/>
    </row>
    <row r="25" spans="1:17" s="112" customFormat="1" ht="15.75" x14ac:dyDescent="0.25">
      <c r="A25" s="170" t="s">
        <v>158</v>
      </c>
      <c r="B25" s="169" t="s">
        <v>148</v>
      </c>
      <c r="C25" s="117"/>
      <c r="D25" s="117"/>
      <c r="E25" s="461">
        <f>E26+E27+E28+E29</f>
        <v>5844650500.29</v>
      </c>
      <c r="F25" s="401"/>
      <c r="G25" s="169"/>
      <c r="H25" s="117"/>
      <c r="I25" s="117"/>
      <c r="J25" s="461">
        <f>J26+J27+J28+J29</f>
        <v>2502213855.3299999</v>
      </c>
      <c r="K25" s="461"/>
      <c r="L25" s="530"/>
      <c r="M25" s="531"/>
      <c r="N25" s="531"/>
      <c r="O25" s="531"/>
      <c r="P25" s="531"/>
      <c r="Q25" s="531"/>
    </row>
    <row r="26" spans="1:17" s="112" customFormat="1" ht="15.75" x14ac:dyDescent="0.25">
      <c r="A26" s="214" t="s">
        <v>159</v>
      </c>
      <c r="B26" s="140" t="s">
        <v>148</v>
      </c>
      <c r="C26" s="3"/>
      <c r="D26" s="3"/>
      <c r="E26" s="393">
        <f>3582794921.68</f>
        <v>3582794921.6799998</v>
      </c>
      <c r="F26" s="358"/>
      <c r="G26" s="140"/>
      <c r="H26" s="3"/>
      <c r="I26" s="3"/>
      <c r="J26" s="393">
        <f>1145180237.82</f>
        <v>1145180237.8199999</v>
      </c>
      <c r="K26" s="393"/>
      <c r="L26" s="530"/>
      <c r="M26" s="531"/>
      <c r="N26" s="531"/>
      <c r="O26" s="531"/>
      <c r="P26" s="531"/>
      <c r="Q26" s="531"/>
    </row>
    <row r="27" spans="1:17" s="112" customFormat="1" ht="15.75" x14ac:dyDescent="0.25">
      <c r="A27" s="214" t="s">
        <v>160</v>
      </c>
      <c r="B27" s="140" t="s">
        <v>148</v>
      </c>
      <c r="C27" s="3"/>
      <c r="D27" s="3"/>
      <c r="E27" s="393">
        <f>1454150478.61</f>
        <v>1454150478.6099999</v>
      </c>
      <c r="F27" s="358"/>
      <c r="G27" s="140"/>
      <c r="H27" s="3"/>
      <c r="I27" s="3"/>
      <c r="J27" s="393">
        <f>549333617.51</f>
        <v>549333617.50999999</v>
      </c>
      <c r="K27" s="393"/>
      <c r="L27" s="530"/>
      <c r="M27" s="531"/>
      <c r="N27" s="531"/>
      <c r="O27" s="531"/>
      <c r="P27" s="531"/>
      <c r="Q27" s="531"/>
    </row>
    <row r="28" spans="1:17" s="112" customFormat="1" ht="15.75" x14ac:dyDescent="0.25">
      <c r="A28" s="214" t="s">
        <v>161</v>
      </c>
      <c r="B28" s="140" t="s">
        <v>148</v>
      </c>
      <c r="C28" s="3"/>
      <c r="D28" s="3"/>
      <c r="E28" s="454">
        <f>5100</f>
        <v>5100</v>
      </c>
      <c r="F28" s="455"/>
      <c r="G28" s="3"/>
      <c r="H28" s="3"/>
      <c r="I28" s="3"/>
      <c r="J28" s="393">
        <v>0</v>
      </c>
      <c r="K28" s="393"/>
      <c r="L28" s="530"/>
      <c r="M28" s="531"/>
      <c r="N28" s="531"/>
      <c r="O28" s="531"/>
      <c r="P28" s="531"/>
      <c r="Q28" s="531"/>
    </row>
    <row r="29" spans="1:17" s="112" customFormat="1" ht="15.75" x14ac:dyDescent="0.25">
      <c r="A29" s="214" t="s">
        <v>162</v>
      </c>
      <c r="B29" s="140"/>
      <c r="C29" s="3"/>
      <c r="D29" s="3"/>
      <c r="E29" s="393">
        <f>807700000</f>
        <v>807700000</v>
      </c>
      <c r="F29" s="358"/>
      <c r="G29" s="140"/>
      <c r="H29" s="3"/>
      <c r="I29" s="3"/>
      <c r="J29" s="393">
        <f>807700000</f>
        <v>807700000</v>
      </c>
      <c r="K29" s="393"/>
      <c r="L29" s="530"/>
      <c r="M29" s="531"/>
      <c r="N29" s="531"/>
      <c r="O29" s="531"/>
      <c r="P29" s="531"/>
      <c r="Q29" s="531"/>
    </row>
    <row r="30" spans="1:17" s="6" customFormat="1" ht="15.75" x14ac:dyDescent="0.25">
      <c r="A30" s="170" t="s">
        <v>163</v>
      </c>
      <c r="B30" s="171"/>
      <c r="C30" s="170"/>
      <c r="D30" s="170"/>
      <c r="E30" s="361">
        <f>E31+E32+E33+E34</f>
        <v>16537952842.609999</v>
      </c>
      <c r="F30" s="459"/>
      <c r="G30" s="171"/>
      <c r="H30" s="170"/>
      <c r="I30" s="170"/>
      <c r="J30" s="361">
        <f>J31+J32+J33+J34</f>
        <v>6934771229.3400002</v>
      </c>
      <c r="K30" s="361"/>
      <c r="L30" s="530"/>
      <c r="M30" s="531"/>
      <c r="N30" s="531"/>
      <c r="O30" s="531"/>
      <c r="P30" s="531"/>
      <c r="Q30" s="531"/>
    </row>
    <row r="31" spans="1:17" s="112" customFormat="1" ht="13.5" customHeight="1" x14ac:dyDescent="0.25">
      <c r="A31" s="277" t="s">
        <v>164</v>
      </c>
      <c r="B31" s="185"/>
      <c r="C31" s="149"/>
      <c r="D31" s="149"/>
      <c r="E31" s="452">
        <f>13248286712.64</f>
        <v>13248286712.639999</v>
      </c>
      <c r="F31" s="453"/>
      <c r="G31" s="140"/>
      <c r="H31" s="3"/>
      <c r="I31" s="3"/>
      <c r="J31" s="393">
        <f>4656742804.83</f>
        <v>4656742804.8299999</v>
      </c>
      <c r="K31" s="393"/>
      <c r="L31" s="530"/>
      <c r="M31" s="531"/>
      <c r="N31" s="531"/>
      <c r="O31" s="531"/>
      <c r="P31" s="531"/>
      <c r="Q31" s="531"/>
    </row>
    <row r="32" spans="1:17" s="112" customFormat="1" ht="13.5" customHeight="1" x14ac:dyDescent="0.25">
      <c r="A32" s="277" t="s">
        <v>165</v>
      </c>
      <c r="B32" s="185"/>
      <c r="C32" s="149"/>
      <c r="D32" s="149"/>
      <c r="E32" s="452">
        <f>2724203510.31</f>
        <v>2724203510.3099999</v>
      </c>
      <c r="F32" s="453"/>
      <c r="G32" s="140"/>
      <c r="H32" s="3"/>
      <c r="I32" s="3"/>
      <c r="J32" s="393">
        <f>1938770020.12</f>
        <v>1938770020.1199999</v>
      </c>
      <c r="K32" s="393"/>
      <c r="L32" s="530"/>
      <c r="M32" s="531"/>
      <c r="N32" s="534"/>
      <c r="O32" s="534"/>
      <c r="P32" s="531"/>
      <c r="Q32" s="531"/>
    </row>
    <row r="33" spans="1:17" s="112" customFormat="1" ht="13.5" customHeight="1" x14ac:dyDescent="0.25">
      <c r="A33" s="277" t="s">
        <v>166</v>
      </c>
      <c r="B33" s="185"/>
      <c r="C33" s="149"/>
      <c r="D33" s="149"/>
      <c r="E33" s="452">
        <f>363537619.66</f>
        <v>363537619.66000003</v>
      </c>
      <c r="F33" s="453"/>
      <c r="G33" s="140"/>
      <c r="H33" s="3"/>
      <c r="I33" s="3"/>
      <c r="J33" s="393">
        <f>137333404.38</f>
        <v>137333404.38</v>
      </c>
      <c r="K33" s="393"/>
      <c r="L33" s="530"/>
      <c r="M33" s="531"/>
      <c r="N33" s="534"/>
      <c r="O33" s="534"/>
      <c r="P33" s="531"/>
      <c r="Q33" s="531"/>
    </row>
    <row r="34" spans="1:17" s="112" customFormat="1" ht="12.75" customHeight="1" x14ac:dyDescent="0.25">
      <c r="A34" s="277" t="s">
        <v>393</v>
      </c>
      <c r="B34" s="185"/>
      <c r="C34" s="149"/>
      <c r="D34" s="149"/>
      <c r="E34" s="441">
        <f>201925000</f>
        <v>201925000</v>
      </c>
      <c r="F34" s="442"/>
      <c r="G34" s="140"/>
      <c r="H34" s="3"/>
      <c r="I34" s="3"/>
      <c r="J34" s="422">
        <f>201925000.01</f>
        <v>201925000.00999999</v>
      </c>
      <c r="K34" s="422"/>
      <c r="L34" s="530"/>
      <c r="M34" s="531"/>
      <c r="N34" s="535"/>
      <c r="O34" s="536"/>
      <c r="P34" s="531"/>
      <c r="Q34" s="531"/>
    </row>
    <row r="35" spans="1:17" s="112" customFormat="1" ht="13.5" customHeight="1" x14ac:dyDescent="0.25">
      <c r="A35" s="271" t="s">
        <v>167</v>
      </c>
      <c r="B35" s="172" t="s">
        <v>148</v>
      </c>
      <c r="C35" s="173"/>
      <c r="D35" s="173"/>
      <c r="E35" s="439">
        <f>E15+E25-E30</f>
        <v>64017281853.110001</v>
      </c>
      <c r="F35" s="446"/>
      <c r="G35" s="172"/>
      <c r="H35" s="173"/>
      <c r="I35" s="173"/>
      <c r="J35" s="439">
        <f>J15+J25-J30</f>
        <v>23372106636.109997</v>
      </c>
      <c r="K35" s="439"/>
      <c r="L35" s="537"/>
      <c r="M35" s="531"/>
      <c r="N35" s="538"/>
      <c r="O35" s="538"/>
      <c r="P35" s="531"/>
      <c r="Q35" s="531"/>
    </row>
    <row r="36" spans="1:17" s="112" customFormat="1" ht="13.5" customHeight="1" x14ac:dyDescent="0.25">
      <c r="A36" s="271"/>
      <c r="B36" s="143"/>
      <c r="C36" s="144"/>
      <c r="D36" s="144"/>
      <c r="E36" s="144"/>
      <c r="F36" s="144"/>
      <c r="G36" s="143"/>
      <c r="H36" s="142"/>
      <c r="I36" s="142"/>
      <c r="J36" s="182"/>
      <c r="K36" s="182"/>
      <c r="L36" s="537"/>
      <c r="M36" s="539"/>
      <c r="N36" s="538"/>
      <c r="O36" s="538"/>
      <c r="P36" s="531"/>
      <c r="Q36" s="531"/>
    </row>
    <row r="37" spans="1:17" s="112" customFormat="1" ht="16.5" customHeight="1" x14ac:dyDescent="0.25">
      <c r="A37" s="278" t="s">
        <v>394</v>
      </c>
      <c r="B37" s="186"/>
      <c r="C37" s="187"/>
      <c r="D37" s="187"/>
      <c r="E37" s="447">
        <f>11255722873.55</f>
        <v>11255722873.549999</v>
      </c>
      <c r="F37" s="448"/>
      <c r="G37" s="174"/>
      <c r="H37" s="173"/>
      <c r="I37" s="173"/>
      <c r="J37" s="440">
        <f>4181554897.47</f>
        <v>4181554897.4699998</v>
      </c>
      <c r="K37" s="440"/>
      <c r="L37" s="537"/>
      <c r="M37" s="531"/>
      <c r="N37" s="538"/>
      <c r="O37" s="538"/>
      <c r="P37" s="531"/>
      <c r="Q37" s="531"/>
    </row>
    <row r="38" spans="1:17" s="112" customFormat="1" ht="13.5" customHeight="1" x14ac:dyDescent="0.25">
      <c r="A38" s="271"/>
      <c r="B38" s="143"/>
      <c r="C38" s="144"/>
      <c r="D38" s="144"/>
      <c r="E38" s="144"/>
      <c r="F38" s="144"/>
      <c r="G38" s="143"/>
      <c r="H38" s="142"/>
      <c r="I38" s="142"/>
      <c r="J38" s="182"/>
      <c r="K38" s="182"/>
      <c r="L38" s="537"/>
      <c r="M38" s="538"/>
      <c r="N38" s="538"/>
      <c r="O38" s="538"/>
      <c r="P38" s="531"/>
      <c r="Q38" s="531"/>
    </row>
    <row r="39" spans="1:17" s="112" customFormat="1" ht="33.75" customHeight="1" x14ac:dyDescent="0.25">
      <c r="A39" s="271" t="s">
        <v>395</v>
      </c>
      <c r="B39" s="174"/>
      <c r="C39" s="175"/>
      <c r="D39" s="175"/>
      <c r="E39" s="439">
        <f>(0.05*((E16-E31)+(E19)+(E20-E32)+(E26)+(E27-E33)+(E29-E34)))+(0.25*(E21+E28))</f>
        <v>4702581628.2845001</v>
      </c>
      <c r="F39" s="446"/>
      <c r="G39" s="174"/>
      <c r="H39" s="173"/>
      <c r="I39" s="173"/>
      <c r="J39" s="439">
        <f>(0.05*((J16-J31)+(J19)+(J20-J32)+(J26)+(J27-J33)+(J29-J34)))+(0.25*(J21+J28))</f>
        <v>1648102692.4615002</v>
      </c>
      <c r="K39" s="439"/>
      <c r="L39" s="537"/>
      <c r="M39" s="538"/>
      <c r="N39" s="538"/>
      <c r="O39" s="538"/>
      <c r="P39" s="531"/>
      <c r="Q39" s="531"/>
    </row>
    <row r="40" spans="1:17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537"/>
      <c r="M40" s="538"/>
      <c r="N40" s="538"/>
      <c r="O40" s="538"/>
      <c r="P40" s="531"/>
      <c r="Q40" s="531"/>
    </row>
    <row r="41" spans="1:17" s="112" customFormat="1" ht="18.75" customHeight="1" x14ac:dyDescent="0.2">
      <c r="A41" s="435" t="s">
        <v>168</v>
      </c>
      <c r="B41" s="435"/>
      <c r="C41" s="435"/>
      <c r="D41" s="435"/>
      <c r="E41" s="435"/>
      <c r="F41" s="435"/>
      <c r="G41" s="435"/>
      <c r="H41" s="435"/>
      <c r="I41" s="435"/>
      <c r="J41" s="435"/>
      <c r="K41" s="181"/>
      <c r="L41" s="532"/>
      <c r="M41" s="539"/>
      <c r="N41" s="531"/>
      <c r="O41" s="531"/>
      <c r="P41" s="531"/>
      <c r="Q41" s="531"/>
    </row>
    <row r="42" spans="1:17" s="112" customFormat="1" ht="15" customHeight="1" x14ac:dyDescent="0.25">
      <c r="A42" s="394" t="s">
        <v>169</v>
      </c>
      <c r="B42" s="443" t="s">
        <v>146</v>
      </c>
      <c r="C42" s="444"/>
      <c r="D42" s="444"/>
      <c r="E42" s="444"/>
      <c r="F42" s="445"/>
      <c r="G42" s="443" t="s">
        <v>10</v>
      </c>
      <c r="H42" s="444"/>
      <c r="I42" s="444"/>
      <c r="J42" s="444"/>
      <c r="K42" s="444"/>
      <c r="L42" s="530"/>
      <c r="M42" s="531"/>
      <c r="N42" s="531"/>
      <c r="O42" s="531"/>
      <c r="P42" s="531"/>
      <c r="Q42" s="531"/>
    </row>
    <row r="43" spans="1:17" s="112" customFormat="1" ht="15.75" x14ac:dyDescent="0.25">
      <c r="A43" s="438"/>
      <c r="B43" s="387" t="s">
        <v>44</v>
      </c>
      <c r="C43" s="396"/>
      <c r="D43" s="396"/>
      <c r="E43" s="396"/>
      <c r="F43" s="388"/>
      <c r="G43" s="387" t="s">
        <v>15</v>
      </c>
      <c r="H43" s="396"/>
      <c r="I43" s="396"/>
      <c r="J43" s="396"/>
      <c r="K43" s="396"/>
      <c r="L43" s="530"/>
      <c r="M43" s="531"/>
      <c r="N43" s="531"/>
      <c r="O43" s="531"/>
      <c r="P43" s="531"/>
      <c r="Q43" s="531"/>
    </row>
    <row r="44" spans="1:17" s="112" customFormat="1" ht="15.75" x14ac:dyDescent="0.25">
      <c r="A44" s="392"/>
      <c r="B44" s="413" t="s">
        <v>16</v>
      </c>
      <c r="C44" s="414"/>
      <c r="D44" s="414"/>
      <c r="E44" s="414"/>
      <c r="F44" s="415"/>
      <c r="G44" s="413" t="s">
        <v>17</v>
      </c>
      <c r="H44" s="414"/>
      <c r="I44" s="414"/>
      <c r="J44" s="414"/>
      <c r="K44" s="414"/>
      <c r="L44" s="530"/>
      <c r="M44" s="531"/>
      <c r="N44" s="531"/>
      <c r="O44" s="531"/>
      <c r="P44" s="531"/>
      <c r="Q44" s="531"/>
    </row>
    <row r="45" spans="1:17" s="112" customFormat="1" ht="15.75" x14ac:dyDescent="0.25">
      <c r="A45" s="279" t="s">
        <v>170</v>
      </c>
      <c r="B45" s="219"/>
      <c r="C45" s="219"/>
      <c r="D45" s="219"/>
      <c r="E45" s="449">
        <f>E46+E50+E54+E56</f>
        <v>4217747252</v>
      </c>
      <c r="F45" s="450"/>
      <c r="G45" s="219"/>
      <c r="H45" s="219"/>
      <c r="I45" s="170"/>
      <c r="J45" s="451">
        <f>J46+J50+J54+J56</f>
        <v>1584908280.21</v>
      </c>
      <c r="K45" s="451"/>
      <c r="L45" s="530"/>
      <c r="M45" s="539"/>
      <c r="N45" s="531"/>
      <c r="O45" s="531"/>
      <c r="P45" s="531"/>
      <c r="Q45" s="531"/>
    </row>
    <row r="46" spans="1:17" s="112" customFormat="1" ht="15.75" x14ac:dyDescent="0.25">
      <c r="A46" s="279" t="s">
        <v>171</v>
      </c>
      <c r="B46" s="219"/>
      <c r="C46" s="219"/>
      <c r="D46" s="219"/>
      <c r="E46" s="359">
        <f>E47+E48</f>
        <v>4217747252</v>
      </c>
      <c r="F46" s="360"/>
      <c r="G46" s="219"/>
      <c r="H46" s="219"/>
      <c r="I46" s="170"/>
      <c r="J46" s="361">
        <f>J47+J48</f>
        <v>1555860508.52</v>
      </c>
      <c r="K46" s="361"/>
      <c r="L46" s="184"/>
      <c r="M46" s="204"/>
    </row>
    <row r="47" spans="1:17" s="112" customFormat="1" ht="15.75" x14ac:dyDescent="0.25">
      <c r="A47" s="280" t="s">
        <v>172</v>
      </c>
      <c r="B47" s="220"/>
      <c r="C47" s="220"/>
      <c r="D47" s="220"/>
      <c r="E47" s="362">
        <f>4217747252</f>
        <v>4217747252</v>
      </c>
      <c r="F47" s="363"/>
      <c r="G47" s="220"/>
      <c r="H47" s="220"/>
      <c r="I47" s="214"/>
      <c r="J47" s="356">
        <f>1543351576.73</f>
        <v>1543351576.73</v>
      </c>
      <c r="K47" s="356"/>
      <c r="L47" s="184"/>
    </row>
    <row r="48" spans="1:17" s="112" customFormat="1" ht="15.75" x14ac:dyDescent="0.25">
      <c r="A48" s="280" t="s">
        <v>173</v>
      </c>
      <c r="B48" s="220"/>
      <c r="C48" s="220"/>
      <c r="D48" s="220"/>
      <c r="E48" s="362">
        <v>0</v>
      </c>
      <c r="F48" s="363"/>
      <c r="G48" s="220"/>
      <c r="H48" s="220"/>
      <c r="I48" s="214"/>
      <c r="J48" s="356">
        <f>12508931.79</f>
        <v>12508931.789999999</v>
      </c>
      <c r="K48" s="356"/>
      <c r="L48" s="184"/>
    </row>
    <row r="49" spans="1:17" s="112" customFormat="1" ht="15.75" x14ac:dyDescent="0.25">
      <c r="A49" s="280" t="s">
        <v>174</v>
      </c>
      <c r="B49" s="220"/>
      <c r="C49" s="220"/>
      <c r="D49" s="220"/>
      <c r="E49" s="362">
        <v>0</v>
      </c>
      <c r="F49" s="363"/>
      <c r="G49" s="220"/>
      <c r="H49" s="220"/>
      <c r="I49" s="214"/>
      <c r="J49" s="356">
        <v>0</v>
      </c>
      <c r="K49" s="356">
        <v>0</v>
      </c>
      <c r="L49" s="184"/>
    </row>
    <row r="50" spans="1:17" s="112" customFormat="1" ht="15.75" x14ac:dyDescent="0.25">
      <c r="A50" s="279" t="s">
        <v>175</v>
      </c>
      <c r="B50" s="219"/>
      <c r="C50" s="219"/>
      <c r="D50" s="219"/>
      <c r="E50" s="359">
        <f>E51+E52</f>
        <v>0</v>
      </c>
      <c r="F50" s="360"/>
      <c r="G50" s="219"/>
      <c r="H50" s="219"/>
      <c r="I50" s="170"/>
      <c r="J50" s="361">
        <f>J51+J52</f>
        <v>29047771.690000001</v>
      </c>
      <c r="K50" s="361"/>
      <c r="L50" s="184"/>
    </row>
    <row r="51" spans="1:17" s="112" customFormat="1" ht="15.75" x14ac:dyDescent="0.25">
      <c r="A51" s="280" t="s">
        <v>176</v>
      </c>
      <c r="B51" s="220"/>
      <c r="C51" s="220"/>
      <c r="D51" s="220"/>
      <c r="E51" s="362">
        <v>0</v>
      </c>
      <c r="F51" s="363"/>
      <c r="G51" s="220"/>
      <c r="H51" s="220"/>
      <c r="I51" s="214"/>
      <c r="J51" s="356">
        <f>29047771.69</f>
        <v>29047771.690000001</v>
      </c>
      <c r="K51" s="356"/>
      <c r="L51" s="184"/>
    </row>
    <row r="52" spans="1:17" s="112" customFormat="1" ht="15.75" x14ac:dyDescent="0.25">
      <c r="A52" s="280" t="s">
        <v>177</v>
      </c>
      <c r="B52" s="220"/>
      <c r="C52" s="220"/>
      <c r="D52" s="220"/>
      <c r="E52" s="362">
        <v>0</v>
      </c>
      <c r="F52" s="363"/>
      <c r="G52" s="220"/>
      <c r="H52" s="220"/>
      <c r="I52" s="214"/>
      <c r="J52" s="356">
        <v>0</v>
      </c>
      <c r="K52" s="356"/>
      <c r="L52" s="184"/>
    </row>
    <row r="53" spans="1:17" s="112" customFormat="1" ht="15.75" x14ac:dyDescent="0.25">
      <c r="A53" s="280" t="s">
        <v>178</v>
      </c>
      <c r="B53" s="220"/>
      <c r="C53" s="220"/>
      <c r="D53" s="220"/>
      <c r="E53" s="362">
        <v>0</v>
      </c>
      <c r="F53" s="363"/>
      <c r="G53" s="220"/>
      <c r="H53" s="220"/>
      <c r="I53" s="214"/>
      <c r="J53" s="356">
        <v>0</v>
      </c>
      <c r="K53" s="356"/>
      <c r="L53" s="184"/>
    </row>
    <row r="54" spans="1:17" s="112" customFormat="1" ht="15.75" x14ac:dyDescent="0.25">
      <c r="A54" s="279" t="s">
        <v>179</v>
      </c>
      <c r="B54" s="219"/>
      <c r="C54" s="219"/>
      <c r="D54" s="219"/>
      <c r="E54" s="359">
        <f>E55+E56</f>
        <v>0</v>
      </c>
      <c r="F54" s="360"/>
      <c r="G54" s="219"/>
      <c r="H54" s="219"/>
      <c r="I54" s="170"/>
      <c r="J54" s="361">
        <f>J55+J56</f>
        <v>0</v>
      </c>
      <c r="K54" s="361"/>
      <c r="L54" s="184"/>
    </row>
    <row r="55" spans="1:17" s="112" customFormat="1" ht="15.75" x14ac:dyDescent="0.25">
      <c r="A55" s="280" t="s">
        <v>180</v>
      </c>
      <c r="B55" s="220"/>
      <c r="C55" s="220"/>
      <c r="D55" s="220"/>
      <c r="E55" s="362">
        <v>0</v>
      </c>
      <c r="F55" s="363"/>
      <c r="G55" s="220"/>
      <c r="H55" s="220"/>
      <c r="I55" s="214"/>
      <c r="J55" s="356">
        <v>0</v>
      </c>
      <c r="K55" s="356"/>
      <c r="L55" s="184"/>
    </row>
    <row r="56" spans="1:17" s="112" customFormat="1" ht="15.75" x14ac:dyDescent="0.25">
      <c r="A56" s="280" t="s">
        <v>181</v>
      </c>
      <c r="B56" s="220"/>
      <c r="C56" s="220"/>
      <c r="D56" s="220"/>
      <c r="E56" s="362">
        <v>0</v>
      </c>
      <c r="F56" s="363"/>
      <c r="G56" s="220"/>
      <c r="H56" s="220"/>
      <c r="I56" s="214"/>
      <c r="J56" s="356">
        <v>0</v>
      </c>
      <c r="K56" s="356"/>
      <c r="L56" s="184"/>
    </row>
    <row r="57" spans="1:17" s="112" customFormat="1" ht="15.75" x14ac:dyDescent="0.25">
      <c r="A57" s="280" t="s">
        <v>182</v>
      </c>
      <c r="B57" s="220"/>
      <c r="C57" s="220"/>
      <c r="D57" s="220"/>
      <c r="E57" s="362">
        <v>0</v>
      </c>
      <c r="F57" s="363"/>
      <c r="G57" s="220"/>
      <c r="H57" s="220"/>
      <c r="I57" s="214"/>
      <c r="J57" s="356">
        <v>0</v>
      </c>
      <c r="K57" s="356"/>
      <c r="L57" s="184"/>
      <c r="N57" s="267"/>
      <c r="O57" s="268"/>
    </row>
    <row r="58" spans="1:17" s="112" customFormat="1" ht="15.75" x14ac:dyDescent="0.25">
      <c r="A58" s="279" t="s">
        <v>183</v>
      </c>
      <c r="B58" s="220"/>
      <c r="C58" s="220"/>
      <c r="D58" s="220"/>
      <c r="E58" s="359">
        <f>E59+E60+E61</f>
        <v>0</v>
      </c>
      <c r="F58" s="360"/>
      <c r="G58" s="220"/>
      <c r="H58" s="220"/>
      <c r="I58" s="214"/>
      <c r="J58" s="361">
        <f>J59+J60+J61</f>
        <v>0</v>
      </c>
      <c r="K58" s="361"/>
      <c r="L58" s="530"/>
      <c r="M58" s="531"/>
      <c r="N58" s="536"/>
      <c r="O58" s="534"/>
      <c r="P58" s="531"/>
      <c r="Q58" s="531"/>
    </row>
    <row r="59" spans="1:17" s="112" customFormat="1" ht="15.75" x14ac:dyDescent="0.25">
      <c r="A59" s="280" t="s">
        <v>184</v>
      </c>
      <c r="B59" s="220"/>
      <c r="C59" s="220"/>
      <c r="D59" s="220"/>
      <c r="E59" s="362">
        <v>0</v>
      </c>
      <c r="F59" s="363"/>
      <c r="G59" s="220"/>
      <c r="H59" s="220"/>
      <c r="I59" s="214"/>
      <c r="J59" s="356">
        <v>0</v>
      </c>
      <c r="K59" s="356"/>
      <c r="L59" s="530"/>
      <c r="M59" s="531"/>
      <c r="N59" s="536"/>
      <c r="O59" s="534"/>
      <c r="P59" s="531"/>
      <c r="Q59" s="531"/>
    </row>
    <row r="60" spans="1:17" s="112" customFormat="1" ht="15.75" x14ac:dyDescent="0.25">
      <c r="A60" s="280" t="s">
        <v>185</v>
      </c>
      <c r="B60" s="220"/>
      <c r="C60" s="220"/>
      <c r="D60" s="220"/>
      <c r="E60" s="362">
        <v>0</v>
      </c>
      <c r="F60" s="363"/>
      <c r="G60" s="220"/>
      <c r="H60" s="220"/>
      <c r="I60" s="214"/>
      <c r="J60" s="356">
        <v>0</v>
      </c>
      <c r="K60" s="356"/>
      <c r="L60" s="530"/>
      <c r="M60" s="531"/>
      <c r="N60" s="536"/>
      <c r="O60" s="534"/>
      <c r="P60" s="531"/>
      <c r="Q60" s="531"/>
    </row>
    <row r="61" spans="1:17" s="112" customFormat="1" ht="15.75" x14ac:dyDescent="0.25">
      <c r="A61" s="280" t="s">
        <v>186</v>
      </c>
      <c r="B61" s="220"/>
      <c r="C61" s="220"/>
      <c r="D61" s="220"/>
      <c r="E61" s="362">
        <v>0</v>
      </c>
      <c r="F61" s="363"/>
      <c r="G61" s="220"/>
      <c r="H61" s="220"/>
      <c r="I61" s="214"/>
      <c r="J61" s="356">
        <v>0</v>
      </c>
      <c r="K61" s="356"/>
      <c r="L61" s="530"/>
      <c r="M61" s="531"/>
      <c r="N61" s="534"/>
      <c r="O61" s="534"/>
      <c r="P61" s="531"/>
      <c r="Q61" s="531"/>
    </row>
    <row r="62" spans="1:17" s="112" customFormat="1" ht="15.75" x14ac:dyDescent="0.25">
      <c r="A62" s="281" t="s">
        <v>187</v>
      </c>
      <c r="B62" s="221"/>
      <c r="C62" s="221"/>
      <c r="D62" s="221"/>
      <c r="E62" s="462">
        <f>E47-E37</f>
        <v>-7037975621.5499992</v>
      </c>
      <c r="F62" s="463"/>
      <c r="G62" s="221"/>
      <c r="H62" s="221"/>
      <c r="I62" s="222"/>
      <c r="J62" s="462">
        <f>J47-J37</f>
        <v>-2638203320.7399998</v>
      </c>
      <c r="K62" s="462"/>
      <c r="L62" s="532"/>
      <c r="M62" s="531"/>
      <c r="N62" s="538"/>
      <c r="O62" s="538"/>
      <c r="P62" s="531"/>
      <c r="Q62" s="531"/>
    </row>
    <row r="63" spans="1:17" s="6" customFormat="1" ht="19.5" customHeight="1" x14ac:dyDescent="0.2">
      <c r="A63" s="208" t="s">
        <v>188</v>
      </c>
      <c r="B63" s="467" t="s">
        <v>189</v>
      </c>
      <c r="C63" s="468"/>
      <c r="D63" s="468"/>
      <c r="E63" s="468"/>
      <c r="F63" s="468"/>
      <c r="G63" s="468"/>
      <c r="H63" s="468"/>
      <c r="I63" s="468"/>
      <c r="J63" s="468"/>
      <c r="K63" s="211"/>
      <c r="L63" s="530"/>
      <c r="M63" s="540"/>
      <c r="N63" s="541"/>
      <c r="O63" s="540"/>
      <c r="P63" s="540"/>
      <c r="Q63" s="531"/>
    </row>
    <row r="64" spans="1:17" s="6" customFormat="1" ht="15.75" x14ac:dyDescent="0.25">
      <c r="A64" s="282" t="s">
        <v>190</v>
      </c>
      <c r="B64" s="212"/>
      <c r="C64" s="212"/>
      <c r="D64" s="212"/>
      <c r="E64" s="212"/>
      <c r="F64" s="212"/>
      <c r="G64" s="212"/>
      <c r="H64" s="212"/>
      <c r="I64" s="170"/>
      <c r="J64" s="451">
        <f>J65+J66</f>
        <v>22398915.440000001</v>
      </c>
      <c r="K64" s="451"/>
      <c r="L64" s="530"/>
      <c r="M64" s="540"/>
      <c r="N64" s="540"/>
      <c r="O64" s="540"/>
      <c r="P64" s="540"/>
      <c r="Q64" s="531"/>
    </row>
    <row r="65" spans="1:17" s="6" customFormat="1" ht="12.75" customHeight="1" x14ac:dyDescent="0.25">
      <c r="A65" s="280" t="s">
        <v>191</v>
      </c>
      <c r="B65" s="213"/>
      <c r="C65" s="213"/>
      <c r="D65" s="213"/>
      <c r="E65" s="213"/>
      <c r="F65" s="213"/>
      <c r="G65" s="213"/>
      <c r="H65" s="213"/>
      <c r="I65" s="214"/>
      <c r="J65" s="356">
        <f>22398915.44</f>
        <v>22398915.440000001</v>
      </c>
      <c r="K65" s="356"/>
      <c r="L65" s="542"/>
      <c r="M65" s="543"/>
      <c r="N65" s="543"/>
      <c r="O65" s="543"/>
      <c r="P65" s="543"/>
      <c r="Q65" s="531"/>
    </row>
    <row r="66" spans="1:17" s="6" customFormat="1" ht="15.75" x14ac:dyDescent="0.25">
      <c r="A66" s="283" t="s">
        <v>192</v>
      </c>
      <c r="B66" s="213"/>
      <c r="C66" s="213"/>
      <c r="D66" s="213"/>
      <c r="E66" s="213"/>
      <c r="F66" s="213"/>
      <c r="G66" s="213"/>
      <c r="H66" s="213"/>
      <c r="I66" s="214"/>
      <c r="J66" s="377">
        <v>0</v>
      </c>
      <c r="K66" s="377"/>
      <c r="L66" s="542"/>
      <c r="M66" s="540"/>
      <c r="N66" s="540"/>
      <c r="O66" s="540"/>
      <c r="P66" s="540"/>
      <c r="Q66" s="531"/>
    </row>
    <row r="67" spans="1:17" s="6" customFormat="1" ht="15" customHeight="1" x14ac:dyDescent="0.25">
      <c r="A67" s="147"/>
      <c r="B67" s="215"/>
      <c r="C67" s="215"/>
      <c r="D67" s="215"/>
      <c r="E67" s="215"/>
      <c r="F67" s="215"/>
      <c r="G67" s="215"/>
      <c r="H67" s="215"/>
      <c r="I67" s="216"/>
      <c r="J67" s="216"/>
      <c r="K67" s="216"/>
      <c r="L67" s="530"/>
      <c r="M67" s="540"/>
      <c r="N67" s="540"/>
      <c r="O67" s="540"/>
      <c r="P67" s="540"/>
      <c r="Q67" s="531"/>
    </row>
    <row r="68" spans="1:17" s="6" customFormat="1" ht="15.75" x14ac:dyDescent="0.25">
      <c r="A68" s="284" t="s">
        <v>193</v>
      </c>
      <c r="B68" s="217"/>
      <c r="C68" s="217"/>
      <c r="D68" s="217"/>
      <c r="E68" s="217"/>
      <c r="F68" s="217"/>
      <c r="G68" s="217"/>
      <c r="H68" s="217"/>
      <c r="I68" s="218"/>
      <c r="J68" s="440">
        <f>J45+J64</f>
        <v>1607307195.6500001</v>
      </c>
      <c r="K68" s="440"/>
      <c r="L68" s="530"/>
      <c r="M68" s="540"/>
      <c r="N68" s="540"/>
      <c r="O68" s="540"/>
      <c r="P68" s="540"/>
      <c r="Q68" s="531"/>
    </row>
    <row r="69" spans="1:17" s="6" customFormat="1" ht="15.75" x14ac:dyDescent="0.25">
      <c r="A69" s="212"/>
      <c r="B69" s="212"/>
      <c r="C69" s="212"/>
      <c r="D69" s="212"/>
      <c r="E69" s="212"/>
      <c r="F69" s="212"/>
      <c r="G69" s="212"/>
      <c r="H69" s="212"/>
      <c r="I69" s="170"/>
      <c r="J69" s="170"/>
      <c r="K69" s="300" t="s">
        <v>194</v>
      </c>
      <c r="L69" s="530"/>
      <c r="M69" s="540"/>
      <c r="N69" s="540"/>
      <c r="O69" s="540"/>
      <c r="P69" s="540"/>
      <c r="Q69" s="531"/>
    </row>
    <row r="70" spans="1:17" s="184" customFormat="1" ht="15.75" x14ac:dyDescent="0.25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301" t="s">
        <v>195</v>
      </c>
      <c r="L70" s="530"/>
      <c r="M70" s="530"/>
      <c r="N70" s="530"/>
      <c r="O70" s="530"/>
      <c r="P70" s="530"/>
      <c r="Q70" s="530"/>
    </row>
    <row r="71" spans="1:17" s="184" customFormat="1" ht="15.75" x14ac:dyDescent="0.25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530"/>
      <c r="M71" s="532"/>
      <c r="N71" s="530"/>
      <c r="O71" s="530"/>
      <c r="P71" s="530"/>
      <c r="Q71" s="530"/>
    </row>
    <row r="72" spans="1:17" s="184" customFormat="1" ht="15.75" x14ac:dyDescent="0.25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530"/>
      <c r="M72" s="530"/>
      <c r="N72" s="530"/>
      <c r="O72" s="530"/>
      <c r="P72" s="530"/>
      <c r="Q72" s="530"/>
    </row>
    <row r="73" spans="1:17" s="184" customFormat="1" ht="15.75" x14ac:dyDescent="0.25">
      <c r="A73" s="464" t="str">
        <f>A4</f>
        <v>GOVERNO DO ESTADO DO RIO DE JANEIRO</v>
      </c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530"/>
      <c r="M73" s="530"/>
      <c r="N73" s="530"/>
      <c r="O73" s="530"/>
      <c r="P73" s="530"/>
      <c r="Q73" s="530"/>
    </row>
    <row r="74" spans="1:17" s="184" customFormat="1" ht="15.75" x14ac:dyDescent="0.25">
      <c r="A74" s="464" t="str">
        <f>A5</f>
        <v>RELATÓRIO RESUMIDO DA EXECUÇÃO ORÇAMENTÁRIA</v>
      </c>
      <c r="B74" s="464"/>
      <c r="C74" s="464"/>
      <c r="D74" s="464"/>
      <c r="E74" s="464"/>
      <c r="F74" s="464"/>
      <c r="G74" s="464"/>
      <c r="H74" s="464"/>
      <c r="I74" s="464"/>
      <c r="J74" s="464"/>
      <c r="K74" s="464"/>
    </row>
    <row r="75" spans="1:17" s="184" customFormat="1" ht="15.75" x14ac:dyDescent="0.25">
      <c r="A75" s="505" t="str">
        <f>A6</f>
        <v>DEMONSTRATIVO DAS RECEITAS E DESPESAS COM MANUTENÇÃO E DESENVOLVIMENTO DO ENSINO - MDE</v>
      </c>
      <c r="B75" s="505"/>
      <c r="C75" s="505"/>
      <c r="D75" s="505"/>
      <c r="E75" s="505"/>
      <c r="F75" s="505"/>
      <c r="G75" s="505"/>
      <c r="H75" s="505"/>
      <c r="I75" s="505"/>
      <c r="J75" s="505"/>
      <c r="K75" s="505"/>
    </row>
    <row r="76" spans="1:17" s="184" customFormat="1" ht="15.75" x14ac:dyDescent="0.25">
      <c r="A76" s="464" t="str">
        <f>A7</f>
        <v>ORÇAMENTOS FISCAL E DA SEGURIDADE SOCIAL</v>
      </c>
      <c r="B76" s="464"/>
      <c r="C76" s="464"/>
      <c r="D76" s="464"/>
      <c r="E76" s="464"/>
      <c r="F76" s="464"/>
      <c r="G76" s="464"/>
      <c r="H76" s="464"/>
      <c r="I76" s="464"/>
      <c r="J76" s="464"/>
      <c r="K76" s="464"/>
    </row>
    <row r="77" spans="1:17" s="184" customFormat="1" ht="15.75" x14ac:dyDescent="0.25">
      <c r="A77" s="464" t="str">
        <f>A8</f>
        <v>JANEIRO A ABRIL 2025/BIMESTRE MARÇO - ABRIL</v>
      </c>
      <c r="B77" s="464"/>
      <c r="C77" s="464"/>
      <c r="D77" s="464"/>
      <c r="E77" s="464"/>
      <c r="F77" s="464"/>
      <c r="G77" s="464"/>
      <c r="H77" s="464"/>
      <c r="I77" s="464"/>
      <c r="J77" s="464"/>
      <c r="K77" s="464"/>
    </row>
    <row r="78" spans="1:17" s="184" customFormat="1" ht="15.75" x14ac:dyDescent="0.25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4" t="str">
        <f>K9</f>
        <v>Emissão: 21/05/2025</v>
      </c>
    </row>
    <row r="79" spans="1:17" s="6" customFormat="1" ht="15.75" x14ac:dyDescent="0.25">
      <c r="A79" s="214" t="s">
        <v>143</v>
      </c>
      <c r="B79" s="223"/>
      <c r="C79" s="223"/>
      <c r="D79" s="223"/>
      <c r="E79" s="223"/>
      <c r="F79" s="223"/>
      <c r="G79" s="223"/>
      <c r="H79" s="223"/>
      <c r="I79" s="223"/>
      <c r="J79" s="223"/>
      <c r="K79" s="225">
        <f>K10</f>
        <v>1</v>
      </c>
      <c r="L79" s="184"/>
      <c r="M79" s="116"/>
      <c r="N79" s="116"/>
      <c r="O79" s="116"/>
      <c r="P79" s="116"/>
    </row>
    <row r="80" spans="1:17" s="112" customFormat="1" ht="29.25" customHeight="1" x14ac:dyDescent="0.25">
      <c r="A80" s="390" t="s">
        <v>196</v>
      </c>
      <c r="B80" s="484" t="s">
        <v>197</v>
      </c>
      <c r="C80" s="429"/>
      <c r="D80" s="389" t="s">
        <v>38</v>
      </c>
      <c r="E80" s="390"/>
      <c r="F80" s="389" t="s">
        <v>39</v>
      </c>
      <c r="G80" s="408"/>
      <c r="H80" s="390"/>
      <c r="I80" s="409" t="s">
        <v>198</v>
      </c>
      <c r="J80" s="410"/>
      <c r="K80" s="410"/>
      <c r="L80" s="184"/>
      <c r="M80" s="355"/>
      <c r="N80" s="355"/>
      <c r="O80" s="18"/>
      <c r="P80" s="17"/>
    </row>
    <row r="81" spans="1:21" s="112" customFormat="1" ht="15.75" customHeight="1" x14ac:dyDescent="0.25">
      <c r="A81" s="402"/>
      <c r="B81" s="387"/>
      <c r="C81" s="388"/>
      <c r="D81" s="387" t="s">
        <v>15</v>
      </c>
      <c r="E81" s="388"/>
      <c r="F81" s="387" t="s">
        <v>15</v>
      </c>
      <c r="G81" s="396"/>
      <c r="H81" s="388"/>
      <c r="I81" s="411" t="s">
        <v>15</v>
      </c>
      <c r="J81" s="412"/>
      <c r="K81" s="412"/>
      <c r="L81" s="184"/>
      <c r="M81" s="17"/>
      <c r="N81" s="17"/>
      <c r="O81" s="17"/>
    </row>
    <row r="82" spans="1:21" s="112" customFormat="1" ht="15.75" x14ac:dyDescent="0.25">
      <c r="A82" s="403"/>
      <c r="B82" s="413" t="s">
        <v>19</v>
      </c>
      <c r="C82" s="415"/>
      <c r="D82" s="413" t="s">
        <v>48</v>
      </c>
      <c r="E82" s="415"/>
      <c r="F82" s="413" t="s">
        <v>49</v>
      </c>
      <c r="G82" s="414"/>
      <c r="H82" s="415"/>
      <c r="I82" s="385" t="s">
        <v>50</v>
      </c>
      <c r="J82" s="418"/>
      <c r="K82" s="418"/>
      <c r="L82" s="184"/>
      <c r="M82" s="269"/>
      <c r="N82" s="17"/>
      <c r="O82" s="17"/>
      <c r="P82" s="17"/>
    </row>
    <row r="83" spans="1:21" s="112" customFormat="1" ht="13.5" customHeight="1" x14ac:dyDescent="0.25">
      <c r="A83" s="282" t="s">
        <v>199</v>
      </c>
      <c r="B83" s="465">
        <f>B84+B90</f>
        <v>4220900000.4200001</v>
      </c>
      <c r="C83" s="450"/>
      <c r="D83" s="465">
        <f>D84+D90</f>
        <v>1373731668.4199998</v>
      </c>
      <c r="E83" s="450"/>
      <c r="F83" s="248"/>
      <c r="G83" s="449">
        <f>G84+G90</f>
        <v>1373588274.6000001</v>
      </c>
      <c r="H83" s="450"/>
      <c r="I83" s="226"/>
      <c r="J83" s="451">
        <f>J84+J90</f>
        <v>1313914557.45</v>
      </c>
      <c r="K83" s="451"/>
      <c r="L83" s="237"/>
      <c r="M83" s="237"/>
      <c r="N83" s="544"/>
      <c r="O83" s="545"/>
      <c r="P83" s="545"/>
      <c r="Q83" s="531"/>
      <c r="R83" s="531"/>
      <c r="S83" s="531"/>
      <c r="T83" s="531"/>
      <c r="U83" s="531"/>
    </row>
    <row r="84" spans="1:21" s="112" customFormat="1" ht="15.6" customHeight="1" x14ac:dyDescent="0.25">
      <c r="A84" s="279" t="s">
        <v>200</v>
      </c>
      <c r="B84" s="436">
        <f>B85+B86+B87+B88+B89</f>
        <v>3546493471.4200001</v>
      </c>
      <c r="C84" s="360"/>
      <c r="D84" s="436">
        <f>D85+D86+D87+D88+D89</f>
        <v>1098802257.6599998</v>
      </c>
      <c r="E84" s="360"/>
      <c r="F84" s="250"/>
      <c r="G84" s="466">
        <f>G85+G86+G87+G88+G89</f>
        <v>1098658863.8400002</v>
      </c>
      <c r="H84" s="360"/>
      <c r="I84" s="226"/>
      <c r="J84" s="424">
        <f>J85+J86+J87+J88+J89</f>
        <v>1045939321.29</v>
      </c>
      <c r="K84" s="424"/>
      <c r="L84" s="237"/>
      <c r="M84" s="237"/>
      <c r="N84" s="544"/>
      <c r="O84" s="545"/>
      <c r="P84" s="545"/>
      <c r="Q84" s="531"/>
      <c r="R84" s="531"/>
      <c r="S84" s="531"/>
      <c r="T84" s="531"/>
      <c r="U84" s="531"/>
    </row>
    <row r="85" spans="1:21" s="112" customFormat="1" ht="15.6" customHeight="1" x14ac:dyDescent="0.25">
      <c r="A85" s="280" t="s">
        <v>201</v>
      </c>
      <c r="B85" s="365">
        <f>1144833600</f>
        <v>1144833600</v>
      </c>
      <c r="C85" s="366"/>
      <c r="D85" s="364">
        <f>274700564.4</f>
        <v>274700564.39999998</v>
      </c>
      <c r="E85" s="363"/>
      <c r="F85" s="249"/>
      <c r="G85" s="477">
        <f>274700564.4</f>
        <v>274700564.39999998</v>
      </c>
      <c r="H85" s="363"/>
      <c r="I85" s="227"/>
      <c r="J85" s="378">
        <f>261521093.68</f>
        <v>261521093.68000001</v>
      </c>
      <c r="K85" s="378"/>
      <c r="L85" s="237"/>
      <c r="M85" s="237"/>
      <c r="N85" s="544"/>
      <c r="O85" s="545"/>
      <c r="P85" s="545"/>
      <c r="Q85" s="531"/>
      <c r="R85" s="531"/>
      <c r="S85" s="531"/>
      <c r="T85" s="531"/>
      <c r="U85" s="531"/>
    </row>
    <row r="86" spans="1:21" s="112" customFormat="1" ht="15.6" customHeight="1" x14ac:dyDescent="0.25">
      <c r="A86" s="280" t="s">
        <v>202</v>
      </c>
      <c r="B86" s="365">
        <f>2246712331.42</f>
        <v>2246712331.4200001</v>
      </c>
      <c r="C86" s="366"/>
      <c r="D86" s="364">
        <f>824101693.26</f>
        <v>824101693.25999999</v>
      </c>
      <c r="E86" s="363"/>
      <c r="F86" s="249"/>
      <c r="G86" s="477">
        <f>823958299.44</f>
        <v>823958299.44000006</v>
      </c>
      <c r="H86" s="363"/>
      <c r="I86" s="227"/>
      <c r="J86" s="378">
        <f>784418227.61</f>
        <v>784418227.61000001</v>
      </c>
      <c r="K86" s="378"/>
      <c r="L86" s="237"/>
      <c r="M86" s="237"/>
      <c r="N86" s="544"/>
      <c r="O86" s="545"/>
      <c r="P86" s="545"/>
      <c r="Q86" s="531"/>
      <c r="R86" s="531"/>
      <c r="S86" s="531"/>
      <c r="T86" s="531"/>
      <c r="U86" s="531"/>
    </row>
    <row r="87" spans="1:21" s="112" customFormat="1" ht="15.6" customHeight="1" x14ac:dyDescent="0.25">
      <c r="A87" s="280" t="s">
        <v>203</v>
      </c>
      <c r="B87" s="365">
        <v>0</v>
      </c>
      <c r="C87" s="366"/>
      <c r="D87" s="364">
        <v>0</v>
      </c>
      <c r="E87" s="363"/>
      <c r="F87" s="249"/>
      <c r="G87" s="477">
        <v>0</v>
      </c>
      <c r="H87" s="363"/>
      <c r="I87" s="227"/>
      <c r="J87" s="378">
        <v>0</v>
      </c>
      <c r="K87" s="378"/>
      <c r="L87" s="237"/>
      <c r="M87" s="237"/>
      <c r="N87" s="544"/>
      <c r="O87" s="545"/>
      <c r="P87" s="545"/>
      <c r="Q87" s="531"/>
      <c r="R87" s="531"/>
      <c r="S87" s="531"/>
      <c r="T87" s="531"/>
      <c r="U87" s="531"/>
    </row>
    <row r="88" spans="1:21" s="112" customFormat="1" ht="15.6" customHeight="1" x14ac:dyDescent="0.25">
      <c r="A88" s="280" t="s">
        <v>204</v>
      </c>
      <c r="B88" s="365">
        <v>0</v>
      </c>
      <c r="C88" s="366"/>
      <c r="D88" s="364">
        <v>0</v>
      </c>
      <c r="E88" s="363"/>
      <c r="F88" s="249"/>
      <c r="G88" s="477">
        <v>0</v>
      </c>
      <c r="H88" s="363"/>
      <c r="I88" s="227"/>
      <c r="J88" s="378">
        <v>0</v>
      </c>
      <c r="K88" s="378"/>
      <c r="L88" s="237"/>
      <c r="M88" s="237"/>
      <c r="N88" s="544"/>
      <c r="O88" s="545"/>
      <c r="P88" s="545"/>
      <c r="Q88" s="531"/>
      <c r="R88" s="531"/>
      <c r="S88" s="531"/>
      <c r="T88" s="531"/>
      <c r="U88" s="531"/>
    </row>
    <row r="89" spans="1:21" s="112" customFormat="1" ht="15.6" customHeight="1" x14ac:dyDescent="0.25">
      <c r="A89" s="280" t="s">
        <v>205</v>
      </c>
      <c r="B89" s="365">
        <f>154947540</f>
        <v>154947540</v>
      </c>
      <c r="C89" s="366"/>
      <c r="D89" s="364">
        <v>0</v>
      </c>
      <c r="E89" s="363"/>
      <c r="F89" s="249"/>
      <c r="G89" s="477">
        <v>0</v>
      </c>
      <c r="H89" s="363"/>
      <c r="I89" s="227"/>
      <c r="J89" s="378">
        <v>0</v>
      </c>
      <c r="K89" s="378"/>
      <c r="L89" s="237"/>
      <c r="M89" s="237"/>
      <c r="N89" s="544"/>
      <c r="O89" s="545"/>
      <c r="P89" s="545"/>
      <c r="Q89" s="531"/>
      <c r="R89" s="531"/>
      <c r="S89" s="531"/>
      <c r="T89" s="531"/>
      <c r="U89" s="531"/>
    </row>
    <row r="90" spans="1:21" s="112" customFormat="1" ht="15" customHeight="1" x14ac:dyDescent="0.25">
      <c r="A90" s="279" t="s">
        <v>206</v>
      </c>
      <c r="B90" s="436">
        <f>B91+B92+B93+B94+B95+B96+B97</f>
        <v>674406529</v>
      </c>
      <c r="C90" s="360"/>
      <c r="D90" s="436">
        <f>D91+D92+D93+D94+D95+D96+D97</f>
        <v>274929410.75999999</v>
      </c>
      <c r="E90" s="360"/>
      <c r="F90" s="250"/>
      <c r="G90" s="466">
        <f>G91+G92+G93+G94+G95+G96+G97</f>
        <v>274929410.75999999</v>
      </c>
      <c r="H90" s="360"/>
      <c r="I90" s="226"/>
      <c r="J90" s="424">
        <f>J91+J92+J93+J94+J95+J96+J97</f>
        <v>267975236.16000003</v>
      </c>
      <c r="K90" s="424"/>
      <c r="L90" s="237"/>
      <c r="M90" s="237"/>
      <c r="N90" s="544"/>
      <c r="O90" s="545"/>
      <c r="P90" s="545"/>
      <c r="Q90" s="531"/>
      <c r="R90" s="531"/>
      <c r="S90" s="531"/>
      <c r="T90" s="531"/>
      <c r="U90" s="531"/>
    </row>
    <row r="91" spans="1:21" s="112" customFormat="1" ht="15.6" customHeight="1" x14ac:dyDescent="0.25">
      <c r="A91" s="280" t="s">
        <v>207</v>
      </c>
      <c r="B91" s="365">
        <f>79687060</f>
        <v>79687060</v>
      </c>
      <c r="C91" s="366"/>
      <c r="D91" s="364">
        <f>63600925.29</f>
        <v>63600925.289999999</v>
      </c>
      <c r="E91" s="363"/>
      <c r="F91" s="249"/>
      <c r="G91" s="477">
        <f>63600925.29</f>
        <v>63600925.289999999</v>
      </c>
      <c r="H91" s="363"/>
      <c r="I91" s="227"/>
      <c r="J91" s="378">
        <f>61862381.64</f>
        <v>61862381.640000001</v>
      </c>
      <c r="K91" s="378"/>
      <c r="L91" s="237"/>
      <c r="M91" s="237"/>
      <c r="N91" s="544"/>
      <c r="O91" s="545"/>
      <c r="P91" s="545"/>
      <c r="Q91" s="539"/>
      <c r="R91" s="531"/>
      <c r="S91" s="531"/>
      <c r="T91" s="531"/>
      <c r="U91" s="531"/>
    </row>
    <row r="92" spans="1:21" s="112" customFormat="1" ht="15.6" customHeight="1" x14ac:dyDescent="0.25">
      <c r="A92" s="280" t="s">
        <v>208</v>
      </c>
      <c r="B92" s="365">
        <f>345504559</f>
        <v>345504559</v>
      </c>
      <c r="C92" s="366"/>
      <c r="D92" s="364">
        <f>183241474.67</f>
        <v>183241474.66999999</v>
      </c>
      <c r="E92" s="363"/>
      <c r="F92" s="249"/>
      <c r="G92" s="477">
        <f>183241474.67</f>
        <v>183241474.66999999</v>
      </c>
      <c r="H92" s="363"/>
      <c r="I92" s="227"/>
      <c r="J92" s="378">
        <f>178025843.72</f>
        <v>178025843.72</v>
      </c>
      <c r="K92" s="378"/>
      <c r="L92" s="237"/>
      <c r="M92" s="237"/>
      <c r="N92" s="544"/>
      <c r="O92" s="545"/>
      <c r="P92" s="545"/>
      <c r="Q92" s="539"/>
      <c r="R92" s="531"/>
      <c r="S92" s="531"/>
      <c r="T92" s="531"/>
      <c r="U92" s="531"/>
    </row>
    <row r="93" spans="1:21" s="112" customFormat="1" ht="15.6" customHeight="1" x14ac:dyDescent="0.25">
      <c r="A93" s="280" t="s">
        <v>209</v>
      </c>
      <c r="B93" s="364">
        <v>0</v>
      </c>
      <c r="C93" s="363"/>
      <c r="D93" s="364">
        <v>0</v>
      </c>
      <c r="E93" s="363"/>
      <c r="F93" s="249"/>
      <c r="G93" s="477">
        <v>0</v>
      </c>
      <c r="H93" s="363"/>
      <c r="I93" s="227"/>
      <c r="J93" s="378">
        <v>0</v>
      </c>
      <c r="K93" s="378"/>
      <c r="L93" s="237"/>
      <c r="M93" s="237"/>
      <c r="N93" s="544"/>
      <c r="O93" s="545"/>
      <c r="P93" s="545"/>
      <c r="Q93" s="539"/>
      <c r="R93" s="531"/>
      <c r="S93" s="531"/>
      <c r="T93" s="531"/>
      <c r="U93" s="531"/>
    </row>
    <row r="94" spans="1:21" s="112" customFormat="1" ht="15.6" customHeight="1" x14ac:dyDescent="0.25">
      <c r="A94" s="280" t="s">
        <v>210</v>
      </c>
      <c r="B94" s="364">
        <v>0</v>
      </c>
      <c r="C94" s="363"/>
      <c r="D94" s="364">
        <v>0</v>
      </c>
      <c r="E94" s="363"/>
      <c r="F94" s="249"/>
      <c r="G94" s="477">
        <v>0</v>
      </c>
      <c r="H94" s="363"/>
      <c r="I94" s="227"/>
      <c r="J94" s="378">
        <v>0</v>
      </c>
      <c r="K94" s="378"/>
      <c r="L94" s="237"/>
      <c r="M94" s="237"/>
      <c r="N94" s="544"/>
      <c r="O94" s="545"/>
      <c r="P94" s="545"/>
      <c r="Q94" s="539"/>
      <c r="R94" s="531"/>
      <c r="S94" s="531"/>
      <c r="T94" s="531"/>
      <c r="U94" s="531"/>
    </row>
    <row r="95" spans="1:21" s="112" customFormat="1" ht="15.6" customHeight="1" x14ac:dyDescent="0.25">
      <c r="A95" s="280" t="s">
        <v>211</v>
      </c>
      <c r="B95" s="364">
        <f>91512116</f>
        <v>91512116</v>
      </c>
      <c r="C95" s="363"/>
      <c r="D95" s="364">
        <v>0</v>
      </c>
      <c r="E95" s="363"/>
      <c r="F95" s="249"/>
      <c r="G95" s="477">
        <v>0</v>
      </c>
      <c r="H95" s="363"/>
      <c r="I95" s="227"/>
      <c r="J95" s="378">
        <v>0</v>
      </c>
      <c r="K95" s="378"/>
      <c r="L95" s="237"/>
      <c r="M95" s="237"/>
      <c r="N95" s="544"/>
      <c r="O95" s="545"/>
      <c r="P95" s="545"/>
      <c r="Q95" s="539"/>
      <c r="R95" s="531"/>
      <c r="S95" s="531"/>
      <c r="T95" s="531"/>
      <c r="U95" s="531"/>
    </row>
    <row r="96" spans="1:21" s="112" customFormat="1" ht="15.6" customHeight="1" x14ac:dyDescent="0.25">
      <c r="A96" s="280" t="s">
        <v>212</v>
      </c>
      <c r="B96" s="364">
        <v>0</v>
      </c>
      <c r="C96" s="363"/>
      <c r="D96" s="364">
        <v>0</v>
      </c>
      <c r="E96" s="363"/>
      <c r="F96" s="249"/>
      <c r="G96" s="477">
        <v>0</v>
      </c>
      <c r="H96" s="363"/>
      <c r="I96" s="227"/>
      <c r="J96" s="378">
        <v>0</v>
      </c>
      <c r="K96" s="378"/>
      <c r="L96" s="237"/>
      <c r="M96" s="237"/>
      <c r="N96" s="544"/>
      <c r="O96" s="545"/>
      <c r="P96" s="545"/>
      <c r="Q96" s="539"/>
      <c r="R96" s="531"/>
      <c r="S96" s="531"/>
      <c r="T96" s="531"/>
      <c r="U96" s="531"/>
    </row>
    <row r="97" spans="1:23" s="112" customFormat="1" ht="15.6" customHeight="1" x14ac:dyDescent="0.25">
      <c r="A97" s="283" t="s">
        <v>213</v>
      </c>
      <c r="B97" s="470">
        <f>157702794</f>
        <v>157702794</v>
      </c>
      <c r="C97" s="471"/>
      <c r="D97" s="470">
        <f>28087010.8</f>
        <v>28087010.800000001</v>
      </c>
      <c r="E97" s="471"/>
      <c r="F97" s="251"/>
      <c r="G97" s="476">
        <f>28087010.8</f>
        <v>28087010.800000001</v>
      </c>
      <c r="H97" s="471"/>
      <c r="I97" s="238"/>
      <c r="J97" s="377">
        <f>28087010.8</f>
        <v>28087010.800000001</v>
      </c>
      <c r="K97" s="377"/>
      <c r="L97" s="237"/>
      <c r="M97" s="237"/>
      <c r="N97" s="544"/>
      <c r="O97" s="545"/>
      <c r="P97" s="545"/>
      <c r="Q97" s="539"/>
      <c r="R97" s="531"/>
      <c r="S97" s="531"/>
      <c r="T97" s="531"/>
      <c r="U97" s="531"/>
    </row>
    <row r="98" spans="1:23" s="112" customFormat="1" ht="3.95" customHeight="1" x14ac:dyDescent="0.2">
      <c r="A98" s="228"/>
      <c r="B98" s="228"/>
      <c r="C98" s="228"/>
      <c r="D98" s="228"/>
      <c r="E98" s="229"/>
      <c r="F98" s="228"/>
      <c r="G98" s="228"/>
      <c r="H98" s="229"/>
      <c r="I98" s="228"/>
      <c r="J98" s="228"/>
      <c r="K98" s="229"/>
      <c r="L98" s="184"/>
      <c r="N98" s="531"/>
      <c r="O98" s="546"/>
      <c r="P98" s="546"/>
      <c r="Q98" s="531"/>
      <c r="R98" s="531"/>
      <c r="S98" s="531"/>
      <c r="T98" s="531"/>
      <c r="U98" s="531"/>
    </row>
    <row r="99" spans="1:23" s="112" customFormat="1" ht="15.75" x14ac:dyDescent="0.2">
      <c r="A99" s="478" t="s">
        <v>214</v>
      </c>
      <c r="B99" s="478"/>
      <c r="C99" s="478"/>
      <c r="D99" s="478"/>
      <c r="E99" s="478"/>
      <c r="F99" s="478"/>
      <c r="G99" s="478"/>
      <c r="H99" s="478"/>
      <c r="I99" s="478"/>
      <c r="J99" s="478"/>
      <c r="K99" s="235"/>
      <c r="L99" s="184"/>
      <c r="N99" s="531"/>
      <c r="O99" s="539"/>
      <c r="P99" s="531"/>
      <c r="Q99" s="531"/>
      <c r="R99" s="531"/>
      <c r="S99" s="531"/>
      <c r="T99" s="531"/>
      <c r="U99" s="531"/>
    </row>
    <row r="100" spans="1:23" s="112" customFormat="1" ht="29.25" customHeight="1" x14ac:dyDescent="0.2">
      <c r="A100" s="390" t="s">
        <v>215</v>
      </c>
      <c r="B100" s="389" t="s">
        <v>38</v>
      </c>
      <c r="C100" s="408"/>
      <c r="D100" s="408"/>
      <c r="E100" s="390"/>
      <c r="F100" s="409" t="s">
        <v>39</v>
      </c>
      <c r="G100" s="410"/>
      <c r="H100" s="437"/>
      <c r="I100" s="409" t="s">
        <v>198</v>
      </c>
      <c r="J100" s="437"/>
      <c r="K100" s="410" t="s">
        <v>216</v>
      </c>
      <c r="L100" s="184"/>
      <c r="N100" s="531"/>
      <c r="O100" s="531"/>
      <c r="P100" s="531"/>
      <c r="Q100" s="531"/>
      <c r="R100" s="531"/>
      <c r="S100" s="531"/>
      <c r="T100" s="531"/>
      <c r="U100" s="531"/>
    </row>
    <row r="101" spans="1:23" s="112" customFormat="1" ht="19.149999999999999" customHeight="1" x14ac:dyDescent="0.2">
      <c r="A101" s="402"/>
      <c r="B101" s="506" t="s">
        <v>15</v>
      </c>
      <c r="C101" s="507"/>
      <c r="D101" s="507"/>
      <c r="E101" s="438"/>
      <c r="F101" s="383" t="s">
        <v>15</v>
      </c>
      <c r="G101" s="425"/>
      <c r="H101" s="384"/>
      <c r="I101" s="383" t="s">
        <v>15</v>
      </c>
      <c r="J101" s="384"/>
      <c r="K101" s="425"/>
      <c r="L101" s="184"/>
      <c r="M101" s="204"/>
      <c r="N101" s="539"/>
      <c r="O101" s="539"/>
      <c r="P101" s="531"/>
      <c r="Q101" s="531"/>
      <c r="R101" s="531"/>
      <c r="S101" s="531"/>
      <c r="T101" s="531"/>
      <c r="U101" s="531"/>
    </row>
    <row r="102" spans="1:23" s="112" customFormat="1" ht="36" customHeight="1" x14ac:dyDescent="0.25">
      <c r="A102" s="403"/>
      <c r="B102" s="413" t="s">
        <v>48</v>
      </c>
      <c r="C102" s="414"/>
      <c r="D102" s="414"/>
      <c r="E102" s="415"/>
      <c r="F102" s="391" t="s">
        <v>49</v>
      </c>
      <c r="G102" s="427"/>
      <c r="H102" s="392"/>
      <c r="I102" s="385" t="s">
        <v>50</v>
      </c>
      <c r="J102" s="386"/>
      <c r="K102" s="469"/>
      <c r="L102" s="184"/>
      <c r="N102" s="531"/>
      <c r="O102" s="531"/>
      <c r="P102" s="531"/>
      <c r="Q102" s="531"/>
      <c r="R102" s="531"/>
      <c r="S102" s="531"/>
      <c r="T102" s="531"/>
      <c r="U102" s="531"/>
    </row>
    <row r="103" spans="1:23" s="112" customFormat="1" ht="15.75" x14ac:dyDescent="0.2">
      <c r="A103" s="285" t="s">
        <v>217</v>
      </c>
      <c r="B103" s="254"/>
      <c r="C103" s="255"/>
      <c r="D103" s="382">
        <f>D104+D105+D106+D107</f>
        <v>1370578919.9999998</v>
      </c>
      <c r="E103" s="376"/>
      <c r="F103" s="254"/>
      <c r="G103" s="382">
        <f>G104+G105+G106+G107</f>
        <v>1370435526.1800001</v>
      </c>
      <c r="H103" s="376"/>
      <c r="I103" s="375">
        <f>I104+I105+I106+I107</f>
        <v>1310761809.03</v>
      </c>
      <c r="J103" s="376"/>
      <c r="K103" s="257">
        <f>K104+K105+K106+K107</f>
        <v>0</v>
      </c>
      <c r="L103" s="198"/>
      <c r="N103" s="531"/>
      <c r="O103" s="531"/>
      <c r="P103" s="531"/>
      <c r="Q103" s="531"/>
      <c r="R103" s="531"/>
      <c r="S103" s="531"/>
      <c r="T103" s="531"/>
      <c r="U103" s="531"/>
    </row>
    <row r="104" spans="1:23" s="112" customFormat="1" ht="15.75" x14ac:dyDescent="0.2">
      <c r="A104" s="286" t="s">
        <v>218</v>
      </c>
      <c r="B104" s="231"/>
      <c r="C104" s="230"/>
      <c r="D104" s="374">
        <f>D83-F120-F121-D105-D106-D107</f>
        <v>1370578919.9999998</v>
      </c>
      <c r="E104" s="371"/>
      <c r="F104" s="231"/>
      <c r="G104" s="374">
        <f>G83-F120-F121-G105-G106-G107</f>
        <v>1370435526.1800001</v>
      </c>
      <c r="H104" s="371"/>
      <c r="I104" s="370">
        <f>J83-F120-F121-I105-I106-I107</f>
        <v>1310761809.03</v>
      </c>
      <c r="J104" s="371"/>
      <c r="K104" s="239">
        <f>IF((D104&lt;J46),0,(D104-J46))</f>
        <v>0</v>
      </c>
      <c r="L104" s="198"/>
      <c r="M104" s="204"/>
      <c r="N104" s="531"/>
      <c r="O104" s="531"/>
      <c r="P104" s="531"/>
      <c r="Q104" s="531"/>
      <c r="R104" s="531"/>
      <c r="S104" s="531"/>
      <c r="T104" s="531"/>
      <c r="U104" s="531"/>
    </row>
    <row r="105" spans="1:23" s="112" customFormat="1" ht="15.75" x14ac:dyDescent="0.2">
      <c r="A105" s="286" t="s">
        <v>219</v>
      </c>
      <c r="B105" s="231"/>
      <c r="C105" s="230"/>
      <c r="D105" s="374">
        <v>0</v>
      </c>
      <c r="E105" s="371"/>
      <c r="F105" s="231"/>
      <c r="G105" s="374">
        <v>0</v>
      </c>
      <c r="H105" s="371"/>
      <c r="I105" s="370">
        <v>0</v>
      </c>
      <c r="J105" s="371"/>
      <c r="K105" s="239">
        <f>IF((D105&lt;J46),0,(D105-J46))</f>
        <v>0</v>
      </c>
      <c r="L105" s="198"/>
      <c r="N105" s="531"/>
      <c r="O105" s="531"/>
      <c r="P105" s="531"/>
      <c r="Q105" s="531"/>
      <c r="R105" s="531"/>
      <c r="S105" s="531"/>
      <c r="T105" s="531"/>
      <c r="U105" s="531"/>
    </row>
    <row r="106" spans="1:23" s="112" customFormat="1" ht="15.75" x14ac:dyDescent="0.2">
      <c r="A106" s="286" t="s">
        <v>220</v>
      </c>
      <c r="B106" s="231"/>
      <c r="C106" s="230"/>
      <c r="D106" s="374">
        <v>0</v>
      </c>
      <c r="E106" s="371"/>
      <c r="F106" s="231"/>
      <c r="G106" s="374">
        <v>0</v>
      </c>
      <c r="H106" s="371"/>
      <c r="I106" s="370">
        <v>0</v>
      </c>
      <c r="J106" s="371"/>
      <c r="K106" s="239">
        <f>IF((D106&lt;J46),0,(D106-J46))</f>
        <v>0</v>
      </c>
      <c r="L106" s="198"/>
      <c r="N106" s="531"/>
      <c r="O106" s="531"/>
      <c r="P106" s="531"/>
      <c r="Q106" s="531"/>
      <c r="R106" s="531"/>
      <c r="S106" s="531"/>
      <c r="T106" s="531"/>
      <c r="U106" s="531"/>
    </row>
    <row r="107" spans="1:23" s="112" customFormat="1" ht="15.75" x14ac:dyDescent="0.2">
      <c r="A107" s="286" t="s">
        <v>221</v>
      </c>
      <c r="B107" s="231"/>
      <c r="C107" s="230"/>
      <c r="D107" s="374">
        <v>0</v>
      </c>
      <c r="E107" s="371"/>
      <c r="F107" s="231"/>
      <c r="G107" s="374">
        <v>0</v>
      </c>
      <c r="H107" s="371"/>
      <c r="I107" s="370">
        <v>0</v>
      </c>
      <c r="J107" s="371"/>
      <c r="K107" s="236">
        <f>IF((D107&lt;J46),0,(D107-J46))</f>
        <v>0</v>
      </c>
      <c r="L107" s="198"/>
      <c r="N107" s="531"/>
      <c r="O107" s="531"/>
      <c r="P107" s="531"/>
      <c r="Q107" s="531"/>
      <c r="R107" s="531"/>
      <c r="S107" s="531"/>
      <c r="T107" s="531"/>
      <c r="U107" s="531"/>
    </row>
    <row r="108" spans="1:23" s="112" customFormat="1" ht="15.75" x14ac:dyDescent="0.2">
      <c r="A108" s="287" t="s">
        <v>222</v>
      </c>
      <c r="B108" s="256"/>
      <c r="C108" s="258"/>
      <c r="D108" s="372">
        <f>1098802257.66</f>
        <v>1098802257.6600001</v>
      </c>
      <c r="E108" s="373"/>
      <c r="F108" s="256"/>
      <c r="G108" s="372">
        <f>1098658863.84</f>
        <v>1098658863.8399999</v>
      </c>
      <c r="H108" s="373"/>
      <c r="I108" s="426">
        <f>1045939321.29</f>
        <v>1045939321.29</v>
      </c>
      <c r="J108" s="373"/>
      <c r="K108" s="261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</row>
    <row r="109" spans="1:23" s="112" customFormat="1" ht="31.5" x14ac:dyDescent="0.2">
      <c r="A109" s="287" t="s">
        <v>223</v>
      </c>
      <c r="B109" s="259"/>
      <c r="C109" s="260"/>
      <c r="D109" s="381">
        <v>0</v>
      </c>
      <c r="E109" s="380"/>
      <c r="F109" s="259"/>
      <c r="G109" s="381">
        <v>0</v>
      </c>
      <c r="H109" s="380"/>
      <c r="I109" s="379">
        <v>0</v>
      </c>
      <c r="J109" s="380"/>
      <c r="K109" s="261"/>
      <c r="L109" s="198"/>
    </row>
    <row r="110" spans="1:23" s="112" customFormat="1" ht="27" customHeight="1" x14ac:dyDescent="0.2">
      <c r="A110" s="394" t="s">
        <v>224</v>
      </c>
      <c r="B110" s="406" t="s">
        <v>225</v>
      </c>
      <c r="C110" s="407"/>
      <c r="D110" s="394"/>
      <c r="E110" s="389" t="s">
        <v>226</v>
      </c>
      <c r="F110" s="408"/>
      <c r="G110" s="390"/>
      <c r="H110" s="389" t="s">
        <v>227</v>
      </c>
      <c r="I110" s="390"/>
      <c r="J110" s="389" t="s">
        <v>228</v>
      </c>
      <c r="K110" s="408"/>
      <c r="L110" s="184"/>
    </row>
    <row r="111" spans="1:23" s="112" customFormat="1" ht="13.5" customHeight="1" x14ac:dyDescent="0.2">
      <c r="A111" s="392"/>
      <c r="B111" s="391" t="s">
        <v>229</v>
      </c>
      <c r="C111" s="427"/>
      <c r="D111" s="392"/>
      <c r="E111" s="391" t="s">
        <v>54</v>
      </c>
      <c r="F111" s="427"/>
      <c r="G111" s="392"/>
      <c r="H111" s="391" t="s">
        <v>230</v>
      </c>
      <c r="I111" s="392"/>
      <c r="J111" s="397" t="s">
        <v>231</v>
      </c>
      <c r="K111" s="398"/>
      <c r="L111" s="184"/>
    </row>
    <row r="112" spans="1:23" s="112" customFormat="1" ht="17.25" customHeight="1" x14ac:dyDescent="0.2">
      <c r="A112" s="288" t="s">
        <v>232</v>
      </c>
      <c r="B112" s="482">
        <f>(J45-J58)*0.7</f>
        <v>1109435796.1470001</v>
      </c>
      <c r="C112" s="497"/>
      <c r="D112" s="483"/>
      <c r="E112" s="482">
        <f>G108</f>
        <v>1098658863.8399999</v>
      </c>
      <c r="F112" s="497"/>
      <c r="G112" s="483"/>
      <c r="H112" s="482">
        <f>G108</f>
        <v>1098658863.8399999</v>
      </c>
      <c r="I112" s="483"/>
      <c r="J112" s="488">
        <f>H112/(J45-J58)*100</f>
        <v>69.320028014140206</v>
      </c>
      <c r="K112" s="489"/>
      <c r="L112" s="184"/>
      <c r="M112" s="204"/>
    </row>
    <row r="113" spans="1:23" s="112" customFormat="1" ht="16.5" customHeight="1" x14ac:dyDescent="0.2">
      <c r="A113" s="288" t="s">
        <v>233</v>
      </c>
      <c r="B113" s="479">
        <f>J54*0.15</f>
        <v>0</v>
      </c>
      <c r="C113" s="480"/>
      <c r="D113" s="481"/>
      <c r="E113" s="479">
        <f>G109</f>
        <v>0</v>
      </c>
      <c r="F113" s="480"/>
      <c r="G113" s="481"/>
      <c r="H113" s="479">
        <f>G109</f>
        <v>0</v>
      </c>
      <c r="I113" s="481"/>
      <c r="J113" s="485">
        <v>0</v>
      </c>
      <c r="K113" s="486"/>
      <c r="L113" s="198"/>
    </row>
    <row r="114" spans="1:23" s="112" customFormat="1" ht="42.75" customHeight="1" x14ac:dyDescent="0.2">
      <c r="A114" s="394" t="s">
        <v>234</v>
      </c>
      <c r="B114" s="406" t="s">
        <v>235</v>
      </c>
      <c r="C114" s="407"/>
      <c r="D114" s="394"/>
      <c r="E114" s="389" t="s">
        <v>236</v>
      </c>
      <c r="F114" s="408"/>
      <c r="G114" s="389" t="s">
        <v>237</v>
      </c>
      <c r="H114" s="390"/>
      <c r="I114" s="389" t="s">
        <v>238</v>
      </c>
      <c r="J114" s="390"/>
      <c r="K114" s="240" t="s">
        <v>239</v>
      </c>
      <c r="L114" s="547"/>
      <c r="M114" s="531"/>
      <c r="N114" s="531"/>
      <c r="O114" s="531"/>
      <c r="P114" s="531"/>
      <c r="Q114" s="531"/>
      <c r="R114" s="531"/>
      <c r="S114" s="531"/>
      <c r="T114" s="531"/>
      <c r="U114" s="531"/>
      <c r="V114" s="531"/>
      <c r="W114" s="531"/>
    </row>
    <row r="115" spans="1:23" s="112" customFormat="1" ht="25.5" customHeight="1" x14ac:dyDescent="0.2">
      <c r="A115" s="392"/>
      <c r="B115" s="391" t="s">
        <v>240</v>
      </c>
      <c r="C115" s="427"/>
      <c r="D115" s="392"/>
      <c r="E115" s="391" t="s">
        <v>241</v>
      </c>
      <c r="F115" s="427"/>
      <c r="G115" s="391" t="s">
        <v>242</v>
      </c>
      <c r="H115" s="392"/>
      <c r="I115" s="397"/>
      <c r="J115" s="403"/>
      <c r="K115" s="241" t="s">
        <v>243</v>
      </c>
      <c r="L115" s="547"/>
      <c r="M115" s="531"/>
      <c r="N115" s="531"/>
      <c r="O115" s="531"/>
      <c r="P115" s="531"/>
      <c r="Q115" s="531"/>
      <c r="R115" s="531"/>
      <c r="S115" s="531"/>
      <c r="T115" s="531"/>
      <c r="U115" s="531"/>
      <c r="V115" s="531"/>
      <c r="W115" s="531"/>
    </row>
    <row r="116" spans="1:23" s="112" customFormat="1" ht="19.5" customHeight="1" x14ac:dyDescent="0.2">
      <c r="A116" s="289" t="s">
        <v>244</v>
      </c>
      <c r="B116" s="490">
        <f>J45*0.1</f>
        <v>158490828.021</v>
      </c>
      <c r="C116" s="491"/>
      <c r="D116" s="492"/>
      <c r="E116" s="367">
        <f>J45-(G103-K103)</f>
        <v>214472754.02999997</v>
      </c>
      <c r="F116" s="368"/>
      <c r="G116" s="367">
        <f>E116</f>
        <v>214472754.02999997</v>
      </c>
      <c r="H116" s="369"/>
      <c r="I116" s="367">
        <f>IF((G116&lt;B116),0,(G116-B116))</f>
        <v>55981926.008999974</v>
      </c>
      <c r="J116" s="369"/>
      <c r="K116" s="242">
        <f>G116/J45*100</f>
        <v>13.532187111899141</v>
      </c>
      <c r="L116" s="532"/>
      <c r="M116" s="531"/>
      <c r="N116" s="531"/>
      <c r="O116" s="531"/>
      <c r="P116" s="531"/>
      <c r="Q116" s="531"/>
      <c r="R116" s="531"/>
      <c r="S116" s="531"/>
      <c r="T116" s="531"/>
      <c r="U116" s="531"/>
      <c r="V116" s="531"/>
      <c r="W116" s="531"/>
    </row>
    <row r="117" spans="1:23" s="112" customFormat="1" ht="110.25" x14ac:dyDescent="0.2">
      <c r="A117" s="390" t="s">
        <v>245</v>
      </c>
      <c r="B117" s="389" t="s">
        <v>246</v>
      </c>
      <c r="C117" s="390"/>
      <c r="D117" s="389" t="s">
        <v>247</v>
      </c>
      <c r="E117" s="390"/>
      <c r="F117" s="389" t="s">
        <v>248</v>
      </c>
      <c r="G117" s="390"/>
      <c r="H117" s="389" t="s">
        <v>249</v>
      </c>
      <c r="I117" s="390"/>
      <c r="J117" s="207" t="s">
        <v>250</v>
      </c>
      <c r="K117" s="207" t="s">
        <v>251</v>
      </c>
      <c r="L117" s="548"/>
      <c r="M117" s="548"/>
      <c r="N117" s="531"/>
      <c r="O117" s="531"/>
      <c r="P117" s="531"/>
      <c r="Q117" s="531"/>
      <c r="R117" s="531"/>
      <c r="S117" s="531"/>
      <c r="T117" s="531"/>
      <c r="U117" s="531"/>
      <c r="V117" s="531"/>
      <c r="W117" s="531"/>
    </row>
    <row r="118" spans="1:23" s="112" customFormat="1" ht="16.5" customHeight="1" x14ac:dyDescent="0.2">
      <c r="A118" s="403"/>
      <c r="B118" s="391" t="s">
        <v>252</v>
      </c>
      <c r="C118" s="392"/>
      <c r="D118" s="391" t="s">
        <v>253</v>
      </c>
      <c r="E118" s="392"/>
      <c r="F118" s="391" t="s">
        <v>254</v>
      </c>
      <c r="G118" s="392"/>
      <c r="H118" s="391" t="s">
        <v>255</v>
      </c>
      <c r="I118" s="392"/>
      <c r="J118" s="209" t="s">
        <v>256</v>
      </c>
      <c r="K118" s="210" t="s">
        <v>257</v>
      </c>
      <c r="L118" s="530"/>
      <c r="M118" s="531"/>
      <c r="N118" s="531"/>
      <c r="O118" s="531"/>
      <c r="P118" s="531"/>
      <c r="Q118" s="531"/>
      <c r="R118" s="531"/>
      <c r="S118" s="531"/>
      <c r="T118" s="531"/>
      <c r="U118" s="531"/>
      <c r="V118" s="531"/>
      <c r="W118" s="531"/>
    </row>
    <row r="119" spans="1:23" s="112" customFormat="1" ht="14.25" customHeight="1" x14ac:dyDescent="0.2">
      <c r="A119" s="285" t="s">
        <v>258</v>
      </c>
      <c r="B119" s="375">
        <f>B120+B121</f>
        <v>441950404.755</v>
      </c>
      <c r="C119" s="376"/>
      <c r="D119" s="433">
        <f>D120+D121</f>
        <v>22398915.439999998</v>
      </c>
      <c r="E119" s="434"/>
      <c r="F119" s="465">
        <f>F120+F121</f>
        <v>3152748.42</v>
      </c>
      <c r="G119" s="450"/>
      <c r="H119" s="375">
        <f>H120+H121</f>
        <v>0</v>
      </c>
      <c r="I119" s="376"/>
      <c r="J119" s="232">
        <f>J120+J121</f>
        <v>0</v>
      </c>
      <c r="K119" s="232">
        <f>K120+K121</f>
        <v>21019124.460000001</v>
      </c>
      <c r="L119" s="530"/>
      <c r="M119" s="539"/>
      <c r="N119" s="531"/>
      <c r="O119" s="531"/>
      <c r="P119" s="531"/>
      <c r="Q119" s="531"/>
      <c r="R119" s="531"/>
      <c r="S119" s="531"/>
      <c r="T119" s="531"/>
      <c r="U119" s="531"/>
      <c r="V119" s="531"/>
      <c r="W119" s="531"/>
    </row>
    <row r="120" spans="1:23" s="112" customFormat="1" ht="15.75" x14ac:dyDescent="0.2">
      <c r="A120" s="286" t="s">
        <v>259</v>
      </c>
      <c r="B120" s="370">
        <f>412003151.38</f>
        <v>412003151.38</v>
      </c>
      <c r="C120" s="371"/>
      <c r="D120" s="370">
        <f>22296271.13</f>
        <v>22296271.129999999</v>
      </c>
      <c r="E120" s="371"/>
      <c r="F120" s="364">
        <f>1277146.67</f>
        <v>1277146.67</v>
      </c>
      <c r="G120" s="363"/>
      <c r="H120" s="370">
        <v>0</v>
      </c>
      <c r="I120" s="371"/>
      <c r="J120" s="233">
        <v>0</v>
      </c>
      <c r="K120" s="233">
        <f>IF((F120&gt;=D120),0,(D120-F120))</f>
        <v>21019124.460000001</v>
      </c>
      <c r="L120" s="542"/>
      <c r="M120" s="543"/>
      <c r="N120" s="543"/>
      <c r="O120" s="543"/>
      <c r="P120" s="543"/>
      <c r="Q120" s="531"/>
      <c r="R120" s="531"/>
      <c r="S120" s="531"/>
      <c r="T120" s="531"/>
      <c r="U120" s="531"/>
      <c r="V120" s="531"/>
      <c r="W120" s="531"/>
    </row>
    <row r="121" spans="1:23" s="112" customFormat="1" ht="15.75" x14ac:dyDescent="0.2">
      <c r="A121" s="286" t="s">
        <v>260</v>
      </c>
      <c r="B121" s="479">
        <f>29947253.375</f>
        <v>29947253.375</v>
      </c>
      <c r="C121" s="481"/>
      <c r="D121" s="479">
        <f>102644.31</f>
        <v>102644.31</v>
      </c>
      <c r="E121" s="481"/>
      <c r="F121" s="470">
        <f>1875601.75</f>
        <v>1875601.75</v>
      </c>
      <c r="G121" s="471"/>
      <c r="H121" s="479">
        <v>0</v>
      </c>
      <c r="I121" s="481"/>
      <c r="J121" s="234">
        <v>0</v>
      </c>
      <c r="K121" s="234">
        <f>IF((F121&gt;=D121),0,(D121-F121))</f>
        <v>0</v>
      </c>
      <c r="L121" s="542"/>
      <c r="M121" s="543"/>
      <c r="N121" s="543"/>
      <c r="O121" s="543"/>
      <c r="P121" s="543"/>
      <c r="Q121" s="531"/>
      <c r="R121" s="531"/>
      <c r="S121" s="531"/>
      <c r="T121" s="531"/>
      <c r="U121" s="531"/>
      <c r="V121" s="531"/>
      <c r="W121" s="531"/>
    </row>
    <row r="122" spans="1:23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30"/>
      <c r="M122" s="531"/>
      <c r="N122" s="531"/>
      <c r="O122" s="531"/>
      <c r="P122" s="531"/>
      <c r="Q122" s="531"/>
      <c r="R122" s="531"/>
      <c r="S122" s="531"/>
      <c r="T122" s="531"/>
      <c r="U122" s="531"/>
      <c r="V122" s="531"/>
      <c r="W122" s="531"/>
    </row>
    <row r="123" spans="1:23" s="112" customFormat="1" ht="15.75" customHeight="1" x14ac:dyDescent="0.2">
      <c r="A123" s="435" t="s">
        <v>261</v>
      </c>
      <c r="B123" s="435"/>
      <c r="C123" s="435"/>
      <c r="D123" s="435"/>
      <c r="E123" s="435"/>
      <c r="F123" s="435"/>
      <c r="G123" s="435"/>
      <c r="H123" s="435"/>
      <c r="I123" s="435"/>
      <c r="J123" s="435"/>
      <c r="K123" s="181"/>
      <c r="L123" s="532"/>
      <c r="M123" s="531"/>
      <c r="N123" s="531"/>
      <c r="O123" s="531"/>
      <c r="P123" s="531"/>
      <c r="Q123" s="531"/>
      <c r="R123" s="531"/>
      <c r="S123" s="531"/>
      <c r="T123" s="531"/>
      <c r="U123" s="531"/>
      <c r="V123" s="531"/>
      <c r="W123" s="531"/>
    </row>
    <row r="124" spans="1:23" s="112" customFormat="1" ht="31.5" customHeight="1" x14ac:dyDescent="0.25">
      <c r="A124" s="390" t="s">
        <v>397</v>
      </c>
      <c r="B124" s="428" t="s">
        <v>197</v>
      </c>
      <c r="C124" s="429"/>
      <c r="D124" s="389" t="s">
        <v>38</v>
      </c>
      <c r="E124" s="390"/>
      <c r="F124" s="389" t="s">
        <v>39</v>
      </c>
      <c r="G124" s="408"/>
      <c r="H124" s="390"/>
      <c r="I124" s="409" t="s">
        <v>198</v>
      </c>
      <c r="J124" s="410"/>
      <c r="K124" s="410"/>
      <c r="L124" s="530"/>
      <c r="M124" s="531"/>
      <c r="N124" s="531"/>
      <c r="O124" s="531"/>
      <c r="P124" s="531"/>
      <c r="Q124" s="531"/>
      <c r="R124" s="531"/>
      <c r="S124" s="531"/>
      <c r="T124" s="531"/>
      <c r="U124" s="531"/>
      <c r="V124" s="531"/>
      <c r="W124" s="531"/>
    </row>
    <row r="125" spans="1:23" s="112" customFormat="1" ht="15.75" x14ac:dyDescent="0.25">
      <c r="A125" s="402"/>
      <c r="B125" s="396"/>
      <c r="C125" s="388"/>
      <c r="D125" s="387" t="s">
        <v>15</v>
      </c>
      <c r="E125" s="388"/>
      <c r="F125" s="387" t="s">
        <v>15</v>
      </c>
      <c r="G125" s="396"/>
      <c r="H125" s="388"/>
      <c r="I125" s="411" t="s">
        <v>15</v>
      </c>
      <c r="J125" s="412"/>
      <c r="K125" s="412"/>
      <c r="L125" s="530"/>
      <c r="M125" s="531"/>
      <c r="N125" s="531"/>
      <c r="O125" s="531"/>
      <c r="P125" s="531"/>
      <c r="Q125" s="531"/>
      <c r="R125" s="531"/>
      <c r="S125" s="531"/>
      <c r="T125" s="531"/>
      <c r="U125" s="531"/>
      <c r="V125" s="531"/>
      <c r="W125" s="531"/>
    </row>
    <row r="126" spans="1:23" s="112" customFormat="1" ht="15.75" x14ac:dyDescent="0.25">
      <c r="A126" s="403"/>
      <c r="B126" s="414" t="s">
        <v>19</v>
      </c>
      <c r="C126" s="415"/>
      <c r="D126" s="413" t="s">
        <v>48</v>
      </c>
      <c r="E126" s="415"/>
      <c r="F126" s="387" t="s">
        <v>49</v>
      </c>
      <c r="G126" s="396"/>
      <c r="H126" s="388"/>
      <c r="I126" s="385" t="s">
        <v>50</v>
      </c>
      <c r="J126" s="418"/>
      <c r="K126" s="418"/>
      <c r="L126" s="530"/>
      <c r="M126" s="531"/>
      <c r="N126" s="531"/>
      <c r="O126" s="531"/>
      <c r="P126" s="531"/>
      <c r="Q126" s="531"/>
      <c r="R126" s="531"/>
      <c r="S126" s="531"/>
      <c r="T126" s="531"/>
      <c r="U126" s="531"/>
      <c r="V126" s="531"/>
      <c r="W126" s="531"/>
    </row>
    <row r="127" spans="1:23" s="112" customFormat="1" ht="15.75" customHeight="1" x14ac:dyDescent="0.25">
      <c r="A127" s="282" t="s">
        <v>262</v>
      </c>
      <c r="B127" s="496">
        <f>SUM(B128:C137)</f>
        <v>5970869814.25</v>
      </c>
      <c r="C127" s="494"/>
      <c r="D127" s="496">
        <f>SUM(D128:E137)</f>
        <v>2010172805.99</v>
      </c>
      <c r="E127" s="494"/>
      <c r="F127" s="252"/>
      <c r="G127" s="493">
        <f>SUM(G128:H137)</f>
        <v>1744369525.1300001</v>
      </c>
      <c r="H127" s="494"/>
      <c r="I127" s="253"/>
      <c r="J127" s="460">
        <f>SUM(J128:K137)</f>
        <v>1677723741.6700001</v>
      </c>
      <c r="K127" s="460"/>
      <c r="L127" s="530"/>
      <c r="M127" s="545"/>
      <c r="N127" s="545"/>
      <c r="O127" s="531"/>
      <c r="P127" s="531"/>
      <c r="Q127" s="531"/>
      <c r="R127" s="531"/>
      <c r="S127" s="531"/>
      <c r="T127" s="531"/>
      <c r="U127" s="531"/>
      <c r="V127" s="531"/>
      <c r="W127" s="531"/>
    </row>
    <row r="128" spans="1:23" s="112" customFormat="1" ht="15.75" x14ac:dyDescent="0.25">
      <c r="A128" s="280" t="s">
        <v>263</v>
      </c>
      <c r="B128" s="474">
        <v>0</v>
      </c>
      <c r="C128" s="475"/>
      <c r="D128" s="474">
        <v>0</v>
      </c>
      <c r="E128" s="475"/>
      <c r="F128" s="191"/>
      <c r="G128" s="495">
        <v>0</v>
      </c>
      <c r="H128" s="475"/>
      <c r="I128" s="190"/>
      <c r="J128" s="487">
        <v>0</v>
      </c>
      <c r="K128" s="487"/>
      <c r="L128" s="530"/>
      <c r="M128" s="545"/>
      <c r="N128" s="545"/>
      <c r="O128" s="531"/>
      <c r="P128" s="531"/>
      <c r="Q128" s="531"/>
      <c r="R128" s="531"/>
      <c r="S128" s="531"/>
      <c r="T128" s="531"/>
      <c r="U128" s="531"/>
      <c r="V128" s="531"/>
      <c r="W128" s="531"/>
    </row>
    <row r="129" spans="1:23" s="112" customFormat="1" ht="15.75" x14ac:dyDescent="0.25">
      <c r="A129" s="280" t="s">
        <v>264</v>
      </c>
      <c r="B129" s="474">
        <f>514191</f>
        <v>514191</v>
      </c>
      <c r="C129" s="475"/>
      <c r="D129" s="474">
        <f>35461.3</f>
        <v>35461.300000000003</v>
      </c>
      <c r="E129" s="475"/>
      <c r="F129" s="191"/>
      <c r="G129" s="495">
        <f>35461.3</f>
        <v>35461.300000000003</v>
      </c>
      <c r="H129" s="475"/>
      <c r="I129" s="190"/>
      <c r="J129" s="487">
        <f>35461.3</f>
        <v>35461.300000000003</v>
      </c>
      <c r="K129" s="487"/>
      <c r="L129" s="530"/>
      <c r="M129" s="545"/>
      <c r="N129" s="545"/>
      <c r="O129" s="531"/>
      <c r="P129" s="531"/>
      <c r="Q129" s="531"/>
      <c r="R129" s="531"/>
      <c r="S129" s="531"/>
      <c r="T129" s="531"/>
      <c r="U129" s="531"/>
      <c r="V129" s="531"/>
      <c r="W129" s="531"/>
    </row>
    <row r="130" spans="1:23" s="112" customFormat="1" ht="15.75" x14ac:dyDescent="0.25">
      <c r="A130" s="280" t="s">
        <v>265</v>
      </c>
      <c r="B130" s="474">
        <f>425167571</f>
        <v>425167571</v>
      </c>
      <c r="C130" s="475"/>
      <c r="D130" s="474">
        <f>12952057.91</f>
        <v>12952057.91</v>
      </c>
      <c r="E130" s="475"/>
      <c r="F130" s="191"/>
      <c r="G130" s="495">
        <f>12880574.33</f>
        <v>12880574.33</v>
      </c>
      <c r="H130" s="475"/>
      <c r="I130" s="190"/>
      <c r="J130" s="487">
        <f>12880574.33</f>
        <v>12880574.33</v>
      </c>
      <c r="K130" s="487"/>
      <c r="L130" s="530"/>
      <c r="M130" s="545"/>
      <c r="N130" s="545"/>
      <c r="O130" s="531"/>
      <c r="P130" s="531"/>
      <c r="Q130" s="531"/>
      <c r="R130" s="531"/>
      <c r="S130" s="531"/>
      <c r="T130" s="531"/>
      <c r="U130" s="531"/>
      <c r="V130" s="531"/>
      <c r="W130" s="531"/>
    </row>
    <row r="131" spans="1:23" s="112" customFormat="1" ht="15.75" x14ac:dyDescent="0.25">
      <c r="A131" s="280" t="s">
        <v>266</v>
      </c>
      <c r="B131" s="474">
        <f>462426019</f>
        <v>462426019</v>
      </c>
      <c r="C131" s="475"/>
      <c r="D131" s="474">
        <f>178752674.67</f>
        <v>178752674.66999999</v>
      </c>
      <c r="E131" s="475"/>
      <c r="F131" s="191"/>
      <c r="G131" s="495">
        <f>121459361.32</f>
        <v>121459361.31999999</v>
      </c>
      <c r="H131" s="475"/>
      <c r="I131" s="190"/>
      <c r="J131" s="487">
        <f>120220135.88</f>
        <v>120220135.88</v>
      </c>
      <c r="K131" s="487"/>
      <c r="L131" s="530"/>
      <c r="M131" s="545"/>
      <c r="N131" s="545"/>
      <c r="O131" s="531"/>
      <c r="P131" s="531"/>
      <c r="Q131" s="531"/>
      <c r="R131" s="531"/>
      <c r="S131" s="531"/>
      <c r="T131" s="531"/>
      <c r="U131" s="531"/>
      <c r="V131" s="531"/>
      <c r="W131" s="531"/>
    </row>
    <row r="132" spans="1:23" s="112" customFormat="1" ht="15.75" x14ac:dyDescent="0.25">
      <c r="A132" s="280" t="s">
        <v>267</v>
      </c>
      <c r="B132" s="474">
        <f>134948227.13</f>
        <v>134948227.13</v>
      </c>
      <c r="C132" s="475"/>
      <c r="D132" s="474">
        <f>14898051.52</f>
        <v>14898051.52</v>
      </c>
      <c r="E132" s="475"/>
      <c r="F132" s="191"/>
      <c r="G132" s="495">
        <f>7573919.79</f>
        <v>7573919.79</v>
      </c>
      <c r="H132" s="475"/>
      <c r="I132" s="190"/>
      <c r="J132" s="487">
        <f>7498882.77</f>
        <v>7498882.7699999996</v>
      </c>
      <c r="K132" s="487"/>
      <c r="L132" s="530"/>
      <c r="M132" s="545"/>
      <c r="N132" s="545"/>
      <c r="O132" s="531"/>
      <c r="P132" s="531"/>
      <c r="Q132" s="531"/>
      <c r="R132" s="531"/>
      <c r="S132" s="531"/>
      <c r="T132" s="531"/>
      <c r="U132" s="531"/>
      <c r="V132" s="531"/>
      <c r="W132" s="531"/>
    </row>
    <row r="133" spans="1:23" s="112" customFormat="1" ht="15.75" x14ac:dyDescent="0.25">
      <c r="A133" s="290" t="s">
        <v>268</v>
      </c>
      <c r="B133" s="474">
        <f>17347034</f>
        <v>17347034</v>
      </c>
      <c r="C133" s="475"/>
      <c r="D133" s="474">
        <f>3053833.11</f>
        <v>3053833.11</v>
      </c>
      <c r="E133" s="475"/>
      <c r="F133" s="191"/>
      <c r="G133" s="495">
        <f>2558024.41</f>
        <v>2558024.41</v>
      </c>
      <c r="H133" s="475"/>
      <c r="I133" s="188"/>
      <c r="J133" s="487">
        <f>2558024.41</f>
        <v>2558024.41</v>
      </c>
      <c r="K133" s="487"/>
      <c r="L133" s="530"/>
      <c r="M133" s="545"/>
      <c r="N133" s="545"/>
      <c r="O133" s="531"/>
      <c r="P133" s="531"/>
      <c r="Q133" s="531"/>
      <c r="R133" s="531"/>
      <c r="S133" s="531"/>
      <c r="T133" s="531"/>
      <c r="U133" s="531"/>
      <c r="V133" s="531"/>
      <c r="W133" s="531"/>
    </row>
    <row r="134" spans="1:23" s="112" customFormat="1" ht="15.75" x14ac:dyDescent="0.25">
      <c r="A134" s="291" t="s">
        <v>269</v>
      </c>
      <c r="B134" s="474">
        <f>31919958</f>
        <v>31919958</v>
      </c>
      <c r="C134" s="475"/>
      <c r="D134" s="474">
        <f>14702348.9</f>
        <v>14702348.9</v>
      </c>
      <c r="E134" s="475"/>
      <c r="G134" s="495">
        <f>7509902.88</f>
        <v>7509902.8799999999</v>
      </c>
      <c r="H134" s="475"/>
      <c r="J134" s="487">
        <f>7509902.88</f>
        <v>7509902.8799999999</v>
      </c>
      <c r="K134" s="487"/>
      <c r="L134" s="184"/>
    </row>
    <row r="135" spans="1:23" s="112" customFormat="1" ht="15.75" x14ac:dyDescent="0.25">
      <c r="A135" s="291" t="s">
        <v>270</v>
      </c>
      <c r="B135" s="474">
        <f>3510898639.23</f>
        <v>3510898639.23</v>
      </c>
      <c r="C135" s="475"/>
      <c r="D135" s="474">
        <f>1107483730.6</f>
        <v>1107483730.5999999</v>
      </c>
      <c r="E135" s="475"/>
      <c r="G135" s="495">
        <f>1024954208.75</f>
        <v>1024954208.75</v>
      </c>
      <c r="H135" s="475"/>
      <c r="J135" s="487">
        <f>959874068.17</f>
        <v>959874068.16999996</v>
      </c>
      <c r="K135" s="487"/>
      <c r="L135" s="184"/>
    </row>
    <row r="136" spans="1:23" s="112" customFormat="1" ht="15.75" x14ac:dyDescent="0.25">
      <c r="A136" s="291" t="s">
        <v>271</v>
      </c>
      <c r="B136" s="474">
        <v>0</v>
      </c>
      <c r="C136" s="475"/>
      <c r="D136" s="474">
        <v>0</v>
      </c>
      <c r="E136" s="475"/>
      <c r="G136" s="495">
        <v>0</v>
      </c>
      <c r="H136" s="475"/>
      <c r="J136" s="487">
        <v>0</v>
      </c>
      <c r="K136" s="487"/>
      <c r="L136" s="184"/>
      <c r="N136" s="204"/>
    </row>
    <row r="137" spans="1:23" s="112" customFormat="1" ht="15.75" x14ac:dyDescent="0.25">
      <c r="A137" s="292" t="s">
        <v>272</v>
      </c>
      <c r="B137" s="501">
        <f>1387648174.89</f>
        <v>1387648174.8900001</v>
      </c>
      <c r="C137" s="502"/>
      <c r="D137" s="501">
        <f>678294647.98</f>
        <v>678294647.98000002</v>
      </c>
      <c r="E137" s="502"/>
      <c r="F137" s="1"/>
      <c r="G137" s="521">
        <f>567398072.35</f>
        <v>567398072.35000002</v>
      </c>
      <c r="H137" s="502"/>
      <c r="I137" s="1"/>
      <c r="J137" s="422">
        <f>567146691.93</f>
        <v>567146691.92999995</v>
      </c>
      <c r="K137" s="422"/>
      <c r="L137" s="184"/>
    </row>
    <row r="138" spans="1:23" s="112" customFormat="1" ht="15.75" customHeight="1" x14ac:dyDescent="0.25">
      <c r="A138" s="179"/>
      <c r="B138" s="179"/>
      <c r="C138" s="179"/>
      <c r="D138" s="179"/>
      <c r="E138" s="179"/>
      <c r="F138" s="179"/>
      <c r="G138" s="179"/>
      <c r="H138" s="179"/>
      <c r="I138" s="117"/>
      <c r="J138" s="117"/>
      <c r="K138" s="300" t="s">
        <v>273</v>
      </c>
      <c r="L138" s="168"/>
    </row>
    <row r="139" spans="1:23" s="184" customFormat="1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299" t="s">
        <v>195</v>
      </c>
    </row>
    <row r="140" spans="1:23" s="184" customFormat="1" ht="12" customHeight="1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299"/>
      <c r="M140" s="198"/>
      <c r="N140" s="198"/>
      <c r="O140" s="198"/>
      <c r="P140" s="198"/>
    </row>
    <row r="141" spans="1:23" s="184" customFormat="1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23" s="184" customFormat="1" ht="14.25" customHeight="1" x14ac:dyDescent="0.25">
      <c r="A142" s="399" t="str">
        <f>A73</f>
        <v>GOVERNO DO ESTADO DO RIO DE JANEIRO</v>
      </c>
      <c r="B142" s="399"/>
      <c r="C142" s="399"/>
      <c r="D142" s="399"/>
      <c r="E142" s="399"/>
      <c r="F142" s="399"/>
      <c r="G142" s="399"/>
      <c r="H142" s="399"/>
      <c r="I142" s="399"/>
      <c r="J142" s="399"/>
      <c r="K142" s="399"/>
    </row>
    <row r="143" spans="1:23" s="184" customFormat="1" ht="15" customHeight="1" x14ac:dyDescent="0.25">
      <c r="A143" s="399" t="str">
        <f>A74</f>
        <v>RELATÓRIO RESUMIDO DA EXECUÇÃO ORÇAMENTÁRIA</v>
      </c>
      <c r="B143" s="399"/>
      <c r="C143" s="399"/>
      <c r="D143" s="399"/>
      <c r="E143" s="399"/>
      <c r="F143" s="399"/>
      <c r="G143" s="399"/>
      <c r="H143" s="399"/>
      <c r="I143" s="399"/>
      <c r="J143" s="399"/>
      <c r="K143" s="399"/>
    </row>
    <row r="144" spans="1:23" s="184" customFormat="1" ht="15" customHeight="1" x14ac:dyDescent="0.25">
      <c r="A144" s="514" t="str">
        <f>A75</f>
        <v>DEMONSTRATIVO DAS RECEITAS E DESPESAS COM MANUTENÇÃO E DESENVOLVIMENTO DO ENSINO - MDE</v>
      </c>
      <c r="B144" s="514"/>
      <c r="C144" s="514"/>
      <c r="D144" s="514"/>
      <c r="E144" s="514"/>
      <c r="F144" s="514"/>
      <c r="G144" s="514"/>
      <c r="H144" s="514"/>
      <c r="I144" s="514"/>
      <c r="J144" s="514"/>
      <c r="K144" s="514"/>
    </row>
    <row r="145" spans="1:15" s="184" customFormat="1" ht="15" customHeight="1" x14ac:dyDescent="0.25">
      <c r="A145" s="399" t="str">
        <f>A76</f>
        <v>ORÇAMENTOS FISCAL E DA SEGURIDADE SOCIAL</v>
      </c>
      <c r="B145" s="399"/>
      <c r="C145" s="399"/>
      <c r="D145" s="399"/>
      <c r="E145" s="399"/>
      <c r="F145" s="399"/>
      <c r="G145" s="399"/>
      <c r="H145" s="399"/>
      <c r="I145" s="399"/>
      <c r="J145" s="399"/>
      <c r="K145" s="399"/>
    </row>
    <row r="146" spans="1:15" s="184" customFormat="1" ht="15" customHeight="1" x14ac:dyDescent="0.25">
      <c r="A146" s="399" t="str">
        <f>A77</f>
        <v>JANEIRO A ABRIL 2025/BIMESTRE MARÇO - ABRIL</v>
      </c>
      <c r="B146" s="399"/>
      <c r="C146" s="399"/>
      <c r="D146" s="399"/>
      <c r="E146" s="399"/>
      <c r="F146" s="399"/>
      <c r="G146" s="399"/>
      <c r="H146" s="399"/>
      <c r="I146" s="399"/>
      <c r="J146" s="399"/>
      <c r="K146" s="399"/>
    </row>
    <row r="147" spans="1:15" s="184" customFormat="1" ht="15" customHeigh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6" t="str">
        <f>K78</f>
        <v>Emissão: 21/05/2025</v>
      </c>
    </row>
    <row r="148" spans="1:15" s="184" customFormat="1" ht="15.75" x14ac:dyDescent="0.25">
      <c r="A148" s="3" t="s">
        <v>143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8">
        <f>K79</f>
        <v>1</v>
      </c>
    </row>
    <row r="149" spans="1:15" s="184" customFormat="1" x14ac:dyDescent="0.2">
      <c r="A149" s="515" t="s">
        <v>274</v>
      </c>
      <c r="B149" s="515"/>
      <c r="C149" s="515"/>
      <c r="D149" s="515"/>
      <c r="E149" s="515"/>
      <c r="F149" s="515"/>
      <c r="G149" s="515"/>
      <c r="H149" s="515"/>
      <c r="I149" s="515"/>
      <c r="J149" s="515"/>
      <c r="K149" s="515"/>
    </row>
    <row r="150" spans="1:15" s="184" customFormat="1" ht="15.75" x14ac:dyDescent="0.25">
      <c r="A150" s="390" t="s">
        <v>275</v>
      </c>
      <c r="B150" s="428" t="s">
        <v>197</v>
      </c>
      <c r="C150" s="429"/>
      <c r="D150" s="389" t="s">
        <v>38</v>
      </c>
      <c r="E150" s="390"/>
      <c r="F150" s="389" t="s">
        <v>39</v>
      </c>
      <c r="G150" s="408"/>
      <c r="H150" s="390"/>
      <c r="I150" s="409" t="s">
        <v>198</v>
      </c>
      <c r="J150" s="410"/>
      <c r="K150" s="410"/>
    </row>
    <row r="151" spans="1:15" s="184" customFormat="1" ht="12" customHeight="1" x14ac:dyDescent="0.25">
      <c r="A151" s="402"/>
      <c r="B151" s="396"/>
      <c r="C151" s="388"/>
      <c r="D151" s="387" t="s">
        <v>15</v>
      </c>
      <c r="E151" s="388"/>
      <c r="F151" s="387" t="s">
        <v>15</v>
      </c>
      <c r="G151" s="396"/>
      <c r="H151" s="388"/>
      <c r="I151" s="411" t="s">
        <v>15</v>
      </c>
      <c r="J151" s="412"/>
      <c r="K151" s="412"/>
    </row>
    <row r="152" spans="1:15" s="184" customFormat="1" ht="13.5" customHeight="1" x14ac:dyDescent="0.25">
      <c r="A152" s="403"/>
      <c r="B152" s="414" t="s">
        <v>19</v>
      </c>
      <c r="C152" s="415"/>
      <c r="D152" s="413" t="s">
        <v>48</v>
      </c>
      <c r="E152" s="415"/>
      <c r="F152" s="413" t="s">
        <v>49</v>
      </c>
      <c r="G152" s="414"/>
      <c r="H152" s="415"/>
      <c r="I152" s="385" t="s">
        <v>50</v>
      </c>
      <c r="J152" s="418"/>
      <c r="K152" s="418"/>
    </row>
    <row r="153" spans="1:15" s="184" customFormat="1" ht="15.75" customHeight="1" x14ac:dyDescent="0.25">
      <c r="A153" s="293" t="s">
        <v>276</v>
      </c>
      <c r="B153" s="496">
        <f>B154+B157+B158+B159+B160+B161</f>
        <v>10191769814.67</v>
      </c>
      <c r="C153" s="494"/>
      <c r="D153" s="496">
        <f>D154+D157+D158+D159+D160+D161</f>
        <v>3383904474.4099998</v>
      </c>
      <c r="E153" s="494"/>
      <c r="F153" s="243"/>
      <c r="G153" s="493">
        <f>G154+G157+G158+G159+G160+G161</f>
        <v>3117957799.73</v>
      </c>
      <c r="H153" s="494"/>
      <c r="I153" s="174"/>
      <c r="J153" s="460">
        <f>J154+J157+J158+J159+J160+J161</f>
        <v>2991638299.1199999</v>
      </c>
      <c r="K153" s="460"/>
    </row>
    <row r="154" spans="1:15" s="184" customFormat="1" ht="15.75" x14ac:dyDescent="0.25">
      <c r="A154" s="280" t="s">
        <v>277</v>
      </c>
      <c r="B154" s="503">
        <f>B155+B156</f>
        <v>0</v>
      </c>
      <c r="C154" s="504"/>
      <c r="D154" s="503">
        <f>D155+D156</f>
        <v>0</v>
      </c>
      <c r="E154" s="504"/>
      <c r="F154" s="244"/>
      <c r="G154" s="516">
        <f>G155+G156</f>
        <v>0</v>
      </c>
      <c r="H154" s="504"/>
      <c r="I154" s="169"/>
      <c r="J154" s="487">
        <f>J155+J156</f>
        <v>0</v>
      </c>
      <c r="K154" s="487"/>
    </row>
    <row r="155" spans="1:15" s="184" customFormat="1" ht="15.75" x14ac:dyDescent="0.25">
      <c r="A155" s="280" t="s">
        <v>278</v>
      </c>
      <c r="B155" s="503">
        <v>0</v>
      </c>
      <c r="C155" s="504"/>
      <c r="D155" s="503">
        <v>0</v>
      </c>
      <c r="E155" s="504"/>
      <c r="F155" s="244"/>
      <c r="G155" s="516">
        <v>0</v>
      </c>
      <c r="H155" s="504"/>
      <c r="I155" s="169"/>
      <c r="J155" s="487">
        <v>0</v>
      </c>
      <c r="K155" s="487"/>
    </row>
    <row r="156" spans="1:15" s="184" customFormat="1" ht="15.75" x14ac:dyDescent="0.25">
      <c r="A156" s="280" t="s">
        <v>279</v>
      </c>
      <c r="B156" s="503">
        <v>0</v>
      </c>
      <c r="C156" s="504"/>
      <c r="D156" s="503">
        <v>0</v>
      </c>
      <c r="E156" s="504"/>
      <c r="F156" s="244"/>
      <c r="G156" s="516">
        <v>0</v>
      </c>
      <c r="H156" s="504"/>
      <c r="I156" s="169"/>
      <c r="J156" s="487">
        <v>0</v>
      </c>
      <c r="K156" s="487"/>
    </row>
    <row r="157" spans="1:15" s="184" customFormat="1" ht="15.75" x14ac:dyDescent="0.25">
      <c r="A157" s="280" t="s">
        <v>280</v>
      </c>
      <c r="B157" s="474">
        <f>1225034851</f>
        <v>1225034851</v>
      </c>
      <c r="C157" s="475"/>
      <c r="D157" s="474">
        <f>338336950.99</f>
        <v>338336950.99000001</v>
      </c>
      <c r="E157" s="475"/>
      <c r="F157" s="153"/>
      <c r="G157" s="495">
        <f>338336950.99</f>
        <v>338336950.99000001</v>
      </c>
      <c r="H157" s="475"/>
      <c r="I157" s="140"/>
      <c r="J157" s="487">
        <f>323418936.62</f>
        <v>323418936.62</v>
      </c>
      <c r="K157" s="487"/>
      <c r="L157" s="530"/>
      <c r="M157" s="530"/>
      <c r="N157" s="530"/>
      <c r="O157" s="530"/>
    </row>
    <row r="158" spans="1:15" s="184" customFormat="1" ht="15.75" x14ac:dyDescent="0.25">
      <c r="A158" s="280" t="s">
        <v>281</v>
      </c>
      <c r="B158" s="474">
        <f>3017198443.42</f>
        <v>3017198443.4200001</v>
      </c>
      <c r="C158" s="475"/>
      <c r="D158" s="474">
        <f>1020295225.84</f>
        <v>1020295225.84</v>
      </c>
      <c r="E158" s="475"/>
      <c r="F158" s="153"/>
      <c r="G158" s="495">
        <f>1020080348.44</f>
        <v>1020080348.4400001</v>
      </c>
      <c r="H158" s="475"/>
      <c r="I158" s="140"/>
      <c r="J158" s="487">
        <f>975324645.66</f>
        <v>975324645.65999997</v>
      </c>
      <c r="K158" s="487"/>
      <c r="L158" s="530"/>
      <c r="M158" s="530"/>
      <c r="N158" s="530"/>
      <c r="O158" s="530"/>
    </row>
    <row r="159" spans="1:15" s="184" customFormat="1" ht="15.75" x14ac:dyDescent="0.25">
      <c r="A159" s="280" t="s">
        <v>282</v>
      </c>
      <c r="B159" s="474">
        <f>462426019</f>
        <v>462426019</v>
      </c>
      <c r="C159" s="475"/>
      <c r="D159" s="474">
        <f>178752674.67</f>
        <v>178752674.66999999</v>
      </c>
      <c r="E159" s="475"/>
      <c r="F159" s="153"/>
      <c r="G159" s="495">
        <f>121459361.32</f>
        <v>121459361.31999999</v>
      </c>
      <c r="H159" s="475"/>
      <c r="I159" s="140"/>
      <c r="J159" s="487">
        <f>120220135.88</f>
        <v>120220135.88</v>
      </c>
      <c r="K159" s="487"/>
      <c r="L159" s="530"/>
      <c r="M159" s="530"/>
      <c r="N159" s="530"/>
      <c r="O159" s="530"/>
    </row>
    <row r="160" spans="1:15" s="184" customFormat="1" ht="15.75" x14ac:dyDescent="0.25">
      <c r="A160" s="280" t="s">
        <v>283</v>
      </c>
      <c r="B160" s="474">
        <f>134948227.13</f>
        <v>134948227.13</v>
      </c>
      <c r="C160" s="475"/>
      <c r="D160" s="474">
        <f>14898051.52</f>
        <v>14898051.52</v>
      </c>
      <c r="E160" s="475"/>
      <c r="F160" s="191"/>
      <c r="G160" s="495">
        <f>7573919.79</f>
        <v>7573919.79</v>
      </c>
      <c r="H160" s="475"/>
      <c r="I160" s="197"/>
      <c r="J160" s="487">
        <f>7498882.77</f>
        <v>7498882.7699999996</v>
      </c>
      <c r="K160" s="487"/>
      <c r="L160" s="530"/>
      <c r="M160" s="530"/>
      <c r="N160" s="530"/>
      <c r="O160" s="530"/>
    </row>
    <row r="161" spans="1:25" s="184" customFormat="1" ht="15.75" x14ac:dyDescent="0.25">
      <c r="A161" s="294" t="s">
        <v>284</v>
      </c>
      <c r="B161" s="470">
        <f>5351249410.12+912864</f>
        <v>5352162274.1199999</v>
      </c>
      <c r="C161" s="471"/>
      <c r="D161" s="501">
        <f>1831621571.39</f>
        <v>1831621571.3900001</v>
      </c>
      <c r="E161" s="502"/>
      <c r="F161" s="262"/>
      <c r="G161" s="521">
        <f>1630507219.19</f>
        <v>1630507219.1900001</v>
      </c>
      <c r="H161" s="502"/>
      <c r="I161" s="192"/>
      <c r="J161" s="422">
        <f>1565175698.19</f>
        <v>1565175698.1900001</v>
      </c>
      <c r="K161" s="422"/>
      <c r="L161" s="530"/>
      <c r="M161" s="530"/>
      <c r="N161" s="530"/>
      <c r="O161" s="530"/>
    </row>
    <row r="162" spans="1:25" s="184" customFormat="1" ht="4.5" customHeight="1" x14ac:dyDescent="0.25">
      <c r="A162" s="3"/>
      <c r="B162" s="177"/>
      <c r="C162" s="177"/>
      <c r="D162" s="177"/>
      <c r="E162" s="177"/>
      <c r="F162" s="177"/>
      <c r="G162" s="177"/>
      <c r="H162" s="177"/>
      <c r="I162" s="177"/>
      <c r="J162" s="177"/>
      <c r="K162" s="178"/>
      <c r="L162" s="530"/>
      <c r="M162" s="530"/>
      <c r="N162" s="530"/>
      <c r="O162" s="530"/>
    </row>
    <row r="163" spans="1:25" s="112" customFormat="1" x14ac:dyDescent="0.2">
      <c r="A163" s="408" t="s">
        <v>285</v>
      </c>
      <c r="B163" s="408"/>
      <c r="C163" s="408"/>
      <c r="D163" s="408"/>
      <c r="E163" s="408"/>
      <c r="F163" s="408"/>
      <c r="G163" s="408"/>
      <c r="H163" s="390"/>
      <c r="I163" s="389" t="s">
        <v>189</v>
      </c>
      <c r="J163" s="408"/>
      <c r="K163" s="408"/>
      <c r="L163" s="537"/>
      <c r="M163" s="538"/>
      <c r="N163" s="538"/>
      <c r="O163" s="538"/>
      <c r="P163" s="201"/>
    </row>
    <row r="164" spans="1:25" s="112" customFormat="1" ht="3" customHeight="1" x14ac:dyDescent="0.2">
      <c r="A164" s="398"/>
      <c r="B164" s="398"/>
      <c r="C164" s="398"/>
      <c r="D164" s="398"/>
      <c r="E164" s="398"/>
      <c r="F164" s="398"/>
      <c r="G164" s="398"/>
      <c r="H164" s="403"/>
      <c r="I164" s="397"/>
      <c r="J164" s="398"/>
      <c r="K164" s="398"/>
      <c r="L164" s="537"/>
      <c r="M164" s="538"/>
      <c r="N164" s="538"/>
      <c r="O164" s="538"/>
      <c r="P164" s="201"/>
    </row>
    <row r="165" spans="1:25" s="112" customFormat="1" ht="18" customHeight="1" x14ac:dyDescent="0.25">
      <c r="A165" s="524" t="s">
        <v>286</v>
      </c>
      <c r="B165" s="524"/>
      <c r="C165" s="524"/>
      <c r="D165" s="524"/>
      <c r="E165" s="524"/>
      <c r="F165" s="524"/>
      <c r="G165" s="524"/>
      <c r="H165" s="525"/>
      <c r="I165" s="153"/>
      <c r="J165" s="517">
        <f>G127</f>
        <v>1744369525.1300001</v>
      </c>
      <c r="K165" s="517"/>
      <c r="L165" s="537"/>
      <c r="M165" s="535"/>
      <c r="N165" s="535"/>
      <c r="O165" s="538"/>
      <c r="P165" s="201"/>
    </row>
    <row r="166" spans="1:25" s="112" customFormat="1" ht="18" customHeight="1" x14ac:dyDescent="0.25">
      <c r="A166" s="498" t="s">
        <v>287</v>
      </c>
      <c r="B166" s="498"/>
      <c r="C166" s="498"/>
      <c r="D166" s="498"/>
      <c r="E166" s="498"/>
      <c r="F166" s="498"/>
      <c r="G166" s="498"/>
      <c r="H166" s="499"/>
      <c r="I166" s="153"/>
      <c r="J166" s="454">
        <f>J37</f>
        <v>4181554897.4699998</v>
      </c>
      <c r="K166" s="454"/>
      <c r="L166" s="537"/>
      <c r="M166" s="538"/>
      <c r="N166" s="538"/>
      <c r="O166" s="538"/>
      <c r="P166" s="201"/>
    </row>
    <row r="167" spans="1:25" s="112" customFormat="1" ht="18" customHeight="1" x14ac:dyDescent="0.25">
      <c r="A167" s="498" t="s">
        <v>288</v>
      </c>
      <c r="B167" s="498"/>
      <c r="C167" s="498"/>
      <c r="D167" s="498"/>
      <c r="E167" s="498"/>
      <c r="F167" s="498"/>
      <c r="G167" s="498"/>
      <c r="H167" s="499"/>
      <c r="I167" s="153"/>
      <c r="J167" s="500">
        <f>I116</f>
        <v>55981926.008999974</v>
      </c>
      <c r="K167" s="500"/>
      <c r="L167" s="537"/>
      <c r="M167" s="549"/>
      <c r="N167" s="538"/>
      <c r="O167" s="550"/>
      <c r="P167" s="273"/>
      <c r="Q167" s="273"/>
      <c r="R167" s="273"/>
      <c r="S167" s="273"/>
      <c r="T167" s="273"/>
      <c r="U167" s="273"/>
      <c r="V167" s="6"/>
      <c r="W167" s="6"/>
      <c r="X167" s="6"/>
      <c r="Y167" s="6"/>
    </row>
    <row r="168" spans="1:25" s="112" customFormat="1" ht="18" customHeight="1" x14ac:dyDescent="0.25">
      <c r="A168" s="498" t="s">
        <v>289</v>
      </c>
      <c r="B168" s="498"/>
      <c r="C168" s="498"/>
      <c r="D168" s="498"/>
      <c r="E168" s="498"/>
      <c r="F168" s="498"/>
      <c r="G168" s="498"/>
      <c r="H168" s="499"/>
      <c r="I168" s="153"/>
      <c r="J168" s="500">
        <f>K119</f>
        <v>21019124.460000001</v>
      </c>
      <c r="K168" s="500"/>
      <c r="L168" s="551"/>
      <c r="M168" s="549"/>
      <c r="N168" s="538"/>
      <c r="O168" s="538"/>
      <c r="P168" s="274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8" customHeight="1" x14ac:dyDescent="0.25">
      <c r="A169" s="498" t="s">
        <v>290</v>
      </c>
      <c r="B169" s="498"/>
      <c r="C169" s="498"/>
      <c r="D169" s="498"/>
      <c r="E169" s="498"/>
      <c r="F169" s="498"/>
      <c r="G169" s="498"/>
      <c r="H169" s="499"/>
      <c r="I169" s="153"/>
      <c r="J169" s="495">
        <v>0</v>
      </c>
      <c r="K169" s="495"/>
      <c r="L169" s="537"/>
      <c r="M169" s="550"/>
      <c r="N169" s="538"/>
      <c r="O169" s="538"/>
      <c r="P169" s="201"/>
    </row>
    <row r="170" spans="1:25" s="112" customFormat="1" ht="18" customHeight="1" x14ac:dyDescent="0.25">
      <c r="A170" s="522" t="s">
        <v>291</v>
      </c>
      <c r="B170" s="522"/>
      <c r="C170" s="522"/>
      <c r="D170" s="522"/>
      <c r="E170" s="522"/>
      <c r="F170" s="522"/>
      <c r="G170" s="522"/>
      <c r="H170" s="523"/>
      <c r="I170" s="153"/>
      <c r="J170" s="495">
        <f>H180-H190-H191-H192-H194</f>
        <v>-8.1945472629740834E-10</v>
      </c>
      <c r="K170" s="495"/>
      <c r="L170" s="537"/>
      <c r="M170" s="535"/>
      <c r="N170" s="538"/>
      <c r="O170" s="538"/>
      <c r="P170" s="201"/>
    </row>
    <row r="171" spans="1:25" s="112" customFormat="1" ht="18" customHeight="1" x14ac:dyDescent="0.25">
      <c r="A171" s="519" t="s">
        <v>292</v>
      </c>
      <c r="B171" s="519"/>
      <c r="C171" s="519"/>
      <c r="D171" s="519"/>
      <c r="E171" s="519"/>
      <c r="F171" s="519"/>
      <c r="G171" s="519"/>
      <c r="H171" s="520"/>
      <c r="I171" s="180"/>
      <c r="J171" s="518">
        <f>((J165+J166)-(J167+J168+J169+J170))</f>
        <v>5848923372.1310005</v>
      </c>
      <c r="K171" s="518"/>
      <c r="L171" s="537"/>
      <c r="M171" s="538"/>
      <c r="N171" s="538"/>
      <c r="O171" s="538"/>
      <c r="P171" s="201"/>
    </row>
    <row r="172" spans="1:25" s="112" customFormat="1" ht="4.5" customHeight="1" x14ac:dyDescent="0.25">
      <c r="A172" s="154"/>
      <c r="B172" s="155"/>
      <c r="C172" s="155"/>
      <c r="D172" s="155"/>
      <c r="E172" s="155"/>
      <c r="F172" s="155"/>
      <c r="G172" s="152"/>
      <c r="H172" s="152"/>
      <c r="I172" s="152"/>
      <c r="J172" s="152"/>
      <c r="K172" s="152"/>
      <c r="L172" s="537"/>
      <c r="M172" s="538"/>
      <c r="N172" s="538"/>
      <c r="O172" s="538"/>
      <c r="P172" s="201"/>
    </row>
    <row r="173" spans="1:25" s="112" customFormat="1" ht="15" customHeight="1" x14ac:dyDescent="0.2">
      <c r="A173" s="408" t="s">
        <v>293</v>
      </c>
      <c r="B173" s="408"/>
      <c r="C173" s="390"/>
      <c r="D173" s="406" t="s">
        <v>225</v>
      </c>
      <c r="E173" s="407"/>
      <c r="F173" s="407"/>
      <c r="G173" s="394"/>
      <c r="H173" s="389" t="s">
        <v>226</v>
      </c>
      <c r="I173" s="390"/>
      <c r="J173" s="389" t="s">
        <v>228</v>
      </c>
      <c r="K173" s="408"/>
      <c r="L173" s="537"/>
      <c r="M173" s="538"/>
      <c r="N173" s="538"/>
      <c r="O173" s="538"/>
      <c r="P173" s="201"/>
    </row>
    <row r="174" spans="1:25" s="112" customFormat="1" ht="9.75" customHeight="1" x14ac:dyDescent="0.2">
      <c r="A174" s="398"/>
      <c r="B174" s="398"/>
      <c r="C174" s="403"/>
      <c r="D174" s="391" t="s">
        <v>294</v>
      </c>
      <c r="E174" s="427"/>
      <c r="F174" s="427"/>
      <c r="G174" s="392"/>
      <c r="H174" s="391" t="s">
        <v>295</v>
      </c>
      <c r="I174" s="392"/>
      <c r="J174" s="397" t="s">
        <v>296</v>
      </c>
      <c r="K174" s="398"/>
      <c r="L174" s="537"/>
      <c r="M174" s="538"/>
      <c r="N174" s="538"/>
      <c r="O174" s="538"/>
      <c r="P174" s="201"/>
    </row>
    <row r="175" spans="1:25" s="112" customFormat="1" ht="15" customHeight="1" x14ac:dyDescent="0.2">
      <c r="A175" s="297" t="s">
        <v>297</v>
      </c>
      <c r="B175" s="157"/>
      <c r="C175" s="157"/>
      <c r="D175" s="511">
        <f>0.25*(J35)</f>
        <v>5843026659.0274992</v>
      </c>
      <c r="E175" s="512"/>
      <c r="F175" s="512"/>
      <c r="G175" s="513"/>
      <c r="H175" s="511">
        <f>J171</f>
        <v>5848923372.1310005</v>
      </c>
      <c r="I175" s="513"/>
      <c r="J175" s="527">
        <f>(J171/J35)*100</f>
        <v>25.025229703061473</v>
      </c>
      <c r="K175" s="518"/>
      <c r="L175" s="537"/>
      <c r="M175" s="538"/>
      <c r="N175" s="538"/>
      <c r="O175" s="538"/>
      <c r="P175" s="201"/>
    </row>
    <row r="176" spans="1:25" s="112" customFormat="1" ht="3.75" customHeight="1" x14ac:dyDescent="0.2">
      <c r="A176" s="156"/>
      <c r="B176" s="157"/>
      <c r="C176" s="157"/>
      <c r="D176" s="158"/>
      <c r="E176" s="148"/>
      <c r="F176" s="148"/>
      <c r="G176" s="148"/>
      <c r="H176" s="148"/>
      <c r="I176" s="148"/>
      <c r="J176" s="159"/>
      <c r="K176" s="159"/>
      <c r="L176" s="537"/>
      <c r="M176" s="538"/>
      <c r="N176" s="538"/>
      <c r="O176" s="538"/>
      <c r="P176" s="201"/>
    </row>
    <row r="177" spans="1:16" s="112" customFormat="1" ht="15" customHeight="1" x14ac:dyDescent="0.2">
      <c r="A177" s="390" t="s">
        <v>298</v>
      </c>
      <c r="B177" s="406" t="s">
        <v>299</v>
      </c>
      <c r="C177" s="407"/>
      <c r="D177" s="406" t="s">
        <v>300</v>
      </c>
      <c r="E177" s="394"/>
      <c r="F177" s="407" t="s">
        <v>301</v>
      </c>
      <c r="G177" s="407"/>
      <c r="H177" s="389" t="s">
        <v>302</v>
      </c>
      <c r="I177" s="390"/>
      <c r="J177" s="389" t="s">
        <v>303</v>
      </c>
      <c r="K177" s="408"/>
      <c r="L177" s="537"/>
      <c r="M177" s="538"/>
      <c r="N177" s="538"/>
      <c r="O177" s="538"/>
      <c r="P177" s="201"/>
    </row>
    <row r="178" spans="1:16" s="112" customFormat="1" ht="13.5" customHeight="1" x14ac:dyDescent="0.2">
      <c r="A178" s="402"/>
      <c r="B178" s="506"/>
      <c r="C178" s="507"/>
      <c r="D178" s="506"/>
      <c r="E178" s="438"/>
      <c r="F178" s="507"/>
      <c r="G178" s="507"/>
      <c r="H178" s="472"/>
      <c r="I178" s="402"/>
      <c r="J178" s="472"/>
      <c r="K178" s="473"/>
      <c r="L178" s="537"/>
      <c r="M178" s="538"/>
      <c r="N178" s="538"/>
      <c r="O178" s="538"/>
      <c r="P178" s="201"/>
    </row>
    <row r="179" spans="1:16" s="112" customFormat="1" ht="13.5" customHeight="1" x14ac:dyDescent="0.2">
      <c r="A179" s="403"/>
      <c r="B179" s="391" t="s">
        <v>304</v>
      </c>
      <c r="C179" s="392"/>
      <c r="D179" s="391" t="s">
        <v>305</v>
      </c>
      <c r="E179" s="392"/>
      <c r="F179" s="397" t="s">
        <v>306</v>
      </c>
      <c r="G179" s="398"/>
      <c r="H179" s="397" t="s">
        <v>307</v>
      </c>
      <c r="I179" s="403"/>
      <c r="J179" s="397" t="s">
        <v>308</v>
      </c>
      <c r="K179" s="398"/>
      <c r="L179" s="537"/>
      <c r="M179" s="538"/>
      <c r="N179" s="538"/>
      <c r="O179" s="538"/>
      <c r="P179" s="201"/>
    </row>
    <row r="180" spans="1:16" s="112" customFormat="1" ht="15" customHeight="1" x14ac:dyDescent="0.25">
      <c r="A180" s="298" t="s">
        <v>309</v>
      </c>
      <c r="B180" s="419">
        <f>B181+B193+B197</f>
        <v>535389140.81999999</v>
      </c>
      <c r="C180" s="420"/>
      <c r="D180" s="419">
        <f>D181+D193+D197</f>
        <v>230023212.40000001</v>
      </c>
      <c r="E180" s="420"/>
      <c r="F180" s="419">
        <f>F181+F193+F197</f>
        <v>473733790.70999998</v>
      </c>
      <c r="G180" s="420"/>
      <c r="H180" s="419">
        <f>H181+H193+H197</f>
        <v>10134786.129999999</v>
      </c>
      <c r="I180" s="420"/>
      <c r="J180" s="419">
        <f>J181+J193+J197</f>
        <v>51520563.980000027</v>
      </c>
      <c r="K180" s="460"/>
      <c r="L180" s="537"/>
      <c r="M180" s="538"/>
      <c r="N180" s="538"/>
      <c r="O180" s="538"/>
      <c r="P180" s="201"/>
    </row>
    <row r="181" spans="1:16" s="112" customFormat="1" ht="15" customHeight="1" x14ac:dyDescent="0.25">
      <c r="A181" s="298" t="s">
        <v>310</v>
      </c>
      <c r="B181" s="400">
        <f>SUM(B182:C192)</f>
        <v>486467197.10000002</v>
      </c>
      <c r="C181" s="401"/>
      <c r="D181" s="400">
        <f>SUM(D182:E192)</f>
        <v>230023212.40000001</v>
      </c>
      <c r="E181" s="401"/>
      <c r="F181" s="400">
        <f>SUM(F182:G192)</f>
        <v>424917667.5</v>
      </c>
      <c r="G181" s="401"/>
      <c r="H181" s="400">
        <f>SUM(H182:I192)</f>
        <v>10126788.01</v>
      </c>
      <c r="I181" s="401"/>
      <c r="J181" s="400">
        <f>SUM(J182:K192)</f>
        <v>51422741.590000026</v>
      </c>
      <c r="K181" s="461"/>
      <c r="L181" s="537"/>
      <c r="M181" s="538"/>
      <c r="N181" s="538"/>
      <c r="O181" s="538"/>
      <c r="P181" s="201"/>
    </row>
    <row r="182" spans="1:16" s="112" customFormat="1" ht="15" customHeight="1" x14ac:dyDescent="0.25">
      <c r="A182" s="272" t="s">
        <v>311</v>
      </c>
      <c r="B182" s="357">
        <f>614034.73</f>
        <v>614034.73</v>
      </c>
      <c r="C182" s="358"/>
      <c r="D182" s="357">
        <v>0</v>
      </c>
      <c r="E182" s="358"/>
      <c r="F182" s="357">
        <v>0</v>
      </c>
      <c r="G182" s="358"/>
      <c r="H182" s="357">
        <v>0</v>
      </c>
      <c r="I182" s="358"/>
      <c r="J182" s="357">
        <f>B182-F182-H182</f>
        <v>614034.73</v>
      </c>
      <c r="K182" s="487"/>
      <c r="L182" s="537"/>
      <c r="M182" s="538"/>
      <c r="N182" s="538"/>
      <c r="O182" s="538"/>
      <c r="P182" s="201"/>
    </row>
    <row r="183" spans="1:16" s="112" customFormat="1" ht="15" customHeight="1" x14ac:dyDescent="0.25">
      <c r="A183" s="272" t="s">
        <v>312</v>
      </c>
      <c r="B183" s="357">
        <f>3611023.9</f>
        <v>3611023.9</v>
      </c>
      <c r="C183" s="358"/>
      <c r="D183" s="357">
        <v>0</v>
      </c>
      <c r="E183" s="358"/>
      <c r="F183" s="357">
        <v>0</v>
      </c>
      <c r="G183" s="358"/>
      <c r="H183" s="357">
        <v>0</v>
      </c>
      <c r="I183" s="358"/>
      <c r="J183" s="357">
        <f t="shared" ref="J183:J188" si="0">B183-F183-H183</f>
        <v>3611023.9</v>
      </c>
      <c r="K183" s="487"/>
      <c r="L183" s="200"/>
      <c r="M183" s="201"/>
      <c r="N183" s="201"/>
      <c r="O183" s="201"/>
      <c r="P183" s="201"/>
    </row>
    <row r="184" spans="1:16" s="112" customFormat="1" ht="15" customHeight="1" x14ac:dyDescent="0.25">
      <c r="A184" s="272" t="s">
        <v>313</v>
      </c>
      <c r="B184" s="357">
        <f>3177152.28</f>
        <v>3177152.28</v>
      </c>
      <c r="C184" s="358"/>
      <c r="D184" s="357">
        <v>0</v>
      </c>
      <c r="E184" s="358"/>
      <c r="F184" s="357">
        <v>0</v>
      </c>
      <c r="G184" s="358"/>
      <c r="H184" s="357">
        <v>0</v>
      </c>
      <c r="I184" s="358"/>
      <c r="J184" s="357">
        <f t="shared" si="0"/>
        <v>3177152.28</v>
      </c>
      <c r="K184" s="487"/>
      <c r="L184" s="200"/>
      <c r="M184" s="201"/>
      <c r="N184" s="201"/>
      <c r="O184" s="201"/>
      <c r="P184" s="201"/>
    </row>
    <row r="185" spans="1:16" s="112" customFormat="1" ht="15" customHeight="1" x14ac:dyDescent="0.25">
      <c r="A185" s="272" t="s">
        <v>314</v>
      </c>
      <c r="B185" s="357">
        <f>10083570.75</f>
        <v>10083570.75</v>
      </c>
      <c r="C185" s="358"/>
      <c r="D185" s="357">
        <v>0</v>
      </c>
      <c r="E185" s="358"/>
      <c r="F185" s="357">
        <v>0</v>
      </c>
      <c r="G185" s="358"/>
      <c r="H185" s="357">
        <v>0</v>
      </c>
      <c r="I185" s="358"/>
      <c r="J185" s="357">
        <f t="shared" si="0"/>
        <v>10083570.75</v>
      </c>
      <c r="K185" s="487"/>
      <c r="L185" s="200"/>
      <c r="M185" s="201"/>
      <c r="N185" s="201"/>
      <c r="O185" s="201"/>
      <c r="P185" s="201"/>
    </row>
    <row r="186" spans="1:16" s="112" customFormat="1" ht="15" customHeight="1" x14ac:dyDescent="0.25">
      <c r="A186" s="272" t="s">
        <v>315</v>
      </c>
      <c r="B186" s="357">
        <f>10738606.39</f>
        <v>10738606.390000001</v>
      </c>
      <c r="C186" s="358"/>
      <c r="D186" s="357">
        <v>0</v>
      </c>
      <c r="E186" s="358"/>
      <c r="F186" s="357">
        <v>0</v>
      </c>
      <c r="G186" s="358"/>
      <c r="H186" s="357">
        <v>0</v>
      </c>
      <c r="I186" s="358"/>
      <c r="J186" s="357">
        <f t="shared" si="0"/>
        <v>10738606.390000001</v>
      </c>
      <c r="K186" s="487"/>
      <c r="L186" s="200"/>
      <c r="M186" s="201"/>
      <c r="N186" s="201"/>
      <c r="O186" s="201"/>
      <c r="P186" s="201"/>
    </row>
    <row r="187" spans="1:16" s="112" customFormat="1" ht="15" customHeight="1" x14ac:dyDescent="0.25">
      <c r="A187" s="272" t="s">
        <v>316</v>
      </c>
      <c r="B187" s="357">
        <f>1357724.62</f>
        <v>1357724.62</v>
      </c>
      <c r="C187" s="358"/>
      <c r="D187" s="357">
        <v>0</v>
      </c>
      <c r="E187" s="358"/>
      <c r="F187" s="357">
        <v>0</v>
      </c>
      <c r="G187" s="358"/>
      <c r="H187" s="357">
        <v>0</v>
      </c>
      <c r="I187" s="358"/>
      <c r="J187" s="357">
        <f t="shared" si="0"/>
        <v>1357724.62</v>
      </c>
      <c r="K187" s="487"/>
      <c r="L187" s="200"/>
      <c r="M187" s="201"/>
      <c r="N187" s="201"/>
      <c r="O187" s="201"/>
      <c r="P187" s="201"/>
    </row>
    <row r="188" spans="1:16" s="112" customFormat="1" ht="15" customHeight="1" x14ac:dyDescent="0.25">
      <c r="A188" s="272" t="s">
        <v>317</v>
      </c>
      <c r="B188" s="357">
        <f>4640237.82</f>
        <v>4640237.82</v>
      </c>
      <c r="C188" s="358"/>
      <c r="D188" s="357">
        <v>0</v>
      </c>
      <c r="E188" s="358"/>
      <c r="F188" s="357">
        <v>0</v>
      </c>
      <c r="G188" s="358"/>
      <c r="H188" s="357">
        <v>0</v>
      </c>
      <c r="I188" s="358"/>
      <c r="J188" s="357">
        <f t="shared" si="0"/>
        <v>4640237.82</v>
      </c>
      <c r="K188" s="487"/>
      <c r="L188" s="200"/>
      <c r="M188" s="201"/>
      <c r="N188" s="201"/>
      <c r="O188" s="201"/>
      <c r="P188" s="201"/>
    </row>
    <row r="189" spans="1:16" s="112" customFormat="1" ht="15" customHeight="1" x14ac:dyDescent="0.25">
      <c r="A189" s="272" t="s">
        <v>318</v>
      </c>
      <c r="B189" s="357">
        <f>3382005.67</f>
        <v>3382005.67</v>
      </c>
      <c r="C189" s="358"/>
      <c r="D189" s="357">
        <v>0</v>
      </c>
      <c r="E189" s="358"/>
      <c r="F189" s="357">
        <v>0</v>
      </c>
      <c r="G189" s="358"/>
      <c r="H189" s="357">
        <v>0</v>
      </c>
      <c r="I189" s="358"/>
      <c r="J189" s="357">
        <f>B189-F189-H189</f>
        <v>3382005.67</v>
      </c>
      <c r="K189" s="487"/>
      <c r="L189" s="200"/>
      <c r="M189" s="201"/>
      <c r="N189" s="201"/>
      <c r="O189" s="201"/>
      <c r="P189" s="201"/>
    </row>
    <row r="190" spans="1:16" s="112" customFormat="1" ht="15" customHeight="1" x14ac:dyDescent="0.25">
      <c r="A190" s="272" t="s">
        <v>319</v>
      </c>
      <c r="B190" s="357">
        <f>4458152.18</f>
        <v>4458152.18</v>
      </c>
      <c r="C190" s="358"/>
      <c r="D190" s="357">
        <v>0</v>
      </c>
      <c r="E190" s="358"/>
      <c r="F190" s="357">
        <v>0</v>
      </c>
      <c r="G190" s="358"/>
      <c r="H190" s="357">
        <v>0</v>
      </c>
      <c r="I190" s="358"/>
      <c r="J190" s="357">
        <f>B190-F190-H190</f>
        <v>4458152.18</v>
      </c>
      <c r="K190" s="487"/>
      <c r="L190" s="200"/>
      <c r="M190" s="201"/>
      <c r="N190" s="201"/>
      <c r="O190" s="201"/>
      <c r="P190" s="201"/>
    </row>
    <row r="191" spans="1:16" s="112" customFormat="1" ht="15" customHeight="1" x14ac:dyDescent="0.25">
      <c r="A191" s="272" t="s">
        <v>320</v>
      </c>
      <c r="B191" s="357">
        <f>1479715.34</f>
        <v>1479715.34</v>
      </c>
      <c r="C191" s="358"/>
      <c r="D191" s="357">
        <v>0</v>
      </c>
      <c r="E191" s="358"/>
      <c r="F191" s="357">
        <f>128700</f>
        <v>128700</v>
      </c>
      <c r="G191" s="358"/>
      <c r="H191" s="357">
        <v>0</v>
      </c>
      <c r="I191" s="358"/>
      <c r="J191" s="357">
        <f>B191-F191-H191</f>
        <v>1351015.34</v>
      </c>
      <c r="K191" s="487"/>
      <c r="L191" s="200"/>
      <c r="M191" s="201"/>
      <c r="N191" s="201"/>
      <c r="O191" s="201"/>
      <c r="P191" s="201"/>
    </row>
    <row r="192" spans="1:16" s="112" customFormat="1" ht="15" customHeight="1" x14ac:dyDescent="0.25">
      <c r="A192" s="272" t="s">
        <v>391</v>
      </c>
      <c r="B192" s="357">
        <f>442924973.42</f>
        <v>442924973.42000002</v>
      </c>
      <c r="C192" s="358"/>
      <c r="D192" s="357">
        <f>230023212.4</f>
        <v>230023212.40000001</v>
      </c>
      <c r="E192" s="358"/>
      <c r="F192" s="357">
        <f>424788967.5</f>
        <v>424788967.5</v>
      </c>
      <c r="G192" s="358"/>
      <c r="H192" s="357">
        <f>10126788.01</f>
        <v>10126788.01</v>
      </c>
      <c r="I192" s="358"/>
      <c r="J192" s="357">
        <f>B192-F192-H192</f>
        <v>8009217.9100000169</v>
      </c>
      <c r="K192" s="487"/>
      <c r="L192" s="200"/>
      <c r="M192" s="201"/>
      <c r="N192" s="201"/>
      <c r="O192" s="201"/>
      <c r="P192" s="201"/>
    </row>
    <row r="193" spans="1:13" s="112" customFormat="1" ht="15.75" x14ac:dyDescent="0.25">
      <c r="A193" s="298" t="s">
        <v>321</v>
      </c>
      <c r="B193" s="400">
        <f>B194+B195</f>
        <v>27658030.200000003</v>
      </c>
      <c r="C193" s="401"/>
      <c r="D193" s="400">
        <f>D194+D195</f>
        <v>0</v>
      </c>
      <c r="E193" s="401"/>
      <c r="F193" s="400">
        <f>F194+F195</f>
        <v>27552209.690000001</v>
      </c>
      <c r="G193" s="401"/>
      <c r="H193" s="400">
        <f>H194+H195</f>
        <v>7998.12</v>
      </c>
      <c r="I193" s="401"/>
      <c r="J193" s="400">
        <f>J194+J195</f>
        <v>97822.39</v>
      </c>
      <c r="K193" s="461"/>
      <c r="L193" s="200"/>
      <c r="M193" s="201"/>
    </row>
    <row r="194" spans="1:13" s="112" customFormat="1" ht="15.75" x14ac:dyDescent="0.25">
      <c r="A194" s="272" t="s">
        <v>319</v>
      </c>
      <c r="B194" s="357">
        <f>105820.51</f>
        <v>105820.51</v>
      </c>
      <c r="C194" s="358"/>
      <c r="D194" s="357">
        <v>0</v>
      </c>
      <c r="E194" s="358"/>
      <c r="F194" s="357">
        <v>0</v>
      </c>
      <c r="G194" s="358"/>
      <c r="H194" s="357">
        <f>7998.12</f>
        <v>7998.12</v>
      </c>
      <c r="I194" s="358"/>
      <c r="J194" s="357">
        <f>B194-F194-H194</f>
        <v>97822.39</v>
      </c>
      <c r="K194" s="487"/>
      <c r="L194" s="200"/>
      <c r="M194" s="201"/>
    </row>
    <row r="195" spans="1:13" s="112" customFormat="1" ht="15.75" x14ac:dyDescent="0.25">
      <c r="A195" s="272" t="s">
        <v>391</v>
      </c>
      <c r="B195" s="357">
        <f>27552209.69</f>
        <v>27552209.690000001</v>
      </c>
      <c r="C195" s="358"/>
      <c r="D195" s="357">
        <v>0</v>
      </c>
      <c r="E195" s="358"/>
      <c r="F195" s="357">
        <f>27552209.69</f>
        <v>27552209.690000001</v>
      </c>
      <c r="G195" s="358"/>
      <c r="H195" s="357">
        <v>0</v>
      </c>
      <c r="I195" s="358"/>
      <c r="J195" s="357">
        <f>B195-F195-H195</f>
        <v>0</v>
      </c>
      <c r="K195" s="487"/>
      <c r="L195" s="200"/>
      <c r="M195" s="201"/>
    </row>
    <row r="196" spans="1:13" s="112" customFormat="1" ht="15.75" x14ac:dyDescent="0.25">
      <c r="A196" s="298" t="s">
        <v>322</v>
      </c>
      <c r="B196" s="400">
        <f>B197</f>
        <v>21263913.52</v>
      </c>
      <c r="C196" s="401"/>
      <c r="D196" s="400">
        <f>D197</f>
        <v>0</v>
      </c>
      <c r="E196" s="401"/>
      <c r="F196" s="400">
        <f>F197</f>
        <v>21263913.52</v>
      </c>
      <c r="G196" s="401"/>
      <c r="H196" s="400">
        <f>H197</f>
        <v>0</v>
      </c>
      <c r="I196" s="401"/>
      <c r="J196" s="400">
        <f>B196-F196-H196</f>
        <v>0</v>
      </c>
      <c r="K196" s="508"/>
      <c r="L196" s="200"/>
      <c r="M196" s="201"/>
    </row>
    <row r="197" spans="1:13" s="112" customFormat="1" ht="15.75" x14ac:dyDescent="0.25">
      <c r="A197" s="272" t="s">
        <v>391</v>
      </c>
      <c r="B197" s="432">
        <f>21263913.52</f>
        <v>21263913.52</v>
      </c>
      <c r="C197" s="423"/>
      <c r="D197" s="432">
        <v>0</v>
      </c>
      <c r="E197" s="423"/>
      <c r="F197" s="432">
        <f>21263913.52</f>
        <v>21263913.52</v>
      </c>
      <c r="G197" s="423"/>
      <c r="H197" s="432">
        <v>0</v>
      </c>
      <c r="I197" s="423"/>
      <c r="J197" s="432">
        <f>B197-F197-H197</f>
        <v>0</v>
      </c>
      <c r="K197" s="422"/>
      <c r="L197" s="200"/>
      <c r="M197" s="201"/>
    </row>
    <row r="198" spans="1:13" s="112" customFormat="1" ht="3.95" customHeight="1" x14ac:dyDescent="0.25">
      <c r="A198" s="145"/>
      <c r="B198" s="145"/>
      <c r="C198" s="145"/>
      <c r="D198" s="145"/>
      <c r="E198" s="161"/>
      <c r="F198" s="161"/>
      <c r="G198" s="147"/>
      <c r="H198" s="147"/>
      <c r="I198" s="147"/>
      <c r="J198" s="147"/>
      <c r="K198" s="152"/>
      <c r="L198" s="200"/>
      <c r="M198" s="201"/>
    </row>
    <row r="199" spans="1:13" s="112" customFormat="1" ht="15" customHeight="1" x14ac:dyDescent="0.2">
      <c r="A199" s="435" t="s">
        <v>323</v>
      </c>
      <c r="B199" s="435"/>
      <c r="C199" s="435"/>
      <c r="D199" s="435"/>
      <c r="E199" s="435"/>
      <c r="F199" s="435"/>
      <c r="G199" s="435"/>
      <c r="H199" s="435"/>
      <c r="I199" s="435"/>
      <c r="J199" s="435"/>
      <c r="K199" s="435"/>
      <c r="L199" s="184"/>
      <c r="M199" s="201"/>
    </row>
    <row r="200" spans="1:13" s="112" customFormat="1" ht="15" customHeight="1" x14ac:dyDescent="0.25">
      <c r="A200" s="390" t="s">
        <v>324</v>
      </c>
      <c r="B200" s="443" t="s">
        <v>146</v>
      </c>
      <c r="C200" s="444"/>
      <c r="D200" s="444"/>
      <c r="E200" s="444"/>
      <c r="F200" s="445"/>
      <c r="G200" s="443" t="s">
        <v>10</v>
      </c>
      <c r="H200" s="444"/>
      <c r="I200" s="444"/>
      <c r="J200" s="444"/>
      <c r="K200" s="444"/>
      <c r="L200" s="184"/>
      <c r="M200" s="201"/>
    </row>
    <row r="201" spans="1:13" s="112" customFormat="1" ht="15" customHeight="1" x14ac:dyDescent="0.25">
      <c r="A201" s="402"/>
      <c r="B201" s="387" t="s">
        <v>44</v>
      </c>
      <c r="C201" s="396"/>
      <c r="D201" s="396"/>
      <c r="E201" s="396"/>
      <c r="F201" s="388"/>
      <c r="G201" s="387" t="s">
        <v>15</v>
      </c>
      <c r="H201" s="396"/>
      <c r="I201" s="396"/>
      <c r="J201" s="396"/>
      <c r="K201" s="396"/>
      <c r="L201" s="184"/>
      <c r="M201" s="201"/>
    </row>
    <row r="202" spans="1:13" s="112" customFormat="1" ht="15" customHeight="1" x14ac:dyDescent="0.25">
      <c r="A202" s="403"/>
      <c r="B202" s="413" t="s">
        <v>16</v>
      </c>
      <c r="C202" s="414"/>
      <c r="D202" s="414"/>
      <c r="E202" s="414"/>
      <c r="F202" s="415"/>
      <c r="G202" s="413" t="s">
        <v>17</v>
      </c>
      <c r="H202" s="414"/>
      <c r="I202" s="414"/>
      <c r="J202" s="414"/>
      <c r="K202" s="414"/>
      <c r="L202" s="184"/>
      <c r="M202" s="201"/>
    </row>
    <row r="203" spans="1:13" s="112" customFormat="1" ht="15.75" customHeight="1" x14ac:dyDescent="0.25">
      <c r="A203" s="293" t="s">
        <v>325</v>
      </c>
      <c r="B203" s="245"/>
      <c r="C203" s="245"/>
      <c r="D203" s="245"/>
      <c r="E203" s="528">
        <f>E204+E210+E211+E212+E213</f>
        <v>537126706.12</v>
      </c>
      <c r="F203" s="529"/>
      <c r="G203" s="246"/>
      <c r="H203" s="245"/>
      <c r="I203" s="245"/>
      <c r="J203" s="528">
        <f>J204+J210+J211+J212+J213</f>
        <v>174497035.44</v>
      </c>
      <c r="K203" s="528"/>
      <c r="L203" s="184"/>
      <c r="M203" s="201"/>
    </row>
    <row r="204" spans="1:13" s="112" customFormat="1" ht="15.75" customHeight="1" x14ac:dyDescent="0.25">
      <c r="A204" s="295" t="s">
        <v>326</v>
      </c>
      <c r="B204" s="3"/>
      <c r="C204" s="137"/>
      <c r="D204" s="3"/>
      <c r="E204" s="487">
        <f>E205+E206+E207+E208+E209</f>
        <v>523541828.12</v>
      </c>
      <c r="F204" s="358"/>
      <c r="G204" s="162"/>
      <c r="H204" s="137"/>
      <c r="I204" s="3"/>
      <c r="J204" s="487">
        <f>J205+J206+J207+J208+J209</f>
        <v>174497035.44</v>
      </c>
      <c r="K204" s="487"/>
      <c r="L204" s="184"/>
      <c r="M204" s="201"/>
    </row>
    <row r="205" spans="1:13" s="112" customFormat="1" ht="15.75" x14ac:dyDescent="0.25">
      <c r="A205" s="295" t="s">
        <v>327</v>
      </c>
      <c r="B205" s="3"/>
      <c r="C205" s="137"/>
      <c r="D205" s="3"/>
      <c r="E205" s="393">
        <f>393570376.1</f>
        <v>393570376.10000002</v>
      </c>
      <c r="F205" s="358"/>
      <c r="G205" s="162"/>
      <c r="H205" s="137"/>
      <c r="I205" s="3"/>
      <c r="J205" s="393">
        <f>142243662.11</f>
        <v>142243662.11000001</v>
      </c>
      <c r="K205" s="393"/>
      <c r="L205" s="184"/>
      <c r="M205" s="201"/>
    </row>
    <row r="206" spans="1:13" s="112" customFormat="1" ht="15.75" x14ac:dyDescent="0.25">
      <c r="A206" s="295" t="s">
        <v>328</v>
      </c>
      <c r="B206" s="3"/>
      <c r="C206" s="137"/>
      <c r="D206" s="3"/>
      <c r="E206" s="393">
        <f>17329760</f>
        <v>17329760</v>
      </c>
      <c r="F206" s="358"/>
      <c r="G206" s="162"/>
      <c r="H206" s="137"/>
      <c r="I206" s="3"/>
      <c r="J206" s="393">
        <v>0</v>
      </c>
      <c r="K206" s="393"/>
      <c r="L206" s="184"/>
      <c r="M206" s="201"/>
    </row>
    <row r="207" spans="1:13" s="112" customFormat="1" ht="15.75" x14ac:dyDescent="0.25">
      <c r="A207" s="295" t="s">
        <v>329</v>
      </c>
      <c r="B207" s="3"/>
      <c r="C207" s="137"/>
      <c r="D207" s="3"/>
      <c r="E207" s="393">
        <f>82551290</f>
        <v>82551290</v>
      </c>
      <c r="F207" s="358"/>
      <c r="G207" s="162"/>
      <c r="H207" s="137"/>
      <c r="I207" s="3"/>
      <c r="J207" s="393">
        <f>28230543</f>
        <v>28230543</v>
      </c>
      <c r="K207" s="393"/>
      <c r="L207" s="184"/>
      <c r="M207" s="201"/>
    </row>
    <row r="208" spans="1:13" s="112" customFormat="1" ht="15.75" x14ac:dyDescent="0.25">
      <c r="A208" s="295" t="s">
        <v>330</v>
      </c>
      <c r="B208" s="141"/>
      <c r="C208" s="137"/>
      <c r="D208" s="3"/>
      <c r="E208" s="393">
        <f>1931054</f>
        <v>1931054</v>
      </c>
      <c r="F208" s="358"/>
      <c r="G208" s="162"/>
      <c r="H208" s="137"/>
      <c r="I208" s="3"/>
      <c r="J208" s="393">
        <f>75236.88</f>
        <v>75236.88</v>
      </c>
      <c r="K208" s="393"/>
      <c r="L208" s="184"/>
      <c r="M208" s="201"/>
    </row>
    <row r="209" spans="1:14" s="112" customFormat="1" ht="15.75" x14ac:dyDescent="0.25">
      <c r="A209" s="295" t="s">
        <v>331</v>
      </c>
      <c r="B209" s="141"/>
      <c r="C209" s="137"/>
      <c r="D209" s="3"/>
      <c r="E209" s="393">
        <f>28159348.02</f>
        <v>28159348.02</v>
      </c>
      <c r="F209" s="358"/>
      <c r="G209" s="162"/>
      <c r="H209" s="137"/>
      <c r="I209" s="3"/>
      <c r="J209" s="393">
        <f>3947593.45</f>
        <v>3947593.45</v>
      </c>
      <c r="K209" s="393"/>
      <c r="L209" s="184"/>
      <c r="M209" s="201"/>
    </row>
    <row r="210" spans="1:14" s="112" customFormat="1" ht="15.75" x14ac:dyDescent="0.25">
      <c r="A210" s="295" t="s">
        <v>332</v>
      </c>
      <c r="B210" s="141"/>
      <c r="C210" s="137"/>
      <c r="D210" s="3"/>
      <c r="E210" s="393">
        <f>13584878</f>
        <v>13584878</v>
      </c>
      <c r="F210" s="358"/>
      <c r="G210" s="140"/>
      <c r="H210" s="3"/>
      <c r="I210" s="3"/>
      <c r="J210" s="393">
        <v>0</v>
      </c>
      <c r="K210" s="393"/>
      <c r="L210" s="184"/>
      <c r="M210" s="201"/>
    </row>
    <row r="211" spans="1:14" s="112" customFormat="1" ht="15.75" x14ac:dyDescent="0.25">
      <c r="A211" s="295" t="s">
        <v>333</v>
      </c>
      <c r="B211" s="141"/>
      <c r="C211" s="137"/>
      <c r="D211" s="3"/>
      <c r="E211" s="393">
        <v>0</v>
      </c>
      <c r="F211" s="358"/>
      <c r="G211" s="140"/>
      <c r="H211" s="3"/>
      <c r="I211" s="3"/>
      <c r="J211" s="393">
        <v>0</v>
      </c>
      <c r="K211" s="393"/>
      <c r="L211" s="184"/>
      <c r="M211" s="201"/>
    </row>
    <row r="212" spans="1:14" s="112" customFormat="1" ht="15.75" x14ac:dyDescent="0.25">
      <c r="A212" s="295" t="s">
        <v>334</v>
      </c>
      <c r="B212" s="141"/>
      <c r="C212" s="137"/>
      <c r="D212" s="3"/>
      <c r="E212" s="393">
        <v>0</v>
      </c>
      <c r="F212" s="358"/>
      <c r="G212" s="140"/>
      <c r="H212" s="3"/>
      <c r="I212" s="3"/>
      <c r="J212" s="393">
        <v>0</v>
      </c>
      <c r="K212" s="393"/>
      <c r="L212" s="184"/>
      <c r="M212" s="201"/>
    </row>
    <row r="213" spans="1:14" s="112" customFormat="1" ht="15" customHeight="1" x14ac:dyDescent="0.25">
      <c r="A213" s="296" t="s">
        <v>335</v>
      </c>
      <c r="B213" s="146"/>
      <c r="C213" s="163"/>
      <c r="D213" s="146"/>
      <c r="E213" s="422">
        <v>0</v>
      </c>
      <c r="F213" s="423"/>
      <c r="G213" s="160"/>
      <c r="H213" s="146"/>
      <c r="I213" s="146"/>
      <c r="J213" s="422">
        <v>0</v>
      </c>
      <c r="K213" s="422"/>
      <c r="L213" s="184"/>
      <c r="M213" s="201"/>
    </row>
    <row r="214" spans="1:14" s="112" customFormat="1" ht="3.95" customHeight="1" x14ac:dyDescent="0.25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5"/>
      <c r="L214" s="198"/>
      <c r="M214" s="204"/>
    </row>
    <row r="215" spans="1:14" s="112" customFormat="1" ht="24" customHeight="1" x14ac:dyDescent="0.25">
      <c r="A215" s="390" t="s">
        <v>336</v>
      </c>
      <c r="B215" s="428" t="s">
        <v>197</v>
      </c>
      <c r="C215" s="429"/>
      <c r="D215" s="389" t="s">
        <v>38</v>
      </c>
      <c r="E215" s="390"/>
      <c r="F215" s="389" t="s">
        <v>39</v>
      </c>
      <c r="G215" s="408"/>
      <c r="H215" s="390"/>
      <c r="I215" s="409" t="s">
        <v>198</v>
      </c>
      <c r="J215" s="410"/>
      <c r="K215" s="410"/>
      <c r="L215" s="184"/>
    </row>
    <row r="216" spans="1:14" s="112" customFormat="1" ht="15.75" x14ac:dyDescent="0.25">
      <c r="A216" s="402"/>
      <c r="B216" s="396"/>
      <c r="C216" s="388"/>
      <c r="D216" s="387" t="s">
        <v>15</v>
      </c>
      <c r="E216" s="388"/>
      <c r="F216" s="387" t="s">
        <v>15</v>
      </c>
      <c r="G216" s="396"/>
      <c r="H216" s="388"/>
      <c r="I216" s="411" t="s">
        <v>15</v>
      </c>
      <c r="J216" s="412"/>
      <c r="K216" s="412"/>
      <c r="L216" s="184"/>
    </row>
    <row r="217" spans="1:14" s="112" customFormat="1" ht="15.75" customHeight="1" x14ac:dyDescent="0.25">
      <c r="A217" s="402"/>
      <c r="B217" s="414" t="s">
        <v>19</v>
      </c>
      <c r="C217" s="415"/>
      <c r="D217" s="413" t="s">
        <v>48</v>
      </c>
      <c r="E217" s="415"/>
      <c r="F217" s="387" t="s">
        <v>49</v>
      </c>
      <c r="G217" s="396"/>
      <c r="H217" s="388"/>
      <c r="I217" s="385" t="s">
        <v>50</v>
      </c>
      <c r="J217" s="418"/>
      <c r="K217" s="418"/>
      <c r="L217" s="184"/>
    </row>
    <row r="218" spans="1:14" s="112" customFormat="1" ht="12.6" customHeight="1" x14ac:dyDescent="0.25">
      <c r="A218" s="293" t="s">
        <v>337</v>
      </c>
      <c r="B218" s="419">
        <f>SUM(B219:C226)</f>
        <v>1007977741.47</v>
      </c>
      <c r="C218" s="420"/>
      <c r="D218" s="419">
        <f>SUM(D219:E226)</f>
        <v>746614346.04000008</v>
      </c>
      <c r="E218" s="420"/>
      <c r="F218" s="266"/>
      <c r="G218" s="460">
        <f>SUM(G219:H226)</f>
        <v>298621213.69</v>
      </c>
      <c r="H218" s="420"/>
      <c r="I218" s="247"/>
      <c r="J218" s="460">
        <f>SUM(J219:K226)</f>
        <v>228218826.39999998</v>
      </c>
      <c r="K218" s="460"/>
      <c r="L218" s="184"/>
      <c r="M218" s="354"/>
      <c r="N218" s="354"/>
    </row>
    <row r="219" spans="1:14" s="112" customFormat="1" ht="15.75" x14ac:dyDescent="0.25">
      <c r="A219" s="280" t="s">
        <v>338</v>
      </c>
      <c r="B219" s="357">
        <v>0</v>
      </c>
      <c r="C219" s="358"/>
      <c r="D219" s="357">
        <v>0</v>
      </c>
      <c r="E219" s="358"/>
      <c r="F219" s="263"/>
      <c r="G219" s="487">
        <v>0</v>
      </c>
      <c r="H219" s="358"/>
      <c r="I219" s="183"/>
      <c r="J219" s="487">
        <v>0</v>
      </c>
      <c r="K219" s="487"/>
      <c r="L219" s="184"/>
      <c r="M219" s="354"/>
      <c r="N219" s="354"/>
    </row>
    <row r="220" spans="1:14" s="112" customFormat="1" ht="15.75" x14ac:dyDescent="0.25">
      <c r="A220" s="280" t="s">
        <v>339</v>
      </c>
      <c r="B220" s="357">
        <v>0</v>
      </c>
      <c r="C220" s="358"/>
      <c r="D220" s="357">
        <v>0</v>
      </c>
      <c r="E220" s="358"/>
      <c r="F220" s="263"/>
      <c r="G220" s="487">
        <v>0</v>
      </c>
      <c r="H220" s="358"/>
      <c r="I220" s="183"/>
      <c r="J220" s="487">
        <v>0</v>
      </c>
      <c r="K220" s="487"/>
      <c r="L220" s="184"/>
      <c r="M220" s="354"/>
      <c r="N220" s="354"/>
    </row>
    <row r="221" spans="1:14" s="112" customFormat="1" ht="15.75" x14ac:dyDescent="0.25">
      <c r="A221" s="280" t="s">
        <v>340</v>
      </c>
      <c r="B221" s="357">
        <v>0</v>
      </c>
      <c r="C221" s="358"/>
      <c r="D221" s="357">
        <v>0</v>
      </c>
      <c r="E221" s="358"/>
      <c r="F221" s="263"/>
      <c r="G221" s="487">
        <v>0</v>
      </c>
      <c r="H221" s="358"/>
      <c r="I221" s="183"/>
      <c r="J221" s="487">
        <v>0</v>
      </c>
      <c r="K221" s="487"/>
      <c r="L221" s="184"/>
      <c r="M221" s="354"/>
      <c r="N221" s="354"/>
    </row>
    <row r="222" spans="1:14" s="112" customFormat="1" ht="15.75" x14ac:dyDescent="0.25">
      <c r="A222" s="280" t="s">
        <v>341</v>
      </c>
      <c r="B222" s="357">
        <f>110027741.03</f>
        <v>110027741.03</v>
      </c>
      <c r="C222" s="358"/>
      <c r="D222" s="357">
        <f>10880235.45</f>
        <v>10880235.449999999</v>
      </c>
      <c r="E222" s="358"/>
      <c r="F222" s="263"/>
      <c r="G222" s="487">
        <f>10583530.66</f>
        <v>10583530.66</v>
      </c>
      <c r="H222" s="358"/>
      <c r="I222" s="183"/>
      <c r="J222" s="487">
        <f>8452423.92</f>
        <v>8452423.9199999999</v>
      </c>
      <c r="K222" s="487"/>
      <c r="L222" s="184"/>
      <c r="M222" s="354"/>
      <c r="N222" s="354"/>
    </row>
    <row r="223" spans="1:14" s="112" customFormat="1" ht="15.75" x14ac:dyDescent="0.25">
      <c r="A223" s="280" t="s">
        <v>342</v>
      </c>
      <c r="B223" s="357">
        <v>0</v>
      </c>
      <c r="C223" s="358"/>
      <c r="D223" s="357">
        <v>0</v>
      </c>
      <c r="E223" s="358"/>
      <c r="F223" s="263"/>
      <c r="G223" s="487">
        <v>0</v>
      </c>
      <c r="H223" s="358"/>
      <c r="I223" s="183"/>
      <c r="J223" s="487">
        <v>0</v>
      </c>
      <c r="K223" s="487"/>
      <c r="L223" s="184"/>
      <c r="M223" s="354"/>
      <c r="N223" s="354"/>
    </row>
    <row r="224" spans="1:14" s="112" customFormat="1" ht="15.75" x14ac:dyDescent="0.25">
      <c r="A224" s="280" t="s">
        <v>343</v>
      </c>
      <c r="B224" s="487">
        <v>0</v>
      </c>
      <c r="C224" s="358"/>
      <c r="D224" s="487">
        <v>0</v>
      </c>
      <c r="E224" s="358"/>
      <c r="F224" s="263"/>
      <c r="G224" s="487">
        <v>0</v>
      </c>
      <c r="H224" s="358"/>
      <c r="I224" s="193"/>
      <c r="J224" s="487">
        <v>0</v>
      </c>
      <c r="K224" s="487"/>
      <c r="L224" s="184"/>
      <c r="M224" s="354"/>
      <c r="N224" s="354"/>
    </row>
    <row r="225" spans="1:12" s="112" customFormat="1" ht="15.75" x14ac:dyDescent="0.25">
      <c r="A225" s="280" t="s">
        <v>344</v>
      </c>
      <c r="B225" s="378">
        <v>0</v>
      </c>
      <c r="C225" s="378"/>
      <c r="D225" s="430">
        <v>0</v>
      </c>
      <c r="E225" s="431"/>
      <c r="F225" s="264"/>
      <c r="G225" s="356">
        <v>0</v>
      </c>
      <c r="H225" s="431"/>
      <c r="I225" s="203"/>
      <c r="J225" s="378">
        <v>0</v>
      </c>
      <c r="K225" s="378"/>
      <c r="L225" s="184"/>
    </row>
    <row r="226" spans="1:12" s="112" customFormat="1" ht="15.75" x14ac:dyDescent="0.25">
      <c r="A226" s="294" t="s">
        <v>345</v>
      </c>
      <c r="B226" s="432">
        <f>897950000.44</f>
        <v>897950000.44000006</v>
      </c>
      <c r="C226" s="423"/>
      <c r="D226" s="432">
        <f>735734110.59</f>
        <v>735734110.59000003</v>
      </c>
      <c r="E226" s="423"/>
      <c r="F226" s="265"/>
      <c r="G226" s="422">
        <f>288037683.03</f>
        <v>288037683.02999997</v>
      </c>
      <c r="H226" s="423"/>
      <c r="I226" s="192"/>
      <c r="J226" s="422">
        <f>219766402.48</f>
        <v>219766402.47999999</v>
      </c>
      <c r="K226" s="422"/>
      <c r="L226" s="184"/>
    </row>
    <row r="227" spans="1:12" s="112" customFormat="1" ht="13.5" x14ac:dyDescent="0.2">
      <c r="A227" s="184"/>
      <c r="B227" s="184"/>
      <c r="C227" s="184"/>
      <c r="D227" s="184"/>
      <c r="E227" s="184"/>
      <c r="F227" s="184"/>
      <c r="G227" s="184"/>
      <c r="H227" s="184"/>
      <c r="I227" s="184"/>
      <c r="J227" s="184"/>
      <c r="K227" s="299" t="s">
        <v>346</v>
      </c>
      <c r="L227" s="184"/>
    </row>
    <row r="228" spans="1:12" s="112" customFormat="1" ht="15.75" customHeight="1" x14ac:dyDescent="0.25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299" t="s">
        <v>195</v>
      </c>
      <c r="L228" s="184"/>
    </row>
    <row r="229" spans="1:12" s="112" customFormat="1" ht="15.75" customHeight="1" x14ac:dyDescent="0.25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84"/>
    </row>
    <row r="230" spans="1:12" s="112" customFormat="1" ht="15.75" customHeight="1" x14ac:dyDescent="0.25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84"/>
    </row>
    <row r="231" spans="1:12" s="112" customFormat="1" ht="15.75" x14ac:dyDescent="0.25">
      <c r="A231" s="399" t="str">
        <f>A142</f>
        <v>GOVERNO DO ESTADO DO RIO DE JANEIRO</v>
      </c>
      <c r="B231" s="399"/>
      <c r="C231" s="399"/>
      <c r="D231" s="399"/>
      <c r="E231" s="399"/>
      <c r="F231" s="399"/>
      <c r="G231" s="399"/>
      <c r="H231" s="399"/>
      <c r="I231" s="399"/>
      <c r="J231" s="399"/>
      <c r="K231" s="399"/>
      <c r="L231" s="184"/>
    </row>
    <row r="232" spans="1:12" s="112" customFormat="1" ht="15.75" x14ac:dyDescent="0.25">
      <c r="A232" s="399" t="str">
        <f>A143</f>
        <v>RELATÓRIO RESUMIDO DA EXECUÇÃO ORÇAMENTÁRIA</v>
      </c>
      <c r="B232" s="399"/>
      <c r="C232" s="399"/>
      <c r="D232" s="399"/>
      <c r="E232" s="399"/>
      <c r="F232" s="399"/>
      <c r="G232" s="399"/>
      <c r="H232" s="399"/>
      <c r="I232" s="399"/>
      <c r="J232" s="399"/>
      <c r="K232" s="399"/>
      <c r="L232" s="184"/>
    </row>
    <row r="233" spans="1:12" s="112" customFormat="1" ht="15.75" x14ac:dyDescent="0.25">
      <c r="A233" s="514" t="str">
        <f>A144</f>
        <v>DEMONSTRATIVO DAS RECEITAS E DESPESAS COM MANUTENÇÃO E DESENVOLVIMENTO DO ENSINO - MDE</v>
      </c>
      <c r="B233" s="514"/>
      <c r="C233" s="514"/>
      <c r="D233" s="514"/>
      <c r="E233" s="514"/>
      <c r="F233" s="514"/>
      <c r="G233" s="514"/>
      <c r="H233" s="514"/>
      <c r="I233" s="514"/>
      <c r="J233" s="514"/>
      <c r="K233" s="514"/>
      <c r="L233" s="184"/>
    </row>
    <row r="234" spans="1:12" s="112" customFormat="1" ht="15.75" x14ac:dyDescent="0.25">
      <c r="A234" s="399" t="str">
        <f>A145</f>
        <v>ORÇAMENTOS FISCAL E DA SEGURIDADE SOCIAL</v>
      </c>
      <c r="B234" s="399"/>
      <c r="C234" s="399"/>
      <c r="D234" s="399"/>
      <c r="E234" s="399"/>
      <c r="F234" s="399"/>
      <c r="G234" s="399"/>
      <c r="H234" s="399"/>
      <c r="I234" s="399"/>
      <c r="J234" s="399"/>
      <c r="K234" s="399"/>
      <c r="L234" s="184"/>
    </row>
    <row r="235" spans="1:12" s="112" customFormat="1" ht="15.75" x14ac:dyDescent="0.25">
      <c r="A235" s="399" t="str">
        <f>A146</f>
        <v>JANEIRO A ABRIL 2025/BIMESTRE MARÇO - ABRIL</v>
      </c>
      <c r="B235" s="399"/>
      <c r="C235" s="399"/>
      <c r="D235" s="399"/>
      <c r="E235" s="399"/>
      <c r="F235" s="399"/>
      <c r="G235" s="399"/>
      <c r="H235" s="399"/>
      <c r="I235" s="399"/>
      <c r="J235" s="399"/>
      <c r="K235" s="399"/>
      <c r="L235" s="184"/>
    </row>
    <row r="236" spans="1:12" s="112" customFormat="1" ht="15.75" x14ac:dyDescent="0.25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6" t="str">
        <f>K147</f>
        <v>Emissão: 21/05/2025</v>
      </c>
      <c r="L236" s="184"/>
    </row>
    <row r="237" spans="1:12" s="112" customFormat="1" ht="15.75" x14ac:dyDescent="0.25">
      <c r="A237" s="3" t="s">
        <v>143</v>
      </c>
      <c r="B237" s="177"/>
      <c r="C237" s="307"/>
      <c r="D237" s="177"/>
      <c r="E237" s="177"/>
      <c r="F237" s="177"/>
      <c r="G237" s="177"/>
      <c r="H237" s="177"/>
      <c r="I237" s="177"/>
      <c r="J237" s="177"/>
      <c r="K237" s="178">
        <f>K148</f>
        <v>1</v>
      </c>
      <c r="L237" s="184"/>
    </row>
    <row r="238" spans="1:12" s="112" customFormat="1" ht="15.75" customHeight="1" x14ac:dyDescent="0.25">
      <c r="A238" s="390" t="s">
        <v>347</v>
      </c>
      <c r="B238" s="428" t="s">
        <v>197</v>
      </c>
      <c r="C238" s="429"/>
      <c r="D238" s="389" t="s">
        <v>38</v>
      </c>
      <c r="E238" s="390"/>
      <c r="F238" s="389" t="s">
        <v>39</v>
      </c>
      <c r="G238" s="408"/>
      <c r="H238" s="390"/>
      <c r="I238" s="409" t="s">
        <v>198</v>
      </c>
      <c r="J238" s="410"/>
      <c r="K238" s="410"/>
      <c r="L238" s="184"/>
    </row>
    <row r="239" spans="1:12" s="112" customFormat="1" ht="15.75" x14ac:dyDescent="0.25">
      <c r="A239" s="402"/>
      <c r="B239" s="396"/>
      <c r="C239" s="388"/>
      <c r="D239" s="387" t="s">
        <v>15</v>
      </c>
      <c r="E239" s="388"/>
      <c r="F239" s="387" t="s">
        <v>15</v>
      </c>
      <c r="G239" s="396"/>
      <c r="H239" s="388"/>
      <c r="I239" s="411" t="s">
        <v>15</v>
      </c>
      <c r="J239" s="412"/>
      <c r="K239" s="412"/>
      <c r="L239" s="184"/>
    </row>
    <row r="240" spans="1:12" s="112" customFormat="1" ht="15.75" x14ac:dyDescent="0.25">
      <c r="A240" s="402"/>
      <c r="B240" s="414" t="s">
        <v>19</v>
      </c>
      <c r="C240" s="415"/>
      <c r="D240" s="413" t="s">
        <v>48</v>
      </c>
      <c r="E240" s="415"/>
      <c r="F240" s="413" t="s">
        <v>49</v>
      </c>
      <c r="G240" s="414"/>
      <c r="H240" s="415"/>
      <c r="I240" s="385" t="s">
        <v>50</v>
      </c>
      <c r="J240" s="418"/>
      <c r="K240" s="418"/>
      <c r="L240" s="184"/>
    </row>
    <row r="241" spans="1:23" s="112" customFormat="1" ht="15.75" x14ac:dyDescent="0.25">
      <c r="A241" s="303" t="s">
        <v>348</v>
      </c>
      <c r="B241" s="419">
        <f>B242+B247</f>
        <v>11199747556.139999</v>
      </c>
      <c r="C241" s="420"/>
      <c r="D241" s="419">
        <f>D242+D247</f>
        <v>4130518820.4499998</v>
      </c>
      <c r="E241" s="420"/>
      <c r="F241" s="194"/>
      <c r="G241" s="460">
        <f>G242+G247</f>
        <v>3416579013.4200001</v>
      </c>
      <c r="H241" s="420"/>
      <c r="I241" s="195"/>
      <c r="J241" s="460">
        <f>J242+J247</f>
        <v>3219857125.52</v>
      </c>
      <c r="K241" s="460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</row>
    <row r="242" spans="1:23" s="112" customFormat="1" ht="15.75" x14ac:dyDescent="0.25">
      <c r="A242" s="304" t="s">
        <v>349</v>
      </c>
      <c r="B242" s="400">
        <f>B243+B244+B245+B246</f>
        <v>10692127907.34</v>
      </c>
      <c r="C242" s="401"/>
      <c r="D242" s="400">
        <f>D243+D244+D245+D246</f>
        <v>4010201805.54</v>
      </c>
      <c r="E242" s="401"/>
      <c r="F242" s="196"/>
      <c r="G242" s="508">
        <f>G243+G244+G245+G246</f>
        <v>3399092155.6300001</v>
      </c>
      <c r="H242" s="401"/>
      <c r="I242" s="195"/>
      <c r="J242" s="508">
        <f>J243+J244+J245+J246</f>
        <v>3204761592.6199999</v>
      </c>
      <c r="K242" s="508"/>
      <c r="L242" s="198"/>
      <c r="M242" s="204"/>
      <c r="N242" s="204"/>
      <c r="O242" s="204"/>
      <c r="P242" s="204"/>
    </row>
    <row r="243" spans="1:23" s="112" customFormat="1" ht="15.75" x14ac:dyDescent="0.25">
      <c r="A243" s="295" t="s">
        <v>350</v>
      </c>
      <c r="B243" s="357">
        <f>6505388725.42</f>
        <v>6505388725.4200001</v>
      </c>
      <c r="C243" s="358"/>
      <c r="D243" s="357">
        <f>2062122681.09</f>
        <v>2062122681.0899999</v>
      </c>
      <c r="E243" s="358"/>
      <c r="F243" s="197"/>
      <c r="G243" s="487">
        <f>2032680413.58</f>
        <v>2032680413.5799999</v>
      </c>
      <c r="H243" s="358"/>
      <c r="I243" s="193"/>
      <c r="J243" s="487">
        <f>1914406882.29</f>
        <v>1914406882.29</v>
      </c>
      <c r="K243" s="487"/>
      <c r="L243" s="184"/>
      <c r="M243" s="204"/>
      <c r="N243" s="204"/>
    </row>
    <row r="244" spans="1:23" s="112" customFormat="1" ht="15.75" x14ac:dyDescent="0.25">
      <c r="A244" s="295" t="s">
        <v>351</v>
      </c>
      <c r="B244" s="357">
        <f>1145370</f>
        <v>1145370</v>
      </c>
      <c r="C244" s="358"/>
      <c r="D244" s="357">
        <f>168356.32</f>
        <v>168356.32</v>
      </c>
      <c r="E244" s="358"/>
      <c r="F244" s="197"/>
      <c r="G244" s="487">
        <f>168356.32</f>
        <v>168356.32</v>
      </c>
      <c r="H244" s="358"/>
      <c r="I244" s="193"/>
      <c r="J244" s="487">
        <f>168356.32</f>
        <v>168356.32</v>
      </c>
      <c r="K244" s="487"/>
      <c r="L244" s="184"/>
    </row>
    <row r="245" spans="1:23" s="112" customFormat="1" ht="15.75" x14ac:dyDescent="0.25">
      <c r="A245" s="295" t="s">
        <v>352</v>
      </c>
      <c r="B245" s="357">
        <v>0</v>
      </c>
      <c r="C245" s="358"/>
      <c r="D245" s="357">
        <v>0</v>
      </c>
      <c r="E245" s="358"/>
      <c r="F245" s="197"/>
      <c r="G245" s="487">
        <v>0</v>
      </c>
      <c r="H245" s="358"/>
      <c r="I245" s="193"/>
      <c r="J245" s="487">
        <v>0</v>
      </c>
      <c r="K245" s="487"/>
      <c r="L245" s="184"/>
    </row>
    <row r="246" spans="1:23" s="112" customFormat="1" ht="15.75" x14ac:dyDescent="0.25">
      <c r="A246" s="295" t="s">
        <v>353</v>
      </c>
      <c r="B246" s="357">
        <f>4185593811.92</f>
        <v>4185593811.9200001</v>
      </c>
      <c r="C246" s="358"/>
      <c r="D246" s="357">
        <f>1947910768.13</f>
        <v>1947910768.1300001</v>
      </c>
      <c r="E246" s="358"/>
      <c r="F246" s="197"/>
      <c r="G246" s="487">
        <f>1366243385.73</f>
        <v>1366243385.73</v>
      </c>
      <c r="H246" s="358"/>
      <c r="I246" s="193"/>
      <c r="J246" s="487">
        <f>1290186354.01</f>
        <v>1290186354.01</v>
      </c>
      <c r="K246" s="487"/>
      <c r="L246" s="184"/>
    </row>
    <row r="247" spans="1:23" s="112" customFormat="1" ht="15.75" x14ac:dyDescent="0.25">
      <c r="A247" s="304" t="s">
        <v>354</v>
      </c>
      <c r="B247" s="400">
        <f>B248+B249</f>
        <v>507619648.80000001</v>
      </c>
      <c r="C247" s="401"/>
      <c r="D247" s="400">
        <f>D248+D249</f>
        <v>120317014.91</v>
      </c>
      <c r="E247" s="401"/>
      <c r="F247" s="196"/>
      <c r="G247" s="508">
        <f>G248+G249</f>
        <v>17486857.789999999</v>
      </c>
      <c r="H247" s="401"/>
      <c r="I247" s="195"/>
      <c r="J247" s="508">
        <f>J248+J249</f>
        <v>15095532.9</v>
      </c>
      <c r="K247" s="508"/>
      <c r="L247" s="198"/>
    </row>
    <row r="248" spans="1:23" s="112" customFormat="1" ht="15.75" x14ac:dyDescent="0.25">
      <c r="A248" s="295" t="s">
        <v>355</v>
      </c>
      <c r="B248" s="357">
        <v>0</v>
      </c>
      <c r="C248" s="358"/>
      <c r="D248" s="357">
        <v>0</v>
      </c>
      <c r="E248" s="358"/>
      <c r="F248" s="197"/>
      <c r="G248" s="487">
        <v>0</v>
      </c>
      <c r="H248" s="358"/>
      <c r="I248" s="193"/>
      <c r="J248" s="487">
        <v>0</v>
      </c>
      <c r="K248" s="487"/>
      <c r="L248" s="184"/>
    </row>
    <row r="249" spans="1:23" s="112" customFormat="1" ht="15.75" x14ac:dyDescent="0.25">
      <c r="A249" s="296" t="s">
        <v>356</v>
      </c>
      <c r="B249" s="432">
        <f>507619648.8</f>
        <v>507619648.80000001</v>
      </c>
      <c r="C249" s="423"/>
      <c r="D249" s="432">
        <f>120317014.91</f>
        <v>120317014.91</v>
      </c>
      <c r="E249" s="423"/>
      <c r="F249" s="192"/>
      <c r="G249" s="422">
        <f>17486857.79</f>
        <v>17486857.789999999</v>
      </c>
      <c r="H249" s="423"/>
      <c r="I249" s="192"/>
      <c r="J249" s="422">
        <f>15095532.9</f>
        <v>15095532.9</v>
      </c>
      <c r="K249" s="422"/>
      <c r="L249" s="184"/>
    </row>
    <row r="250" spans="1:23" s="112" customFormat="1" ht="3.75" customHeight="1" x14ac:dyDescent="0.25">
      <c r="A250" s="166"/>
      <c r="B250" s="276"/>
      <c r="C250" s="205"/>
      <c r="D250" s="205"/>
      <c r="E250" s="205"/>
      <c r="F250" s="205"/>
      <c r="G250" s="205"/>
      <c r="H250" s="205"/>
      <c r="I250" s="205"/>
      <c r="J250" s="205"/>
      <c r="K250" s="205"/>
      <c r="L250" s="184"/>
    </row>
    <row r="251" spans="1:23" s="112" customFormat="1" ht="15.75" x14ac:dyDescent="0.2">
      <c r="A251" s="390" t="s">
        <v>357</v>
      </c>
      <c r="B251" s="406" t="s">
        <v>168</v>
      </c>
      <c r="C251" s="407"/>
      <c r="D251" s="407"/>
      <c r="E251" s="407"/>
      <c r="F251" s="394"/>
      <c r="G251" s="406" t="s">
        <v>358</v>
      </c>
      <c r="H251" s="407"/>
      <c r="I251" s="407"/>
      <c r="J251" s="407"/>
      <c r="K251" s="407"/>
      <c r="L251" s="552"/>
      <c r="M251" s="552"/>
      <c r="N251" s="552"/>
    </row>
    <row r="252" spans="1:23" s="112" customFormat="1" ht="15.75" x14ac:dyDescent="0.2">
      <c r="A252" s="402"/>
      <c r="B252" s="391" t="s">
        <v>359</v>
      </c>
      <c r="C252" s="427"/>
      <c r="D252" s="427"/>
      <c r="E252" s="427"/>
      <c r="F252" s="392"/>
      <c r="G252" s="391" t="s">
        <v>360</v>
      </c>
      <c r="H252" s="427"/>
      <c r="I252" s="427"/>
      <c r="J252" s="427"/>
      <c r="K252" s="427"/>
      <c r="L252" s="552"/>
      <c r="M252" s="552"/>
      <c r="N252" s="552"/>
    </row>
    <row r="253" spans="1:23" s="112" customFormat="1" ht="15.95" customHeight="1" x14ac:dyDescent="0.25">
      <c r="A253" s="305" t="s">
        <v>392</v>
      </c>
      <c r="B253" s="143"/>
      <c r="C253" s="144"/>
      <c r="D253" s="144"/>
      <c r="E253" s="416">
        <v>73120113.030000001</v>
      </c>
      <c r="F253" s="417"/>
      <c r="G253" s="143"/>
      <c r="H253" s="144"/>
      <c r="I253" s="144"/>
      <c r="J253" s="416">
        <v>88124281.599999994</v>
      </c>
      <c r="K253" s="416"/>
      <c r="L253" s="552"/>
      <c r="M253" s="552"/>
      <c r="N253" s="552"/>
    </row>
    <row r="254" spans="1:23" s="112" customFormat="1" ht="15.95" customHeight="1" x14ac:dyDescent="0.25">
      <c r="A254" s="213" t="s">
        <v>361</v>
      </c>
      <c r="B254" s="140"/>
      <c r="C254" s="3"/>
      <c r="D254" s="3"/>
      <c r="E254" s="393">
        <v>1584908280.21</v>
      </c>
      <c r="F254" s="358"/>
      <c r="G254" s="140"/>
      <c r="H254" s="3"/>
      <c r="I254" s="3"/>
      <c r="J254" s="393">
        <v>146191255.56</v>
      </c>
      <c r="K254" s="393"/>
      <c r="L254" s="552"/>
      <c r="M254" s="552"/>
      <c r="N254" s="552"/>
    </row>
    <row r="255" spans="1:23" s="112" customFormat="1" ht="15.95" customHeight="1" x14ac:dyDescent="0.25">
      <c r="A255" s="213" t="s">
        <v>362</v>
      </c>
      <c r="B255" s="162"/>
      <c r="C255" s="137"/>
      <c r="D255" s="137"/>
      <c r="E255" s="393">
        <v>1301063220.2</v>
      </c>
      <c r="F255" s="358"/>
      <c r="G255" s="162"/>
      <c r="H255" s="137"/>
      <c r="I255" s="137"/>
      <c r="J255" s="393">
        <v>142044608.08000001</v>
      </c>
      <c r="K255" s="393"/>
      <c r="L255" s="552"/>
      <c r="M255" s="552"/>
      <c r="N255" s="552"/>
    </row>
    <row r="256" spans="1:23" s="112" customFormat="1" ht="15.95" customHeight="1" x14ac:dyDescent="0.25">
      <c r="A256" s="213" t="s">
        <v>363</v>
      </c>
      <c r="B256" s="140"/>
      <c r="C256" s="3"/>
      <c r="D256" s="3"/>
      <c r="E256" s="393">
        <v>356965173.03999996</v>
      </c>
      <c r="F256" s="358"/>
      <c r="G256" s="140"/>
      <c r="H256" s="3"/>
      <c r="I256" s="3"/>
      <c r="J256" s="393">
        <v>92270929.079999983</v>
      </c>
      <c r="K256" s="393"/>
      <c r="L256" s="552"/>
      <c r="M256" s="552"/>
      <c r="N256" s="552"/>
    </row>
    <row r="257" spans="1:14" s="112" customFormat="1" ht="15.95" customHeight="1" x14ac:dyDescent="0.25">
      <c r="A257" s="213" t="s">
        <v>364</v>
      </c>
      <c r="B257" s="140"/>
      <c r="C257" s="3"/>
      <c r="D257" s="3"/>
      <c r="E257" s="393">
        <v>0</v>
      </c>
      <c r="F257" s="358"/>
      <c r="G257" s="140"/>
      <c r="H257" s="3"/>
      <c r="I257" s="3"/>
      <c r="J257" s="393">
        <v>0</v>
      </c>
      <c r="K257" s="393"/>
      <c r="L257" s="552"/>
      <c r="M257" s="552"/>
      <c r="N257" s="552"/>
    </row>
    <row r="258" spans="1:14" s="112" customFormat="1" ht="15.95" customHeight="1" x14ac:dyDescent="0.25">
      <c r="A258" s="213" t="s">
        <v>365</v>
      </c>
      <c r="B258" s="162"/>
      <c r="C258" s="137"/>
      <c r="D258" s="137"/>
      <c r="E258" s="393">
        <v>0</v>
      </c>
      <c r="F258" s="358"/>
      <c r="G258" s="162"/>
      <c r="H258" s="137"/>
      <c r="I258" s="137"/>
      <c r="J258" s="393">
        <v>0</v>
      </c>
      <c r="K258" s="393"/>
      <c r="L258" s="552"/>
      <c r="M258" s="552"/>
      <c r="N258" s="552"/>
    </row>
    <row r="259" spans="1:14" s="112" customFormat="1" ht="15.95" customHeight="1" x14ac:dyDescent="0.25">
      <c r="A259" s="306" t="s">
        <v>366</v>
      </c>
      <c r="B259" s="160"/>
      <c r="C259" s="146"/>
      <c r="D259" s="146"/>
      <c r="E259" s="422">
        <v>356965173.03999996</v>
      </c>
      <c r="F259" s="423"/>
      <c r="G259" s="160"/>
      <c r="H259" s="146"/>
      <c r="I259" s="146"/>
      <c r="J259" s="422">
        <v>92270929.079999983</v>
      </c>
      <c r="K259" s="422"/>
      <c r="L259" s="552"/>
      <c r="M259" s="552"/>
      <c r="N259" s="552"/>
    </row>
    <row r="260" spans="1:14" s="112" customFormat="1" ht="15" x14ac:dyDescent="0.25">
      <c r="A260" s="167" t="s">
        <v>367</v>
      </c>
      <c r="B260" s="115"/>
      <c r="C260" s="115"/>
      <c r="D260" s="115"/>
      <c r="E260" s="115"/>
      <c r="F260" s="202"/>
      <c r="G260" s="202"/>
      <c r="H260" s="115"/>
      <c r="J260" s="204"/>
      <c r="K260" s="302" t="s">
        <v>368</v>
      </c>
      <c r="L260" s="198"/>
    </row>
    <row r="261" spans="1:14" s="112" customFormat="1" ht="15.75" x14ac:dyDescent="0.25">
      <c r="A261" s="199" t="s">
        <v>369</v>
      </c>
      <c r="B261" s="115"/>
      <c r="C261" s="115"/>
      <c r="D261" s="115"/>
      <c r="E261" s="115"/>
      <c r="F261" s="202"/>
      <c r="G261" s="115"/>
      <c r="H261" s="115"/>
      <c r="K261" s="206"/>
      <c r="L261" s="198"/>
    </row>
    <row r="262" spans="1:14" s="112" customFormat="1" ht="15.75" customHeight="1" x14ac:dyDescent="0.25">
      <c r="A262" s="421" t="s">
        <v>370</v>
      </c>
      <c r="B262" s="421"/>
      <c r="C262" s="421"/>
      <c r="D262" s="421"/>
      <c r="E262" s="421"/>
      <c r="F262" s="421"/>
      <c r="G262" s="421"/>
      <c r="H262" s="115"/>
      <c r="J262" s="204"/>
      <c r="K262" s="206"/>
    </row>
    <row r="263" spans="1:14" s="112" customFormat="1" ht="15.75" customHeight="1" x14ac:dyDescent="0.2">
      <c r="A263" s="405" t="s">
        <v>371</v>
      </c>
      <c r="B263" s="405"/>
      <c r="C263" s="405"/>
      <c r="D263" s="405"/>
      <c r="E263" s="405"/>
      <c r="F263" s="405"/>
      <c r="G263" s="405"/>
      <c r="H263" s="405"/>
      <c r="I263" s="405"/>
      <c r="J263" s="405"/>
      <c r="K263" s="405"/>
      <c r="L263" s="184"/>
    </row>
    <row r="264" spans="1:14" s="112" customFormat="1" ht="15.75" customHeight="1" x14ac:dyDescent="0.2">
      <c r="A264" s="509" t="s">
        <v>372</v>
      </c>
      <c r="B264" s="509"/>
      <c r="C264" s="509"/>
      <c r="D264" s="509"/>
      <c r="E264" s="509"/>
      <c r="F264" s="509"/>
      <c r="G264" s="509"/>
      <c r="H264" s="509"/>
      <c r="I264" s="509"/>
      <c r="J264" s="509"/>
      <c r="K264" s="509"/>
      <c r="L264" s="184"/>
    </row>
    <row r="265" spans="1:14" ht="15.75" customHeight="1" x14ac:dyDescent="0.2">
      <c r="A265" s="510" t="s">
        <v>373</v>
      </c>
      <c r="B265" s="510"/>
      <c r="C265" s="510"/>
      <c r="D265" s="510"/>
      <c r="E265" s="510"/>
      <c r="F265" s="510"/>
      <c r="G265" s="510"/>
      <c r="H265" s="510"/>
      <c r="I265" s="510"/>
      <c r="J265" s="510"/>
      <c r="K265" s="510"/>
    </row>
    <row r="266" spans="1:14" ht="15.75" customHeight="1" x14ac:dyDescent="0.2">
      <c r="A266" s="509" t="s">
        <v>374</v>
      </c>
      <c r="B266" s="509"/>
      <c r="C266" s="509"/>
      <c r="D266" s="509"/>
      <c r="E266" s="509"/>
      <c r="F266" s="509"/>
      <c r="G266" s="509"/>
      <c r="H266" s="509"/>
      <c r="I266" s="509"/>
      <c r="J266" s="509"/>
      <c r="K266" s="509"/>
    </row>
    <row r="267" spans="1:14" ht="15.75" customHeight="1" x14ac:dyDescent="0.2">
      <c r="A267" s="405" t="s">
        <v>375</v>
      </c>
      <c r="B267" s="405"/>
      <c r="C267" s="405"/>
      <c r="D267" s="405"/>
      <c r="E267" s="405"/>
      <c r="F267" s="405"/>
      <c r="G267" s="405"/>
      <c r="H267" s="405"/>
      <c r="I267" s="405"/>
      <c r="J267" s="405"/>
      <c r="K267" s="405"/>
    </row>
    <row r="268" spans="1:14" ht="15.75" customHeight="1" x14ac:dyDescent="0.2">
      <c r="A268" s="405" t="s">
        <v>376</v>
      </c>
      <c r="B268" s="405"/>
      <c r="C268" s="405"/>
      <c r="D268" s="405"/>
      <c r="E268" s="405"/>
      <c r="F268" s="405"/>
      <c r="G268" s="405"/>
      <c r="H268" s="405"/>
      <c r="I268" s="405"/>
      <c r="J268" s="405"/>
      <c r="K268" s="405"/>
    </row>
    <row r="269" spans="1:14" ht="30" customHeight="1" x14ac:dyDescent="0.2">
      <c r="A269" s="405" t="s">
        <v>377</v>
      </c>
      <c r="B269" s="405"/>
      <c r="C269" s="405"/>
      <c r="D269" s="405"/>
      <c r="E269" s="405"/>
      <c r="F269" s="405"/>
      <c r="G269" s="405"/>
      <c r="H269" s="405"/>
      <c r="I269" s="405"/>
      <c r="J269" s="405"/>
      <c r="K269" s="405"/>
    </row>
    <row r="270" spans="1:14" ht="15.75" customHeight="1" x14ac:dyDescent="0.2">
      <c r="A270" s="405" t="s">
        <v>378</v>
      </c>
      <c r="B270" s="405"/>
      <c r="C270" s="405"/>
      <c r="D270" s="405"/>
      <c r="E270" s="405"/>
      <c r="F270" s="405"/>
      <c r="G270" s="405"/>
      <c r="H270" s="405"/>
      <c r="I270" s="405"/>
      <c r="J270" s="405"/>
      <c r="K270" s="405"/>
    </row>
    <row r="271" spans="1:14" ht="15.75" customHeight="1" x14ac:dyDescent="0.2">
      <c r="A271" s="405" t="s">
        <v>379</v>
      </c>
      <c r="B271" s="405"/>
      <c r="C271" s="405"/>
      <c r="D271" s="405"/>
      <c r="E271" s="405"/>
      <c r="F271" s="405"/>
      <c r="G271" s="405"/>
      <c r="H271" s="405"/>
      <c r="I271" s="405"/>
      <c r="J271" s="405"/>
      <c r="K271" s="405"/>
    </row>
    <row r="272" spans="1:14" ht="15.75" customHeight="1" x14ac:dyDescent="0.2">
      <c r="A272" s="405" t="s">
        <v>380</v>
      </c>
      <c r="B272" s="405"/>
      <c r="C272" s="405"/>
      <c r="D272" s="405"/>
      <c r="E272" s="405"/>
      <c r="F272" s="405"/>
      <c r="G272" s="405"/>
      <c r="H272" s="405"/>
      <c r="I272" s="405"/>
      <c r="J272" s="405"/>
      <c r="K272" s="405"/>
    </row>
    <row r="273" spans="1:11" ht="15.75" customHeight="1" x14ac:dyDescent="0.2">
      <c r="A273" s="526" t="s">
        <v>381</v>
      </c>
      <c r="B273" s="526"/>
      <c r="C273" s="526"/>
      <c r="D273" s="526"/>
      <c r="E273" s="526"/>
      <c r="F273" s="526"/>
      <c r="G273" s="526"/>
      <c r="H273" s="526"/>
      <c r="I273" s="526"/>
      <c r="J273" s="526"/>
      <c r="K273" s="526"/>
    </row>
    <row r="274" spans="1:11" ht="42.75" customHeight="1" x14ac:dyDescent="0.2">
      <c r="A274" s="404" t="s">
        <v>399</v>
      </c>
      <c r="B274" s="404"/>
      <c r="C274" s="404"/>
      <c r="D274" s="404"/>
      <c r="E274" s="404"/>
      <c r="F274" s="404"/>
      <c r="G274" s="404"/>
      <c r="H274" s="404"/>
      <c r="I274" s="404"/>
      <c r="J274" s="404"/>
      <c r="K274" s="404"/>
    </row>
    <row r="309" spans="1:11" ht="15.75" customHeight="1" x14ac:dyDescent="0.25">
      <c r="A309" s="137" t="s">
        <v>382</v>
      </c>
      <c r="B309" s="395" t="s">
        <v>383</v>
      </c>
      <c r="C309" s="395"/>
      <c r="D309" s="395"/>
      <c r="E309" s="395"/>
      <c r="F309" s="395"/>
      <c r="G309" s="395" t="s">
        <v>384</v>
      </c>
      <c r="H309" s="395"/>
      <c r="I309" s="395"/>
      <c r="J309" s="395"/>
      <c r="K309" s="395"/>
    </row>
    <row r="310" spans="1:11" ht="15.75" customHeight="1" x14ac:dyDescent="0.25">
      <c r="A310" s="137" t="s">
        <v>385</v>
      </c>
      <c r="B310" s="395" t="s">
        <v>386</v>
      </c>
      <c r="C310" s="395"/>
      <c r="D310" s="395"/>
      <c r="E310" s="395"/>
      <c r="F310" s="395"/>
      <c r="G310" s="395" t="s">
        <v>387</v>
      </c>
      <c r="H310" s="395"/>
      <c r="I310" s="395"/>
      <c r="J310" s="395"/>
      <c r="K310" s="395"/>
    </row>
    <row r="311" spans="1:11" ht="15.75" customHeight="1" x14ac:dyDescent="0.25">
      <c r="A311" s="137" t="s">
        <v>388</v>
      </c>
      <c r="B311" s="395" t="s">
        <v>389</v>
      </c>
      <c r="C311" s="395"/>
      <c r="D311" s="395"/>
      <c r="E311" s="395"/>
      <c r="F311" s="395"/>
      <c r="G311" s="395" t="s">
        <v>390</v>
      </c>
      <c r="H311" s="395"/>
      <c r="I311" s="395"/>
      <c r="J311" s="395"/>
      <c r="K311" s="395"/>
    </row>
  </sheetData>
  <mergeCells count="688">
    <mergeCell ref="L117:M117"/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J203:K203"/>
    <mergeCell ref="G218:H218"/>
    <mergeCell ref="E205:F205"/>
    <mergeCell ref="E211:F211"/>
    <mergeCell ref="E209:F209"/>
    <mergeCell ref="E208:F208"/>
    <mergeCell ref="E210:F210"/>
    <mergeCell ref="E207:F207"/>
    <mergeCell ref="E206:F206"/>
    <mergeCell ref="F217:H217"/>
    <mergeCell ref="E203:F203"/>
    <mergeCell ref="D217:E217"/>
    <mergeCell ref="J204:K204"/>
    <mergeCell ref="J205:K205"/>
    <mergeCell ref="D218:E218"/>
    <mergeCell ref="J206:K206"/>
    <mergeCell ref="D223:E223"/>
    <mergeCell ref="G226:H226"/>
    <mergeCell ref="G220:H220"/>
    <mergeCell ref="G221:H221"/>
    <mergeCell ref="G222:H222"/>
    <mergeCell ref="G223:H223"/>
    <mergeCell ref="D136:E136"/>
    <mergeCell ref="B226:C226"/>
    <mergeCell ref="D226:E226"/>
    <mergeCell ref="B189:C189"/>
    <mergeCell ref="B221:C221"/>
    <mergeCell ref="G225:H225"/>
    <mergeCell ref="G219:H219"/>
    <mergeCell ref="B220:C220"/>
    <mergeCell ref="D220:E220"/>
    <mergeCell ref="D219:E219"/>
    <mergeCell ref="B219:C219"/>
    <mergeCell ref="D224:E224"/>
    <mergeCell ref="D222:E222"/>
    <mergeCell ref="A199:K199"/>
    <mergeCell ref="D194:E194"/>
    <mergeCell ref="B197:C197"/>
    <mergeCell ref="E204:F204"/>
    <mergeCell ref="H197:I197"/>
    <mergeCell ref="J157:K157"/>
    <mergeCell ref="D160:E160"/>
    <mergeCell ref="J166:K166"/>
    <mergeCell ref="J186:K186"/>
    <mergeCell ref="F187:G187"/>
    <mergeCell ref="F177:G178"/>
    <mergeCell ref="H177:I178"/>
    <mergeCell ref="J182:K182"/>
    <mergeCell ref="J175:K175"/>
    <mergeCell ref="A233:K233"/>
    <mergeCell ref="L251:N259"/>
    <mergeCell ref="H185:I185"/>
    <mergeCell ref="H186:I186"/>
    <mergeCell ref="H187:I187"/>
    <mergeCell ref="H188:I188"/>
    <mergeCell ref="J207:K207"/>
    <mergeCell ref="J208:K208"/>
    <mergeCell ref="J209:K209"/>
    <mergeCell ref="J210:K210"/>
    <mergeCell ref="J223:K223"/>
    <mergeCell ref="J222:K222"/>
    <mergeCell ref="J226:K226"/>
    <mergeCell ref="J224:K224"/>
    <mergeCell ref="J242:K242"/>
    <mergeCell ref="J241:K241"/>
    <mergeCell ref="J225:K225"/>
    <mergeCell ref="A234:K234"/>
    <mergeCell ref="G251:K251"/>
    <mergeCell ref="A232:K232"/>
    <mergeCell ref="B240:C240"/>
    <mergeCell ref="D221:E221"/>
    <mergeCell ref="B249:C249"/>
    <mergeCell ref="D249:E249"/>
    <mergeCell ref="A273:K273"/>
    <mergeCell ref="B182:C182"/>
    <mergeCell ref="B183:C183"/>
    <mergeCell ref="B184:C184"/>
    <mergeCell ref="B185:C185"/>
    <mergeCell ref="E255:F255"/>
    <mergeCell ref="E256:F256"/>
    <mergeCell ref="E257:F257"/>
    <mergeCell ref="E258:F258"/>
    <mergeCell ref="J244:K244"/>
    <mergeCell ref="J243:K243"/>
    <mergeCell ref="J248:K248"/>
    <mergeCell ref="J247:K247"/>
    <mergeCell ref="J246:K246"/>
    <mergeCell ref="G245:H245"/>
    <mergeCell ref="G246:H246"/>
    <mergeCell ref="G247:H247"/>
    <mergeCell ref="G248:H248"/>
    <mergeCell ref="D244:E244"/>
    <mergeCell ref="D243:E243"/>
    <mergeCell ref="D190:E190"/>
    <mergeCell ref="J245:K245"/>
    <mergeCell ref="D242:E242"/>
    <mergeCell ref="J258:K258"/>
    <mergeCell ref="H194:I194"/>
    <mergeCell ref="H191:I191"/>
    <mergeCell ref="F194:G194"/>
    <mergeCell ref="F197:G197"/>
    <mergeCell ref="F191:G191"/>
    <mergeCell ref="F188:G188"/>
    <mergeCell ref="J194:K194"/>
    <mergeCell ref="D188:E188"/>
    <mergeCell ref="G200:K200"/>
    <mergeCell ref="D195:E195"/>
    <mergeCell ref="H196:I196"/>
    <mergeCell ref="J196:K196"/>
    <mergeCell ref="F195:G195"/>
    <mergeCell ref="F190:G190"/>
    <mergeCell ref="J190:K190"/>
    <mergeCell ref="H190:I190"/>
    <mergeCell ref="J193:K193"/>
    <mergeCell ref="B195:C195"/>
    <mergeCell ref="J195:K195"/>
    <mergeCell ref="A215:A217"/>
    <mergeCell ref="I216:K216"/>
    <mergeCell ref="A200:A202"/>
    <mergeCell ref="B190:C190"/>
    <mergeCell ref="B194:C194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1:H161"/>
    <mergeCell ref="A170:H170"/>
    <mergeCell ref="G160:H160"/>
    <mergeCell ref="A165:H165"/>
    <mergeCell ref="J192:K192"/>
    <mergeCell ref="B157:C157"/>
    <mergeCell ref="B153:C153"/>
    <mergeCell ref="J158:K158"/>
    <mergeCell ref="D151:E151"/>
    <mergeCell ref="A144:K144"/>
    <mergeCell ref="B133:C133"/>
    <mergeCell ref="G131:H131"/>
    <mergeCell ref="G132:H132"/>
    <mergeCell ref="G133:H133"/>
    <mergeCell ref="J131:K131"/>
    <mergeCell ref="G158:H158"/>
    <mergeCell ref="A149:K149"/>
    <mergeCell ref="G134:H134"/>
    <mergeCell ref="J134:K134"/>
    <mergeCell ref="G156:H156"/>
    <mergeCell ref="G157:H157"/>
    <mergeCell ref="B132:C132"/>
    <mergeCell ref="B158:C158"/>
    <mergeCell ref="J187:K187"/>
    <mergeCell ref="J160:K160"/>
    <mergeCell ref="D156:E156"/>
    <mergeCell ref="D157:E157"/>
    <mergeCell ref="D158:E158"/>
    <mergeCell ref="B177:C178"/>
    <mergeCell ref="B181:C181"/>
    <mergeCell ref="A166:H166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G153:H153"/>
    <mergeCell ref="J161:K161"/>
    <mergeCell ref="J180:K180"/>
    <mergeCell ref="J181:K181"/>
    <mergeCell ref="F182:G182"/>
    <mergeCell ref="A267:K267"/>
    <mergeCell ref="A268:K268"/>
    <mergeCell ref="J189:K189"/>
    <mergeCell ref="H180:I180"/>
    <mergeCell ref="H181:I181"/>
    <mergeCell ref="B201:F201"/>
    <mergeCell ref="B202:F202"/>
    <mergeCell ref="G202:K202"/>
    <mergeCell ref="J188:K188"/>
    <mergeCell ref="J191:K191"/>
    <mergeCell ref="J183:K183"/>
    <mergeCell ref="F193:G193"/>
    <mergeCell ref="H193:I193"/>
    <mergeCell ref="D184:E184"/>
    <mergeCell ref="D186:E186"/>
    <mergeCell ref="F180:G180"/>
    <mergeCell ref="F181:G181"/>
    <mergeCell ref="D180:E180"/>
    <mergeCell ref="D181:E181"/>
    <mergeCell ref="F184:G184"/>
    <mergeCell ref="B180:C180"/>
    <mergeCell ref="B188:C188"/>
    <mergeCell ref="J197:K197"/>
    <mergeCell ref="H195:I195"/>
    <mergeCell ref="A75:K75"/>
    <mergeCell ref="A77:K77"/>
    <mergeCell ref="B101:E101"/>
    <mergeCell ref="B102:E102"/>
    <mergeCell ref="B120:C120"/>
    <mergeCell ref="F119:G119"/>
    <mergeCell ref="F120:G120"/>
    <mergeCell ref="B96:C96"/>
    <mergeCell ref="I125:K125"/>
    <mergeCell ref="B118:C118"/>
    <mergeCell ref="D118:E118"/>
    <mergeCell ref="F118:G118"/>
    <mergeCell ref="B121:C121"/>
    <mergeCell ref="D121:E121"/>
    <mergeCell ref="H119:I119"/>
    <mergeCell ref="D120:E120"/>
    <mergeCell ref="H120:I120"/>
    <mergeCell ref="I124:K124"/>
    <mergeCell ref="F121:G121"/>
    <mergeCell ref="A80:A82"/>
    <mergeCell ref="B151:C151"/>
    <mergeCell ref="G135:H135"/>
    <mergeCell ref="B135:C135"/>
    <mergeCell ref="B136:C136"/>
    <mergeCell ref="D137:E137"/>
    <mergeCell ref="B131:C131"/>
    <mergeCell ref="B154:C154"/>
    <mergeCell ref="B155:C155"/>
    <mergeCell ref="B156:C156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G129:H129"/>
    <mergeCell ref="B127:C127"/>
    <mergeCell ref="B128:C128"/>
    <mergeCell ref="F124:H124"/>
    <mergeCell ref="B126:C126"/>
    <mergeCell ref="H110:I110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J135:K135"/>
    <mergeCell ref="J136:K136"/>
    <mergeCell ref="H117:I117"/>
    <mergeCell ref="J127:K127"/>
    <mergeCell ref="J47:K47"/>
    <mergeCell ref="B130:C130"/>
    <mergeCell ref="M218:N224"/>
    <mergeCell ref="B222:C222"/>
    <mergeCell ref="B223:C223"/>
    <mergeCell ref="D215:E215"/>
    <mergeCell ref="B216:C216"/>
    <mergeCell ref="J211:K211"/>
    <mergeCell ref="I215:K215"/>
    <mergeCell ref="F216:H216"/>
    <mergeCell ref="J213:K213"/>
    <mergeCell ref="E213:F213"/>
    <mergeCell ref="B224:C224"/>
    <mergeCell ref="B217:C217"/>
    <mergeCell ref="B218:C218"/>
    <mergeCell ref="B215:C215"/>
    <mergeCell ref="F215:H215"/>
    <mergeCell ref="J221:K221"/>
    <mergeCell ref="J220:K220"/>
    <mergeCell ref="E212:F212"/>
    <mergeCell ref="J212:K212"/>
    <mergeCell ref="D216:E216"/>
    <mergeCell ref="J219:K219"/>
    <mergeCell ref="J218:K218"/>
    <mergeCell ref="I217:K217"/>
    <mergeCell ref="G224:H224"/>
    <mergeCell ref="B80:C80"/>
    <mergeCell ref="D80:E80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B111:D111"/>
    <mergeCell ref="E111:G111"/>
    <mergeCell ref="H111:I111"/>
    <mergeCell ref="G97:H97"/>
    <mergeCell ref="B95:C95"/>
    <mergeCell ref="B87:C87"/>
    <mergeCell ref="G89:H89"/>
    <mergeCell ref="G88:H88"/>
    <mergeCell ref="B94:C94"/>
    <mergeCell ref="G87:H87"/>
    <mergeCell ref="G90:H90"/>
    <mergeCell ref="G96:H96"/>
    <mergeCell ref="A99:J99"/>
    <mergeCell ref="A100:A102"/>
    <mergeCell ref="G85:H85"/>
    <mergeCell ref="G91:H91"/>
    <mergeCell ref="G86:H86"/>
    <mergeCell ref="J95:K95"/>
    <mergeCell ref="J96:K96"/>
    <mergeCell ref="G93:H93"/>
    <mergeCell ref="G92:H92"/>
    <mergeCell ref="B200:F200"/>
    <mergeCell ref="A110:A111"/>
    <mergeCell ref="J110:K110"/>
    <mergeCell ref="B161:C161"/>
    <mergeCell ref="J177:K178"/>
    <mergeCell ref="B114:D114"/>
    <mergeCell ref="B129:C129"/>
    <mergeCell ref="F125:H125"/>
    <mergeCell ref="D97:E97"/>
    <mergeCell ref="B113:D113"/>
    <mergeCell ref="E113:G113"/>
    <mergeCell ref="H112:I112"/>
    <mergeCell ref="G130:H130"/>
    <mergeCell ref="J130:K130"/>
    <mergeCell ref="A169:H169"/>
    <mergeCell ref="D132:E132"/>
    <mergeCell ref="I163:K164"/>
    <mergeCell ref="A150:A152"/>
    <mergeCell ref="D134:E134"/>
    <mergeCell ref="G136:H136"/>
    <mergeCell ref="A145:K145"/>
    <mergeCell ref="J168:K168"/>
    <mergeCell ref="A167:H167"/>
    <mergeCell ref="B159:C159"/>
    <mergeCell ref="J111:K111"/>
    <mergeCell ref="B110:D110"/>
    <mergeCell ref="F100:H100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F102:H102"/>
    <mergeCell ref="B100:E100"/>
    <mergeCell ref="D131:E131"/>
    <mergeCell ref="D135:E135"/>
    <mergeCell ref="D133:E133"/>
    <mergeCell ref="A124:A126"/>
    <mergeCell ref="B124:C124"/>
    <mergeCell ref="D126:E126"/>
    <mergeCell ref="F126:H126"/>
    <mergeCell ref="E55:F55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J65:K65"/>
    <mergeCell ref="E56:F56"/>
    <mergeCell ref="E62:F6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J57:K57"/>
    <mergeCell ref="B89:C89"/>
    <mergeCell ref="B92:C92"/>
    <mergeCell ref="B90:C90"/>
    <mergeCell ref="J92:K92"/>
    <mergeCell ref="B83:C83"/>
    <mergeCell ref="J83:K83"/>
    <mergeCell ref="G83:H83"/>
    <mergeCell ref="J84:K84"/>
    <mergeCell ref="D91:E91"/>
    <mergeCell ref="J85:K85"/>
    <mergeCell ref="G84:H84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J30:K30"/>
    <mergeCell ref="E18:F18"/>
    <mergeCell ref="E28:F28"/>
    <mergeCell ref="E26:F26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E29:F29"/>
    <mergeCell ref="E30:F30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33:F33"/>
    <mergeCell ref="E46:F46"/>
    <mergeCell ref="G43:K43"/>
    <mergeCell ref="G42:K42"/>
    <mergeCell ref="D84:E84"/>
    <mergeCell ref="D85:E85"/>
    <mergeCell ref="I82:K82"/>
    <mergeCell ref="D105:E105"/>
    <mergeCell ref="D106:E106"/>
    <mergeCell ref="D109:E109"/>
    <mergeCell ref="D103:E103"/>
    <mergeCell ref="D104:E104"/>
    <mergeCell ref="I107:J107"/>
    <mergeCell ref="G105:H105"/>
    <mergeCell ref="D94:E94"/>
    <mergeCell ref="G104:H104"/>
    <mergeCell ref="I100:J100"/>
    <mergeCell ref="J93:K93"/>
    <mergeCell ref="K100:K102"/>
    <mergeCell ref="F101:H101"/>
    <mergeCell ref="I108:J108"/>
    <mergeCell ref="D96:E96"/>
    <mergeCell ref="A263:K263"/>
    <mergeCell ref="B243:C243"/>
    <mergeCell ref="B244:C244"/>
    <mergeCell ref="G252:K252"/>
    <mergeCell ref="B252:F252"/>
    <mergeCell ref="B238:C238"/>
    <mergeCell ref="D196:E196"/>
    <mergeCell ref="F196:G196"/>
    <mergeCell ref="B225:C225"/>
    <mergeCell ref="D225:E225"/>
    <mergeCell ref="D197:E197"/>
    <mergeCell ref="A146:K146"/>
    <mergeCell ref="F151:H151"/>
    <mergeCell ref="F150:H150"/>
    <mergeCell ref="I150:K150"/>
    <mergeCell ref="D119:E119"/>
    <mergeCell ref="A123:J123"/>
    <mergeCell ref="A231:K231"/>
    <mergeCell ref="D189:E189"/>
    <mergeCell ref="F189:G189"/>
    <mergeCell ref="H189:I189"/>
    <mergeCell ref="B310:F310"/>
    <mergeCell ref="G309:K309"/>
    <mergeCell ref="G310:K310"/>
    <mergeCell ref="E253:F253"/>
    <mergeCell ref="I240:K240"/>
    <mergeCell ref="B241:C241"/>
    <mergeCell ref="A262:G262"/>
    <mergeCell ref="J259:K259"/>
    <mergeCell ref="J249:K249"/>
    <mergeCell ref="E254:F254"/>
    <mergeCell ref="J254:K254"/>
    <mergeCell ref="J253:K253"/>
    <mergeCell ref="A251:A252"/>
    <mergeCell ref="G249:H249"/>
    <mergeCell ref="B245:C245"/>
    <mergeCell ref="B246:C246"/>
    <mergeCell ref="B247:C247"/>
    <mergeCell ref="E259:F259"/>
    <mergeCell ref="D241:E241"/>
    <mergeCell ref="G241:H241"/>
    <mergeCell ref="G242:H242"/>
    <mergeCell ref="G243:H243"/>
    <mergeCell ref="G244:H244"/>
    <mergeCell ref="J255:K255"/>
    <mergeCell ref="B309:F309"/>
    <mergeCell ref="A271:K271"/>
    <mergeCell ref="A272:K272"/>
    <mergeCell ref="A238:A240"/>
    <mergeCell ref="B251:F251"/>
    <mergeCell ref="B248:C248"/>
    <mergeCell ref="B242:C242"/>
    <mergeCell ref="D248:E248"/>
    <mergeCell ref="D247:E247"/>
    <mergeCell ref="D246:E246"/>
    <mergeCell ref="D245:E245"/>
    <mergeCell ref="A270:K270"/>
    <mergeCell ref="F238:H238"/>
    <mergeCell ref="I238:K238"/>
    <mergeCell ref="F239:H239"/>
    <mergeCell ref="I239:K239"/>
    <mergeCell ref="F240:H240"/>
    <mergeCell ref="A269:K269"/>
    <mergeCell ref="J256:K256"/>
    <mergeCell ref="J257:K257"/>
    <mergeCell ref="D240:E240"/>
    <mergeCell ref="A264:K264"/>
    <mergeCell ref="A265:K265"/>
    <mergeCell ref="A266:K266"/>
    <mergeCell ref="A114:A115"/>
    <mergeCell ref="G311:K311"/>
    <mergeCell ref="D238:E238"/>
    <mergeCell ref="B239:C239"/>
    <mergeCell ref="D239:E239"/>
    <mergeCell ref="G201:K201"/>
    <mergeCell ref="J179:K179"/>
    <mergeCell ref="A235:K235"/>
    <mergeCell ref="B193:C193"/>
    <mergeCell ref="D193:E193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H192:I192"/>
    <mergeCell ref="B311:F311"/>
    <mergeCell ref="A274:K274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O83:P97"/>
    <mergeCell ref="M80:N80"/>
    <mergeCell ref="J49:K49"/>
    <mergeCell ref="B191:C191"/>
    <mergeCell ref="D191:E191"/>
    <mergeCell ref="M127:N133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7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267D6-1B7D-43EC-8923-91D7E779596D}"/>
</file>

<file path=customXml/itemProps2.xml><?xml version="1.0" encoding="utf-8"?>
<ds:datastoreItem xmlns:ds="http://schemas.openxmlformats.org/officeDocument/2006/customXml" ds:itemID="{BC1E96EE-1C26-4AC7-B59D-604233A34FA7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bfcc7d6-e1dc-4701-b230-8bbb8f498e60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2025-05-20T20:14:21Z</cp:lastPrinted>
  <dcterms:created xsi:type="dcterms:W3CDTF">2004-08-09T19:29:24Z</dcterms:created>
  <dcterms:modified xsi:type="dcterms:W3CDTF">2025-05-30T14:43:15Z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