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890" documentId="8_{79CE7104-85E2-4EFC-8201-BA6F02686BA1}" xr6:coauthVersionLast="47" xr6:coauthVersionMax="47" xr10:uidLastSave="{EAB49955-52E3-4A1F-BDDF-9564B69945AE}"/>
  <bookViews>
    <workbookView xWindow="-120" yWindow="-120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7" l="1"/>
  <c r="L139" i="7"/>
  <c r="C127" i="7"/>
  <c r="B127" i="7"/>
  <c r="G97" i="7" l="1"/>
  <c r="D74" i="7"/>
  <c r="G222" i="7" l="1"/>
  <c r="G218" i="7"/>
  <c r="G216" i="7"/>
  <c r="D222" i="7"/>
  <c r="D218" i="7"/>
  <c r="D216" i="7"/>
  <c r="E193" i="7"/>
  <c r="E184" i="7"/>
  <c r="E181" i="7"/>
  <c r="F181" i="7" s="1"/>
  <c r="E170" i="7"/>
  <c r="E168" i="7"/>
  <c r="E166" i="7"/>
  <c r="F166" i="7" s="1"/>
  <c r="E159" i="7"/>
  <c r="E156" i="7"/>
  <c r="E151" i="7"/>
  <c r="F151" i="7" s="1"/>
  <c r="D120" i="7"/>
  <c r="G120" i="7"/>
  <c r="G113" i="7"/>
  <c r="G111" i="7"/>
  <c r="G109" i="7"/>
  <c r="G106" i="7"/>
  <c r="G105" i="7"/>
  <c r="D113" i="7"/>
  <c r="D112" i="7"/>
  <c r="D111" i="7"/>
  <c r="D109" i="7"/>
  <c r="D106" i="7"/>
  <c r="D105" i="7"/>
  <c r="E68" i="7"/>
  <c r="E66" i="7"/>
  <c r="E64" i="7"/>
  <c r="E63" i="7"/>
  <c r="E57" i="7"/>
  <c r="E55" i="7"/>
  <c r="E54" i="7"/>
  <c r="E53" i="7"/>
  <c r="E51" i="7"/>
  <c r="E49" i="7"/>
  <c r="E48" i="7"/>
  <c r="E47" i="7"/>
  <c r="E46" i="7"/>
  <c r="E45" i="7"/>
  <c r="E43" i="7"/>
  <c r="E42" i="7"/>
  <c r="E41" i="7"/>
  <c r="E40" i="7"/>
  <c r="E39" i="7"/>
  <c r="E37" i="7"/>
  <c r="E35" i="7"/>
  <c r="E34" i="7"/>
  <c r="E32" i="7"/>
  <c r="E31" i="7"/>
  <c r="E30" i="7"/>
  <c r="E29" i="7"/>
  <c r="E24" i="7"/>
  <c r="E21" i="7"/>
  <c r="E20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4" i="7"/>
  <c r="J183" i="7"/>
  <c r="J182" i="7"/>
  <c r="J181" i="7"/>
  <c r="J180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4" i="7"/>
  <c r="J163" i="7"/>
  <c r="J162" i="7"/>
  <c r="J161" i="7"/>
  <c r="J160" i="7"/>
  <c r="J159" i="7"/>
  <c r="J158" i="7"/>
  <c r="J157" i="7"/>
  <c r="J156" i="7"/>
  <c r="J154" i="7"/>
  <c r="J153" i="7"/>
  <c r="J152" i="7"/>
  <c r="J151" i="7"/>
  <c r="J149" i="7"/>
  <c r="J148" i="7"/>
  <c r="J147" i="7"/>
  <c r="J146" i="7"/>
  <c r="I203" i="7"/>
  <c r="I202" i="7"/>
  <c r="I193" i="7"/>
  <c r="I184" i="7"/>
  <c r="I181" i="7"/>
  <c r="I170" i="7"/>
  <c r="I168" i="7"/>
  <c r="I166" i="7"/>
  <c r="I156" i="7"/>
  <c r="I151" i="7"/>
  <c r="F203" i="7"/>
  <c r="F202" i="7"/>
  <c r="F193" i="7"/>
  <c r="F184" i="7"/>
  <c r="F170" i="7"/>
  <c r="F168" i="7"/>
  <c r="F156" i="7"/>
  <c r="J91" i="7" l="1"/>
  <c r="J90" i="7"/>
  <c r="J89" i="7"/>
  <c r="J88" i="7"/>
  <c r="J87" i="7"/>
  <c r="J86" i="7"/>
  <c r="J85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6" i="7"/>
  <c r="J65" i="7"/>
  <c r="J64" i="7"/>
  <c r="J63" i="7"/>
  <c r="J61" i="7"/>
  <c r="J60" i="7"/>
  <c r="J57" i="7"/>
  <c r="J56" i="7"/>
  <c r="J55" i="7"/>
  <c r="J54" i="7"/>
  <c r="J53" i="7"/>
  <c r="J51" i="7"/>
  <c r="J50" i="7"/>
  <c r="J49" i="7"/>
  <c r="J48" i="7"/>
  <c r="J47" i="7"/>
  <c r="J46" i="7"/>
  <c r="J45" i="7"/>
  <c r="J43" i="7"/>
  <c r="J42" i="7"/>
  <c r="J41" i="7"/>
  <c r="J40" i="7"/>
  <c r="J39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2" i="7"/>
  <c r="J21" i="7"/>
  <c r="J20" i="7"/>
  <c r="F77" i="7"/>
  <c r="F76" i="7"/>
  <c r="F75" i="7"/>
  <c r="F74" i="7"/>
  <c r="F70" i="7"/>
  <c r="F68" i="7"/>
  <c r="F66" i="7"/>
  <c r="F63" i="7"/>
  <c r="F60" i="7"/>
  <c r="F57" i="7"/>
  <c r="F55" i="7"/>
  <c r="F54" i="7"/>
  <c r="F53" i="7"/>
  <c r="F51" i="7"/>
  <c r="F50" i="7"/>
  <c r="F49" i="7"/>
  <c r="F48" i="7"/>
  <c r="F47" i="7"/>
  <c r="F46" i="7"/>
  <c r="F45" i="7"/>
  <c r="F43" i="7"/>
  <c r="F42" i="7"/>
  <c r="F41" i="7"/>
  <c r="F40" i="7"/>
  <c r="F39" i="7"/>
  <c r="F37" i="7"/>
  <c r="F36" i="7"/>
  <c r="F35" i="7"/>
  <c r="F34" i="7"/>
  <c r="F32" i="7"/>
  <c r="F31" i="7"/>
  <c r="F30" i="7"/>
  <c r="F29" i="7"/>
  <c r="F24" i="7"/>
  <c r="F21" i="7"/>
  <c r="F20" i="7"/>
  <c r="I77" i="7"/>
  <c r="I76" i="7"/>
  <c r="I75" i="7"/>
  <c r="I74" i="7"/>
  <c r="I70" i="7"/>
  <c r="I68" i="7"/>
  <c r="I66" i="7"/>
  <c r="I63" i="7"/>
  <c r="I60" i="7"/>
  <c r="I57" i="7"/>
  <c r="I55" i="7"/>
  <c r="I54" i="7"/>
  <c r="I53" i="7"/>
  <c r="I51" i="7"/>
  <c r="I50" i="7"/>
  <c r="I49" i="7"/>
  <c r="I48" i="7"/>
  <c r="I47" i="7"/>
  <c r="I46" i="7"/>
  <c r="I45" i="7"/>
  <c r="I43" i="7"/>
  <c r="I42" i="7"/>
  <c r="I41" i="7"/>
  <c r="I40" i="7"/>
  <c r="I39" i="7"/>
  <c r="I37" i="7"/>
  <c r="I36" i="7"/>
  <c r="I35" i="7"/>
  <c r="I34" i="7"/>
  <c r="I32" i="7"/>
  <c r="I31" i="7"/>
  <c r="I30" i="7"/>
  <c r="I29" i="7"/>
  <c r="I24" i="7"/>
  <c r="I21" i="7"/>
  <c r="I20" i="7"/>
  <c r="B107" i="7" l="1"/>
  <c r="G112" i="7"/>
  <c r="C74" i="7"/>
  <c r="E70" i="7"/>
  <c r="E69" i="7"/>
  <c r="E50" i="7"/>
  <c r="E74" i="7"/>
  <c r="E180" i="7" l="1"/>
  <c r="E75" i="7"/>
  <c r="E76" i="7"/>
  <c r="E77" i="7"/>
  <c r="D97" i="7"/>
  <c r="K107" i="7"/>
  <c r="K104" i="7" s="1"/>
  <c r="C107" i="7"/>
  <c r="H219" i="7"/>
  <c r="B118" i="7"/>
  <c r="G38" i="7"/>
  <c r="E107" i="7"/>
  <c r="E104" i="7" s="1"/>
  <c r="D38" i="7"/>
  <c r="G67" i="7"/>
  <c r="H67" i="7"/>
  <c r="J223" i="7"/>
  <c r="J222" i="7"/>
  <c r="J221" i="7"/>
  <c r="D171" i="7"/>
  <c r="H107" i="7"/>
  <c r="E22" i="7"/>
  <c r="G223" i="7"/>
  <c r="F114" i="7"/>
  <c r="E201" i="7"/>
  <c r="G179" i="7"/>
  <c r="H179" i="7"/>
  <c r="D165" i="7"/>
  <c r="E82" i="7"/>
  <c r="E71" i="7"/>
  <c r="G52" i="7"/>
  <c r="H52" i="7"/>
  <c r="G44" i="7"/>
  <c r="H44" i="7"/>
  <c r="E36" i="7"/>
  <c r="K219" i="7"/>
  <c r="J120" i="7"/>
  <c r="F113" i="7"/>
  <c r="G95" i="7"/>
  <c r="D67" i="7"/>
  <c r="C67" i="7"/>
  <c r="C219" i="7"/>
  <c r="E219" i="7"/>
  <c r="B219" i="7"/>
  <c r="E162" i="7"/>
  <c r="D62" i="7"/>
  <c r="E56" i="7"/>
  <c r="E183" i="7"/>
  <c r="J127" i="7"/>
  <c r="D223" i="7"/>
  <c r="E173" i="7"/>
  <c r="B104" i="7"/>
  <c r="D220" i="7"/>
  <c r="D219" i="7" s="1"/>
  <c r="D221" i="7"/>
  <c r="G220" i="7"/>
  <c r="G221" i="7"/>
  <c r="G217" i="7"/>
  <c r="D217" i="7"/>
  <c r="D215" i="7" s="1"/>
  <c r="E208" i="7"/>
  <c r="E207" i="7"/>
  <c r="E206" i="7"/>
  <c r="E205" i="7"/>
  <c r="E203" i="7"/>
  <c r="E202" i="7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E33" i="7"/>
  <c r="E27" i="7"/>
  <c r="E26" i="7"/>
  <c r="E25" i="7"/>
  <c r="G28" i="7"/>
  <c r="D59" i="7"/>
  <c r="H215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C194" i="7"/>
  <c r="G189" i="7"/>
  <c r="D189" i="7"/>
  <c r="C189" i="7"/>
  <c r="G186" i="7"/>
  <c r="G185" i="7" s="1"/>
  <c r="D186" i="7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J217" i="7"/>
  <c r="F217" i="7"/>
  <c r="A140" i="7"/>
  <c r="A137" i="7"/>
  <c r="A136" i="7"/>
  <c r="A135" i="7"/>
  <c r="A134" i="7"/>
  <c r="A133" i="7"/>
  <c r="F223" i="7"/>
  <c r="F221" i="7"/>
  <c r="J220" i="7"/>
  <c r="F220" i="7"/>
  <c r="F218" i="7"/>
  <c r="J216" i="7"/>
  <c r="F216" i="7"/>
  <c r="K215" i="7"/>
  <c r="I215" i="7"/>
  <c r="E215" i="7"/>
  <c r="C215" i="7"/>
  <c r="B215" i="7"/>
  <c r="B214" i="7" s="1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52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J218" i="7"/>
  <c r="G165" i="7"/>
  <c r="K110" i="7"/>
  <c r="J105" i="7"/>
  <c r="F127" i="7"/>
  <c r="G78" i="7"/>
  <c r="H214" i="7" l="1"/>
  <c r="H115" i="7" s="1"/>
  <c r="J179" i="7"/>
  <c r="F179" i="7"/>
  <c r="I179" i="7"/>
  <c r="J165" i="7"/>
  <c r="I165" i="7"/>
  <c r="J155" i="7"/>
  <c r="I155" i="7"/>
  <c r="J150" i="7"/>
  <c r="I150" i="7"/>
  <c r="J67" i="7"/>
  <c r="I67" i="7"/>
  <c r="I62" i="7"/>
  <c r="J62" i="7"/>
  <c r="F59" i="7"/>
  <c r="J59" i="7"/>
  <c r="I59" i="7"/>
  <c r="J52" i="7"/>
  <c r="I52" i="7"/>
  <c r="I44" i="7"/>
  <c r="J44" i="7"/>
  <c r="J38" i="7"/>
  <c r="I38" i="7"/>
  <c r="I28" i="7"/>
  <c r="J28" i="7"/>
  <c r="I23" i="7"/>
  <c r="J23" i="7"/>
  <c r="J19" i="7"/>
  <c r="I19" i="7"/>
  <c r="E214" i="7"/>
  <c r="E115" i="7" s="1"/>
  <c r="J219" i="7"/>
  <c r="C214" i="7"/>
  <c r="J214" i="7" s="1"/>
  <c r="B103" i="7"/>
  <c r="E23" i="7"/>
  <c r="F23" i="7" s="1"/>
  <c r="D118" i="7"/>
  <c r="D107" i="7"/>
  <c r="D104" i="7" s="1"/>
  <c r="K117" i="7"/>
  <c r="E155" i="7"/>
  <c r="F155" i="7" s="1"/>
  <c r="E171" i="7"/>
  <c r="B115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E194" i="7"/>
  <c r="E165" i="7"/>
  <c r="F165" i="7" s="1"/>
  <c r="C185" i="7"/>
  <c r="G58" i="7"/>
  <c r="G110" i="7"/>
  <c r="E67" i="7"/>
  <c r="K214" i="7"/>
  <c r="K115" i="7" s="1"/>
  <c r="G215" i="7"/>
  <c r="D214" i="7"/>
  <c r="D115" i="7" s="1"/>
  <c r="F219" i="7"/>
  <c r="J215" i="7"/>
  <c r="G118" i="7"/>
  <c r="G117" i="7" s="1"/>
  <c r="J118" i="7"/>
  <c r="J110" i="7"/>
  <c r="E103" i="7"/>
  <c r="K103" i="7"/>
  <c r="H104" i="7"/>
  <c r="H103" i="7" s="1"/>
  <c r="H116" i="7" s="1"/>
  <c r="F107" i="7"/>
  <c r="C104" i="7"/>
  <c r="F104" i="7" s="1"/>
  <c r="C58" i="7"/>
  <c r="D95" i="7"/>
  <c r="D185" i="7"/>
  <c r="B117" i="7"/>
  <c r="E38" i="7"/>
  <c r="F38" i="7" s="1"/>
  <c r="G104" i="7"/>
  <c r="E150" i="7"/>
  <c r="F150" i="7" s="1"/>
  <c r="G145" i="7"/>
  <c r="E179" i="7"/>
  <c r="D145" i="7"/>
  <c r="F215" i="7"/>
  <c r="E19" i="7"/>
  <c r="F19" i="7" s="1"/>
  <c r="E62" i="7"/>
  <c r="F62" i="7" s="1"/>
  <c r="D58" i="7"/>
  <c r="E52" i="7"/>
  <c r="F52" i="7" s="1"/>
  <c r="E44" i="7"/>
  <c r="F44" i="7" s="1"/>
  <c r="D18" i="7"/>
  <c r="E28" i="7"/>
  <c r="F28" i="7" s="1"/>
  <c r="G18" i="7"/>
  <c r="I185" i="7" l="1"/>
  <c r="J185" i="7"/>
  <c r="J145" i="7"/>
  <c r="I145" i="7"/>
  <c r="J58" i="7"/>
  <c r="I58" i="7"/>
  <c r="I18" i="7"/>
  <c r="J18" i="7"/>
  <c r="E116" i="7"/>
  <c r="E124" i="7" s="1"/>
  <c r="C144" i="7"/>
  <c r="C83" i="7" s="1"/>
  <c r="J117" i="7"/>
  <c r="D117" i="7"/>
  <c r="B116" i="7"/>
  <c r="B124" i="7" s="1"/>
  <c r="B126" i="7" s="1"/>
  <c r="C17" i="7"/>
  <c r="G214" i="7"/>
  <c r="G115" i="7" s="1"/>
  <c r="F214" i="7"/>
  <c r="C115" i="7"/>
  <c r="F115" i="7" s="1"/>
  <c r="F117" i="7"/>
  <c r="G17" i="7"/>
  <c r="E185" i="7"/>
  <c r="F185" i="7" s="1"/>
  <c r="H124" i="7"/>
  <c r="D103" i="7"/>
  <c r="D116" i="7" s="1"/>
  <c r="D124" i="7" s="1"/>
  <c r="D126" i="7" s="1"/>
  <c r="G103" i="7"/>
  <c r="E58" i="7"/>
  <c r="F58" i="7" s="1"/>
  <c r="K116" i="7"/>
  <c r="K124" i="7" s="1"/>
  <c r="J104" i="7"/>
  <c r="C103" i="7"/>
  <c r="E145" i="7"/>
  <c r="F145" i="7" s="1"/>
  <c r="D144" i="7"/>
  <c r="G144" i="7"/>
  <c r="D17" i="7"/>
  <c r="E18" i="7"/>
  <c r="F18" i="7" s="1"/>
  <c r="I17" i="7" l="1"/>
  <c r="G116" i="7"/>
  <c r="G124" i="7" s="1"/>
  <c r="G126" i="7" s="1"/>
  <c r="C84" i="7"/>
  <c r="C92" i="7" s="1"/>
  <c r="C94" i="7" s="1"/>
  <c r="J115" i="7"/>
  <c r="F103" i="7"/>
  <c r="J103" i="7"/>
  <c r="C116" i="7"/>
  <c r="J144" i="7"/>
  <c r="D83" i="7"/>
  <c r="G83" i="7"/>
  <c r="I144" i="7"/>
  <c r="E144" i="7"/>
  <c r="J17" i="7"/>
  <c r="E17" i="7"/>
  <c r="J83" i="7" l="1"/>
  <c r="I83" i="7"/>
  <c r="C124" i="7"/>
  <c r="C126" i="7" s="1"/>
  <c r="J116" i="7"/>
  <c r="J124" i="7" s="1"/>
  <c r="F116" i="7"/>
  <c r="F124" i="7" s="1"/>
  <c r="G84" i="7"/>
  <c r="G92" i="7" s="1"/>
  <c r="E83" i="7"/>
  <c r="F83" i="7" s="1"/>
  <c r="F144" i="7"/>
  <c r="D84" i="7"/>
  <c r="F17" i="7"/>
  <c r="G93" i="7" l="1"/>
  <c r="K125" i="7"/>
  <c r="H125" i="7"/>
  <c r="E125" i="7"/>
  <c r="E126" i="7" s="1"/>
  <c r="J84" i="7"/>
  <c r="I84" i="7"/>
  <c r="D92" i="7"/>
  <c r="E84" i="7"/>
  <c r="F84" i="7" s="1"/>
  <c r="J92" i="7" l="1"/>
  <c r="I92" i="7"/>
  <c r="K126" i="7"/>
  <c r="H126" i="7"/>
  <c r="E92" i="7"/>
  <c r="E94" i="7" s="1"/>
  <c r="G94" i="7"/>
  <c r="D94" i="7"/>
  <c r="F92" i="7" l="1"/>
  <c r="F94" i="7"/>
  <c r="I9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E125" authorId="0" shapeId="0" xr:uid="{6831E28D-65AD-418D-A10C-10F078CB76F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Haverá superávit se o total das receita arrecadadas forem maiores que o total das despesas empenhadas. Se o total das despesas emenhadas for maior, será demonstrado 0,00.</t>
        </r>
      </text>
    </comment>
  </commentList>
</comments>
</file>

<file path=xl/sharedStrings.xml><?xml version="1.0" encoding="utf-8"?>
<sst xmlns="http://schemas.openxmlformats.org/spreadsheetml/2006/main" count="292" uniqueCount="162">
  <si>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</si>
  <si>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</si>
  <si>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</si>
  <si>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</si>
  <si>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</si>
  <si>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</si>
  <si>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</si>
  <si>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</si>
  <si>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</si>
  <si>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</si>
  <si>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</si>
  <si>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</si>
  <si>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</si>
  <si>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</si>
  <si>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</si>
  <si>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</si>
  <si>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</si>
  <si>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</si>
  <si>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</si>
  <si>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</si>
  <si>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</si>
  <si>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</si>
  <si>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</si>
  <si>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</si>
  <si>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</si>
  <si>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</si>
  <si>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</si>
  <si>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</si>
  <si>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</si>
  <si>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</si>
  <si>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</si>
  <si>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</si>
  <si>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</si>
  <si>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</si>
  <si>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</si>
  <si>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</si>
  <si>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</si>
  <si>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</si>
  <si>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</si>
  <si>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</si>
  <si>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</si>
  <si>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</si>
  <si>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</si>
  <si>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</si>
  <si>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</si>
  <si>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</si>
  <si>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</si>
  <si>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</si>
  <si>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</si>
  <si>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</si>
  <si>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</si>
  <si>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</si>
  <si>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</si>
  <si>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</si>
  <si>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</si>
  <si>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</si>
  <si>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</si>
  <si>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</si>
  <si>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</si>
  <si>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</si>
  <si>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</si>
  <si>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</si>
  <si>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</si>
  <si>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</si>
  <si>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</si>
  <si>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</si>
  <si>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</si>
  <si>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</si>
  <si>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</si>
  <si>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</si>
  <si>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</si>
  <si>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</si>
  <si>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>linha nova (HÁ LINHAS OCULTAS EMBAIXO)</t>
  </si>
  <si>
    <t xml:space="preserve">            Transferências de Pessoas Físicas</t>
  </si>
  <si>
    <t>Essas linhas não constam mais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</si>
  <si>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</si>
  <si>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</si>
  <si>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</si>
  <si>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</si>
  <si>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</si>
  <si>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</si>
  <si>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</si>
  <si>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</si>
  <si>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</si>
  <si>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</si>
  <si>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</si>
  <si>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</si>
  <si>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</si>
  <si>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</si>
  <si>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</si>
  <si>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</si>
  <si>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</si>
  <si>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</si>
  <si>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</si>
  <si>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</si>
  <si>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</si>
  <si>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</si>
  <si>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</si>
  <si>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</si>
  <si>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</si>
  <si>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</si>
  <si>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</si>
  <si>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</si>
  <si>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</si>
  <si>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</si>
  <si>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</si>
  <si>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</si>
  <si>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</si>
  <si>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</si>
  <si>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</si>
  <si>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</si>
  <si>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</si>
  <si>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</si>
  <si>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</si>
  <si>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</si>
  <si>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</si>
  <si>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</si>
  <si>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</si>
  <si>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</si>
  <si>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</si>
  <si>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</si>
  <si>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</si>
  <si>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</si>
  <si>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</si>
  <si>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</si>
  <si>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</si>
  <si>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</si>
  <si>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</si>
  <si>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</si>
  <si>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</si>
  <si>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</si>
  <si>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</si>
  <si>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</si>
  <si>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</si>
  <si>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</si>
  <si>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</si>
  <si>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não constam mais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</si>
  <si>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</si>
  <si>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</si>
  <si>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</si>
  <si>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</si>
  <si>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</si>
  <si>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t>Obs.:  1 - Excluídas a Imprensa Oficial, a CEDAE e a AGERIO por não se enquadrarem no conceito de Empresa Dependente.</t>
  </si>
  <si>
    <t xml:space="preserve">          4 -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</si>
  <si>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</si>
  <si>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</si>
  <si>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</si>
  <si>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</si>
  <si>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</si>
  <si>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</si>
  <si>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</si>
  <si>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</si>
  <si>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</si>
  <si>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</si>
  <si>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    3 - A diferença de R$ 14.666.138.152,00 (Quatorze bilhões, seiscentos e sessenta e seis milhões, cento e trinta e oito mil e cento e cinquenta e dois reais) entre a Previsão Inicial da Receita e a Dotação Inicial da Despesa é referente ao "Déficit do Orçamento" considerado na Lei Orçamentária Anual de 2025.</t>
  </si>
  <si>
    <t>JANEIRO A ABRIL 2025/BIMESTRE MARÇO - ABRIL</t>
  </si>
  <si>
    <t>Emissão: 21/05/2025</t>
  </si>
  <si>
    <r>
      <t>DÉFICIT (VI)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</si>
  <si>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           Transferências a Municípios</t>
    </r>
    <r>
      <rPr>
        <vertAlign val="superscript"/>
        <sz val="12"/>
        <color theme="1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</si>
  <si>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</si>
  <si>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</si>
  <si>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Essa linha será apresentada somente no Demonstrativo aplicado aos Estados.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</si>
</sst>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7">
    <xf numFmtId="0" fontId="0" fillId="0" borderId="0" xfId="0"/>
    <xf numFmtId="0" fontId="7" fillId="0" borderId="0" xfId="1" applyFont="1"/>
    <xf numFmtId="0" fontId="8" fillId="0" borderId="0" xfId="1" applyFont="1"/>
    <xf numFmtId="0" fontId="5" fillId="0" borderId="0" xfId="1" applyFont="1"/>
    <xf numFmtId="0" fontId="9" fillId="0" borderId="0" xfId="1" applyFont="1"/>
    <xf numFmtId="49" fontId="9" fillId="0" borderId="0" xfId="1" applyNumberFormat="1" applyFont="1" applyAlignment="1">
      <alignment horizontal="center"/>
    </xf>
    <xf numFmtId="49" fontId="9" fillId="4" borderId="0" xfId="1" applyNumberFormat="1" applyFont="1" applyFill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4" borderId="0" xfId="1" applyFont="1" applyFill="1" applyAlignment="1">
      <alignment horizontal="right"/>
    </xf>
    <xf numFmtId="49" fontId="5" fillId="0" borderId="0" xfId="1" applyNumberFormat="1" applyFont="1"/>
    <xf numFmtId="167" fontId="5" fillId="0" borderId="0" xfId="1" applyNumberFormat="1" applyFont="1"/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/>
    </xf>
    <xf numFmtId="0" fontId="7" fillId="5" borderId="1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/>
    </xf>
    <xf numFmtId="49" fontId="7" fillId="5" borderId="7" xfId="1" applyNumberFormat="1" applyFont="1" applyFill="1" applyBorder="1" applyAlignment="1">
      <alignment horizontal="center"/>
    </xf>
    <xf numFmtId="170" fontId="7" fillId="4" borderId="11" xfId="5" applyNumberFormat="1" applyFont="1" applyFill="1" applyBorder="1" applyAlignment="1">
      <alignment horizontal="right"/>
    </xf>
    <xf numFmtId="170" fontId="7" fillId="4" borderId="1" xfId="5" applyNumberFormat="1" applyFont="1" applyFill="1" applyBorder="1" applyAlignment="1">
      <alignment horizontal="right"/>
    </xf>
    <xf numFmtId="170" fontId="7" fillId="4" borderId="0" xfId="5" applyNumberFormat="1" applyFont="1" applyFill="1" applyAlignment="1">
      <alignment horizontal="right"/>
    </xf>
    <xf numFmtId="170" fontId="7" fillId="4" borderId="1" xfId="4" applyNumberFormat="1" applyFont="1" applyFill="1" applyBorder="1" applyAlignment="1">
      <alignment horizontal="right"/>
    </xf>
    <xf numFmtId="170" fontId="7" fillId="4" borderId="10" xfId="5" applyNumberFormat="1" applyFont="1" applyFill="1" applyBorder="1" applyAlignment="1">
      <alignment horizontal="right"/>
    </xf>
    <xf numFmtId="3" fontId="5" fillId="0" borderId="0" xfId="1" applyNumberFormat="1" applyFont="1"/>
    <xf numFmtId="170" fontId="7" fillId="4" borderId="3" xfId="5" applyNumberFormat="1" applyFont="1" applyFill="1" applyBorder="1" applyAlignment="1">
      <alignment horizontal="right"/>
    </xf>
    <xf numFmtId="170" fontId="7" fillId="4" borderId="2" xfId="5" applyNumberFormat="1" applyFont="1" applyFill="1" applyBorder="1" applyAlignment="1">
      <alignment horizontal="right"/>
    </xf>
    <xf numFmtId="170" fontId="7" fillId="4" borderId="2" xfId="4" applyNumberFormat="1" applyFont="1" applyFill="1" applyBorder="1" applyAlignment="1">
      <alignment horizontal="right"/>
    </xf>
    <xf numFmtId="170" fontId="7" fillId="4" borderId="8" xfId="5" applyNumberFormat="1" applyFont="1" applyFill="1" applyBorder="1" applyAlignment="1">
      <alignment horizontal="right"/>
    </xf>
    <xf numFmtId="168" fontId="5" fillId="0" borderId="0" xfId="1" applyNumberFormat="1" applyFont="1"/>
    <xf numFmtId="170" fontId="5" fillId="4" borderId="3" xfId="5" applyNumberFormat="1" applyFont="1" applyFill="1" applyBorder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64" fontId="5" fillId="4" borderId="3" xfId="5" applyNumberFormat="1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164" fontId="5" fillId="0" borderId="0" xfId="1" applyNumberFormat="1" applyFont="1"/>
    <xf numFmtId="170" fontId="5" fillId="0" borderId="3" xfId="4" applyNumberFormat="1" applyFont="1" applyFill="1" applyBorder="1" applyAlignment="1">
      <alignment horizontal="right"/>
    </xf>
    <xf numFmtId="4" fontId="5" fillId="2" borderId="15" xfId="0" applyNumberFormat="1" applyFont="1" applyFill="1" applyBorder="1" applyAlignment="1">
      <alignment horizontal="right" vertical="top" wrapText="1"/>
    </xf>
    <xf numFmtId="4" fontId="5" fillId="2" borderId="16" xfId="0" applyNumberFormat="1" applyFont="1" applyFill="1" applyBorder="1" applyAlignment="1">
      <alignment horizontal="right" vertical="top" wrapText="1"/>
    </xf>
    <xf numFmtId="170" fontId="5" fillId="6" borderId="3" xfId="5" applyNumberFormat="1" applyFont="1" applyFill="1" applyBorder="1" applyAlignment="1">
      <alignment horizontal="right"/>
    </xf>
    <xf numFmtId="170" fontId="5" fillId="6" borderId="2" xfId="5" applyNumberFormat="1" applyFont="1" applyFill="1" applyBorder="1" applyAlignment="1">
      <alignment horizontal="right"/>
    </xf>
    <xf numFmtId="170" fontId="5" fillId="6" borderId="0" xfId="5" applyNumberFormat="1" applyFont="1" applyFill="1" applyAlignment="1">
      <alignment horizontal="right"/>
    </xf>
    <xf numFmtId="170" fontId="5" fillId="6" borderId="2" xfId="4" applyNumberFormat="1" applyFont="1" applyFill="1" applyBorder="1" applyAlignment="1">
      <alignment horizontal="right"/>
    </xf>
    <xf numFmtId="0" fontId="11" fillId="0" borderId="0" xfId="1" applyFont="1" applyAlignment="1">
      <alignment vertical="center" wrapText="1"/>
    </xf>
    <xf numFmtId="170" fontId="7" fillId="4" borderId="13" xfId="5" applyNumberFormat="1" applyFont="1" applyFill="1" applyBorder="1" applyAlignment="1">
      <alignment horizontal="right"/>
    </xf>
    <xf numFmtId="170" fontId="7" fillId="4" borderId="4" xfId="5" applyNumberFormat="1" applyFont="1" applyFill="1" applyBorder="1" applyAlignment="1">
      <alignment horizontal="right"/>
    </xf>
    <xf numFmtId="170" fontId="7" fillId="4" borderId="4" xfId="4" applyNumberFormat="1" applyFont="1" applyFill="1" applyBorder="1" applyAlignment="1">
      <alignment horizontal="right"/>
    </xf>
    <xf numFmtId="170" fontId="7" fillId="4" borderId="14" xfId="5" applyNumberFormat="1" applyFont="1" applyFill="1" applyBorder="1" applyAlignment="1">
      <alignment horizontal="right"/>
    </xf>
    <xf numFmtId="164" fontId="7" fillId="4" borderId="5" xfId="5" applyNumberFormat="1" applyFont="1" applyFill="1" applyBorder="1" applyAlignment="1">
      <alignment horizontal="right"/>
    </xf>
    <xf numFmtId="164" fontId="7" fillId="4" borderId="1" xfId="5" applyNumberFormat="1" applyFont="1" applyFill="1" applyBorder="1" applyAlignment="1">
      <alignment horizontal="right"/>
    </xf>
    <xf numFmtId="164" fontId="7" fillId="4" borderId="0" xfId="5" applyNumberFormat="1" applyFont="1" applyFill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4" fontId="5" fillId="4" borderId="2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43" fontId="5" fillId="0" borderId="0" xfId="1" applyNumberFormat="1" applyFont="1"/>
    <xf numFmtId="164" fontId="5" fillId="4" borderId="6" xfId="5" applyNumberFormat="1" applyFont="1" applyFill="1" applyBorder="1" applyAlignment="1">
      <alignment horizontal="right"/>
    </xf>
    <xf numFmtId="164" fontId="5" fillId="4" borderId="7" xfId="5" applyNumberFormat="1" applyFont="1" applyFill="1" applyBorder="1" applyAlignment="1">
      <alignment horizontal="right"/>
    </xf>
    <xf numFmtId="170" fontId="5" fillId="4" borderId="7" xfId="4" applyNumberFormat="1" applyFont="1" applyFill="1" applyBorder="1" applyAlignment="1">
      <alignment horizontal="right"/>
    </xf>
    <xf numFmtId="164" fontId="5" fillId="4" borderId="9" xfId="5" applyNumberFormat="1" applyFont="1" applyFill="1" applyBorder="1" applyAlignment="1">
      <alignment horizontal="right"/>
    </xf>
    <xf numFmtId="170" fontId="7" fillId="0" borderId="0" xfId="5" applyNumberFormat="1" applyFont="1" applyFill="1" applyBorder="1" applyAlignment="1">
      <alignment horizontal="right"/>
    </xf>
    <xf numFmtId="170" fontId="7" fillId="0" borderId="4" xfId="5" applyNumberFormat="1" applyFont="1" applyFill="1" applyBorder="1" applyAlignment="1">
      <alignment horizontal="right"/>
    </xf>
    <xf numFmtId="170" fontId="7" fillId="0" borderId="13" xfId="5" applyNumberFormat="1" applyFont="1" applyFill="1" applyBorder="1" applyAlignment="1">
      <alignment horizontal="right"/>
    </xf>
    <xf numFmtId="170" fontId="7" fillId="0" borderId="7" xfId="4" applyNumberFormat="1" applyFont="1" applyFill="1" applyBorder="1" applyAlignment="1">
      <alignment horizontal="right"/>
    </xf>
    <xf numFmtId="170" fontId="7" fillId="0" borderId="14" xfId="5" applyNumberFormat="1" applyFont="1" applyFill="1" applyBorder="1" applyAlignment="1">
      <alignment horizontal="right"/>
    </xf>
    <xf numFmtId="165" fontId="8" fillId="3" borderId="4" xfId="4" applyFont="1" applyFill="1" applyBorder="1" applyAlignment="1"/>
    <xf numFmtId="165" fontId="8" fillId="3" borderId="14" xfId="4" applyFont="1" applyFill="1" applyBorder="1" applyAlignment="1"/>
    <xf numFmtId="170" fontId="7" fillId="4" borderId="7" xfId="4" applyNumberFormat="1" applyFont="1" applyFill="1" applyBorder="1" applyAlignment="1">
      <alignment horizontal="right"/>
    </xf>
    <xf numFmtId="164" fontId="5" fillId="4" borderId="0" xfId="1" applyNumberFormat="1" applyFont="1" applyFill="1" applyAlignment="1">
      <alignment wrapText="1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/>
    <xf numFmtId="0" fontId="8" fillId="4" borderId="0" xfId="1" applyFont="1" applyFill="1"/>
    <xf numFmtId="37" fontId="8" fillId="4" borderId="0" xfId="1" applyNumberFormat="1" applyFont="1" applyFill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0" borderId="0" xfId="1" applyFont="1" applyAlignment="1">
      <alignment wrapText="1"/>
    </xf>
    <xf numFmtId="165" fontId="7" fillId="4" borderId="10" xfId="4" applyFont="1" applyFill="1" applyBorder="1" applyAlignment="1">
      <alignment horizontal="right"/>
    </xf>
    <xf numFmtId="4" fontId="7" fillId="0" borderId="0" xfId="1" applyNumberFormat="1" applyFont="1"/>
    <xf numFmtId="4" fontId="5" fillId="0" borderId="0" xfId="1" applyNumberFormat="1" applyFont="1"/>
    <xf numFmtId="49" fontId="5" fillId="0" borderId="3" xfId="1" applyNumberFormat="1" applyFont="1" applyBorder="1"/>
    <xf numFmtId="165" fontId="8" fillId="3" borderId="2" xfId="4" applyFont="1" applyFill="1" applyBorder="1" applyAlignment="1"/>
    <xf numFmtId="0" fontId="7" fillId="0" borderId="17" xfId="1" applyFont="1" applyBorder="1"/>
    <xf numFmtId="165" fontId="7" fillId="4" borderId="14" xfId="4" applyFont="1" applyFill="1" applyBorder="1" applyAlignment="1">
      <alignment horizontal="right"/>
    </xf>
    <xf numFmtId="0" fontId="8" fillId="0" borderId="0" xfId="0" applyFont="1"/>
    <xf numFmtId="0" fontId="7" fillId="0" borderId="11" xfId="1" applyFont="1" applyBorder="1" applyAlignment="1">
      <alignment horizontal="left" wrapText="1"/>
    </xf>
    <xf numFmtId="165" fontId="5" fillId="4" borderId="2" xfId="4" applyFont="1" applyFill="1" applyBorder="1" applyAlignment="1">
      <alignment horizontal="right"/>
    </xf>
    <xf numFmtId="170" fontId="5" fillId="4" borderId="0" xfId="1" applyNumberFormat="1" applyFont="1" applyFill="1"/>
    <xf numFmtId="170" fontId="5" fillId="4" borderId="9" xfId="5" applyNumberFormat="1" applyFont="1" applyFill="1" applyBorder="1" applyAlignment="1">
      <alignment horizontal="right"/>
    </xf>
    <xf numFmtId="170" fontId="5" fillId="4" borderId="7" xfId="5" applyNumberFormat="1" applyFont="1" applyFill="1" applyBorder="1" applyAlignment="1">
      <alignment horizontal="right"/>
    </xf>
    <xf numFmtId="170" fontId="5" fillId="4" borderId="7" xfId="1" applyNumberFormat="1" applyFont="1" applyFill="1" applyBorder="1"/>
    <xf numFmtId="170" fontId="7" fillId="4" borderId="9" xfId="5" applyNumberFormat="1" applyFont="1" applyFill="1" applyBorder="1" applyAlignment="1">
      <alignment horizontal="right"/>
    </xf>
    <xf numFmtId="170" fontId="7" fillId="4" borderId="12" xfId="5" applyNumberFormat="1" applyFont="1" applyFill="1" applyBorder="1" applyAlignment="1">
      <alignment horizontal="right"/>
    </xf>
    <xf numFmtId="165" fontId="5" fillId="0" borderId="0" xfId="4" applyFont="1" applyFill="1" applyAlignment="1"/>
    <xf numFmtId="0" fontId="7" fillId="0" borderId="6" xfId="1" applyFont="1" applyBorder="1"/>
    <xf numFmtId="170" fontId="7" fillId="4" borderId="7" xfId="5" applyNumberFormat="1" applyFont="1" applyFill="1" applyBorder="1" applyAlignment="1">
      <alignment horizontal="right"/>
    </xf>
    <xf numFmtId="165" fontId="7" fillId="4" borderId="7" xfId="4" applyFont="1" applyFill="1" applyBorder="1" applyAlignment="1">
      <alignment horizontal="right"/>
    </xf>
    <xf numFmtId="165" fontId="7" fillId="0" borderId="9" xfId="4" applyFont="1" applyFill="1" applyBorder="1" applyAlignment="1">
      <alignment horizontal="right"/>
    </xf>
    <xf numFmtId="165" fontId="7" fillId="4" borderId="13" xfId="4" applyFont="1" applyFill="1" applyBorder="1" applyAlignment="1">
      <alignment horizontal="right"/>
    </xf>
    <xf numFmtId="0" fontId="14" fillId="4" borderId="0" xfId="1" applyFont="1" applyFill="1"/>
    <xf numFmtId="37" fontId="14" fillId="4" borderId="0" xfId="1" applyNumberFormat="1" applyFont="1" applyFill="1" applyAlignment="1">
      <alignment horizontal="center"/>
    </xf>
    <xf numFmtId="164" fontId="14" fillId="4" borderId="0" xfId="1" applyNumberFormat="1" applyFont="1" applyFill="1" applyAlignment="1">
      <alignment horizontal="center"/>
    </xf>
    <xf numFmtId="37" fontId="14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right" vertical="center"/>
    </xf>
    <xf numFmtId="43" fontId="8" fillId="0" borderId="0" xfId="1" applyNumberFormat="1" applyFont="1"/>
    <xf numFmtId="165" fontId="14" fillId="4" borderId="0" xfId="4" applyFont="1" applyFill="1" applyBorder="1" applyAlignment="1">
      <alignment horizontal="center"/>
    </xf>
    <xf numFmtId="0" fontId="8" fillId="4" borderId="0" xfId="1" applyFont="1" applyFill="1" applyAlignment="1">
      <alignment horizontal="center"/>
    </xf>
    <xf numFmtId="37" fontId="8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center" vertical="center"/>
    </xf>
    <xf numFmtId="43" fontId="9" fillId="4" borderId="0" xfId="1" applyNumberFormat="1" applyFont="1" applyFill="1" applyAlignment="1">
      <alignment horizontal="center"/>
    </xf>
    <xf numFmtId="49" fontId="5" fillId="4" borderId="0" xfId="1" applyNumberFormat="1" applyFont="1" applyFill="1" applyAlignment="1">
      <alignment horizontal="center"/>
    </xf>
    <xf numFmtId="165" fontId="5" fillId="4" borderId="0" xfId="4" applyFont="1" applyFill="1" applyAlignment="1">
      <alignment horizontal="center"/>
    </xf>
    <xf numFmtId="0" fontId="5" fillId="4" borderId="0" xfId="1" applyFont="1" applyFill="1" applyAlignment="1">
      <alignment horizontal="center"/>
    </xf>
    <xf numFmtId="49" fontId="5" fillId="4" borderId="0" xfId="1" applyNumberFormat="1" applyFont="1" applyFill="1"/>
    <xf numFmtId="0" fontId="5" fillId="4" borderId="0" xfId="1" applyFont="1" applyFill="1"/>
    <xf numFmtId="164" fontId="8" fillId="0" borderId="0" xfId="1" applyNumberFormat="1" applyFont="1"/>
    <xf numFmtId="166" fontId="5" fillId="4" borderId="0" xfId="1" applyNumberFormat="1" applyFont="1" applyFill="1" applyAlignment="1">
      <alignment horizontal="right"/>
    </xf>
    <xf numFmtId="0" fontId="6" fillId="0" borderId="0" xfId="0" applyFont="1"/>
    <xf numFmtId="170" fontId="7" fillId="0" borderId="3" xfId="5" applyNumberFormat="1" applyFont="1" applyFill="1" applyBorder="1" applyAlignment="1">
      <alignment horizontal="right"/>
    </xf>
    <xf numFmtId="170" fontId="7" fillId="0" borderId="2" xfId="5" applyNumberFormat="1" applyFont="1" applyFill="1" applyBorder="1" applyAlignment="1">
      <alignment horizontal="right"/>
    </xf>
    <xf numFmtId="170" fontId="7" fillId="0" borderId="0" xfId="5" applyNumberFormat="1" applyFont="1" applyFill="1" applyAlignment="1">
      <alignment horizontal="right"/>
    </xf>
    <xf numFmtId="170" fontId="7" fillId="0" borderId="2" xfId="4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top" wrapText="1"/>
    </xf>
    <xf numFmtId="170" fontId="5" fillId="4" borderId="12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0" fontId="5" fillId="0" borderId="0" xfId="1" applyFont="1" applyAlignment="1">
      <alignment horizontal="left" indent="2"/>
    </xf>
    <xf numFmtId="0" fontId="7" fillId="0" borderId="12" xfId="1" applyFont="1" applyBorder="1"/>
    <xf numFmtId="0" fontId="14" fillId="0" borderId="0" xfId="1" applyFont="1"/>
    <xf numFmtId="164" fontId="7" fillId="0" borderId="0" xfId="5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/>
    </xf>
    <xf numFmtId="0" fontId="14" fillId="0" borderId="0" xfId="1" applyFont="1" applyAlignment="1">
      <alignment horizontal="left" vertical="center"/>
    </xf>
    <xf numFmtId="164" fontId="14" fillId="0" borderId="0" xfId="1" applyNumberFormat="1" applyFont="1"/>
    <xf numFmtId="0" fontId="14" fillId="0" borderId="0" xfId="1" applyFont="1" applyAlignment="1">
      <alignment horizontal="left" vertical="center" wrapText="1"/>
    </xf>
    <xf numFmtId="43" fontId="14" fillId="0" borderId="0" xfId="1" applyNumberFormat="1" applyFont="1" applyAlignment="1">
      <alignment horizontal="left" vertical="center"/>
    </xf>
    <xf numFmtId="169" fontId="14" fillId="0" borderId="0" xfId="1" applyNumberFormat="1" applyFont="1" applyAlignment="1">
      <alignment horizontal="left" vertical="center"/>
    </xf>
    <xf numFmtId="164" fontId="14" fillId="0" borderId="0" xfId="1" applyNumberFormat="1" applyFont="1" applyAlignment="1">
      <alignment horizontal="left" vertical="center"/>
    </xf>
    <xf numFmtId="43" fontId="5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right" vertical="center"/>
    </xf>
    <xf numFmtId="165" fontId="5" fillId="0" borderId="0" xfId="4" applyFont="1" applyFill="1" applyBorder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14" fillId="0" borderId="0" xfId="4" applyFont="1" applyAlignment="1">
      <alignment horizontal="left" vertical="center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49" fontId="5" fillId="0" borderId="3" xfId="1" applyNumberFormat="1" applyFont="1" applyBorder="1" applyAlignment="1">
      <alignment horizontal="left"/>
    </xf>
    <xf numFmtId="165" fontId="5" fillId="4" borderId="8" xfId="4" applyFont="1" applyFill="1" applyBorder="1" applyAlignment="1">
      <alignment horizontal="center"/>
    </xf>
    <xf numFmtId="165" fontId="5" fillId="4" borderId="3" xfId="4" applyFont="1" applyFill="1" applyBorder="1" applyAlignment="1">
      <alignment horizontal="center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/>
    </xf>
    <xf numFmtId="165" fontId="7" fillId="0" borderId="8" xfId="4" applyFont="1" applyFill="1" applyBorder="1" applyAlignment="1">
      <alignment horizontal="center"/>
    </xf>
    <xf numFmtId="165" fontId="7" fillId="0" borderId="3" xfId="4" applyFont="1" applyFill="1" applyBorder="1" applyAlignment="1">
      <alignment horizontal="center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49" fontId="7" fillId="0" borderId="3" xfId="1" applyNumberFormat="1" applyFont="1" applyBorder="1" applyAlignment="1">
      <alignment horizontal="left"/>
    </xf>
    <xf numFmtId="170" fontId="5" fillId="4" borderId="8" xfId="5" applyNumberFormat="1" applyFont="1" applyFill="1" applyBorder="1" applyAlignment="1">
      <alignment horizontal="center"/>
    </xf>
    <xf numFmtId="170" fontId="5" fillId="4" borderId="0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170" fontId="7" fillId="4" borderId="8" xfId="5" applyNumberFormat="1" applyFont="1" applyFill="1" applyBorder="1" applyAlignment="1">
      <alignment horizontal="center"/>
    </xf>
    <xf numFmtId="170" fontId="7" fillId="4" borderId="3" xfId="5" applyNumberFormat="1" applyFont="1" applyFill="1" applyBorder="1" applyAlignment="1">
      <alignment horizontal="center"/>
    </xf>
    <xf numFmtId="170" fontId="7" fillId="4" borderId="0" xfId="5" applyNumberFormat="1" applyFont="1" applyFill="1" applyBorder="1" applyAlignment="1">
      <alignment horizontal="center"/>
    </xf>
    <xf numFmtId="170" fontId="7" fillId="4" borderId="9" xfId="5" applyNumberFormat="1" applyFont="1" applyFill="1" applyBorder="1" applyAlignment="1">
      <alignment horizontal="center"/>
    </xf>
    <xf numFmtId="170" fontId="7" fillId="4" borderId="12" xfId="5" applyNumberFormat="1" applyFont="1" applyFill="1" applyBorder="1" applyAlignment="1">
      <alignment horizontal="center"/>
    </xf>
    <xf numFmtId="170" fontId="7" fillId="4" borderId="6" xfId="5" applyNumberFormat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165" fontId="5" fillId="0" borderId="3" xfId="5" applyNumberFormat="1" applyFont="1" applyFill="1" applyBorder="1" applyAlignment="1">
      <alignment horizontal="center"/>
    </xf>
    <xf numFmtId="170" fontId="7" fillId="0" borderId="8" xfId="5" applyNumberFormat="1" applyFont="1" applyFill="1" applyBorder="1" applyAlignment="1">
      <alignment horizontal="right"/>
    </xf>
    <xf numFmtId="170" fontId="7" fillId="0" borderId="0" xfId="5" applyNumberFormat="1" applyFont="1" applyFill="1" applyBorder="1" applyAlignment="1">
      <alignment horizontal="right"/>
    </xf>
    <xf numFmtId="0" fontId="7" fillId="5" borderId="14" xfId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165" fontId="5" fillId="4" borderId="9" xfId="4" applyFont="1" applyFill="1" applyBorder="1" applyAlignment="1">
      <alignment horizontal="center"/>
    </xf>
    <xf numFmtId="165" fontId="5" fillId="4" borderId="12" xfId="4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49" fontId="5" fillId="0" borderId="12" xfId="1" applyNumberFormat="1" applyFont="1" applyBorder="1" applyAlignment="1">
      <alignment horizontal="left"/>
    </xf>
    <xf numFmtId="37" fontId="14" fillId="4" borderId="17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170" fontId="5" fillId="4" borderId="9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0" fontId="9" fillId="4" borderId="0" xfId="1" applyFont="1" applyFill="1" applyAlignment="1">
      <alignment horizontal="center"/>
    </xf>
    <xf numFmtId="49" fontId="9" fillId="4" borderId="0" xfId="1" applyNumberFormat="1" applyFont="1" applyFill="1" applyAlignment="1">
      <alignment horizontal="center"/>
    </xf>
    <xf numFmtId="170" fontId="5" fillId="0" borderId="8" xfId="4" applyNumberFormat="1" applyFont="1" applyFill="1" applyBorder="1" applyAlignment="1">
      <alignment horizontal="center"/>
    </xf>
    <xf numFmtId="170" fontId="5" fillId="0" borderId="3" xfId="4" applyNumberFormat="1" applyFont="1" applyFill="1" applyBorder="1" applyAlignment="1">
      <alignment horizontal="center"/>
    </xf>
    <xf numFmtId="49" fontId="7" fillId="5" borderId="9" xfId="1" applyNumberFormat="1" applyFont="1" applyFill="1" applyBorder="1" applyAlignment="1">
      <alignment horizontal="center"/>
    </xf>
    <xf numFmtId="49" fontId="7" fillId="5" borderId="12" xfId="1" applyNumberFormat="1" applyFont="1" applyFill="1" applyBorder="1" applyAlignment="1">
      <alignment horizontal="center"/>
    </xf>
    <xf numFmtId="165" fontId="5" fillId="4" borderId="6" xfId="4" applyFont="1" applyFill="1" applyBorder="1" applyAlignment="1">
      <alignment horizontal="right"/>
    </xf>
    <xf numFmtId="170" fontId="7" fillId="4" borderId="14" xfId="5" applyNumberFormat="1" applyFont="1" applyFill="1" applyBorder="1" applyAlignment="1">
      <alignment horizontal="right"/>
    </xf>
    <xf numFmtId="170" fontId="7" fillId="4" borderId="13" xfId="5" applyNumberFormat="1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165" fontId="7" fillId="4" borderId="14" xfId="4" applyFont="1" applyFill="1" applyBorder="1" applyAlignment="1">
      <alignment horizontal="right"/>
    </xf>
    <xf numFmtId="165" fontId="7" fillId="4" borderId="17" xfId="4" applyFont="1" applyFill="1" applyBorder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5" fontId="7" fillId="4" borderId="8" xfId="4" applyFont="1" applyFill="1" applyBorder="1" applyAlignment="1">
      <alignment horizontal="center"/>
    </xf>
    <xf numFmtId="165" fontId="7" fillId="4" borderId="0" xfId="4" applyFont="1" applyFill="1" applyBorder="1" applyAlignment="1">
      <alignment horizontal="center"/>
    </xf>
    <xf numFmtId="165" fontId="8" fillId="3" borderId="14" xfId="4" applyFont="1" applyFill="1" applyBorder="1" applyAlignment="1">
      <alignment horizontal="center"/>
    </xf>
    <xf numFmtId="165" fontId="8" fillId="3" borderId="17" xfId="4" applyFont="1" applyFill="1" applyBorder="1" applyAlignment="1">
      <alignment horizontal="center"/>
    </xf>
    <xf numFmtId="165" fontId="8" fillId="3" borderId="4" xfId="4" applyFont="1" applyFill="1" applyBorder="1" applyAlignment="1">
      <alignment horizontal="center"/>
    </xf>
    <xf numFmtId="165" fontId="7" fillId="4" borderId="8" xfId="4" applyFont="1" applyFill="1" applyBorder="1" applyAlignment="1">
      <alignment horizontal="right"/>
    </xf>
    <xf numFmtId="165" fontId="7" fillId="4" borderId="3" xfId="4" applyFont="1" applyFill="1" applyBorder="1" applyAlignment="1">
      <alignment horizontal="right"/>
    </xf>
    <xf numFmtId="170" fontId="7" fillId="4" borderId="8" xfId="5" applyNumberFormat="1" applyFont="1" applyFill="1" applyBorder="1" applyAlignment="1">
      <alignment horizontal="right"/>
    </xf>
    <xf numFmtId="170" fontId="7" fillId="4" borderId="0" xfId="5" applyNumberFormat="1" applyFont="1" applyFill="1" applyBorder="1" applyAlignment="1">
      <alignment horizontal="right"/>
    </xf>
    <xf numFmtId="165" fontId="5" fillId="4" borderId="8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center"/>
    </xf>
    <xf numFmtId="170" fontId="5" fillId="0" borderId="0" xfId="5" applyNumberFormat="1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 indent="4"/>
    </xf>
    <xf numFmtId="170" fontId="5" fillId="6" borderId="8" xfId="5" applyNumberFormat="1" applyFont="1" applyFill="1" applyBorder="1" applyAlignment="1">
      <alignment horizontal="center"/>
    </xf>
    <xf numFmtId="170" fontId="5" fillId="6" borderId="0" xfId="5" applyNumberFormat="1" applyFont="1" applyFill="1" applyBorder="1" applyAlignment="1">
      <alignment horizontal="center"/>
    </xf>
    <xf numFmtId="0" fontId="7" fillId="0" borderId="0" xfId="1" applyFont="1" applyAlignment="1">
      <alignment horizontal="left" wrapText="1"/>
    </xf>
    <xf numFmtId="0" fontId="7" fillId="0" borderId="3" xfId="1" applyFont="1" applyBorder="1" applyAlignment="1">
      <alignment horizontal="left" wrapText="1"/>
    </xf>
    <xf numFmtId="165" fontId="7" fillId="4" borderId="10" xfId="4" applyFont="1" applyFill="1" applyBorder="1" applyAlignment="1">
      <alignment horizontal="right"/>
    </xf>
    <xf numFmtId="165" fontId="7" fillId="4" borderId="11" xfId="4" applyFont="1" applyFill="1" applyBorder="1" applyAlignment="1">
      <alignment horizontal="right"/>
    </xf>
    <xf numFmtId="170" fontId="7" fillId="4" borderId="10" xfId="5" applyNumberFormat="1" applyFont="1" applyFill="1" applyBorder="1" applyAlignment="1">
      <alignment horizontal="right"/>
    </xf>
    <xf numFmtId="170" fontId="7" fillId="4" borderId="5" xfId="5" applyNumberFormat="1" applyFont="1" applyFill="1" applyBorder="1" applyAlignment="1">
      <alignment horizontal="right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49" fontId="7" fillId="5" borderId="7" xfId="1" applyNumberFormat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49" fontId="7" fillId="5" borderId="10" xfId="1" applyNumberFormat="1" applyFont="1" applyFill="1" applyBorder="1" applyAlignment="1">
      <alignment horizontal="center"/>
    </xf>
    <xf numFmtId="49" fontId="7" fillId="5" borderId="11" xfId="1" applyNumberFormat="1" applyFont="1" applyFill="1" applyBorder="1" applyAlignment="1">
      <alignment horizontal="center"/>
    </xf>
    <xf numFmtId="49" fontId="7" fillId="5" borderId="8" xfId="1" applyNumberFormat="1" applyFont="1" applyFill="1" applyBorder="1" applyAlignment="1">
      <alignment horizontal="center"/>
    </xf>
    <xf numFmtId="49" fontId="7" fillId="5" borderId="0" xfId="1" applyNumberFormat="1" applyFont="1" applyFill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49" fontId="7" fillId="5" borderId="5" xfId="1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164" fontId="5" fillId="4" borderId="9" xfId="5" applyNumberFormat="1" applyFont="1" applyFill="1" applyBorder="1" applyAlignment="1">
      <alignment horizontal="center"/>
    </xf>
    <xf numFmtId="164" fontId="5" fillId="4" borderId="6" xfId="5" applyNumberFormat="1" applyFont="1" applyFill="1" applyBorder="1" applyAlignment="1">
      <alignment horizontal="center"/>
    </xf>
    <xf numFmtId="170" fontId="7" fillId="0" borderId="14" xfId="5" applyNumberFormat="1" applyFont="1" applyFill="1" applyBorder="1" applyAlignment="1">
      <alignment horizontal="right"/>
    </xf>
    <xf numFmtId="170" fontId="7" fillId="0" borderId="13" xfId="5" applyNumberFormat="1" applyFont="1" applyFill="1" applyBorder="1" applyAlignment="1">
      <alignment horizontal="right"/>
    </xf>
    <xf numFmtId="165" fontId="8" fillId="3" borderId="8" xfId="4" applyFont="1" applyFill="1" applyBorder="1" applyAlignment="1">
      <alignment horizontal="center"/>
    </xf>
    <xf numFmtId="165" fontId="8" fillId="3" borderId="3" xfId="4" applyFont="1" applyFill="1" applyBorder="1" applyAlignment="1">
      <alignment horizontal="center"/>
    </xf>
    <xf numFmtId="165" fontId="8" fillId="3" borderId="0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165" fontId="7" fillId="4" borderId="5" xfId="4" applyFont="1" applyFill="1" applyBorder="1" applyAlignment="1">
      <alignment horizontal="right"/>
    </xf>
    <xf numFmtId="165" fontId="7" fillId="4" borderId="0" xfId="4" applyFont="1" applyFill="1" applyBorder="1" applyAlignment="1">
      <alignment horizontal="right"/>
    </xf>
    <xf numFmtId="170" fontId="7" fillId="4" borderId="14" xfId="4" applyNumberFormat="1" applyFont="1" applyFill="1" applyBorder="1" applyAlignment="1">
      <alignment horizontal="center"/>
    </xf>
    <xf numFmtId="170" fontId="7" fillId="4" borderId="13" xfId="4" applyNumberFormat="1" applyFont="1" applyFill="1" applyBorder="1" applyAlignment="1">
      <alignment horizontal="center"/>
    </xf>
    <xf numFmtId="49" fontId="7" fillId="0" borderId="5" xfId="1" applyNumberFormat="1" applyFont="1" applyBorder="1" applyAlignment="1">
      <alignment horizontal="left"/>
    </xf>
    <xf numFmtId="49" fontId="7" fillId="0" borderId="11" xfId="1" applyNumberFormat="1" applyFont="1" applyBorder="1" applyAlignment="1">
      <alignment horizontal="left"/>
    </xf>
    <xf numFmtId="165" fontId="8" fillId="3" borderId="13" xfId="4" applyFont="1" applyFill="1" applyBorder="1" applyAlignment="1">
      <alignment horizontal="center"/>
    </xf>
    <xf numFmtId="170" fontId="5" fillId="0" borderId="14" xfId="4" applyNumberFormat="1" applyFont="1" applyFill="1" applyBorder="1" applyAlignment="1">
      <alignment horizontal="center" wrapText="1"/>
    </xf>
    <xf numFmtId="170" fontId="5" fillId="0" borderId="13" xfId="4" applyNumberFormat="1" applyFont="1" applyFill="1" applyBorder="1" applyAlignment="1">
      <alignment horizontal="center" wrapText="1"/>
    </xf>
    <xf numFmtId="49" fontId="7" fillId="0" borderId="17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/>
    </xf>
    <xf numFmtId="170" fontId="7" fillId="4" borderId="10" xfId="5" applyNumberFormat="1" applyFont="1" applyFill="1" applyBorder="1" applyAlignment="1">
      <alignment horizontal="center"/>
    </xf>
    <xf numFmtId="170" fontId="7" fillId="4" borderId="11" xfId="5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49" fontId="7" fillId="0" borderId="13" xfId="1" applyNumberFormat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170" fontId="7" fillId="4" borderId="17" xfId="5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164" fontId="5" fillId="4" borderId="3" xfId="5" applyNumberFormat="1" applyFont="1" applyFill="1" applyBorder="1" applyAlignment="1">
      <alignment horizontal="right"/>
    </xf>
    <xf numFmtId="0" fontId="5" fillId="0" borderId="6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164" fontId="5" fillId="4" borderId="9" xfId="5" applyNumberFormat="1" applyFont="1" applyFill="1" applyBorder="1" applyAlignment="1">
      <alignment horizontal="right"/>
    </xf>
    <xf numFmtId="164" fontId="5" fillId="4" borderId="12" xfId="5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164" fontId="7" fillId="4" borderId="10" xfId="5" applyNumberFormat="1" applyFont="1" applyFill="1" applyBorder="1" applyAlignment="1">
      <alignment horizontal="right"/>
    </xf>
    <xf numFmtId="164" fontId="7" fillId="4" borderId="5" xfId="5" applyNumberFormat="1" applyFont="1" applyFill="1" applyBorder="1" applyAlignment="1">
      <alignment horizontal="right"/>
    </xf>
    <xf numFmtId="0" fontId="7" fillId="0" borderId="3" xfId="1" applyFont="1" applyBorder="1" applyAlignment="1">
      <alignment horizontal="left"/>
    </xf>
    <xf numFmtId="164" fontId="7" fillId="4" borderId="11" xfId="5" applyNumberFormat="1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center"/>
    </xf>
    <xf numFmtId="170" fontId="7" fillId="4" borderId="14" xfId="5" applyNumberFormat="1" applyFont="1" applyFill="1" applyBorder="1" applyAlignment="1">
      <alignment horizontal="center"/>
    </xf>
    <xf numFmtId="170" fontId="7" fillId="4" borderId="13" xfId="5" applyNumberFormat="1" applyFont="1" applyFill="1" applyBorder="1" applyAlignment="1">
      <alignment horizontal="center"/>
    </xf>
    <xf numFmtId="170" fontId="5" fillId="6" borderId="3" xfId="5" applyNumberFormat="1" applyFont="1" applyFill="1" applyBorder="1" applyAlignment="1">
      <alignment horizontal="center"/>
    </xf>
    <xf numFmtId="170" fontId="5" fillId="6" borderId="8" xfId="5" applyNumberFormat="1" applyFont="1" applyFill="1" applyBorder="1" applyAlignment="1">
      <alignment horizontal="right"/>
    </xf>
    <xf numFmtId="170" fontId="5" fillId="6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 vertical="top"/>
    </xf>
    <xf numFmtId="49" fontId="5" fillId="0" borderId="3" xfId="1" applyNumberFormat="1" applyFont="1" applyBorder="1" applyAlignment="1">
      <alignment horizontal="left" vertical="top"/>
    </xf>
    <xf numFmtId="0" fontId="7" fillId="0" borderId="5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170" fontId="5" fillId="4" borderId="8" xfId="4" applyNumberFormat="1" applyFont="1" applyFill="1" applyBorder="1" applyAlignment="1">
      <alignment horizontal="center"/>
    </xf>
    <xf numFmtId="170" fontId="5" fillId="4" borderId="3" xfId="4" applyNumberFormat="1" applyFont="1" applyFill="1" applyBorder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170" fontId="7" fillId="4" borderId="10" xfId="4" applyNumberFormat="1" applyFont="1" applyFill="1" applyBorder="1" applyAlignment="1">
      <alignment horizontal="right"/>
    </xf>
    <xf numFmtId="170" fontId="7" fillId="4" borderId="11" xfId="4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49" fontId="7" fillId="5" borderId="6" xfId="1" applyNumberFormat="1" applyFont="1" applyFill="1" applyBorder="1" applyAlignment="1">
      <alignment horizontal="center"/>
    </xf>
    <xf numFmtId="170" fontId="7" fillId="4" borderId="8" xfId="4" applyNumberFormat="1" applyFont="1" applyFill="1" applyBorder="1" applyAlignment="1">
      <alignment horizontal="right"/>
    </xf>
    <xf numFmtId="170" fontId="7" fillId="4" borderId="3" xfId="4" applyNumberFormat="1" applyFont="1" applyFill="1" applyBorder="1" applyAlignment="1">
      <alignment horizontal="right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5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5" fillId="7" borderId="0" xfId="1" applyFont="1" applyFill="1" applyAlignment="1">
      <alignment horizontal="center"/>
    </xf>
    <xf numFmtId="0" fontId="5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15" fillId="6" borderId="0" xfId="1" applyFont="1" applyFill="1" applyAlignment="1">
      <alignment horizontal="center"/>
    </xf>
    <xf numFmtId="3" fontId="5" fillId="0" borderId="0" xfId="1" applyNumberFormat="1" applyFont="1" applyAlignment="1">
      <alignment horizontal="center"/>
    </xf>
    <xf numFmtId="43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wrapText="1"/>
    </xf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951440</xdr:colOff>
      <xdr:row>0</xdr:row>
      <xdr:rowOff>61384</xdr:rowOff>
    </xdr:from>
    <xdr:to>
      <xdr:col>4</xdr:col>
      <xdr:colOff>100541</xdr:colOff>
      <xdr:row>4</xdr:row>
      <xdr:rowOff>80434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3" y="61384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topLeftCell="A216" zoomScale="90" zoomScaleNormal="90" zoomScaleSheetLayoutView="70" workbookViewId="0">
      <selection activeCell="G97" sqref="G97:H97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2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306" t="s">
        <v>0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</row>
    <row r="7" spans="1:12" s="4" customFormat="1" ht="15.75" customHeight="1" x14ac:dyDescent="0.25">
      <c r="A7" s="307" t="s">
        <v>1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</row>
    <row r="8" spans="1:12" s="4" customFormat="1" ht="15.75" customHeight="1" x14ac:dyDescent="0.25">
      <c r="A8" s="308" t="s">
        <v>2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s="4" customFormat="1" ht="15.75" customHeight="1" x14ac:dyDescent="0.25">
      <c r="A9" s="306" t="s">
        <v>3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</row>
    <row r="10" spans="1:12" s="4" customFormat="1" ht="16.5" x14ac:dyDescent="0.25">
      <c r="A10" s="204" t="s">
        <v>155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9" t="s">
        <v>156</v>
      </c>
    </row>
    <row r="13" spans="1:12" s="3" customFormat="1" ht="15.75" x14ac:dyDescent="0.25">
      <c r="A13" s="10" t="s">
        <v>4</v>
      </c>
      <c r="E13" s="11"/>
      <c r="H13" s="12"/>
      <c r="I13" s="8"/>
      <c r="J13" s="13"/>
      <c r="L13" s="13">
        <v>1</v>
      </c>
    </row>
    <row r="14" spans="1:12" s="3" customFormat="1" ht="20.25" customHeight="1" x14ac:dyDescent="0.25">
      <c r="A14" s="249" t="s">
        <v>5</v>
      </c>
      <c r="B14" s="189"/>
      <c r="C14" s="239" t="s">
        <v>6</v>
      </c>
      <c r="D14" s="15" t="s">
        <v>7</v>
      </c>
      <c r="E14" s="242" t="s">
        <v>8</v>
      </c>
      <c r="F14" s="243"/>
      <c r="G14" s="243"/>
      <c r="H14" s="243"/>
      <c r="I14" s="244"/>
      <c r="J14" s="245" t="s">
        <v>9</v>
      </c>
      <c r="K14" s="252"/>
      <c r="L14" s="252"/>
    </row>
    <row r="15" spans="1:12" s="3" customFormat="1" ht="15.75" customHeight="1" x14ac:dyDescent="0.25">
      <c r="A15" s="250"/>
      <c r="B15" s="190"/>
      <c r="C15" s="240"/>
      <c r="D15" s="16" t="s">
        <v>10</v>
      </c>
      <c r="E15" s="15" t="s">
        <v>11</v>
      </c>
      <c r="F15" s="17" t="s">
        <v>12</v>
      </c>
      <c r="G15" s="245" t="s">
        <v>13</v>
      </c>
      <c r="H15" s="246"/>
      <c r="I15" s="17" t="s">
        <v>12</v>
      </c>
      <c r="J15" s="247"/>
      <c r="K15" s="248"/>
      <c r="L15" s="248"/>
    </row>
    <row r="16" spans="1:12" s="3" customFormat="1" ht="16.5" customHeight="1" x14ac:dyDescent="0.25">
      <c r="A16" s="251"/>
      <c r="B16" s="191"/>
      <c r="C16" s="241"/>
      <c r="D16" s="19" t="s">
        <v>14</v>
      </c>
      <c r="E16" s="19" t="s">
        <v>15</v>
      </c>
      <c r="F16" s="19" t="s">
        <v>16</v>
      </c>
      <c r="G16" s="207" t="s">
        <v>17</v>
      </c>
      <c r="H16" s="208"/>
      <c r="I16" s="19" t="s">
        <v>18</v>
      </c>
      <c r="J16" s="207" t="s">
        <v>19</v>
      </c>
      <c r="K16" s="309"/>
      <c r="L16" s="309"/>
    </row>
    <row r="17" spans="1:13" s="3" customFormat="1" ht="15.95" customHeight="1" x14ac:dyDescent="0.25">
      <c r="A17" s="233" t="s">
        <v>20</v>
      </c>
      <c r="B17" s="234"/>
      <c r="C17" s="20">
        <f>C18+C58</f>
        <v>99566847052</v>
      </c>
      <c r="D17" s="21">
        <f>D18+D58</f>
        <v>101138716873.59998</v>
      </c>
      <c r="E17" s="22">
        <f>E18+E58</f>
        <v>15286889800.309996</v>
      </c>
      <c r="F17" s="23">
        <f>(E17/D17)*100</f>
        <v>15.114775303522068</v>
      </c>
      <c r="G17" s="304">
        <f>G18+G58</f>
        <v>35577773283.429993</v>
      </c>
      <c r="H17" s="305"/>
      <c r="I17" s="23">
        <f>(G17/D17)*100</f>
        <v>35.177204519901103</v>
      </c>
      <c r="J17" s="237">
        <f>D17-G17</f>
        <v>65560943590.169983</v>
      </c>
      <c r="K17" s="238"/>
      <c r="L17" s="238"/>
      <c r="M17" s="25"/>
    </row>
    <row r="18" spans="1:13" s="3" customFormat="1" ht="15.95" customHeight="1" x14ac:dyDescent="0.25">
      <c r="A18" s="166" t="s">
        <v>21</v>
      </c>
      <c r="B18" s="166"/>
      <c r="C18" s="26">
        <f>C19+C23+C28+C36+C37+C38+C44+C52</f>
        <v>98900913618</v>
      </c>
      <c r="D18" s="27">
        <f>D19+D23+D28+D36+D37+D38+D44+D52</f>
        <v>100511010300.37997</v>
      </c>
      <c r="E18" s="22">
        <f>E19+E23+E28+E36+E37+E38+E44+E52</f>
        <v>15258647601.149996</v>
      </c>
      <c r="F18" s="28">
        <f t="shared" ref="F18:F77" si="0">(E18/D18)*100</f>
        <v>15.181070765828638</v>
      </c>
      <c r="G18" s="310">
        <f>G19+G23+G28+G36+G37+G38+G44+G52</f>
        <v>35514172480.929993</v>
      </c>
      <c r="H18" s="311"/>
      <c r="I18" s="28">
        <f t="shared" ref="I18:I77" si="1">(G18/D18)*100</f>
        <v>35.333614073517808</v>
      </c>
      <c r="J18" s="224">
        <f t="shared" ref="J18:J81" si="2">D18-G18</f>
        <v>64996837819.449982</v>
      </c>
      <c r="K18" s="225"/>
      <c r="L18" s="225"/>
      <c r="M18" s="30"/>
    </row>
    <row r="19" spans="1:13" s="3" customFormat="1" ht="15.95" customHeight="1" x14ac:dyDescent="0.25">
      <c r="A19" s="156" t="s">
        <v>22</v>
      </c>
      <c r="B19" s="156"/>
      <c r="C19" s="31">
        <f>C20+C21+C22</f>
        <v>51303421483</v>
      </c>
      <c r="D19" s="32">
        <f>D20+D21+D22</f>
        <v>53152536281.199997</v>
      </c>
      <c r="E19" s="33">
        <f>E20+E21+E22</f>
        <v>9221839674.2199974</v>
      </c>
      <c r="F19" s="34">
        <f t="shared" si="0"/>
        <v>17.349764130600391</v>
      </c>
      <c r="G19" s="302">
        <f>G20+G21+H22</f>
        <v>19287571991.759998</v>
      </c>
      <c r="H19" s="303" t="e">
        <f>G20+G21+#REF!</f>
        <v>#REF!</v>
      </c>
      <c r="I19" s="34">
        <f t="shared" si="1"/>
        <v>36.287209117774488</v>
      </c>
      <c r="J19" s="159">
        <f t="shared" si="2"/>
        <v>33864964289.439999</v>
      </c>
      <c r="K19" s="160"/>
      <c r="L19" s="160"/>
      <c r="M19" s="30"/>
    </row>
    <row r="20" spans="1:13" s="3" customFormat="1" ht="15.95" customHeight="1" x14ac:dyDescent="0.25">
      <c r="A20" s="156" t="s">
        <v>23</v>
      </c>
      <c r="B20" s="156"/>
      <c r="C20" s="31">
        <v>46449631008</v>
      </c>
      <c r="D20" s="32">
        <v>48312786345.809998</v>
      </c>
      <c r="E20" s="33">
        <f>G20-8882717422.19</f>
        <v>8510762398.6599979</v>
      </c>
      <c r="F20" s="34">
        <f t="shared" si="0"/>
        <v>17.615962651672039</v>
      </c>
      <c r="G20" s="300">
        <v>17393479820.849998</v>
      </c>
      <c r="H20" s="301"/>
      <c r="I20" s="34">
        <f t="shared" si="1"/>
        <v>36.001814708744234</v>
      </c>
      <c r="J20" s="159">
        <f t="shared" si="2"/>
        <v>30919306524.959999</v>
      </c>
      <c r="K20" s="160"/>
      <c r="L20" s="160"/>
    </row>
    <row r="21" spans="1:13" s="3" customFormat="1" ht="15.95" customHeight="1" x14ac:dyDescent="0.25">
      <c r="A21" s="156" t="s">
        <v>24</v>
      </c>
      <c r="B21" s="156"/>
      <c r="C21" s="31">
        <v>4853790475</v>
      </c>
      <c r="D21" s="32">
        <v>4839749935.3900003</v>
      </c>
      <c r="E21" s="33">
        <f>G21-1183014895.35</f>
        <v>711077275.56000018</v>
      </c>
      <c r="F21" s="34">
        <f t="shared" si="0"/>
        <v>14.692438350178927</v>
      </c>
      <c r="G21" s="300">
        <v>1894092170.9100001</v>
      </c>
      <c r="H21" s="301"/>
      <c r="I21" s="34">
        <f t="shared" si="1"/>
        <v>39.136157780791805</v>
      </c>
      <c r="J21" s="159">
        <f t="shared" si="2"/>
        <v>2945657764.4800005</v>
      </c>
      <c r="K21" s="160"/>
      <c r="L21" s="160"/>
    </row>
    <row r="22" spans="1:13" s="3" customFormat="1" ht="15.95" customHeight="1" x14ac:dyDescent="0.25">
      <c r="A22" s="230" t="s">
        <v>25</v>
      </c>
      <c r="B22" s="230"/>
      <c r="C22" s="31">
        <v>0</v>
      </c>
      <c r="D22" s="32">
        <v>0</v>
      </c>
      <c r="E22" s="33">
        <f>G22-0</f>
        <v>0</v>
      </c>
      <c r="F22" s="34">
        <v>0</v>
      </c>
      <c r="G22" s="302">
        <v>0</v>
      </c>
      <c r="H22" s="303"/>
      <c r="I22" s="34">
        <v>0</v>
      </c>
      <c r="J22" s="159">
        <f t="shared" si="2"/>
        <v>0</v>
      </c>
      <c r="K22" s="160"/>
      <c r="L22" s="160"/>
    </row>
    <row r="23" spans="1:13" s="3" customFormat="1" ht="17.25" customHeight="1" x14ac:dyDescent="0.25">
      <c r="A23" s="156" t="s">
        <v>26</v>
      </c>
      <c r="B23" s="156"/>
      <c r="C23" s="31">
        <f>C25+C24+C26+C27</f>
        <v>4185040647</v>
      </c>
      <c r="D23" s="32">
        <f>D25+D24+D26+D27</f>
        <v>4185040647</v>
      </c>
      <c r="E23" s="33">
        <f>E25+E24+E26+E27</f>
        <v>654966774.89999986</v>
      </c>
      <c r="F23" s="34">
        <f t="shared" si="0"/>
        <v>15.650189093611445</v>
      </c>
      <c r="G23" s="302">
        <f>SUM(G24:H27)</f>
        <v>1373495090.3699999</v>
      </c>
      <c r="H23" s="303"/>
      <c r="I23" s="34">
        <f t="shared" si="1"/>
        <v>32.819157714861738</v>
      </c>
      <c r="J23" s="159">
        <f t="shared" si="2"/>
        <v>2811545556.6300001</v>
      </c>
      <c r="K23" s="160"/>
      <c r="L23" s="160"/>
      <c r="M23" s="30"/>
    </row>
    <row r="24" spans="1:13" s="3" customFormat="1" ht="15.95" customHeight="1" x14ac:dyDescent="0.25">
      <c r="A24" s="156" t="s">
        <v>27</v>
      </c>
      <c r="B24" s="156"/>
      <c r="C24" s="31">
        <v>4185040647</v>
      </c>
      <c r="D24" s="32">
        <v>4185040647</v>
      </c>
      <c r="E24" s="33">
        <f>G24-718528315.47</f>
        <v>654966774.89999986</v>
      </c>
      <c r="F24" s="34">
        <f t="shared" si="0"/>
        <v>15.650189093611445</v>
      </c>
      <c r="G24" s="300">
        <v>1373495090.3699999</v>
      </c>
      <c r="H24" s="301"/>
      <c r="I24" s="34">
        <f t="shared" si="1"/>
        <v>32.819157714861738</v>
      </c>
      <c r="J24" s="159">
        <f t="shared" si="2"/>
        <v>2811545556.6300001</v>
      </c>
      <c r="K24" s="160"/>
      <c r="L24" s="160"/>
    </row>
    <row r="25" spans="1:13" s="3" customFormat="1" ht="15.95" customHeight="1" x14ac:dyDescent="0.25">
      <c r="A25" s="156" t="s">
        <v>28</v>
      </c>
      <c r="B25" s="156"/>
      <c r="C25" s="31">
        <v>0</v>
      </c>
      <c r="D25" s="32">
        <v>0</v>
      </c>
      <c r="E25" s="33">
        <f>G25</f>
        <v>0</v>
      </c>
      <c r="F25" s="34">
        <v>0</v>
      </c>
      <c r="G25" s="302">
        <v>0</v>
      </c>
      <c r="H25" s="303"/>
      <c r="I25" s="34">
        <v>0</v>
      </c>
      <c r="J25" s="159">
        <f t="shared" si="2"/>
        <v>0</v>
      </c>
      <c r="K25" s="160"/>
      <c r="L25" s="160"/>
    </row>
    <row r="26" spans="1:13" s="3" customFormat="1" ht="15.95" customHeight="1" x14ac:dyDescent="0.25">
      <c r="A26" s="156" t="s">
        <v>29</v>
      </c>
      <c r="B26" s="156"/>
      <c r="C26" s="31">
        <v>0</v>
      </c>
      <c r="D26" s="32">
        <v>0</v>
      </c>
      <c r="E26" s="33">
        <f>G26</f>
        <v>0</v>
      </c>
      <c r="F26" s="34">
        <v>0</v>
      </c>
      <c r="G26" s="302">
        <v>0</v>
      </c>
      <c r="H26" s="303"/>
      <c r="I26" s="34">
        <v>0</v>
      </c>
      <c r="J26" s="167">
        <f t="shared" si="2"/>
        <v>0</v>
      </c>
      <c r="K26" s="168"/>
      <c r="L26" s="168"/>
    </row>
    <row r="27" spans="1:13" s="3" customFormat="1" ht="15.95" customHeight="1" x14ac:dyDescent="0.25">
      <c r="A27" s="156" t="s">
        <v>30</v>
      </c>
      <c r="B27" s="156"/>
      <c r="C27" s="31">
        <v>0</v>
      </c>
      <c r="D27" s="32">
        <v>0</v>
      </c>
      <c r="E27" s="33">
        <f>G27</f>
        <v>0</v>
      </c>
      <c r="F27" s="34">
        <v>0</v>
      </c>
      <c r="G27" s="302">
        <v>0</v>
      </c>
      <c r="H27" s="303"/>
      <c r="I27" s="34">
        <v>0</v>
      </c>
      <c r="J27" s="167">
        <f t="shared" si="2"/>
        <v>0</v>
      </c>
      <c r="K27" s="168"/>
      <c r="L27" s="168"/>
    </row>
    <row r="28" spans="1:13" s="3" customFormat="1" ht="15.95" customHeight="1" x14ac:dyDescent="0.25">
      <c r="A28" s="156" t="s">
        <v>31</v>
      </c>
      <c r="B28" s="156"/>
      <c r="C28" s="31">
        <f>SUM(C29:C35)</f>
        <v>30065343435</v>
      </c>
      <c r="D28" s="32">
        <f>SUM(D29:D35)</f>
        <v>29627527391.039997</v>
      </c>
      <c r="E28" s="33">
        <f>SUM(E29:E35)</f>
        <v>3112642225.6799994</v>
      </c>
      <c r="F28" s="34">
        <f t="shared" si="0"/>
        <v>10.505912911994571</v>
      </c>
      <c r="G28" s="302">
        <f>SUM(G29:H35)</f>
        <v>9875781659.8499985</v>
      </c>
      <c r="H28" s="303">
        <f>SUM(H29:H35)</f>
        <v>0</v>
      </c>
      <c r="I28" s="34">
        <f t="shared" si="1"/>
        <v>33.333128105846079</v>
      </c>
      <c r="J28" s="159">
        <f t="shared" si="2"/>
        <v>19751745731.189999</v>
      </c>
      <c r="K28" s="160"/>
      <c r="L28" s="160"/>
      <c r="M28" s="30"/>
    </row>
    <row r="29" spans="1:13" s="3" customFormat="1" ht="15.95" customHeight="1" x14ac:dyDescent="0.25">
      <c r="A29" s="156" t="s">
        <v>32</v>
      </c>
      <c r="B29" s="156"/>
      <c r="C29" s="31">
        <v>97944740</v>
      </c>
      <c r="D29" s="32">
        <v>97500644.040000007</v>
      </c>
      <c r="E29" s="33">
        <f>G29-13361008.18</f>
        <v>14154060.120000001</v>
      </c>
      <c r="F29" s="34">
        <f t="shared" si="0"/>
        <v>14.51688884659392</v>
      </c>
      <c r="G29" s="300">
        <v>27515068.300000001</v>
      </c>
      <c r="H29" s="301"/>
      <c r="I29" s="34">
        <f t="shared" si="1"/>
        <v>28.220396460880647</v>
      </c>
      <c r="J29" s="159">
        <f t="shared" si="2"/>
        <v>69985575.74000001</v>
      </c>
      <c r="K29" s="160"/>
      <c r="L29" s="160"/>
    </row>
    <row r="30" spans="1:13" s="3" customFormat="1" ht="15.95" customHeight="1" x14ac:dyDescent="0.25">
      <c r="A30" s="156" t="s">
        <v>33</v>
      </c>
      <c r="B30" s="156"/>
      <c r="C30" s="31">
        <v>2596918987</v>
      </c>
      <c r="D30" s="32">
        <v>3406038011.9899998</v>
      </c>
      <c r="E30" s="33">
        <f>G30-701180317.53</f>
        <v>887742488.30999994</v>
      </c>
      <c r="F30" s="34">
        <f t="shared" si="0"/>
        <v>26.063786874513788</v>
      </c>
      <c r="G30" s="300">
        <v>1588922805.8399999</v>
      </c>
      <c r="H30" s="301"/>
      <c r="I30" s="34">
        <f t="shared" si="1"/>
        <v>46.650178308246815</v>
      </c>
      <c r="J30" s="159">
        <f t="shared" si="2"/>
        <v>1817115206.1499999</v>
      </c>
      <c r="K30" s="160"/>
      <c r="L30" s="160"/>
    </row>
    <row r="31" spans="1:13" s="3" customFormat="1" ht="15.95" customHeight="1" x14ac:dyDescent="0.25">
      <c r="A31" s="156" t="s">
        <v>34</v>
      </c>
      <c r="B31" s="156"/>
      <c r="C31" s="31">
        <v>42308345</v>
      </c>
      <c r="D31" s="32">
        <v>42890825.759999998</v>
      </c>
      <c r="E31" s="33">
        <f>G31-7201477.8</f>
        <v>9158424.3999999985</v>
      </c>
      <c r="F31" s="34">
        <f t="shared" si="0"/>
        <v>21.352874974352087</v>
      </c>
      <c r="G31" s="300">
        <v>16359902.199999999</v>
      </c>
      <c r="H31" s="301"/>
      <c r="I31" s="34">
        <f t="shared" si="1"/>
        <v>38.143127137592323</v>
      </c>
      <c r="J31" s="159">
        <f t="shared" si="2"/>
        <v>26530923.559999999</v>
      </c>
      <c r="K31" s="160"/>
      <c r="L31" s="160"/>
    </row>
    <row r="32" spans="1:13" s="3" customFormat="1" ht="15.95" customHeight="1" x14ac:dyDescent="0.25">
      <c r="A32" s="156" t="s">
        <v>35</v>
      </c>
      <c r="B32" s="156"/>
      <c r="C32" s="31">
        <v>1368413236</v>
      </c>
      <c r="D32" s="32">
        <v>1584271664.74</v>
      </c>
      <c r="E32" s="33">
        <f>G32-591151643.13</f>
        <v>24830731.789999962</v>
      </c>
      <c r="F32" s="34">
        <f t="shared" si="0"/>
        <v>1.5673278985315322</v>
      </c>
      <c r="G32" s="300">
        <v>615982374.91999996</v>
      </c>
      <c r="H32" s="301"/>
      <c r="I32" s="34">
        <f t="shared" si="1"/>
        <v>38.881107869911368</v>
      </c>
      <c r="J32" s="159">
        <f t="shared" si="2"/>
        <v>968289289.82000005</v>
      </c>
      <c r="K32" s="160"/>
      <c r="L32" s="160"/>
    </row>
    <row r="33" spans="1:13" s="3" customFormat="1" ht="15.95" customHeight="1" x14ac:dyDescent="0.25">
      <c r="A33" s="156" t="s">
        <v>36</v>
      </c>
      <c r="B33" s="156"/>
      <c r="C33" s="31">
        <v>0</v>
      </c>
      <c r="D33" s="32">
        <v>0</v>
      </c>
      <c r="E33" s="33">
        <f>G33</f>
        <v>0</v>
      </c>
      <c r="F33" s="34">
        <v>0</v>
      </c>
      <c r="G33" s="300">
        <v>0</v>
      </c>
      <c r="H33" s="301"/>
      <c r="I33" s="34">
        <v>0</v>
      </c>
      <c r="J33" s="159">
        <f t="shared" si="2"/>
        <v>0</v>
      </c>
      <c r="K33" s="160"/>
      <c r="L33" s="160"/>
    </row>
    <row r="34" spans="1:13" s="3" customFormat="1" ht="15.95" customHeight="1" x14ac:dyDescent="0.25">
      <c r="A34" s="156" t="s">
        <v>37</v>
      </c>
      <c r="B34" s="156"/>
      <c r="C34" s="31">
        <v>578096596</v>
      </c>
      <c r="D34" s="32">
        <v>578096596</v>
      </c>
      <c r="E34" s="33">
        <f>G34-27109374.18</f>
        <v>0</v>
      </c>
      <c r="F34" s="34">
        <f t="shared" si="0"/>
        <v>0</v>
      </c>
      <c r="G34" s="300">
        <v>27109374.18</v>
      </c>
      <c r="H34" s="301"/>
      <c r="I34" s="34">
        <f t="shared" si="1"/>
        <v>4.6894194443587418</v>
      </c>
      <c r="J34" s="159">
        <f t="shared" si="2"/>
        <v>550987221.82000005</v>
      </c>
      <c r="K34" s="160"/>
      <c r="L34" s="160"/>
    </row>
    <row r="35" spans="1:13" s="3" customFormat="1" ht="15.95" customHeight="1" x14ac:dyDescent="0.25">
      <c r="A35" s="156" t="s">
        <v>38</v>
      </c>
      <c r="B35" s="156"/>
      <c r="C35" s="31">
        <v>25381661531</v>
      </c>
      <c r="D35" s="32">
        <v>23918729648.509998</v>
      </c>
      <c r="E35" s="33">
        <f>G35-5423135613.35</f>
        <v>2176756521.0599995</v>
      </c>
      <c r="F35" s="34">
        <f t="shared" si="0"/>
        <v>9.1006359996865438</v>
      </c>
      <c r="G35" s="300">
        <v>7599892134.4099998</v>
      </c>
      <c r="H35" s="301"/>
      <c r="I35" s="34">
        <f t="shared" si="1"/>
        <v>31.773811762128556</v>
      </c>
      <c r="J35" s="159">
        <f t="shared" si="2"/>
        <v>16318837514.099998</v>
      </c>
      <c r="K35" s="160"/>
      <c r="L35" s="160"/>
    </row>
    <row r="36" spans="1:13" s="3" customFormat="1" ht="15.95" customHeight="1" x14ac:dyDescent="0.25">
      <c r="A36" s="156" t="s">
        <v>39</v>
      </c>
      <c r="B36" s="156"/>
      <c r="C36" s="31">
        <v>129500</v>
      </c>
      <c r="D36" s="32">
        <v>129500</v>
      </c>
      <c r="E36" s="33">
        <f>G36-0</f>
        <v>0</v>
      </c>
      <c r="F36" s="34">
        <f t="shared" si="0"/>
        <v>0</v>
      </c>
      <c r="G36" s="300">
        <v>0</v>
      </c>
      <c r="H36" s="301"/>
      <c r="I36" s="34">
        <f t="shared" si="1"/>
        <v>0</v>
      </c>
      <c r="J36" s="159">
        <f t="shared" si="2"/>
        <v>129500</v>
      </c>
      <c r="K36" s="160"/>
      <c r="L36" s="160"/>
      <c r="M36" s="30"/>
    </row>
    <row r="37" spans="1:13" s="3" customFormat="1" ht="15.95" customHeight="1" x14ac:dyDescent="0.25">
      <c r="A37" s="156" t="s">
        <v>40</v>
      </c>
      <c r="B37" s="156"/>
      <c r="C37" s="31">
        <v>35083783</v>
      </c>
      <c r="D37" s="32">
        <v>35083783</v>
      </c>
      <c r="E37" s="33">
        <f>G37-14939.81</f>
        <v>20622.840000000004</v>
      </c>
      <c r="F37" s="34">
        <f t="shared" si="0"/>
        <v>5.8781688394321678E-2</v>
      </c>
      <c r="G37" s="300">
        <v>35562.65</v>
      </c>
      <c r="H37" s="301"/>
      <c r="I37" s="34">
        <f t="shared" si="1"/>
        <v>0.1013649240733247</v>
      </c>
      <c r="J37" s="159">
        <f t="shared" si="2"/>
        <v>35048220.350000001</v>
      </c>
      <c r="K37" s="160"/>
      <c r="L37" s="160"/>
      <c r="M37" s="30"/>
    </row>
    <row r="38" spans="1:13" s="3" customFormat="1" ht="15.95" customHeight="1" x14ac:dyDescent="0.25">
      <c r="A38" s="156" t="s">
        <v>41</v>
      </c>
      <c r="B38" s="156"/>
      <c r="C38" s="31">
        <f>SUM(C39:C43)</f>
        <v>530269406</v>
      </c>
      <c r="D38" s="32">
        <f>SUM(D39:D43)</f>
        <v>530716633.17999995</v>
      </c>
      <c r="E38" s="33">
        <f>SUM(E39:E43)</f>
        <v>67495087.659999996</v>
      </c>
      <c r="F38" s="34">
        <f t="shared" si="0"/>
        <v>12.717726078336064</v>
      </c>
      <c r="G38" s="302">
        <f>SUM(G39:H43)</f>
        <v>134886714.15000001</v>
      </c>
      <c r="H38" s="303"/>
      <c r="I38" s="34">
        <f t="shared" si="1"/>
        <v>25.415957540613071</v>
      </c>
      <c r="J38" s="159">
        <f t="shared" si="2"/>
        <v>395829919.02999997</v>
      </c>
      <c r="K38" s="160"/>
      <c r="L38" s="160"/>
      <c r="M38" s="30"/>
    </row>
    <row r="39" spans="1:13" s="3" customFormat="1" ht="15.95" customHeight="1" x14ac:dyDescent="0.25">
      <c r="A39" s="156" t="s">
        <v>42</v>
      </c>
      <c r="B39" s="156"/>
      <c r="C39" s="31">
        <v>312532652</v>
      </c>
      <c r="D39" s="32">
        <v>312533881.32999998</v>
      </c>
      <c r="E39" s="33">
        <f>G39-55067745.62</f>
        <v>53910402.979999997</v>
      </c>
      <c r="F39" s="34">
        <f t="shared" si="0"/>
        <v>17.249458762865068</v>
      </c>
      <c r="G39" s="300">
        <v>108978148.59999999</v>
      </c>
      <c r="H39" s="301"/>
      <c r="I39" s="34">
        <f t="shared" si="1"/>
        <v>34.869227021479809</v>
      </c>
      <c r="J39" s="159">
        <f t="shared" si="2"/>
        <v>203555732.72999999</v>
      </c>
      <c r="K39" s="160"/>
      <c r="L39" s="160"/>
    </row>
    <row r="40" spans="1:13" s="3" customFormat="1" ht="15.95" customHeight="1" x14ac:dyDescent="0.25">
      <c r="A40" s="156" t="s">
        <v>43</v>
      </c>
      <c r="B40" s="156"/>
      <c r="C40" s="31">
        <v>25598407</v>
      </c>
      <c r="D40" s="32">
        <v>25723244.84</v>
      </c>
      <c r="E40" s="33">
        <f>G40-2079002.99</f>
        <v>2564690.6899999995</v>
      </c>
      <c r="F40" s="34">
        <f t="shared" si="0"/>
        <v>9.9703233629836241</v>
      </c>
      <c r="G40" s="300">
        <v>4643693.68</v>
      </c>
      <c r="H40" s="301"/>
      <c r="I40" s="34">
        <f t="shared" si="1"/>
        <v>18.052519069363257</v>
      </c>
      <c r="J40" s="167">
        <f t="shared" si="2"/>
        <v>21079551.16</v>
      </c>
      <c r="K40" s="168"/>
      <c r="L40" s="168"/>
    </row>
    <row r="41" spans="1:13" s="3" customFormat="1" ht="15.95" customHeight="1" x14ac:dyDescent="0.25">
      <c r="A41" s="156" t="s">
        <v>44</v>
      </c>
      <c r="B41" s="156"/>
      <c r="C41" s="31">
        <v>133348092</v>
      </c>
      <c r="D41" s="32">
        <v>133348092</v>
      </c>
      <c r="E41" s="33">
        <f>G41-65294.02</f>
        <v>131012.56</v>
      </c>
      <c r="F41" s="34">
        <f t="shared" si="0"/>
        <v>9.8248544868568488E-2</v>
      </c>
      <c r="G41" s="300">
        <v>196306.58</v>
      </c>
      <c r="H41" s="301"/>
      <c r="I41" s="34">
        <f t="shared" si="1"/>
        <v>0.14721363992219702</v>
      </c>
      <c r="J41" s="167">
        <f t="shared" si="2"/>
        <v>133151785.42</v>
      </c>
      <c r="K41" s="168"/>
      <c r="L41" s="168"/>
    </row>
    <row r="42" spans="1:13" s="3" customFormat="1" ht="15.95" customHeight="1" x14ac:dyDescent="0.25">
      <c r="A42" s="156" t="s">
        <v>45</v>
      </c>
      <c r="B42" s="156"/>
      <c r="C42" s="31">
        <v>6637471</v>
      </c>
      <c r="D42" s="32">
        <v>6961980.4400000004</v>
      </c>
      <c r="E42" s="33">
        <f>G42-1366472.34</f>
        <v>1487840.1899999997</v>
      </c>
      <c r="F42" s="34">
        <f t="shared" si="0"/>
        <v>21.370933211067737</v>
      </c>
      <c r="G42" s="300">
        <v>2854312.53</v>
      </c>
      <c r="H42" s="301"/>
      <c r="I42" s="34">
        <f t="shared" si="1"/>
        <v>40.998571521410362</v>
      </c>
      <c r="J42" s="167">
        <f t="shared" si="2"/>
        <v>4107667.9100000006</v>
      </c>
      <c r="K42" s="168"/>
      <c r="L42" s="168"/>
    </row>
    <row r="43" spans="1:13" s="3" customFormat="1" ht="15.95" customHeight="1" x14ac:dyDescent="0.25">
      <c r="A43" s="156" t="s">
        <v>46</v>
      </c>
      <c r="B43" s="156"/>
      <c r="C43" s="31">
        <v>52152784</v>
      </c>
      <c r="D43" s="32">
        <v>52149434.57</v>
      </c>
      <c r="E43" s="33">
        <f>G43-8813111.52</f>
        <v>9401141.2400000021</v>
      </c>
      <c r="F43" s="34">
        <f t="shared" si="0"/>
        <v>18.027311930642092</v>
      </c>
      <c r="G43" s="300">
        <v>18214252.760000002</v>
      </c>
      <c r="H43" s="301"/>
      <c r="I43" s="34">
        <f t="shared" si="1"/>
        <v>34.927037867593896</v>
      </c>
      <c r="J43" s="167">
        <f t="shared" si="2"/>
        <v>33935181.810000002</v>
      </c>
      <c r="K43" s="168"/>
      <c r="L43" s="168"/>
    </row>
    <row r="44" spans="1:13" s="3" customFormat="1" ht="15.95" customHeight="1" x14ac:dyDescent="0.25">
      <c r="A44" s="156" t="s">
        <v>47</v>
      </c>
      <c r="B44" s="156"/>
      <c r="C44" s="31">
        <f>SUM(C45:C51)</f>
        <v>10400923398</v>
      </c>
      <c r="D44" s="32">
        <f>SUM(D45:D51)</f>
        <v>10597447155.060001</v>
      </c>
      <c r="E44" s="33">
        <f>SUM(E45:E51)</f>
        <v>1823809024.3200002</v>
      </c>
      <c r="F44" s="34">
        <f t="shared" si="0"/>
        <v>17.209890246531494</v>
      </c>
      <c r="G44" s="302">
        <f>SUM(G45:H51)</f>
        <v>3965856535.6299996</v>
      </c>
      <c r="H44" s="303">
        <f>SUM(H45:H49)</f>
        <v>0</v>
      </c>
      <c r="I44" s="34">
        <f t="shared" si="1"/>
        <v>37.422753589636045</v>
      </c>
      <c r="J44" s="159">
        <f t="shared" si="2"/>
        <v>6631590619.4300022</v>
      </c>
      <c r="K44" s="160"/>
      <c r="L44" s="160"/>
      <c r="M44" s="30"/>
    </row>
    <row r="45" spans="1:13" s="3" customFormat="1" ht="15.95" customHeight="1" x14ac:dyDescent="0.25">
      <c r="A45" s="156" t="s">
        <v>48</v>
      </c>
      <c r="B45" s="156"/>
      <c r="C45" s="31">
        <v>5966729517</v>
      </c>
      <c r="D45" s="32">
        <v>6163253274.0600004</v>
      </c>
      <c r="E45" s="33">
        <f>G45-1352512034.19</f>
        <v>1010783260.04</v>
      </c>
      <c r="F45" s="34">
        <f t="shared" si="0"/>
        <v>16.400157759120511</v>
      </c>
      <c r="G45" s="300">
        <v>2363295294.23</v>
      </c>
      <c r="H45" s="301"/>
      <c r="I45" s="34">
        <f t="shared" si="1"/>
        <v>38.344932280759501</v>
      </c>
      <c r="J45" s="159">
        <f t="shared" si="2"/>
        <v>3799957979.8300004</v>
      </c>
      <c r="K45" s="160"/>
      <c r="L45" s="160"/>
    </row>
    <row r="46" spans="1:13" s="3" customFormat="1" ht="15.95" customHeight="1" x14ac:dyDescent="0.25">
      <c r="A46" s="156" t="s">
        <v>49</v>
      </c>
      <c r="B46" s="156"/>
      <c r="C46" s="31">
        <v>4991258</v>
      </c>
      <c r="D46" s="32">
        <v>4991258</v>
      </c>
      <c r="E46" s="33">
        <f>G46-254327.1</f>
        <v>462207.33000000007</v>
      </c>
      <c r="F46" s="34">
        <f t="shared" si="0"/>
        <v>9.2603373738644663</v>
      </c>
      <c r="G46" s="300">
        <v>716534.43</v>
      </c>
      <c r="H46" s="301"/>
      <c r="I46" s="34">
        <f t="shared" si="1"/>
        <v>14.355788260194124</v>
      </c>
      <c r="J46" s="159">
        <f t="shared" si="2"/>
        <v>4274723.57</v>
      </c>
      <c r="K46" s="160"/>
      <c r="L46" s="160"/>
    </row>
    <row r="47" spans="1:13" s="3" customFormat="1" ht="15.95" customHeight="1" x14ac:dyDescent="0.25">
      <c r="A47" s="156" t="s">
        <v>50</v>
      </c>
      <c r="B47" s="156"/>
      <c r="C47" s="31">
        <v>134032966</v>
      </c>
      <c r="D47" s="32">
        <v>134032966</v>
      </c>
      <c r="E47" s="33">
        <f>G47-18661664.33</f>
        <v>19804614.25</v>
      </c>
      <c r="F47" s="34">
        <f t="shared" si="0"/>
        <v>14.775927774365599</v>
      </c>
      <c r="G47" s="300">
        <v>38466278.579999998</v>
      </c>
      <c r="H47" s="301"/>
      <c r="I47" s="34">
        <f t="shared" si="1"/>
        <v>28.699117633493238</v>
      </c>
      <c r="J47" s="159">
        <f t="shared" si="2"/>
        <v>95566687.420000002</v>
      </c>
      <c r="K47" s="160"/>
      <c r="L47" s="160"/>
    </row>
    <row r="48" spans="1:13" s="3" customFormat="1" ht="15.95" customHeight="1" x14ac:dyDescent="0.25">
      <c r="A48" s="156" t="s">
        <v>51</v>
      </c>
      <c r="B48" s="156"/>
      <c r="C48" s="31">
        <v>54542661</v>
      </c>
      <c r="D48" s="32">
        <v>54542661</v>
      </c>
      <c r="E48" s="33">
        <f>G48-5607141.36</f>
        <v>11984487.629999999</v>
      </c>
      <c r="F48" s="34">
        <f t="shared" si="0"/>
        <v>21.972685986112779</v>
      </c>
      <c r="G48" s="300">
        <v>17591628.989999998</v>
      </c>
      <c r="H48" s="301"/>
      <c r="I48" s="34">
        <f t="shared" si="1"/>
        <v>32.252971650943103</v>
      </c>
      <c r="J48" s="159">
        <f t="shared" si="2"/>
        <v>36951032.010000005</v>
      </c>
      <c r="K48" s="160"/>
      <c r="L48" s="160"/>
    </row>
    <row r="49" spans="1:20" s="3" customFormat="1" ht="15.95" customHeight="1" x14ac:dyDescent="0.25">
      <c r="A49" s="156" t="s">
        <v>52</v>
      </c>
      <c r="B49" s="156"/>
      <c r="C49" s="31">
        <v>4228752036</v>
      </c>
      <c r="D49" s="32">
        <v>4228752036</v>
      </c>
      <c r="E49" s="33">
        <f>G49-762578467.64</f>
        <v>780773109.09000003</v>
      </c>
      <c r="F49" s="34">
        <f t="shared" si="0"/>
        <v>18.463440335190182</v>
      </c>
      <c r="G49" s="300">
        <v>1543351576.73</v>
      </c>
      <c r="H49" s="301"/>
      <c r="I49" s="34">
        <f t="shared" si="1"/>
        <v>36.496620364382132</v>
      </c>
      <c r="J49" s="159">
        <f t="shared" si="2"/>
        <v>2685400459.27</v>
      </c>
      <c r="K49" s="160"/>
      <c r="L49" s="160"/>
    </row>
    <row r="50" spans="1:20" s="3" customFormat="1" ht="15.95" customHeight="1" x14ac:dyDescent="0.25">
      <c r="A50" s="156" t="s">
        <v>53</v>
      </c>
      <c r="B50" s="156"/>
      <c r="C50" s="36">
        <v>46400</v>
      </c>
      <c r="D50" s="32">
        <v>46400</v>
      </c>
      <c r="E50" s="33">
        <f t="shared" ref="E50" si="3">G50-0</f>
        <v>0</v>
      </c>
      <c r="F50" s="34">
        <f t="shared" si="0"/>
        <v>0</v>
      </c>
      <c r="G50" s="167">
        <v>0</v>
      </c>
      <c r="H50" s="169"/>
      <c r="I50" s="34">
        <f t="shared" si="1"/>
        <v>0</v>
      </c>
      <c r="J50" s="167">
        <f t="shared" si="2"/>
        <v>46400</v>
      </c>
      <c r="K50" s="168"/>
      <c r="L50" s="168"/>
    </row>
    <row r="51" spans="1:20" s="3" customFormat="1" ht="15.95" customHeight="1" x14ac:dyDescent="0.25">
      <c r="A51" s="156" t="s">
        <v>54</v>
      </c>
      <c r="B51" s="156"/>
      <c r="C51" s="37">
        <v>11828560</v>
      </c>
      <c r="D51" s="38">
        <v>11828560</v>
      </c>
      <c r="E51" s="39">
        <f>G51-2433876.69</f>
        <v>1345.9799999999814</v>
      </c>
      <c r="F51" s="40">
        <f t="shared" si="0"/>
        <v>1.1379068965283868E-2</v>
      </c>
      <c r="G51" s="205">
        <v>2435222.67</v>
      </c>
      <c r="H51" s="206"/>
      <c r="I51" s="40">
        <f t="shared" si="1"/>
        <v>20.587651159566338</v>
      </c>
      <c r="J51" s="228">
        <f t="shared" si="2"/>
        <v>9393337.3300000001</v>
      </c>
      <c r="K51" s="229"/>
      <c r="L51" s="229"/>
      <c r="M51" s="320"/>
      <c r="N51" s="320"/>
    </row>
    <row r="52" spans="1:20" s="3" customFormat="1" ht="15.95" customHeight="1" x14ac:dyDescent="0.25">
      <c r="A52" s="156" t="s">
        <v>55</v>
      </c>
      <c r="B52" s="156"/>
      <c r="C52" s="37">
        <f>SUM(C53:C57)</f>
        <v>2380701966</v>
      </c>
      <c r="D52" s="38">
        <f>SUM(D53:D57)</f>
        <v>2382528909.9000001</v>
      </c>
      <c r="E52" s="39">
        <f>SUM(E53:E57)</f>
        <v>377874191.52999997</v>
      </c>
      <c r="F52" s="40">
        <f t="shared" si="0"/>
        <v>15.860214327718699</v>
      </c>
      <c r="G52" s="228">
        <f>SUM(G53:H57)</f>
        <v>876544926.51999998</v>
      </c>
      <c r="H52" s="290">
        <f>SUM(H53:H57)</f>
        <v>0</v>
      </c>
      <c r="I52" s="40">
        <f t="shared" si="1"/>
        <v>36.790526355325127</v>
      </c>
      <c r="J52" s="154">
        <f t="shared" si="2"/>
        <v>1505983983.3800001</v>
      </c>
      <c r="K52" s="155"/>
      <c r="L52" s="155"/>
      <c r="M52" s="41"/>
    </row>
    <row r="53" spans="1:20" s="3" customFormat="1" ht="15.95" customHeight="1" x14ac:dyDescent="0.25">
      <c r="A53" s="156" t="s">
        <v>56</v>
      </c>
      <c r="B53" s="156"/>
      <c r="C53" s="37">
        <v>456481833</v>
      </c>
      <c r="D53" s="38">
        <v>441386325.72000003</v>
      </c>
      <c r="E53" s="39">
        <f>G53-79308349.08</f>
        <v>70241398.149999991</v>
      </c>
      <c r="F53" s="40">
        <f t="shared" si="0"/>
        <v>15.913813830870389</v>
      </c>
      <c r="G53" s="228">
        <v>149549747.22999999</v>
      </c>
      <c r="H53" s="290"/>
      <c r="I53" s="40">
        <f t="shared" si="1"/>
        <v>33.881826081959119</v>
      </c>
      <c r="J53" s="154">
        <f t="shared" si="2"/>
        <v>291836578.49000001</v>
      </c>
      <c r="K53" s="155"/>
      <c r="L53" s="155"/>
    </row>
    <row r="54" spans="1:20" s="3" customFormat="1" ht="15.95" customHeight="1" x14ac:dyDescent="0.25">
      <c r="A54" s="156" t="s">
        <v>57</v>
      </c>
      <c r="B54" s="156"/>
      <c r="C54" s="37">
        <v>374302859</v>
      </c>
      <c r="D54" s="38">
        <v>256444845.03999999</v>
      </c>
      <c r="E54" s="39">
        <f>G54-41326361.23</f>
        <v>61343365.890000008</v>
      </c>
      <c r="F54" s="40">
        <f t="shared" si="0"/>
        <v>23.920685900483488</v>
      </c>
      <c r="G54" s="228">
        <v>102669727.12</v>
      </c>
      <c r="H54" s="290"/>
      <c r="I54" s="40">
        <f t="shared" si="1"/>
        <v>40.035792922250273</v>
      </c>
      <c r="J54" s="154">
        <f t="shared" si="2"/>
        <v>153775117.91999999</v>
      </c>
      <c r="K54" s="155"/>
      <c r="L54" s="155"/>
    </row>
    <row r="55" spans="1:20" s="3" customFormat="1" ht="15.95" customHeight="1" x14ac:dyDescent="0.25">
      <c r="A55" s="156" t="s">
        <v>58</v>
      </c>
      <c r="B55" s="156"/>
      <c r="C55" s="37">
        <v>263807</v>
      </c>
      <c r="D55" s="40">
        <v>263807</v>
      </c>
      <c r="E55" s="39">
        <f>G55-62647</f>
        <v>28258.5</v>
      </c>
      <c r="F55" s="40">
        <f t="shared" si="0"/>
        <v>10.711808253761273</v>
      </c>
      <c r="G55" s="228">
        <v>90905.5</v>
      </c>
      <c r="H55" s="290"/>
      <c r="I55" s="40">
        <f t="shared" si="1"/>
        <v>34.459093200711131</v>
      </c>
      <c r="J55" s="154">
        <f t="shared" si="2"/>
        <v>172901.5</v>
      </c>
      <c r="K55" s="155"/>
      <c r="L55" s="155"/>
    </row>
    <row r="56" spans="1:20" s="3" customFormat="1" ht="15.95" customHeight="1" x14ac:dyDescent="0.25">
      <c r="A56" s="156" t="s">
        <v>59</v>
      </c>
      <c r="B56" s="156"/>
      <c r="C56" s="37">
        <v>0</v>
      </c>
      <c r="D56" s="42">
        <v>0</v>
      </c>
      <c r="E56" s="39">
        <f>G56-0</f>
        <v>0</v>
      </c>
      <c r="F56" s="40">
        <v>0</v>
      </c>
      <c r="G56" s="205">
        <v>0</v>
      </c>
      <c r="H56" s="206"/>
      <c r="I56" s="40">
        <v>0</v>
      </c>
      <c r="J56" s="228">
        <f t="shared" si="2"/>
        <v>0</v>
      </c>
      <c r="K56" s="229"/>
      <c r="L56" s="229"/>
      <c r="M56" s="320"/>
      <c r="N56" s="320"/>
    </row>
    <row r="57" spans="1:20" s="3" customFormat="1" ht="15.95" customHeight="1" x14ac:dyDescent="0.25">
      <c r="A57" s="156" t="s">
        <v>60</v>
      </c>
      <c r="B57" s="156"/>
      <c r="C57" s="31">
        <v>1549653467</v>
      </c>
      <c r="D57" s="31">
        <v>1684433932.1400001</v>
      </c>
      <c r="E57" s="33">
        <f>G57-377973377.68</f>
        <v>246261168.98999995</v>
      </c>
      <c r="F57" s="34">
        <f t="shared" si="0"/>
        <v>14.619817630789225</v>
      </c>
      <c r="G57" s="167">
        <v>624234546.66999996</v>
      </c>
      <c r="H57" s="169"/>
      <c r="I57" s="34">
        <f t="shared" si="1"/>
        <v>37.059010434261261</v>
      </c>
      <c r="J57" s="159">
        <f t="shared" si="2"/>
        <v>1060199385.4700001</v>
      </c>
      <c r="K57" s="160"/>
      <c r="L57" s="160"/>
      <c r="M57" s="316"/>
      <c r="N57" s="316"/>
      <c r="O57" s="316"/>
      <c r="P57" s="316"/>
      <c r="Q57" s="316"/>
      <c r="R57" s="316"/>
      <c r="S57" s="316"/>
      <c r="T57" s="316"/>
    </row>
    <row r="58" spans="1:20" s="3" customFormat="1" ht="15.95" customHeight="1" x14ac:dyDescent="0.25">
      <c r="A58" s="166" t="s">
        <v>61</v>
      </c>
      <c r="B58" s="166"/>
      <c r="C58" s="26">
        <f>C59+C62+C66+C67+C78</f>
        <v>665933434</v>
      </c>
      <c r="D58" s="27">
        <f>D59+D62+D66+D67+D78</f>
        <v>627706573.22000003</v>
      </c>
      <c r="E58" s="22">
        <f>E59+E62+E66+E67+E78</f>
        <v>28242199.16</v>
      </c>
      <c r="F58" s="28">
        <f t="shared" si="0"/>
        <v>4.4992677096120852</v>
      </c>
      <c r="G58" s="170">
        <f>G59+G62+G66+G67+G78</f>
        <v>63600802.5</v>
      </c>
      <c r="H58" s="171"/>
      <c r="I58" s="28">
        <f t="shared" si="1"/>
        <v>10.132250515354894</v>
      </c>
      <c r="J58" s="224">
        <f t="shared" si="2"/>
        <v>564105770.72000003</v>
      </c>
      <c r="K58" s="225"/>
      <c r="L58" s="225"/>
      <c r="M58" s="322"/>
      <c r="N58" s="322"/>
      <c r="O58" s="323"/>
      <c r="P58" s="312"/>
      <c r="Q58" s="1"/>
      <c r="R58" s="1"/>
      <c r="S58" s="1"/>
      <c r="T58" s="1"/>
    </row>
    <row r="59" spans="1:20" s="3" customFormat="1" ht="15.95" customHeight="1" x14ac:dyDescent="0.25">
      <c r="A59" s="156" t="s">
        <v>62</v>
      </c>
      <c r="B59" s="156"/>
      <c r="C59" s="31">
        <f>C60+C61</f>
        <v>51541821</v>
      </c>
      <c r="D59" s="32">
        <f>D60+D61</f>
        <v>18400216</v>
      </c>
      <c r="E59" s="33">
        <f>E60+E61</f>
        <v>0</v>
      </c>
      <c r="F59" s="34">
        <f t="shared" si="0"/>
        <v>0</v>
      </c>
      <c r="G59" s="167">
        <f>G60+G61</f>
        <v>0</v>
      </c>
      <c r="H59" s="169"/>
      <c r="I59" s="34">
        <f t="shared" si="1"/>
        <v>0</v>
      </c>
      <c r="J59" s="159">
        <f t="shared" si="2"/>
        <v>18400216</v>
      </c>
      <c r="K59" s="160"/>
      <c r="L59" s="160"/>
      <c r="M59" s="41"/>
    </row>
    <row r="60" spans="1:20" s="3" customFormat="1" ht="15.95" customHeight="1" x14ac:dyDescent="0.25">
      <c r="A60" s="156" t="s">
        <v>63</v>
      </c>
      <c r="B60" s="156"/>
      <c r="C60" s="31">
        <v>51541821</v>
      </c>
      <c r="D60" s="32">
        <v>18400216</v>
      </c>
      <c r="E60" s="33">
        <f>G60</f>
        <v>0</v>
      </c>
      <c r="F60" s="34">
        <f t="shared" si="0"/>
        <v>0</v>
      </c>
      <c r="G60" s="167">
        <v>0</v>
      </c>
      <c r="H60" s="169"/>
      <c r="I60" s="34">
        <f t="shared" si="1"/>
        <v>0</v>
      </c>
      <c r="J60" s="159">
        <f t="shared" si="2"/>
        <v>18400216</v>
      </c>
      <c r="K60" s="160"/>
      <c r="L60" s="160"/>
    </row>
    <row r="61" spans="1:20" s="3" customFormat="1" ht="15.95" customHeight="1" x14ac:dyDescent="0.25">
      <c r="A61" s="156" t="s">
        <v>64</v>
      </c>
      <c r="B61" s="156"/>
      <c r="C61" s="31">
        <v>0</v>
      </c>
      <c r="D61" s="32">
        <v>0</v>
      </c>
      <c r="E61" s="33">
        <f>G61</f>
        <v>0</v>
      </c>
      <c r="F61" s="34">
        <v>0</v>
      </c>
      <c r="G61" s="167">
        <v>0</v>
      </c>
      <c r="H61" s="169"/>
      <c r="I61" s="34">
        <v>0</v>
      </c>
      <c r="J61" s="159">
        <f t="shared" si="2"/>
        <v>0</v>
      </c>
      <c r="K61" s="160"/>
      <c r="L61" s="160"/>
    </row>
    <row r="62" spans="1:20" s="3" customFormat="1" ht="15.95" customHeight="1" x14ac:dyDescent="0.25">
      <c r="A62" s="156" t="s">
        <v>65</v>
      </c>
      <c r="B62" s="156"/>
      <c r="C62" s="31">
        <f>C63+C64+C65</f>
        <v>167991</v>
      </c>
      <c r="D62" s="32">
        <f>D63+D64+D65</f>
        <v>1093741</v>
      </c>
      <c r="E62" s="33">
        <f>E63+E64+E65</f>
        <v>0</v>
      </c>
      <c r="F62" s="34">
        <f t="shared" si="0"/>
        <v>0</v>
      </c>
      <c r="G62" s="167">
        <f>SUM(G63:H65)</f>
        <v>3899750</v>
      </c>
      <c r="H62" s="169"/>
      <c r="I62" s="34">
        <f t="shared" si="1"/>
        <v>356.55150533810109</v>
      </c>
      <c r="J62" s="159">
        <f t="shared" si="2"/>
        <v>-2806009</v>
      </c>
      <c r="K62" s="160"/>
      <c r="L62" s="160"/>
    </row>
    <row r="63" spans="1:20" s="3" customFormat="1" ht="15.95" customHeight="1" x14ac:dyDescent="0.25">
      <c r="A63" s="156" t="s">
        <v>66</v>
      </c>
      <c r="B63" s="156"/>
      <c r="C63" s="31">
        <v>167991</v>
      </c>
      <c r="D63" s="32">
        <v>1093741</v>
      </c>
      <c r="E63" s="33">
        <f>G63-925750</f>
        <v>0</v>
      </c>
      <c r="F63" s="34">
        <f t="shared" si="0"/>
        <v>0</v>
      </c>
      <c r="G63" s="167">
        <v>925750</v>
      </c>
      <c r="H63" s="169"/>
      <c r="I63" s="34">
        <f t="shared" si="1"/>
        <v>84.640696472016685</v>
      </c>
      <c r="J63" s="159">
        <f t="shared" si="2"/>
        <v>167991</v>
      </c>
      <c r="K63" s="160"/>
      <c r="L63" s="160"/>
    </row>
    <row r="64" spans="1:20" s="3" customFormat="1" ht="15.95" customHeight="1" x14ac:dyDescent="0.25">
      <c r="A64" s="156" t="s">
        <v>67</v>
      </c>
      <c r="B64" s="156"/>
      <c r="C64" s="31">
        <v>0</v>
      </c>
      <c r="D64" s="32">
        <v>0</v>
      </c>
      <c r="E64" s="33">
        <f>G64-2974000</f>
        <v>0</v>
      </c>
      <c r="F64" s="34">
        <v>0</v>
      </c>
      <c r="G64" s="167">
        <v>2974000</v>
      </c>
      <c r="H64" s="169"/>
      <c r="I64" s="34">
        <v>0</v>
      </c>
      <c r="J64" s="159">
        <f t="shared" si="2"/>
        <v>-2974000</v>
      </c>
      <c r="K64" s="160"/>
      <c r="L64" s="160"/>
    </row>
    <row r="65" spans="1:17" s="3" customFormat="1" ht="15.95" customHeight="1" x14ac:dyDescent="0.25">
      <c r="A65" s="156" t="s">
        <v>68</v>
      </c>
      <c r="B65" s="156"/>
      <c r="C65" s="31">
        <v>0</v>
      </c>
      <c r="D65" s="32">
        <v>0</v>
      </c>
      <c r="E65" s="33">
        <f>G65</f>
        <v>0</v>
      </c>
      <c r="F65" s="34">
        <v>0</v>
      </c>
      <c r="G65" s="167">
        <v>0</v>
      </c>
      <c r="H65" s="169"/>
      <c r="I65" s="34">
        <v>0</v>
      </c>
      <c r="J65" s="167">
        <f t="shared" si="2"/>
        <v>0</v>
      </c>
      <c r="K65" s="168"/>
      <c r="L65" s="168"/>
    </row>
    <row r="66" spans="1:17" s="3" customFormat="1" ht="15.95" customHeight="1" x14ac:dyDescent="0.25">
      <c r="A66" s="156" t="s">
        <v>69</v>
      </c>
      <c r="B66" s="156"/>
      <c r="C66" s="43">
        <v>207292407</v>
      </c>
      <c r="D66" s="44">
        <v>201281401.22</v>
      </c>
      <c r="E66" s="33">
        <f>G66-30566092.68</f>
        <v>28247375.82</v>
      </c>
      <c r="F66" s="34">
        <f t="shared" si="0"/>
        <v>14.033773437976865</v>
      </c>
      <c r="G66" s="167">
        <v>58813468.5</v>
      </c>
      <c r="H66" s="169"/>
      <c r="I66" s="34">
        <f t="shared" si="1"/>
        <v>29.219524577790995</v>
      </c>
      <c r="J66" s="159">
        <f t="shared" si="2"/>
        <v>142467932.72</v>
      </c>
      <c r="K66" s="160"/>
      <c r="L66" s="160"/>
    </row>
    <row r="67" spans="1:17" s="3" customFormat="1" ht="15.95" customHeight="1" x14ac:dyDescent="0.25">
      <c r="A67" s="156" t="s">
        <v>70</v>
      </c>
      <c r="B67" s="156"/>
      <c r="C67" s="31">
        <f>SUM(C68:C77)</f>
        <v>406931215</v>
      </c>
      <c r="D67" s="31">
        <f>SUM(D68:D77)</f>
        <v>406931215</v>
      </c>
      <c r="E67" s="33">
        <f>SUM(E68:E77)</f>
        <v>-5176.6600000000326</v>
      </c>
      <c r="F67" s="34">
        <f>(E67/D67)*100</f>
        <v>-1.2721216287131063E-3</v>
      </c>
      <c r="G67" s="167">
        <f>SUM(G68:H77)</f>
        <v>887584</v>
      </c>
      <c r="H67" s="169">
        <f>SUM(H68:H76)</f>
        <v>0</v>
      </c>
      <c r="I67" s="34">
        <f t="shared" si="1"/>
        <v>0.21811646963480055</v>
      </c>
      <c r="J67" s="159">
        <f t="shared" si="2"/>
        <v>406043631</v>
      </c>
      <c r="K67" s="160"/>
      <c r="L67" s="160"/>
    </row>
    <row r="68" spans="1:17" s="3" customFormat="1" ht="15.95" customHeight="1" x14ac:dyDescent="0.25">
      <c r="A68" s="156" t="s">
        <v>48</v>
      </c>
      <c r="B68" s="156"/>
      <c r="C68" s="31">
        <v>380340945</v>
      </c>
      <c r="D68" s="32">
        <v>380340945</v>
      </c>
      <c r="E68" s="33">
        <f>G68-892760.66</f>
        <v>-5176.6600000000326</v>
      </c>
      <c r="F68" s="34">
        <f t="shared" si="0"/>
        <v>-1.3610577740979302E-3</v>
      </c>
      <c r="G68" s="167">
        <v>887584</v>
      </c>
      <c r="H68" s="169"/>
      <c r="I68" s="34">
        <f t="shared" si="1"/>
        <v>0.23336535591770169</v>
      </c>
      <c r="J68" s="159">
        <f t="shared" si="2"/>
        <v>379453361</v>
      </c>
      <c r="K68" s="160"/>
      <c r="L68" s="160"/>
    </row>
    <row r="69" spans="1:17" s="3" customFormat="1" ht="15.95" customHeight="1" x14ac:dyDescent="0.25">
      <c r="A69" s="156" t="s">
        <v>49</v>
      </c>
      <c r="B69" s="156"/>
      <c r="C69" s="31">
        <v>0</v>
      </c>
      <c r="D69" s="32">
        <v>0</v>
      </c>
      <c r="E69" s="33">
        <f>G69-0</f>
        <v>0</v>
      </c>
      <c r="F69" s="34">
        <v>0</v>
      </c>
      <c r="G69" s="167">
        <v>0</v>
      </c>
      <c r="H69" s="169"/>
      <c r="I69" s="34">
        <v>0</v>
      </c>
      <c r="J69" s="159">
        <f t="shared" si="2"/>
        <v>0</v>
      </c>
      <c r="K69" s="160"/>
      <c r="L69" s="160"/>
    </row>
    <row r="70" spans="1:17" s="3" customFormat="1" ht="15.95" customHeight="1" x14ac:dyDescent="0.25">
      <c r="A70" s="156" t="s">
        <v>50</v>
      </c>
      <c r="B70" s="156"/>
      <c r="C70" s="31">
        <v>12000</v>
      </c>
      <c r="D70" s="32">
        <v>12000</v>
      </c>
      <c r="E70" s="33">
        <f>G70-0</f>
        <v>0</v>
      </c>
      <c r="F70" s="34">
        <f t="shared" si="0"/>
        <v>0</v>
      </c>
      <c r="G70" s="167">
        <v>0</v>
      </c>
      <c r="H70" s="169"/>
      <c r="I70" s="34">
        <f t="shared" si="1"/>
        <v>0</v>
      </c>
      <c r="J70" s="159">
        <f t="shared" si="2"/>
        <v>12000</v>
      </c>
      <c r="K70" s="160"/>
      <c r="L70" s="160"/>
    </row>
    <row r="71" spans="1:17" s="3" customFormat="1" ht="15.95" customHeight="1" x14ac:dyDescent="0.25">
      <c r="A71" s="156" t="s">
        <v>51</v>
      </c>
      <c r="B71" s="156"/>
      <c r="C71" s="31">
        <v>0</v>
      </c>
      <c r="D71" s="32">
        <v>0</v>
      </c>
      <c r="E71" s="39">
        <f>G71-0</f>
        <v>0</v>
      </c>
      <c r="F71" s="34">
        <v>0</v>
      </c>
      <c r="G71" s="167">
        <v>0</v>
      </c>
      <c r="H71" s="169"/>
      <c r="I71" s="34">
        <v>0</v>
      </c>
      <c r="J71" s="159">
        <f t="shared" si="2"/>
        <v>0</v>
      </c>
      <c r="K71" s="160"/>
      <c r="L71" s="160"/>
    </row>
    <row r="72" spans="1:17" s="3" customFormat="1" ht="15.95" customHeight="1" x14ac:dyDescent="0.25">
      <c r="A72" s="156" t="s">
        <v>52</v>
      </c>
      <c r="B72" s="156"/>
      <c r="C72" s="31">
        <v>0</v>
      </c>
      <c r="D72" s="32">
        <v>0</v>
      </c>
      <c r="E72" s="33">
        <f>G72</f>
        <v>0</v>
      </c>
      <c r="F72" s="34">
        <v>0</v>
      </c>
      <c r="G72" s="167">
        <v>0</v>
      </c>
      <c r="H72" s="169"/>
      <c r="I72" s="34">
        <v>0</v>
      </c>
      <c r="J72" s="159">
        <f t="shared" si="2"/>
        <v>0</v>
      </c>
      <c r="K72" s="160"/>
      <c r="L72" s="160"/>
    </row>
    <row r="73" spans="1:17" s="3" customFormat="1" ht="15.95" customHeight="1" x14ac:dyDescent="0.25">
      <c r="A73" s="156" t="s">
        <v>53</v>
      </c>
      <c r="B73" s="156"/>
      <c r="C73" s="31">
        <v>0</v>
      </c>
      <c r="D73" s="32">
        <v>0</v>
      </c>
      <c r="E73" s="33">
        <f>G73</f>
        <v>0</v>
      </c>
      <c r="F73" s="34">
        <v>0</v>
      </c>
      <c r="G73" s="167">
        <v>0</v>
      </c>
      <c r="H73" s="169"/>
      <c r="I73" s="34">
        <v>0</v>
      </c>
      <c r="J73" s="159">
        <f t="shared" si="2"/>
        <v>0</v>
      </c>
      <c r="K73" s="160"/>
      <c r="L73" s="160"/>
    </row>
    <row r="74" spans="1:17" s="3" customFormat="1" ht="15.95" customHeight="1" x14ac:dyDescent="0.25">
      <c r="A74" s="296" t="s">
        <v>71</v>
      </c>
      <c r="B74" s="297"/>
      <c r="C74" s="31">
        <f>25677829+900441</f>
        <v>26578270</v>
      </c>
      <c r="D74" s="37">
        <f>25677829+900441</f>
        <v>26578270</v>
      </c>
      <c r="E74" s="33">
        <f>G74-0</f>
        <v>0</v>
      </c>
      <c r="F74" s="34">
        <f t="shared" si="0"/>
        <v>0</v>
      </c>
      <c r="G74" s="167">
        <v>0</v>
      </c>
      <c r="H74" s="169"/>
      <c r="I74" s="34">
        <f t="shared" si="1"/>
        <v>0</v>
      </c>
      <c r="J74" s="167">
        <f t="shared" si="2"/>
        <v>26578270</v>
      </c>
      <c r="K74" s="168"/>
      <c r="L74" s="168"/>
      <c r="M74" s="318" t="s">
        <v>72</v>
      </c>
      <c r="N74" s="318"/>
      <c r="O74" s="318"/>
      <c r="P74" s="318"/>
    </row>
    <row r="75" spans="1:17" s="3" customFormat="1" ht="15.95" hidden="1" customHeight="1" x14ac:dyDescent="0.25">
      <c r="A75" s="161" t="s">
        <v>73</v>
      </c>
      <c r="B75" s="156"/>
      <c r="C75" s="45"/>
      <c r="D75" s="46"/>
      <c r="E75" s="47">
        <f>G75-0</f>
        <v>0</v>
      </c>
      <c r="F75" s="48" t="e">
        <f t="shared" si="0"/>
        <v>#DIV/0!</v>
      </c>
      <c r="G75" s="231"/>
      <c r="H75" s="293"/>
      <c r="I75" s="48" t="e">
        <f t="shared" si="1"/>
        <v>#DIV/0!</v>
      </c>
      <c r="J75" s="231">
        <f t="shared" si="2"/>
        <v>0</v>
      </c>
      <c r="K75" s="232"/>
      <c r="L75" s="232"/>
      <c r="M75" s="319" t="s">
        <v>74</v>
      </c>
      <c r="N75" s="319"/>
      <c r="O75" s="319"/>
      <c r="P75" s="319"/>
    </row>
    <row r="76" spans="1:17" s="3" customFormat="1" ht="15.95" hidden="1" customHeight="1" x14ac:dyDescent="0.25">
      <c r="A76" s="161" t="s">
        <v>75</v>
      </c>
      <c r="B76" s="156"/>
      <c r="C76" s="45">
        <v>0</v>
      </c>
      <c r="D76" s="46">
        <v>0</v>
      </c>
      <c r="E76" s="47">
        <f>G76-0</f>
        <v>0</v>
      </c>
      <c r="F76" s="48" t="e">
        <f t="shared" si="0"/>
        <v>#DIV/0!</v>
      </c>
      <c r="G76" s="231">
        <v>0</v>
      </c>
      <c r="H76" s="293"/>
      <c r="I76" s="48" t="e">
        <f t="shared" si="1"/>
        <v>#DIV/0!</v>
      </c>
      <c r="J76" s="231">
        <f t="shared" si="2"/>
        <v>0</v>
      </c>
      <c r="K76" s="232"/>
      <c r="L76" s="232"/>
      <c r="M76" s="319"/>
      <c r="N76" s="319"/>
      <c r="O76" s="319"/>
      <c r="P76" s="319"/>
      <c r="Q76" s="49"/>
    </row>
    <row r="77" spans="1:17" s="3" customFormat="1" ht="15.95" hidden="1" customHeight="1" x14ac:dyDescent="0.25">
      <c r="A77" s="161" t="s">
        <v>76</v>
      </c>
      <c r="B77" s="156"/>
      <c r="C77" s="45">
        <v>0</v>
      </c>
      <c r="D77" s="46">
        <v>0</v>
      </c>
      <c r="E77" s="47">
        <f>G77-0</f>
        <v>0</v>
      </c>
      <c r="F77" s="48" t="e">
        <f t="shared" si="0"/>
        <v>#DIV/0!</v>
      </c>
      <c r="G77" s="231"/>
      <c r="H77" s="293"/>
      <c r="I77" s="48" t="e">
        <f t="shared" si="1"/>
        <v>#DIV/0!</v>
      </c>
      <c r="J77" s="294">
        <f t="shared" si="2"/>
        <v>0</v>
      </c>
      <c r="K77" s="295"/>
      <c r="L77" s="295"/>
      <c r="M77" s="319"/>
      <c r="N77" s="319"/>
      <c r="O77" s="319"/>
      <c r="P77" s="319"/>
      <c r="Q77" s="49"/>
    </row>
    <row r="78" spans="1:17" s="3" customFormat="1" ht="15.95" customHeight="1" x14ac:dyDescent="0.25">
      <c r="A78" s="161" t="s">
        <v>77</v>
      </c>
      <c r="B78" s="156"/>
      <c r="C78" s="31">
        <f>SUM(C79:C82)</f>
        <v>0</v>
      </c>
      <c r="D78" s="32">
        <f>SUM(D79:D82)</f>
        <v>0</v>
      </c>
      <c r="E78" s="33">
        <f>SUM(E79:E82)</f>
        <v>0</v>
      </c>
      <c r="F78" s="34">
        <v>0</v>
      </c>
      <c r="G78" s="167">
        <f>SUM(G79:H82)</f>
        <v>0</v>
      </c>
      <c r="H78" s="169">
        <f>SUM(H80:H82)</f>
        <v>0</v>
      </c>
      <c r="I78" s="34">
        <v>0</v>
      </c>
      <c r="J78" s="159">
        <f t="shared" si="2"/>
        <v>0</v>
      </c>
      <c r="K78" s="160"/>
      <c r="L78" s="160"/>
      <c r="N78" s="49"/>
      <c r="O78" s="49"/>
      <c r="P78" s="49"/>
      <c r="Q78" s="49"/>
    </row>
    <row r="79" spans="1:17" s="3" customFormat="1" ht="15.95" customHeight="1" x14ac:dyDescent="0.25">
      <c r="A79" s="156" t="s">
        <v>78</v>
      </c>
      <c r="B79" s="156"/>
      <c r="C79" s="31">
        <v>0</v>
      </c>
      <c r="D79" s="32">
        <v>0</v>
      </c>
      <c r="E79" s="33">
        <f>G79</f>
        <v>0</v>
      </c>
      <c r="F79" s="34">
        <v>0</v>
      </c>
      <c r="G79" s="167">
        <v>0</v>
      </c>
      <c r="H79" s="169"/>
      <c r="I79" s="34">
        <v>0</v>
      </c>
      <c r="J79" s="159">
        <f t="shared" si="2"/>
        <v>0</v>
      </c>
      <c r="K79" s="160"/>
      <c r="L79" s="160"/>
      <c r="N79" s="49"/>
      <c r="O79" s="49"/>
      <c r="P79" s="49"/>
      <c r="Q79" s="49"/>
    </row>
    <row r="80" spans="1:17" s="3" customFormat="1" ht="15.95" customHeight="1" x14ac:dyDescent="0.25">
      <c r="A80" s="156" t="s">
        <v>79</v>
      </c>
      <c r="B80" s="156"/>
      <c r="C80" s="31">
        <v>0</v>
      </c>
      <c r="D80" s="32">
        <v>0</v>
      </c>
      <c r="E80" s="33">
        <f>G80</f>
        <v>0</v>
      </c>
      <c r="F80" s="34">
        <v>0</v>
      </c>
      <c r="G80" s="167">
        <v>0</v>
      </c>
      <c r="H80" s="169"/>
      <c r="I80" s="34">
        <v>0</v>
      </c>
      <c r="J80" s="159">
        <f t="shared" si="2"/>
        <v>0</v>
      </c>
      <c r="K80" s="160"/>
      <c r="L80" s="160"/>
    </row>
    <row r="81" spans="1:17" s="3" customFormat="1" ht="15.95" customHeight="1" x14ac:dyDescent="0.25">
      <c r="A81" s="156" t="s">
        <v>80</v>
      </c>
      <c r="B81" s="156"/>
      <c r="C81" s="31">
        <v>0</v>
      </c>
      <c r="D81" s="32">
        <v>0</v>
      </c>
      <c r="E81" s="33">
        <f>G81</f>
        <v>0</v>
      </c>
      <c r="F81" s="34">
        <v>0</v>
      </c>
      <c r="G81" s="167">
        <v>0</v>
      </c>
      <c r="H81" s="169"/>
      <c r="I81" s="34">
        <v>0</v>
      </c>
      <c r="J81" s="159">
        <f t="shared" si="2"/>
        <v>0</v>
      </c>
      <c r="K81" s="160"/>
      <c r="L81" s="160"/>
    </row>
    <row r="82" spans="1:17" s="3" customFormat="1" ht="15.95" customHeight="1" x14ac:dyDescent="0.25">
      <c r="A82" s="156" t="s">
        <v>81</v>
      </c>
      <c r="B82" s="156"/>
      <c r="C82" s="37">
        <v>0</v>
      </c>
      <c r="D82" s="38">
        <v>0</v>
      </c>
      <c r="E82" s="39">
        <f>G82-0</f>
        <v>0</v>
      </c>
      <c r="F82" s="40">
        <v>0</v>
      </c>
      <c r="G82" s="228">
        <v>0</v>
      </c>
      <c r="H82" s="290"/>
      <c r="I82" s="40">
        <v>0</v>
      </c>
      <c r="J82" s="154">
        <f t="shared" ref="J82:J92" si="4">D82-G82</f>
        <v>0</v>
      </c>
      <c r="K82" s="155"/>
      <c r="L82" s="155"/>
      <c r="N82" s="317"/>
      <c r="O82" s="317"/>
      <c r="P82" s="317"/>
      <c r="Q82" s="317"/>
    </row>
    <row r="83" spans="1:17" s="3" customFormat="1" ht="15.95" customHeight="1" x14ac:dyDescent="0.25">
      <c r="A83" s="288" t="s">
        <v>82</v>
      </c>
      <c r="B83" s="279"/>
      <c r="C83" s="26">
        <f>C144</f>
        <v>7951876408</v>
      </c>
      <c r="D83" s="27">
        <f>D144</f>
        <v>7990550941.4499998</v>
      </c>
      <c r="E83" s="22">
        <f>E144</f>
        <v>1588445019.5300002</v>
      </c>
      <c r="F83" s="28">
        <f t="shared" ref="F83:F94" si="5">(E83/D83)*100</f>
        <v>19.879042523715569</v>
      </c>
      <c r="G83" s="173">
        <f>G144</f>
        <v>2753375744.4300003</v>
      </c>
      <c r="H83" s="174"/>
      <c r="I83" s="28">
        <f t="shared" ref="I83:I94" si="6">(G83/D83)*100</f>
        <v>34.45789614014226</v>
      </c>
      <c r="J83" s="224">
        <f t="shared" si="4"/>
        <v>5237175197.0199995</v>
      </c>
      <c r="K83" s="225"/>
      <c r="L83" s="225"/>
      <c r="N83" s="317"/>
      <c r="O83" s="317"/>
      <c r="P83" s="317"/>
      <c r="Q83" s="317"/>
    </row>
    <row r="84" spans="1:17" s="3" customFormat="1" ht="15.95" customHeight="1" x14ac:dyDescent="0.25">
      <c r="A84" s="275" t="s">
        <v>83</v>
      </c>
      <c r="B84" s="277"/>
      <c r="C84" s="50">
        <f>C17+C83</f>
        <v>107518723460</v>
      </c>
      <c r="D84" s="51">
        <f>D17+D83</f>
        <v>109129267815.04997</v>
      </c>
      <c r="E84" s="50">
        <f>E17+E83</f>
        <v>16875334819.839996</v>
      </c>
      <c r="F84" s="52">
        <f t="shared" si="5"/>
        <v>15.46361957494296</v>
      </c>
      <c r="G84" s="291">
        <f>G17+G83</f>
        <v>38331149027.859993</v>
      </c>
      <c r="H84" s="292"/>
      <c r="I84" s="52">
        <f t="shared" si="6"/>
        <v>35.124536061969032</v>
      </c>
      <c r="J84" s="210">
        <f t="shared" si="4"/>
        <v>70798118787.189972</v>
      </c>
      <c r="K84" s="278"/>
      <c r="L84" s="278"/>
      <c r="N84" s="317"/>
      <c r="O84" s="317"/>
      <c r="P84" s="317"/>
      <c r="Q84" s="317"/>
    </row>
    <row r="85" spans="1:17" s="3" customFormat="1" ht="15.95" customHeight="1" x14ac:dyDescent="0.25">
      <c r="A85" s="298" t="s">
        <v>84</v>
      </c>
      <c r="B85" s="299"/>
      <c r="C85" s="54">
        <v>0</v>
      </c>
      <c r="D85" s="55">
        <v>0</v>
      </c>
      <c r="E85" s="56">
        <v>0</v>
      </c>
      <c r="F85" s="23">
        <v>0</v>
      </c>
      <c r="G85" s="286">
        <v>0</v>
      </c>
      <c r="H85" s="289"/>
      <c r="I85" s="23">
        <v>0</v>
      </c>
      <c r="J85" s="286">
        <f t="shared" si="4"/>
        <v>0</v>
      </c>
      <c r="K85" s="287"/>
      <c r="L85" s="287"/>
    </row>
    <row r="86" spans="1:17" s="3" customFormat="1" ht="15.95" customHeight="1" x14ac:dyDescent="0.25">
      <c r="A86" s="156" t="s">
        <v>85</v>
      </c>
      <c r="B86" s="279"/>
      <c r="C86" s="57">
        <v>0</v>
      </c>
      <c r="D86" s="58">
        <v>0</v>
      </c>
      <c r="E86" s="59">
        <v>0</v>
      </c>
      <c r="F86" s="34">
        <v>0</v>
      </c>
      <c r="G86" s="215">
        <v>0</v>
      </c>
      <c r="H86" s="280"/>
      <c r="I86" s="34">
        <v>0</v>
      </c>
      <c r="J86" s="215">
        <f t="shared" si="4"/>
        <v>0</v>
      </c>
      <c r="K86" s="216"/>
      <c r="L86" s="216"/>
    </row>
    <row r="87" spans="1:17" s="3" customFormat="1" ht="15.95" customHeight="1" x14ac:dyDescent="0.25">
      <c r="A87" s="156" t="s">
        <v>86</v>
      </c>
      <c r="B87" s="279"/>
      <c r="C87" s="57">
        <v>0</v>
      </c>
      <c r="D87" s="58">
        <v>0</v>
      </c>
      <c r="E87" s="59">
        <v>0</v>
      </c>
      <c r="F87" s="34">
        <v>0</v>
      </c>
      <c r="G87" s="215">
        <v>0</v>
      </c>
      <c r="H87" s="280"/>
      <c r="I87" s="34">
        <v>0</v>
      </c>
      <c r="J87" s="215">
        <f t="shared" si="4"/>
        <v>0</v>
      </c>
      <c r="K87" s="216"/>
      <c r="L87" s="216"/>
      <c r="N87" s="61"/>
    </row>
    <row r="88" spans="1:17" s="3" customFormat="1" ht="15.95" customHeight="1" x14ac:dyDescent="0.25">
      <c r="A88" s="285" t="s">
        <v>87</v>
      </c>
      <c r="B88" s="279"/>
      <c r="C88" s="57">
        <v>0</v>
      </c>
      <c r="D88" s="58">
        <v>0</v>
      </c>
      <c r="E88" s="59">
        <v>0</v>
      </c>
      <c r="F88" s="34">
        <v>0</v>
      </c>
      <c r="G88" s="215">
        <v>0</v>
      </c>
      <c r="H88" s="280"/>
      <c r="I88" s="34">
        <v>0</v>
      </c>
      <c r="J88" s="215">
        <f t="shared" si="4"/>
        <v>0</v>
      </c>
      <c r="K88" s="216"/>
      <c r="L88" s="216"/>
    </row>
    <row r="89" spans="1:17" s="3" customFormat="1" ht="15.95" customHeight="1" x14ac:dyDescent="0.25">
      <c r="A89" s="156" t="s">
        <v>88</v>
      </c>
      <c r="B89" s="279"/>
      <c r="C89" s="57">
        <v>0</v>
      </c>
      <c r="D89" s="58">
        <v>0</v>
      </c>
      <c r="E89" s="59">
        <v>0</v>
      </c>
      <c r="F89" s="34">
        <v>0</v>
      </c>
      <c r="G89" s="215">
        <v>0</v>
      </c>
      <c r="H89" s="280"/>
      <c r="I89" s="34">
        <v>0</v>
      </c>
      <c r="J89" s="215">
        <f t="shared" si="4"/>
        <v>0</v>
      </c>
      <c r="K89" s="216"/>
      <c r="L89" s="216"/>
    </row>
    <row r="90" spans="1:17" s="3" customFormat="1" ht="15.95" customHeight="1" x14ac:dyDescent="0.25">
      <c r="A90" s="156" t="s">
        <v>86</v>
      </c>
      <c r="B90" s="279"/>
      <c r="C90" s="57">
        <v>0</v>
      </c>
      <c r="D90" s="58">
        <v>0</v>
      </c>
      <c r="E90" s="59">
        <v>0</v>
      </c>
      <c r="F90" s="34">
        <v>0</v>
      </c>
      <c r="G90" s="215">
        <v>0</v>
      </c>
      <c r="H90" s="280"/>
      <c r="I90" s="34">
        <v>0</v>
      </c>
      <c r="J90" s="215">
        <f t="shared" si="4"/>
        <v>0</v>
      </c>
      <c r="K90" s="216"/>
      <c r="L90" s="216"/>
    </row>
    <row r="91" spans="1:17" s="3" customFormat="1" ht="15.95" customHeight="1" x14ac:dyDescent="0.25">
      <c r="A91" s="281" t="s">
        <v>87</v>
      </c>
      <c r="B91" s="282"/>
      <c r="C91" s="62">
        <v>0</v>
      </c>
      <c r="D91" s="63">
        <v>0</v>
      </c>
      <c r="E91" s="59">
        <v>0</v>
      </c>
      <c r="F91" s="64">
        <v>0</v>
      </c>
      <c r="G91" s="283">
        <v>0</v>
      </c>
      <c r="H91" s="284"/>
      <c r="I91" s="64">
        <v>0</v>
      </c>
      <c r="J91" s="215">
        <f t="shared" si="4"/>
        <v>0</v>
      </c>
      <c r="K91" s="216"/>
      <c r="L91" s="216"/>
      <c r="N91" s="61"/>
    </row>
    <row r="92" spans="1:17" s="3" customFormat="1" ht="15.95" customHeight="1" x14ac:dyDescent="0.25">
      <c r="A92" s="275" t="s">
        <v>89</v>
      </c>
      <c r="B92" s="277"/>
      <c r="C92" s="66">
        <f>C84+C85</f>
        <v>107518723460</v>
      </c>
      <c r="D92" s="67">
        <f>D84+D85</f>
        <v>109129267815.04997</v>
      </c>
      <c r="E92" s="68">
        <f>E84+E85</f>
        <v>16875334819.839996</v>
      </c>
      <c r="F92" s="69">
        <f t="shared" si="5"/>
        <v>15.46361957494296</v>
      </c>
      <c r="G92" s="256">
        <f>G84+G85</f>
        <v>38331149027.859993</v>
      </c>
      <c r="H92" s="257">
        <f>H84+H85</f>
        <v>0</v>
      </c>
      <c r="I92" s="28">
        <f t="shared" si="6"/>
        <v>35.124536061969032</v>
      </c>
      <c r="J92" s="210">
        <f t="shared" si="4"/>
        <v>70798118787.189972</v>
      </c>
      <c r="K92" s="278"/>
      <c r="L92" s="278"/>
      <c r="M92" s="41"/>
    </row>
    <row r="93" spans="1:17" s="3" customFormat="1" ht="15.95" customHeight="1" x14ac:dyDescent="0.25">
      <c r="A93" s="275" t="s">
        <v>157</v>
      </c>
      <c r="B93" s="276"/>
      <c r="C93" s="71"/>
      <c r="D93" s="71"/>
      <c r="E93" s="71"/>
      <c r="F93" s="71"/>
      <c r="G93" s="256">
        <f>IF((H124&gt;G92),(H124-G92),0)</f>
        <v>0</v>
      </c>
      <c r="H93" s="257"/>
      <c r="I93" s="72"/>
      <c r="J93" s="219"/>
      <c r="K93" s="220"/>
      <c r="L93" s="220"/>
      <c r="M93" s="41"/>
    </row>
    <row r="94" spans="1:17" s="3" customFormat="1" ht="15.95" customHeight="1" x14ac:dyDescent="0.25">
      <c r="A94" s="266" t="s">
        <v>90</v>
      </c>
      <c r="B94" s="267"/>
      <c r="C94" s="50">
        <f>C92+C93</f>
        <v>107518723460</v>
      </c>
      <c r="D94" s="51">
        <f>D92+D93</f>
        <v>109129267815.04997</v>
      </c>
      <c r="E94" s="50">
        <f>E92+E93</f>
        <v>16875334819.839996</v>
      </c>
      <c r="F94" s="73">
        <f t="shared" si="5"/>
        <v>15.46361957494296</v>
      </c>
      <c r="G94" s="210">
        <f>G92+G93</f>
        <v>38331149027.859993</v>
      </c>
      <c r="H94" s="211"/>
      <c r="I94" s="52">
        <f t="shared" si="6"/>
        <v>35.124536061969032</v>
      </c>
      <c r="J94" s="219"/>
      <c r="K94" s="220"/>
      <c r="L94" s="220"/>
      <c r="N94" s="326"/>
      <c r="O94" s="326"/>
      <c r="P94" s="326"/>
      <c r="Q94" s="326"/>
    </row>
    <row r="95" spans="1:17" s="3" customFormat="1" ht="15.75" customHeight="1" x14ac:dyDescent="0.25">
      <c r="A95" s="271" t="s">
        <v>91</v>
      </c>
      <c r="B95" s="271"/>
      <c r="C95" s="52">
        <f>SUM(C96:C97)</f>
        <v>0</v>
      </c>
      <c r="D95" s="52">
        <f>SUM(D96:D97)</f>
        <v>5430310886.4300003</v>
      </c>
      <c r="E95" s="71"/>
      <c r="F95" s="71"/>
      <c r="G95" s="264">
        <f>SUM(G96:H97)</f>
        <v>5430310886.4300003</v>
      </c>
      <c r="H95" s="265">
        <f>SUM(H96:H97)</f>
        <v>0</v>
      </c>
      <c r="I95" s="72"/>
      <c r="J95" s="219"/>
      <c r="K95" s="220"/>
      <c r="L95" s="220"/>
      <c r="M95" s="74"/>
      <c r="N95" s="326"/>
      <c r="O95" s="326"/>
      <c r="P95" s="326"/>
      <c r="Q95" s="326"/>
    </row>
    <row r="96" spans="1:17" s="3" customFormat="1" ht="15.95" customHeight="1" x14ac:dyDescent="0.25">
      <c r="A96" s="272" t="s">
        <v>92</v>
      </c>
      <c r="B96" s="272"/>
      <c r="C96" s="75">
        <v>0</v>
      </c>
      <c r="D96" s="76">
        <f>G96</f>
        <v>0</v>
      </c>
      <c r="E96" s="71"/>
      <c r="F96" s="71"/>
      <c r="G96" s="219"/>
      <c r="H96" s="268"/>
      <c r="I96" s="72"/>
      <c r="J96" s="219"/>
      <c r="K96" s="220"/>
      <c r="L96" s="220"/>
      <c r="M96" s="74"/>
      <c r="N96" s="326"/>
      <c r="O96" s="326"/>
      <c r="P96" s="326"/>
      <c r="Q96" s="326"/>
    </row>
    <row r="97" spans="1:17" s="3" customFormat="1" ht="15.95" customHeight="1" x14ac:dyDescent="0.25">
      <c r="A97" s="272" t="s">
        <v>93</v>
      </c>
      <c r="B97" s="272"/>
      <c r="C97" s="71"/>
      <c r="D97" s="76">
        <f>G97</f>
        <v>5430310886.4300003</v>
      </c>
      <c r="E97" s="71"/>
      <c r="F97" s="71"/>
      <c r="G97" s="269">
        <f>5430310886.43</f>
        <v>5430310886.4300003</v>
      </c>
      <c r="H97" s="270"/>
      <c r="I97" s="72"/>
      <c r="J97" s="219"/>
      <c r="K97" s="220"/>
      <c r="L97" s="220"/>
      <c r="M97" s="74"/>
      <c r="N97" s="326"/>
      <c r="O97" s="326"/>
      <c r="P97" s="326"/>
      <c r="Q97" s="326"/>
    </row>
    <row r="98" spans="1:17" ht="12.75" customHeight="1" x14ac:dyDescent="0.25">
      <c r="A98" s="77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326"/>
      <c r="O98" s="326"/>
      <c r="P98" s="326"/>
      <c r="Q98" s="326"/>
    </row>
    <row r="99" spans="1:17" s="3" customFormat="1" ht="17.25" customHeight="1" x14ac:dyDescent="0.25">
      <c r="A99" s="189" t="s">
        <v>94</v>
      </c>
      <c r="B99" s="79" t="s">
        <v>95</v>
      </c>
      <c r="C99" s="79" t="s">
        <v>95</v>
      </c>
      <c r="D99" s="184" t="s">
        <v>96</v>
      </c>
      <c r="E99" s="185"/>
      <c r="F99" s="80" t="s">
        <v>9</v>
      </c>
      <c r="G99" s="184" t="s">
        <v>97</v>
      </c>
      <c r="H99" s="185"/>
      <c r="I99" s="186"/>
      <c r="J99" s="14" t="s">
        <v>9</v>
      </c>
      <c r="K99" s="197" t="s">
        <v>98</v>
      </c>
      <c r="L99" s="198"/>
    </row>
    <row r="100" spans="1:17" s="3" customFormat="1" ht="14.25" customHeight="1" x14ac:dyDescent="0.25">
      <c r="A100" s="190"/>
      <c r="B100" s="81" t="s">
        <v>99</v>
      </c>
      <c r="C100" s="81" t="s">
        <v>10</v>
      </c>
      <c r="D100" s="82" t="s">
        <v>100</v>
      </c>
      <c r="E100" s="82" t="s">
        <v>101</v>
      </c>
      <c r="F100" s="83"/>
      <c r="G100" s="82" t="s">
        <v>100</v>
      </c>
      <c r="H100" s="176" t="s">
        <v>101</v>
      </c>
      <c r="I100" s="177"/>
      <c r="J100" s="84"/>
      <c r="K100" s="199"/>
      <c r="L100" s="200"/>
    </row>
    <row r="101" spans="1:17" s="3" customFormat="1" ht="14.25" customHeight="1" x14ac:dyDescent="0.25">
      <c r="A101" s="190"/>
      <c r="B101" s="81"/>
      <c r="C101" s="81"/>
      <c r="D101" s="83" t="s">
        <v>102</v>
      </c>
      <c r="E101" s="83" t="s">
        <v>102</v>
      </c>
      <c r="F101" s="83"/>
      <c r="G101" s="83" t="s">
        <v>102</v>
      </c>
      <c r="H101" s="178" t="s">
        <v>102</v>
      </c>
      <c r="I101" s="179"/>
      <c r="J101" s="84"/>
      <c r="K101" s="199"/>
      <c r="L101" s="200"/>
    </row>
    <row r="102" spans="1:17" s="3" customFormat="1" ht="16.5" customHeight="1" x14ac:dyDescent="0.25">
      <c r="A102" s="191"/>
      <c r="B102" s="85" t="s">
        <v>103</v>
      </c>
      <c r="C102" s="85" t="s">
        <v>104</v>
      </c>
      <c r="D102" s="85"/>
      <c r="E102" s="85" t="s">
        <v>105</v>
      </c>
      <c r="F102" s="86" t="s">
        <v>106</v>
      </c>
      <c r="G102" s="85"/>
      <c r="H102" s="194" t="s">
        <v>107</v>
      </c>
      <c r="I102" s="195"/>
      <c r="J102" s="18" t="s">
        <v>108</v>
      </c>
      <c r="K102" s="194" t="s">
        <v>109</v>
      </c>
      <c r="L102" s="196"/>
    </row>
    <row r="103" spans="1:17" s="3" customFormat="1" ht="15.95" customHeight="1" x14ac:dyDescent="0.25">
      <c r="A103" s="87" t="s">
        <v>110</v>
      </c>
      <c r="B103" s="27">
        <f>B104+B110+B114</f>
        <v>114232985204</v>
      </c>
      <c r="C103" s="27">
        <f>C104+C110+C114</f>
        <v>119489789250.28</v>
      </c>
      <c r="D103" s="27">
        <f>D104+D110+D114</f>
        <v>17517891248.649998</v>
      </c>
      <c r="E103" s="27">
        <f>E104+E110+E114</f>
        <v>34874488034.43</v>
      </c>
      <c r="F103" s="27">
        <f>C103-E103</f>
        <v>84615301215.850006</v>
      </c>
      <c r="G103" s="29">
        <f>G104+G110+G114</f>
        <v>16154957244.49</v>
      </c>
      <c r="H103" s="273">
        <f>H104+H110+H114</f>
        <v>28482625792.160004</v>
      </c>
      <c r="I103" s="274"/>
      <c r="J103" s="21">
        <f t="shared" ref="J103:J108" si="7">C103-H103</f>
        <v>91007163458.119995</v>
      </c>
      <c r="K103" s="235">
        <f>K104+K110+K114</f>
        <v>27581571993.630001</v>
      </c>
      <c r="L103" s="262" t="e">
        <f>L104+L110+L114+#REF!</f>
        <v>#REF!</v>
      </c>
      <c r="M103" s="25"/>
    </row>
    <row r="104" spans="1:17" s="3" customFormat="1" ht="15.95" customHeight="1" x14ac:dyDescent="0.25">
      <c r="A104" s="1" t="s">
        <v>111</v>
      </c>
      <c r="B104" s="27">
        <f>SUM(B105:B107)</f>
        <v>105920181068</v>
      </c>
      <c r="C104" s="27">
        <f>SUM(C105:C107)</f>
        <v>109178456364.89</v>
      </c>
      <c r="D104" s="27">
        <f>SUM(D105:D107)</f>
        <v>16215583869.82</v>
      </c>
      <c r="E104" s="27">
        <f>SUM(E105:E107)</f>
        <v>33240030954.359997</v>
      </c>
      <c r="F104" s="27">
        <f>C104-E104</f>
        <v>75938425410.529999</v>
      </c>
      <c r="G104" s="29">
        <f>SUM(G105:G107)</f>
        <v>15550598560.75</v>
      </c>
      <c r="H104" s="170">
        <f>SUM(H105:H107)</f>
        <v>27770587854.940002</v>
      </c>
      <c r="I104" s="171"/>
      <c r="J104" s="27">
        <f t="shared" si="7"/>
        <v>81407868509.949997</v>
      </c>
      <c r="K104" s="222">
        <f>SUM(K105:K107)</f>
        <v>26920867610.82</v>
      </c>
      <c r="L104" s="263">
        <f>SUM(L105:L107)</f>
        <v>0</v>
      </c>
      <c r="M104" s="41"/>
    </row>
    <row r="105" spans="1:17" s="1" customFormat="1" ht="15.95" customHeight="1" x14ac:dyDescent="0.25">
      <c r="A105" s="3" t="s">
        <v>112</v>
      </c>
      <c r="B105" s="32">
        <v>67017657432</v>
      </c>
      <c r="C105" s="32">
        <v>70386596027.410004</v>
      </c>
      <c r="D105" s="32">
        <f>E105-10843695638.63</f>
        <v>9069188030.7199993</v>
      </c>
      <c r="E105" s="32">
        <v>19912883669.349998</v>
      </c>
      <c r="F105" s="32">
        <f>C105-E105</f>
        <v>50473712358.060005</v>
      </c>
      <c r="G105" s="35">
        <f>H105-9154748167.04</f>
        <v>9364547363.4500008</v>
      </c>
      <c r="H105" s="167">
        <v>18519295530.490002</v>
      </c>
      <c r="I105" s="169"/>
      <c r="J105" s="32">
        <f>C105-H105</f>
        <v>51867300496.919998</v>
      </c>
      <c r="K105" s="157">
        <v>18156885954.119999</v>
      </c>
      <c r="L105" s="261"/>
      <c r="M105" s="89"/>
    </row>
    <row r="106" spans="1:17" s="3" customFormat="1" ht="15.95" customHeight="1" x14ac:dyDescent="0.25">
      <c r="A106" s="3" t="s">
        <v>113</v>
      </c>
      <c r="B106" s="32">
        <v>7849688386</v>
      </c>
      <c r="C106" s="32">
        <v>5740500720.1700001</v>
      </c>
      <c r="D106" s="32">
        <f>E106-415457347.31</f>
        <v>476705988.19999999</v>
      </c>
      <c r="E106" s="32">
        <v>892163335.50999999</v>
      </c>
      <c r="F106" s="32">
        <f t="shared" ref="F106:F114" si="8">C106-E106</f>
        <v>4848337384.6599998</v>
      </c>
      <c r="G106" s="35">
        <f>H106-415457217.86</f>
        <v>476697367.76999998</v>
      </c>
      <c r="H106" s="167">
        <v>892154585.63</v>
      </c>
      <c r="I106" s="169"/>
      <c r="J106" s="32">
        <f>C106-H106</f>
        <v>4848346134.54</v>
      </c>
      <c r="K106" s="157">
        <v>891889528.72000003</v>
      </c>
      <c r="L106" s="261"/>
      <c r="M106" s="90"/>
    </row>
    <row r="107" spans="1:17" s="3" customFormat="1" ht="15.95" customHeight="1" x14ac:dyDescent="0.25">
      <c r="A107" s="3" t="s">
        <v>114</v>
      </c>
      <c r="B107" s="32">
        <f>B108+B109</f>
        <v>31052835250</v>
      </c>
      <c r="C107" s="32">
        <f>C108+C109</f>
        <v>33051359617.310001</v>
      </c>
      <c r="D107" s="32">
        <f>D108+D109</f>
        <v>6669689850.8999996</v>
      </c>
      <c r="E107" s="32">
        <f>E108+E109</f>
        <v>12434983949.5</v>
      </c>
      <c r="F107" s="32">
        <f t="shared" si="8"/>
        <v>20616375667.810001</v>
      </c>
      <c r="G107" s="35">
        <f>G108+G109</f>
        <v>5709353829.5299997</v>
      </c>
      <c r="H107" s="167">
        <f>H108+H109</f>
        <v>8359137738.8199997</v>
      </c>
      <c r="I107" s="169"/>
      <c r="J107" s="32">
        <f>C107-H107</f>
        <v>24692221878.490002</v>
      </c>
      <c r="K107" s="157">
        <f>K108+K109</f>
        <v>7872092127.9799995</v>
      </c>
      <c r="L107" s="261"/>
      <c r="M107" s="61"/>
    </row>
    <row r="108" spans="1:17" s="3" customFormat="1" ht="15.95" customHeight="1" x14ac:dyDescent="0.25">
      <c r="A108" s="91" t="s">
        <v>158</v>
      </c>
      <c r="B108" s="32">
        <v>0</v>
      </c>
      <c r="C108" s="32">
        <v>0</v>
      </c>
      <c r="D108" s="32">
        <f>E108</f>
        <v>0</v>
      </c>
      <c r="E108" s="32">
        <v>0</v>
      </c>
      <c r="F108" s="32">
        <f t="shared" si="8"/>
        <v>0</v>
      </c>
      <c r="G108" s="35">
        <f>H108</f>
        <v>0</v>
      </c>
      <c r="H108" s="167">
        <v>0</v>
      </c>
      <c r="I108" s="169"/>
      <c r="J108" s="32">
        <f t="shared" si="7"/>
        <v>0</v>
      </c>
      <c r="K108" s="157">
        <v>0</v>
      </c>
      <c r="L108" s="261"/>
    </row>
    <row r="109" spans="1:17" s="3" customFormat="1" ht="15.95" customHeight="1" x14ac:dyDescent="0.25">
      <c r="A109" s="91" t="s">
        <v>159</v>
      </c>
      <c r="B109" s="32">
        <v>31052835250</v>
      </c>
      <c r="C109" s="32">
        <v>33051359617.310001</v>
      </c>
      <c r="D109" s="32">
        <f>E109-5765294098.6</f>
        <v>6669689850.8999996</v>
      </c>
      <c r="E109" s="32">
        <v>12434983949.5</v>
      </c>
      <c r="F109" s="32">
        <f t="shared" si="8"/>
        <v>20616375667.810001</v>
      </c>
      <c r="G109" s="35">
        <f>H109-2649783909.29</f>
        <v>5709353829.5299997</v>
      </c>
      <c r="H109" s="167">
        <v>8359137738.8199997</v>
      </c>
      <c r="I109" s="169"/>
      <c r="J109" s="32">
        <f t="shared" ref="J109:J117" si="9">C109-H109</f>
        <v>24692221878.490002</v>
      </c>
      <c r="K109" s="157">
        <v>7872092127.9799995</v>
      </c>
      <c r="L109" s="261"/>
    </row>
    <row r="110" spans="1:17" s="1" customFormat="1" ht="15.75" x14ac:dyDescent="0.25">
      <c r="A110" s="1" t="s">
        <v>115</v>
      </c>
      <c r="B110" s="27">
        <f>SUM(B111:B113)</f>
        <v>7532797980</v>
      </c>
      <c r="C110" s="27">
        <f>SUM(C111:C113)</f>
        <v>9531326729.3899994</v>
      </c>
      <c r="D110" s="27">
        <f>SUM(D111:D113)</f>
        <v>1302307378.8299997</v>
      </c>
      <c r="E110" s="27">
        <f>SUM(E111:E113)</f>
        <v>1634457080.0699999</v>
      </c>
      <c r="F110" s="27">
        <f t="shared" si="8"/>
        <v>7896869649.3199997</v>
      </c>
      <c r="G110" s="29">
        <f>SUM(G111:G113)</f>
        <v>604358683.74000001</v>
      </c>
      <c r="H110" s="170">
        <f>SUM(H111:I113)</f>
        <v>712037937.22000003</v>
      </c>
      <c r="I110" s="171"/>
      <c r="J110" s="27">
        <f t="shared" si="9"/>
        <v>8819288792.1700001</v>
      </c>
      <c r="K110" s="217">
        <f>SUM(K111:K113)</f>
        <v>660704382.81000006</v>
      </c>
      <c r="L110" s="218"/>
      <c r="N110" s="89"/>
    </row>
    <row r="111" spans="1:17" s="3" customFormat="1" ht="15.95" customHeight="1" x14ac:dyDescent="0.25">
      <c r="A111" s="3" t="s">
        <v>116</v>
      </c>
      <c r="B111" s="32">
        <v>6033503322</v>
      </c>
      <c r="C111" s="32">
        <v>6867384759.0600004</v>
      </c>
      <c r="D111" s="32">
        <f>E111-293891450.62</f>
        <v>1255404746.4499998</v>
      </c>
      <c r="E111" s="32">
        <v>1549296197.0699999</v>
      </c>
      <c r="F111" s="32">
        <f t="shared" si="8"/>
        <v>5318088561.9900007</v>
      </c>
      <c r="G111" s="35">
        <f>H111-69561224.54</f>
        <v>564615814.09000003</v>
      </c>
      <c r="H111" s="167">
        <v>634177038.63</v>
      </c>
      <c r="I111" s="169"/>
      <c r="J111" s="32">
        <f t="shared" si="9"/>
        <v>6233207720.4300003</v>
      </c>
      <c r="K111" s="157">
        <v>583857187.46000004</v>
      </c>
      <c r="L111" s="261"/>
      <c r="N111" s="90"/>
    </row>
    <row r="112" spans="1:17" s="3" customFormat="1" ht="15.95" customHeight="1" x14ac:dyDescent="0.25">
      <c r="A112" s="3" t="s">
        <v>117</v>
      </c>
      <c r="B112" s="32">
        <v>198941047</v>
      </c>
      <c r="C112" s="32">
        <v>207365047</v>
      </c>
      <c r="D112" s="32">
        <f>E112-140170</f>
        <v>8641040.5700000003</v>
      </c>
      <c r="E112" s="32">
        <v>8781210.5700000003</v>
      </c>
      <c r="F112" s="32">
        <f t="shared" si="8"/>
        <v>198583836.43000001</v>
      </c>
      <c r="G112" s="35">
        <f>H112-0</f>
        <v>1482045.01</v>
      </c>
      <c r="H112" s="167">
        <v>1482045.01</v>
      </c>
      <c r="I112" s="169"/>
      <c r="J112" s="32">
        <f t="shared" si="9"/>
        <v>205883001.99000001</v>
      </c>
      <c r="K112" s="157">
        <v>1078490</v>
      </c>
      <c r="L112" s="261"/>
    </row>
    <row r="113" spans="1:17" s="3" customFormat="1" ht="15.95" customHeight="1" x14ac:dyDescent="0.25">
      <c r="A113" s="3" t="s">
        <v>118</v>
      </c>
      <c r="B113" s="32">
        <v>1300353611</v>
      </c>
      <c r="C113" s="32">
        <v>2456576923.3299999</v>
      </c>
      <c r="D113" s="32">
        <f>E113-38118080.62</f>
        <v>38261591.81000001</v>
      </c>
      <c r="E113" s="32">
        <v>76379672.430000007</v>
      </c>
      <c r="F113" s="32">
        <f>C113-E113</f>
        <v>2380197250.9000001</v>
      </c>
      <c r="G113" s="35">
        <f>H113-38118028.94</f>
        <v>38260824.640000001</v>
      </c>
      <c r="H113" s="167">
        <v>76378853.579999998</v>
      </c>
      <c r="I113" s="169"/>
      <c r="J113" s="32">
        <f t="shared" si="9"/>
        <v>2380198069.75</v>
      </c>
      <c r="K113" s="157">
        <v>75768705.349999994</v>
      </c>
      <c r="L113" s="261"/>
      <c r="N113" s="90"/>
    </row>
    <row r="114" spans="1:17" s="3" customFormat="1" ht="15.95" customHeight="1" x14ac:dyDescent="0.25">
      <c r="A114" s="1" t="s">
        <v>119</v>
      </c>
      <c r="B114" s="29">
        <v>780006156</v>
      </c>
      <c r="C114" s="29">
        <v>780006156</v>
      </c>
      <c r="D114" s="92"/>
      <c r="E114" s="92"/>
      <c r="F114" s="29">
        <f t="shared" si="8"/>
        <v>780006156</v>
      </c>
      <c r="G114" s="92"/>
      <c r="H114" s="258"/>
      <c r="I114" s="259"/>
      <c r="J114" s="29">
        <f t="shared" si="9"/>
        <v>780006156</v>
      </c>
      <c r="K114" s="258"/>
      <c r="L114" s="260"/>
    </row>
    <row r="115" spans="1:17" s="3" customFormat="1" ht="15.95" customHeight="1" x14ac:dyDescent="0.25">
      <c r="A115" s="1" t="s">
        <v>120</v>
      </c>
      <c r="B115" s="29">
        <f>B214</f>
        <v>7951876408</v>
      </c>
      <c r="C115" s="29">
        <f>C214</f>
        <v>7775272094.3999996</v>
      </c>
      <c r="D115" s="29">
        <f>D214</f>
        <v>1446599468.3499999</v>
      </c>
      <c r="E115" s="29">
        <f>E214</f>
        <v>3381077384.0599999</v>
      </c>
      <c r="F115" s="29">
        <f>C115-E115</f>
        <v>4394194710.3400002</v>
      </c>
      <c r="G115" s="29">
        <f>G214</f>
        <v>1639510114.29</v>
      </c>
      <c r="H115" s="170">
        <f>H214</f>
        <v>2993767174.54</v>
      </c>
      <c r="I115" s="171"/>
      <c r="J115" s="27">
        <f>C115-H115</f>
        <v>4781504919.8599997</v>
      </c>
      <c r="K115" s="217">
        <f>K214</f>
        <v>2368782748.7199998</v>
      </c>
      <c r="L115" s="218"/>
    </row>
    <row r="116" spans="1:17" s="3" customFormat="1" ht="15.95" customHeight="1" x14ac:dyDescent="0.25">
      <c r="A116" s="93" t="s">
        <v>121</v>
      </c>
      <c r="B116" s="53">
        <f>B103+B115</f>
        <v>122184861612</v>
      </c>
      <c r="C116" s="53">
        <f>C103+C115</f>
        <v>127265061344.67999</v>
      </c>
      <c r="D116" s="70">
        <f>D103+D115</f>
        <v>18964490716.999996</v>
      </c>
      <c r="E116" s="70">
        <f>E103+E115</f>
        <v>38255565418.489998</v>
      </c>
      <c r="F116" s="53">
        <f>C116-E116</f>
        <v>89009495926.190002</v>
      </c>
      <c r="G116" s="53">
        <f>G103+G115</f>
        <v>17794467358.779999</v>
      </c>
      <c r="H116" s="210">
        <f>H103+H115</f>
        <v>31476392966.700005</v>
      </c>
      <c r="I116" s="211" t="e">
        <f>I103+#REF!</f>
        <v>#REF!</v>
      </c>
      <c r="J116" s="21">
        <f t="shared" si="9"/>
        <v>95788668377.97998</v>
      </c>
      <c r="K116" s="213">
        <f>K103+K115</f>
        <v>29950354742.350002</v>
      </c>
      <c r="L116" s="214" t="e">
        <f>L103+#REF!</f>
        <v>#REF!</v>
      </c>
      <c r="M116" s="95"/>
      <c r="N116" s="95"/>
      <c r="O116" s="95"/>
      <c r="P116" s="95"/>
      <c r="Q116" s="95"/>
    </row>
    <row r="117" spans="1:17" s="3" customFormat="1" ht="18.75" customHeight="1" x14ac:dyDescent="0.25">
      <c r="A117" s="96" t="s">
        <v>122</v>
      </c>
      <c r="B117" s="24">
        <f>B118+B121</f>
        <v>0</v>
      </c>
      <c r="C117" s="24">
        <f>C118+C121</f>
        <v>391793824.16000003</v>
      </c>
      <c r="D117" s="88">
        <f>D118+D121</f>
        <v>212819463.50000003</v>
      </c>
      <c r="E117" s="24">
        <f>E118+E121</f>
        <v>391793824.16000003</v>
      </c>
      <c r="F117" s="24">
        <f t="shared" ref="F117:F122" si="10">C117-E117</f>
        <v>0</v>
      </c>
      <c r="G117" s="24">
        <f>G118+G121</f>
        <v>212819463.50000003</v>
      </c>
      <c r="H117" s="237">
        <f>H118+H121</f>
        <v>391793824.16000003</v>
      </c>
      <c r="I117" s="238">
        <f>I118+I121</f>
        <v>0</v>
      </c>
      <c r="J117" s="21">
        <f t="shared" si="9"/>
        <v>0</v>
      </c>
      <c r="K117" s="262">
        <f>K118+K121</f>
        <v>391793824.16000003</v>
      </c>
      <c r="L117" s="262"/>
      <c r="M117" s="95"/>
      <c r="N117" s="95"/>
      <c r="O117" s="95"/>
      <c r="P117" s="95"/>
      <c r="Q117" s="95"/>
    </row>
    <row r="118" spans="1:17" s="3" customFormat="1" ht="15.95" customHeight="1" x14ac:dyDescent="0.25">
      <c r="A118" s="91" t="s">
        <v>123</v>
      </c>
      <c r="B118" s="35">
        <f>B119+B120</f>
        <v>0</v>
      </c>
      <c r="C118" s="35">
        <f>C119+C120</f>
        <v>391793824.16000003</v>
      </c>
      <c r="D118" s="97">
        <f>D119+D120</f>
        <v>212819463.50000003</v>
      </c>
      <c r="E118" s="32">
        <f>E119+E120</f>
        <v>391793824.16000003</v>
      </c>
      <c r="F118" s="32">
        <f t="shared" si="10"/>
        <v>0</v>
      </c>
      <c r="G118" s="35">
        <f>G119+G120</f>
        <v>212819463.50000003</v>
      </c>
      <c r="H118" s="159">
        <f>H119+H120</f>
        <v>391793824.16000003</v>
      </c>
      <c r="I118" s="160">
        <f>I119+I120</f>
        <v>0</v>
      </c>
      <c r="J118" s="32">
        <f t="shared" ref="J118:J123" si="11">C118-H118</f>
        <v>0</v>
      </c>
      <c r="K118" s="212">
        <f>K119+K120</f>
        <v>391793824.16000003</v>
      </c>
      <c r="L118" s="212"/>
      <c r="M118" s="95"/>
      <c r="N118" s="95"/>
      <c r="O118" s="95"/>
      <c r="P118" s="95"/>
      <c r="Q118" s="95"/>
    </row>
    <row r="119" spans="1:17" s="3" customFormat="1" ht="15.95" customHeight="1" x14ac:dyDescent="0.25">
      <c r="A119" s="91" t="s">
        <v>124</v>
      </c>
      <c r="B119" s="35">
        <v>0</v>
      </c>
      <c r="C119" s="60">
        <v>0</v>
      </c>
      <c r="D119" s="97">
        <f>E119</f>
        <v>0</v>
      </c>
      <c r="E119" s="35">
        <v>0</v>
      </c>
      <c r="F119" s="32">
        <f t="shared" si="10"/>
        <v>0</v>
      </c>
      <c r="G119" s="35">
        <f>H119</f>
        <v>0</v>
      </c>
      <c r="H119" s="215">
        <v>0</v>
      </c>
      <c r="I119" s="216"/>
      <c r="J119" s="32">
        <f t="shared" si="11"/>
        <v>0</v>
      </c>
      <c r="K119" s="212">
        <v>0</v>
      </c>
      <c r="L119" s="212"/>
    </row>
    <row r="120" spans="1:17" s="3" customFormat="1" ht="15.95" customHeight="1" x14ac:dyDescent="0.25">
      <c r="A120" s="91" t="s">
        <v>125</v>
      </c>
      <c r="B120" s="35">
        <v>0</v>
      </c>
      <c r="C120" s="35">
        <v>391793824.16000003</v>
      </c>
      <c r="D120" s="97">
        <f>E120-178974360.66</f>
        <v>212819463.50000003</v>
      </c>
      <c r="E120" s="32">
        <v>391793824.16000003</v>
      </c>
      <c r="F120" s="32">
        <f t="shared" si="10"/>
        <v>0</v>
      </c>
      <c r="G120" s="98">
        <f>H120-178974360.66</f>
        <v>212819463.50000003</v>
      </c>
      <c r="H120" s="167">
        <v>391793824.16000003</v>
      </c>
      <c r="I120" s="168"/>
      <c r="J120" s="32">
        <f>C120-H120</f>
        <v>0</v>
      </c>
      <c r="K120" s="212">
        <v>391793824.16000003</v>
      </c>
      <c r="L120" s="212"/>
    </row>
    <row r="121" spans="1:17" s="3" customFormat="1" ht="15.95" customHeight="1" x14ac:dyDescent="0.25">
      <c r="A121" s="91" t="s">
        <v>126</v>
      </c>
      <c r="B121" s="35">
        <f>B122+B123</f>
        <v>0</v>
      </c>
      <c r="C121" s="60">
        <f>C122+C123</f>
        <v>0</v>
      </c>
      <c r="D121" s="58">
        <f>D122+D123</f>
        <v>0</v>
      </c>
      <c r="E121" s="35">
        <f>E122+E123</f>
        <v>0</v>
      </c>
      <c r="F121" s="32">
        <f t="shared" si="10"/>
        <v>0</v>
      </c>
      <c r="G121" s="35">
        <f>G122+G123</f>
        <v>0</v>
      </c>
      <c r="H121" s="215">
        <f>H122+H123</f>
        <v>0</v>
      </c>
      <c r="I121" s="216">
        <f>I122+I123</f>
        <v>0</v>
      </c>
      <c r="J121" s="32">
        <f t="shared" si="11"/>
        <v>0</v>
      </c>
      <c r="K121" s="212">
        <f>K122+K123</f>
        <v>0</v>
      </c>
      <c r="L121" s="212"/>
    </row>
    <row r="122" spans="1:17" s="3" customFormat="1" ht="15.95" customHeight="1" x14ac:dyDescent="0.25">
      <c r="A122" s="91" t="s">
        <v>124</v>
      </c>
      <c r="B122" s="35">
        <v>0</v>
      </c>
      <c r="C122" s="60">
        <v>0</v>
      </c>
      <c r="D122" s="58">
        <f>E122-0</f>
        <v>0</v>
      </c>
      <c r="E122" s="35">
        <v>0</v>
      </c>
      <c r="F122" s="32">
        <f t="shared" si="10"/>
        <v>0</v>
      </c>
      <c r="G122" s="35">
        <f>H122-0</f>
        <v>0</v>
      </c>
      <c r="H122" s="215">
        <v>0</v>
      </c>
      <c r="I122" s="216"/>
      <c r="J122" s="32">
        <f t="shared" si="11"/>
        <v>0</v>
      </c>
      <c r="K122" s="212">
        <v>0</v>
      </c>
      <c r="L122" s="212"/>
    </row>
    <row r="123" spans="1:17" s="3" customFormat="1" ht="15.95" customHeight="1" x14ac:dyDescent="0.25">
      <c r="A123" s="91" t="s">
        <v>125</v>
      </c>
      <c r="B123" s="99">
        <v>0</v>
      </c>
      <c r="C123" s="65">
        <v>0</v>
      </c>
      <c r="D123" s="63">
        <f>E123-0</f>
        <v>0</v>
      </c>
      <c r="E123" s="100">
        <v>0</v>
      </c>
      <c r="F123" s="100">
        <v>0</v>
      </c>
      <c r="G123" s="101">
        <f>H123-0</f>
        <v>0</v>
      </c>
      <c r="H123" s="254">
        <v>0</v>
      </c>
      <c r="I123" s="255"/>
      <c r="J123" s="100">
        <f t="shared" si="11"/>
        <v>0</v>
      </c>
      <c r="K123" s="209">
        <v>0</v>
      </c>
      <c r="L123" s="209"/>
    </row>
    <row r="124" spans="1:17" s="3" customFormat="1" ht="15.95" customHeight="1" x14ac:dyDescent="0.25">
      <c r="A124" s="93" t="s">
        <v>127</v>
      </c>
      <c r="B124" s="51">
        <f t="shared" ref="B124:L124" si="12">B116+B117</f>
        <v>122184861612</v>
      </c>
      <c r="C124" s="102">
        <f>C116+C117</f>
        <v>127656855168.84</v>
      </c>
      <c r="D124" s="102">
        <f t="shared" si="12"/>
        <v>19177310180.499996</v>
      </c>
      <c r="E124" s="102">
        <f t="shared" si="12"/>
        <v>38647359242.650002</v>
      </c>
      <c r="F124" s="102">
        <f>F116+F117</f>
        <v>89009495926.190002</v>
      </c>
      <c r="G124" s="102">
        <f t="shared" si="12"/>
        <v>18007286822.279999</v>
      </c>
      <c r="H124" s="210">
        <f t="shared" si="12"/>
        <v>31868186790.860004</v>
      </c>
      <c r="I124" s="211" t="e">
        <f t="shared" si="12"/>
        <v>#REF!</v>
      </c>
      <c r="J124" s="103">
        <f t="shared" si="12"/>
        <v>95788668377.97998</v>
      </c>
      <c r="K124" s="213">
        <f t="shared" si="12"/>
        <v>30342148566.510002</v>
      </c>
      <c r="L124" s="214" t="e">
        <f t="shared" si="12"/>
        <v>#REF!</v>
      </c>
      <c r="M124" s="104"/>
      <c r="N124" s="61"/>
    </row>
    <row r="125" spans="1:17" s="3" customFormat="1" ht="15.95" customHeight="1" x14ac:dyDescent="0.25">
      <c r="A125" s="93" t="s">
        <v>128</v>
      </c>
      <c r="B125" s="71"/>
      <c r="C125" s="71"/>
      <c r="D125" s="71"/>
      <c r="E125" s="70">
        <f>IF((E124&lt;G92),(G92-E124),0)</f>
        <v>0</v>
      </c>
      <c r="F125" s="71"/>
      <c r="G125" s="71"/>
      <c r="H125" s="256">
        <f>IF((H124&lt;G92),(G92-H124),0)</f>
        <v>6462962236.9999886</v>
      </c>
      <c r="I125" s="257"/>
      <c r="J125" s="71"/>
      <c r="K125" s="213">
        <f>IF((K124&lt;G92),(G92-K124),0)</f>
        <v>7989000461.3499908</v>
      </c>
      <c r="L125" s="214"/>
      <c r="M125" s="41"/>
    </row>
    <row r="126" spans="1:17" s="3" customFormat="1" ht="15.95" customHeight="1" x14ac:dyDescent="0.25">
      <c r="A126" s="105" t="s">
        <v>129</v>
      </c>
      <c r="B126" s="106">
        <f>B124+B125</f>
        <v>122184861612</v>
      </c>
      <c r="C126" s="102">
        <f>C124+C125</f>
        <v>127656855168.84</v>
      </c>
      <c r="D126" s="102">
        <f>D124+D125</f>
        <v>19177310180.499996</v>
      </c>
      <c r="E126" s="102">
        <f>E124+E125</f>
        <v>38647359242.650002</v>
      </c>
      <c r="F126" s="71"/>
      <c r="G126" s="53">
        <f>G124+G125</f>
        <v>18007286822.279999</v>
      </c>
      <c r="H126" s="210">
        <f>H124+H125</f>
        <v>38331149027.859993</v>
      </c>
      <c r="I126" s="211"/>
      <c r="J126" s="71"/>
      <c r="K126" s="213">
        <f>K124+K125</f>
        <v>38331149027.859993</v>
      </c>
      <c r="L126" s="214"/>
    </row>
    <row r="127" spans="1:17" s="3" customFormat="1" ht="15.95" customHeight="1" x14ac:dyDescent="0.25">
      <c r="A127" s="105" t="s">
        <v>130</v>
      </c>
      <c r="B127" s="107">
        <f>777506156</f>
        <v>777506156</v>
      </c>
      <c r="C127" s="108">
        <f>777506156</f>
        <v>777506156</v>
      </c>
      <c r="D127" s="71"/>
      <c r="E127" s="71"/>
      <c r="F127" s="94">
        <f>C127-E127</f>
        <v>777506156</v>
      </c>
      <c r="G127" s="71"/>
      <c r="H127" s="221"/>
      <c r="I127" s="221"/>
      <c r="J127" s="109">
        <f>C127-H127</f>
        <v>777506156</v>
      </c>
      <c r="K127" s="219"/>
      <c r="L127" s="220"/>
    </row>
    <row r="128" spans="1:17" ht="15.75" x14ac:dyDescent="0.25">
      <c r="A128" s="110"/>
      <c r="B128" s="111"/>
      <c r="C128" s="111"/>
      <c r="D128" s="112"/>
      <c r="E128" s="112"/>
      <c r="F128" s="111"/>
      <c r="G128" s="112"/>
      <c r="H128" s="113"/>
      <c r="I128" s="113"/>
      <c r="J128" s="113"/>
      <c r="K128" s="113"/>
      <c r="L128" s="114" t="s">
        <v>131</v>
      </c>
      <c r="M128" s="115"/>
    </row>
    <row r="129" spans="1:13" ht="15" x14ac:dyDescent="0.25">
      <c r="A129" s="110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</row>
    <row r="130" spans="1:13" ht="12.75" x14ac:dyDescent="0.2">
      <c r="A130" s="77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</row>
    <row r="131" spans="1:13" ht="15.75" x14ac:dyDescent="0.2">
      <c r="A131" s="77"/>
      <c r="B131" s="78"/>
      <c r="C131" s="78"/>
      <c r="D131" s="117"/>
      <c r="E131" s="117"/>
      <c r="F131" s="78"/>
      <c r="G131" s="117"/>
      <c r="H131" s="118"/>
      <c r="I131" s="118"/>
      <c r="J131" s="118"/>
      <c r="K131" s="118"/>
      <c r="L131" s="119"/>
    </row>
    <row r="132" spans="1:13" ht="15.75" x14ac:dyDescent="0.2">
      <c r="A132" s="77"/>
      <c r="B132" s="78"/>
      <c r="C132" s="78"/>
      <c r="D132" s="117"/>
      <c r="E132" s="117"/>
      <c r="F132" s="78"/>
      <c r="G132" s="117"/>
      <c r="H132" s="118"/>
      <c r="I132" s="118"/>
      <c r="J132" s="118"/>
      <c r="K132" s="118"/>
      <c r="L132" s="114" t="s">
        <v>132</v>
      </c>
    </row>
    <row r="133" spans="1:13" ht="16.5" x14ac:dyDescent="0.25">
      <c r="A133" s="203" t="str">
        <f>A6</f>
        <v>GOVERNO DO ESTADO DO RIO DE JANEIRO</v>
      </c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</row>
    <row r="134" spans="1:13" ht="16.5" x14ac:dyDescent="0.25">
      <c r="A134" s="204" t="str">
        <f>A7</f>
        <v>RELATÓRIO RESUMIDO DA EXECUÇÃO ORÇAMENTÁRIA</v>
      </c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</row>
    <row r="135" spans="1:13" ht="16.5" x14ac:dyDescent="0.25">
      <c r="A135" s="253" t="str">
        <f>A8</f>
        <v>BALANÇO ORÇAMENTÁRIO</v>
      </c>
      <c r="B135" s="253"/>
      <c r="C135" s="253"/>
      <c r="D135" s="253"/>
      <c r="E135" s="253"/>
      <c r="F135" s="253"/>
      <c r="G135" s="253"/>
      <c r="H135" s="253"/>
      <c r="I135" s="253"/>
      <c r="J135" s="253"/>
      <c r="K135" s="253"/>
      <c r="L135" s="253"/>
    </row>
    <row r="136" spans="1:13" ht="16.5" x14ac:dyDescent="0.25">
      <c r="A136" s="203" t="str">
        <f>A9</f>
        <v>ORÇAMENTOS FISCAL E DA SEGURIDADE SOCIAL</v>
      </c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</row>
    <row r="137" spans="1:13" ht="16.5" x14ac:dyDescent="0.25">
      <c r="A137" s="204" t="str">
        <f>A10</f>
        <v>JANEIRO A ABRIL 2025/BIMESTRE MARÇO - ABRIL</v>
      </c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</row>
    <row r="138" spans="1:13" ht="16.5" x14ac:dyDescent="0.25">
      <c r="A138" s="6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</row>
    <row r="139" spans="1:13" ht="15.75" x14ac:dyDescent="0.25">
      <c r="A139" s="121"/>
      <c r="B139" s="121"/>
      <c r="C139" s="122"/>
      <c r="D139" s="122"/>
      <c r="E139" s="122"/>
      <c r="F139" s="122"/>
      <c r="G139" s="122"/>
      <c r="H139" s="122"/>
      <c r="I139" s="122"/>
      <c r="J139" s="123"/>
      <c r="K139" s="123"/>
      <c r="L139" s="9" t="str">
        <f>L12</f>
        <v>Emissão: 21/05/2025</v>
      </c>
    </row>
    <row r="140" spans="1:13" ht="15.75" x14ac:dyDescent="0.25">
      <c r="A140" s="124" t="str">
        <f>A13</f>
        <v>RREO - Anexo 1 (LRF, Art. 52, inciso I, alíneas "a" e "b" do inciso II e §1º)</v>
      </c>
      <c r="B140" s="125"/>
      <c r="C140" s="126"/>
      <c r="D140" s="126"/>
      <c r="E140" s="126"/>
      <c r="F140" s="126"/>
      <c r="G140" s="126"/>
      <c r="H140" s="126"/>
      <c r="I140" s="123"/>
      <c r="J140" s="127"/>
      <c r="K140" s="125"/>
      <c r="L140" s="127">
        <v>1</v>
      </c>
    </row>
    <row r="141" spans="1:13" ht="15.75" x14ac:dyDescent="0.25">
      <c r="A141" s="249" t="s">
        <v>133</v>
      </c>
      <c r="B141" s="189"/>
      <c r="C141" s="239" t="s">
        <v>6</v>
      </c>
      <c r="D141" s="15" t="s">
        <v>7</v>
      </c>
      <c r="E141" s="242" t="s">
        <v>8</v>
      </c>
      <c r="F141" s="243"/>
      <c r="G141" s="243"/>
      <c r="H141" s="243"/>
      <c r="I141" s="244"/>
      <c r="J141" s="245" t="s">
        <v>9</v>
      </c>
      <c r="K141" s="252"/>
      <c r="L141" s="252"/>
    </row>
    <row r="142" spans="1:13" ht="15.75" x14ac:dyDescent="0.25">
      <c r="A142" s="250"/>
      <c r="B142" s="190"/>
      <c r="C142" s="240"/>
      <c r="D142" s="16" t="s">
        <v>10</v>
      </c>
      <c r="E142" s="15" t="s">
        <v>11</v>
      </c>
      <c r="F142" s="17" t="s">
        <v>12</v>
      </c>
      <c r="G142" s="245" t="s">
        <v>13</v>
      </c>
      <c r="H142" s="246"/>
      <c r="I142" s="17" t="s">
        <v>12</v>
      </c>
      <c r="J142" s="247"/>
      <c r="K142" s="248"/>
      <c r="L142" s="248"/>
    </row>
    <row r="143" spans="1:13" ht="15.75" x14ac:dyDescent="0.25">
      <c r="A143" s="251"/>
      <c r="B143" s="191"/>
      <c r="C143" s="241"/>
      <c r="D143" s="19" t="s">
        <v>14</v>
      </c>
      <c r="E143" s="19" t="s">
        <v>15</v>
      </c>
      <c r="F143" s="19" t="s">
        <v>16</v>
      </c>
      <c r="G143" s="207" t="s">
        <v>17</v>
      </c>
      <c r="H143" s="208"/>
      <c r="I143" s="19" t="s">
        <v>18</v>
      </c>
      <c r="J143" s="207" t="s">
        <v>19</v>
      </c>
      <c r="K143" s="309"/>
      <c r="L143" s="309"/>
    </row>
    <row r="144" spans="1:13" ht="15.75" x14ac:dyDescent="0.25">
      <c r="A144" s="233" t="s">
        <v>82</v>
      </c>
      <c r="B144" s="234"/>
      <c r="C144" s="20">
        <f>C145+C185</f>
        <v>7951876408</v>
      </c>
      <c r="D144" s="21">
        <f>D145+D185</f>
        <v>7990550941.4499998</v>
      </c>
      <c r="E144" s="22">
        <f>E145+E185</f>
        <v>1588445019.5300002</v>
      </c>
      <c r="F144" s="23">
        <f t="shared" ref="F144:F203" si="13">(E144/D144)*100</f>
        <v>19.879042523715569</v>
      </c>
      <c r="G144" s="235">
        <f>G145+G185</f>
        <v>2753375744.4300003</v>
      </c>
      <c r="H144" s="236"/>
      <c r="I144" s="23">
        <f>(G144/D144)*100</f>
        <v>34.45789614014226</v>
      </c>
      <c r="J144" s="237">
        <f t="shared" ref="J144" si="14">D144-G144</f>
        <v>5237175197.0199995</v>
      </c>
      <c r="K144" s="238"/>
      <c r="L144" s="238"/>
    </row>
    <row r="145" spans="1:12" ht="15.75" x14ac:dyDescent="0.25">
      <c r="A145" s="166" t="s">
        <v>21</v>
      </c>
      <c r="B145" s="166"/>
      <c r="C145" s="26">
        <f>C146+C150+C155+C163+C164+C165+C171+C179</f>
        <v>7951876408</v>
      </c>
      <c r="D145" s="27">
        <f>D146+D150+D155+D163+D164+D165+D171+D179</f>
        <v>7990471339.9700003</v>
      </c>
      <c r="E145" s="22">
        <f>E146+E150+E155+E163+E164+E165+E171+E179</f>
        <v>1588393233.5300002</v>
      </c>
      <c r="F145" s="28">
        <f t="shared" si="13"/>
        <v>19.878592462806626</v>
      </c>
      <c r="G145" s="222">
        <f>G146+G150+G155+G163+G164+G165+G171+G179</f>
        <v>2753293903.1000004</v>
      </c>
      <c r="H145" s="223"/>
      <c r="I145" s="28">
        <f t="shared" ref="I145:I203" si="15">(G145/D145)*100</f>
        <v>34.457215174872744</v>
      </c>
      <c r="J145" s="224">
        <f t="shared" ref="J145:J208" si="16">D145-G145</f>
        <v>5237177436.8699999</v>
      </c>
      <c r="K145" s="225"/>
      <c r="L145" s="225"/>
    </row>
    <row r="146" spans="1:12" ht="15.75" x14ac:dyDescent="0.25">
      <c r="A146" s="156" t="s">
        <v>22</v>
      </c>
      <c r="B146" s="156"/>
      <c r="C146" s="31">
        <f>C147+C148+C149</f>
        <v>0</v>
      </c>
      <c r="D146" s="32">
        <f>D147+D148+D149</f>
        <v>0</v>
      </c>
      <c r="E146" s="33">
        <f>E147+E148+E149</f>
        <v>0</v>
      </c>
      <c r="F146" s="34">
        <v>0</v>
      </c>
      <c r="G146" s="226">
        <f>G147+G148+G149</f>
        <v>0</v>
      </c>
      <c r="H146" s="227" t="e">
        <f>H147+H148+#REF!</f>
        <v>#REF!</v>
      </c>
      <c r="I146" s="34">
        <v>0</v>
      </c>
      <c r="J146" s="159">
        <f t="shared" si="16"/>
        <v>0</v>
      </c>
      <c r="K146" s="160"/>
      <c r="L146" s="160"/>
    </row>
    <row r="147" spans="1:12" ht="15.75" x14ac:dyDescent="0.25">
      <c r="A147" s="156" t="s">
        <v>134</v>
      </c>
      <c r="B147" s="156"/>
      <c r="C147" s="31">
        <v>0</v>
      </c>
      <c r="D147" s="32">
        <v>0</v>
      </c>
      <c r="E147" s="33">
        <f>G147</f>
        <v>0</v>
      </c>
      <c r="F147" s="34">
        <v>0</v>
      </c>
      <c r="G147" s="157">
        <v>0</v>
      </c>
      <c r="H147" s="158"/>
      <c r="I147" s="34">
        <v>0</v>
      </c>
      <c r="J147" s="159">
        <f t="shared" si="16"/>
        <v>0</v>
      </c>
      <c r="K147" s="160"/>
      <c r="L147" s="160"/>
    </row>
    <row r="148" spans="1:12" ht="15.75" x14ac:dyDescent="0.25">
      <c r="A148" s="156" t="s">
        <v>135</v>
      </c>
      <c r="B148" s="156"/>
      <c r="C148" s="31">
        <v>0</v>
      </c>
      <c r="D148" s="32">
        <v>0</v>
      </c>
      <c r="E148" s="33">
        <f>G148</f>
        <v>0</v>
      </c>
      <c r="F148" s="34">
        <v>0</v>
      </c>
      <c r="G148" s="157">
        <v>0</v>
      </c>
      <c r="H148" s="158"/>
      <c r="I148" s="34">
        <v>0</v>
      </c>
      <c r="J148" s="159">
        <f t="shared" si="16"/>
        <v>0</v>
      </c>
      <c r="K148" s="160"/>
      <c r="L148" s="160"/>
    </row>
    <row r="149" spans="1:12" ht="15.75" x14ac:dyDescent="0.25">
      <c r="A149" s="230" t="s">
        <v>25</v>
      </c>
      <c r="B149" s="230"/>
      <c r="C149" s="31">
        <v>0</v>
      </c>
      <c r="D149" s="32">
        <v>0</v>
      </c>
      <c r="E149" s="33">
        <f>G149</f>
        <v>0</v>
      </c>
      <c r="F149" s="34">
        <v>0</v>
      </c>
      <c r="G149" s="157">
        <v>0</v>
      </c>
      <c r="H149" s="158"/>
      <c r="I149" s="34">
        <v>0</v>
      </c>
      <c r="J149" s="159">
        <f t="shared" si="16"/>
        <v>0</v>
      </c>
      <c r="K149" s="160"/>
      <c r="L149" s="160"/>
    </row>
    <row r="150" spans="1:12" ht="15.75" x14ac:dyDescent="0.25">
      <c r="A150" s="156" t="s">
        <v>26</v>
      </c>
      <c r="B150" s="156"/>
      <c r="C150" s="31">
        <f>C152+C151+C153+C154</f>
        <v>3921995344</v>
      </c>
      <c r="D150" s="32">
        <f>D152+D151+D153+D154</f>
        <v>3921995344</v>
      </c>
      <c r="E150" s="33">
        <f>E152+E151+E153+E154</f>
        <v>481529220.31999993</v>
      </c>
      <c r="F150" s="34">
        <f t="shared" si="13"/>
        <v>12.277659152672364</v>
      </c>
      <c r="G150" s="226">
        <f>G151+G152+G153+G154</f>
        <v>1114093732.04</v>
      </c>
      <c r="H150" s="227"/>
      <c r="I150" s="34">
        <f t="shared" si="15"/>
        <v>28.406299200338875</v>
      </c>
      <c r="J150" s="159">
        <f t="shared" si="16"/>
        <v>2807901611.96</v>
      </c>
      <c r="K150" s="160"/>
      <c r="L150" s="160"/>
    </row>
    <row r="151" spans="1:12" ht="15.75" x14ac:dyDescent="0.25">
      <c r="A151" s="156" t="s">
        <v>27</v>
      </c>
      <c r="B151" s="156"/>
      <c r="C151" s="43">
        <v>3921995344</v>
      </c>
      <c r="D151" s="44">
        <v>3921995344</v>
      </c>
      <c r="E151" s="33">
        <f>G151-632564511.72</f>
        <v>481529220.31999993</v>
      </c>
      <c r="F151" s="34">
        <f t="shared" si="13"/>
        <v>12.277659152672364</v>
      </c>
      <c r="G151" s="157">
        <v>1114093732.04</v>
      </c>
      <c r="H151" s="158"/>
      <c r="I151" s="34">
        <f t="shared" si="15"/>
        <v>28.406299200338875</v>
      </c>
      <c r="J151" s="159">
        <f t="shared" si="16"/>
        <v>2807901611.96</v>
      </c>
      <c r="K151" s="160"/>
      <c r="L151" s="160"/>
    </row>
    <row r="152" spans="1:12" ht="15.75" x14ac:dyDescent="0.25">
      <c r="A152" s="156" t="s">
        <v>28</v>
      </c>
      <c r="B152" s="156"/>
      <c r="C152" s="31">
        <v>0</v>
      </c>
      <c r="D152" s="32">
        <v>0</v>
      </c>
      <c r="E152" s="33">
        <f>G152</f>
        <v>0</v>
      </c>
      <c r="F152" s="34">
        <v>0</v>
      </c>
      <c r="G152" s="157">
        <v>0</v>
      </c>
      <c r="H152" s="158"/>
      <c r="I152" s="34">
        <v>0</v>
      </c>
      <c r="J152" s="159">
        <f t="shared" si="16"/>
        <v>0</v>
      </c>
      <c r="K152" s="160"/>
      <c r="L152" s="160"/>
    </row>
    <row r="153" spans="1:12" ht="15.75" x14ac:dyDescent="0.25">
      <c r="A153" s="156" t="s">
        <v>29</v>
      </c>
      <c r="B153" s="156"/>
      <c r="C153" s="31">
        <v>0</v>
      </c>
      <c r="D153" s="32">
        <v>0</v>
      </c>
      <c r="E153" s="33">
        <f>G153</f>
        <v>0</v>
      </c>
      <c r="F153" s="34">
        <v>0</v>
      </c>
      <c r="G153" s="157">
        <v>0</v>
      </c>
      <c r="H153" s="158"/>
      <c r="I153" s="34">
        <v>0</v>
      </c>
      <c r="J153" s="167">
        <f t="shared" si="16"/>
        <v>0</v>
      </c>
      <c r="K153" s="168"/>
      <c r="L153" s="168"/>
    </row>
    <row r="154" spans="1:12" ht="15.75" x14ac:dyDescent="0.25">
      <c r="A154" s="156" t="s">
        <v>30</v>
      </c>
      <c r="B154" s="156"/>
      <c r="C154" s="31">
        <v>0</v>
      </c>
      <c r="D154" s="32">
        <v>0</v>
      </c>
      <c r="E154" s="33">
        <f>G154</f>
        <v>0</v>
      </c>
      <c r="F154" s="34">
        <v>0</v>
      </c>
      <c r="G154" s="157">
        <v>0</v>
      </c>
      <c r="H154" s="158"/>
      <c r="I154" s="34">
        <v>0</v>
      </c>
      <c r="J154" s="167">
        <f t="shared" si="16"/>
        <v>0</v>
      </c>
      <c r="K154" s="168"/>
      <c r="L154" s="168"/>
    </row>
    <row r="155" spans="1:12" ht="15.75" x14ac:dyDescent="0.25">
      <c r="A155" s="156" t="s">
        <v>31</v>
      </c>
      <c r="B155" s="156"/>
      <c r="C155" s="31">
        <f>SUM(C156:C162)</f>
        <v>16416581</v>
      </c>
      <c r="D155" s="32">
        <f>SUM(D156:D162)</f>
        <v>16416581</v>
      </c>
      <c r="E155" s="33">
        <f>SUM(E156:E162)</f>
        <v>1491195.38</v>
      </c>
      <c r="F155" s="34">
        <f t="shared" si="13"/>
        <v>9.0834710345595084</v>
      </c>
      <c r="G155" s="226">
        <f>SUM(G156:H162)</f>
        <v>3355884.85</v>
      </c>
      <c r="H155" s="227">
        <f>SUM(H156:H162)</f>
        <v>0</v>
      </c>
      <c r="I155" s="34">
        <f t="shared" si="15"/>
        <v>20.442044844782238</v>
      </c>
      <c r="J155" s="159">
        <f t="shared" si="16"/>
        <v>13060696.15</v>
      </c>
      <c r="K155" s="160"/>
      <c r="L155" s="160"/>
    </row>
    <row r="156" spans="1:12" ht="15.75" x14ac:dyDescent="0.25">
      <c r="A156" s="156" t="s">
        <v>32</v>
      </c>
      <c r="B156" s="156"/>
      <c r="C156" s="43">
        <v>16416581</v>
      </c>
      <c r="D156" s="44">
        <v>16416581</v>
      </c>
      <c r="E156" s="33">
        <f>G156-1864562.87</f>
        <v>1491195.38</v>
      </c>
      <c r="F156" s="34">
        <f t="shared" si="13"/>
        <v>9.0834710345595084</v>
      </c>
      <c r="G156" s="157">
        <v>3355758.25</v>
      </c>
      <c r="H156" s="158"/>
      <c r="I156" s="34">
        <f t="shared" si="15"/>
        <v>20.441273673245362</v>
      </c>
      <c r="J156" s="159">
        <f t="shared" si="16"/>
        <v>13060822.75</v>
      </c>
      <c r="K156" s="160"/>
      <c r="L156" s="160"/>
    </row>
    <row r="157" spans="1:12" ht="15.75" x14ac:dyDescent="0.25">
      <c r="A157" s="156" t="s">
        <v>33</v>
      </c>
      <c r="B157" s="156"/>
      <c r="C157" s="31">
        <v>0</v>
      </c>
      <c r="D157" s="32">
        <v>0</v>
      </c>
      <c r="E157" s="33">
        <f t="shared" ref="E157:E164" si="17">G157</f>
        <v>0</v>
      </c>
      <c r="F157" s="34">
        <v>0</v>
      </c>
      <c r="G157" s="157">
        <v>0</v>
      </c>
      <c r="H157" s="158"/>
      <c r="I157" s="34">
        <v>0</v>
      </c>
      <c r="J157" s="159">
        <f t="shared" si="16"/>
        <v>0</v>
      </c>
      <c r="K157" s="160"/>
      <c r="L157" s="160"/>
    </row>
    <row r="158" spans="1:12" ht="15.75" x14ac:dyDescent="0.25">
      <c r="A158" s="156" t="s">
        <v>34</v>
      </c>
      <c r="B158" s="156"/>
      <c r="C158" s="31">
        <v>0</v>
      </c>
      <c r="D158" s="32">
        <v>0</v>
      </c>
      <c r="E158" s="33">
        <f t="shared" si="17"/>
        <v>0</v>
      </c>
      <c r="F158" s="34">
        <v>0</v>
      </c>
      <c r="G158" s="157">
        <v>0</v>
      </c>
      <c r="H158" s="158"/>
      <c r="I158" s="34">
        <v>0</v>
      </c>
      <c r="J158" s="159">
        <f t="shared" si="16"/>
        <v>0</v>
      </c>
      <c r="K158" s="160"/>
      <c r="L158" s="160"/>
    </row>
    <row r="159" spans="1:12" ht="15.75" x14ac:dyDescent="0.25">
      <c r="A159" s="156" t="s">
        <v>35</v>
      </c>
      <c r="B159" s="156"/>
      <c r="C159" s="31">
        <v>0</v>
      </c>
      <c r="D159" s="32">
        <v>0</v>
      </c>
      <c r="E159" s="33">
        <f>G159-126.6</f>
        <v>0</v>
      </c>
      <c r="F159" s="34">
        <v>0</v>
      </c>
      <c r="G159" s="157">
        <v>126.6</v>
      </c>
      <c r="H159" s="158"/>
      <c r="I159" s="34">
        <v>0</v>
      </c>
      <c r="J159" s="159">
        <f t="shared" si="16"/>
        <v>-126.6</v>
      </c>
      <c r="K159" s="160"/>
      <c r="L159" s="160"/>
    </row>
    <row r="160" spans="1:12" ht="15" customHeight="1" x14ac:dyDescent="0.25">
      <c r="A160" s="156" t="s">
        <v>36</v>
      </c>
      <c r="B160" s="156"/>
      <c r="C160" s="31">
        <v>0</v>
      </c>
      <c r="D160" s="32">
        <v>0</v>
      </c>
      <c r="E160" s="33">
        <f t="shared" si="17"/>
        <v>0</v>
      </c>
      <c r="F160" s="34">
        <v>0</v>
      </c>
      <c r="G160" s="157">
        <v>0</v>
      </c>
      <c r="H160" s="158"/>
      <c r="I160" s="34">
        <v>0</v>
      </c>
      <c r="J160" s="159">
        <f t="shared" si="16"/>
        <v>0</v>
      </c>
      <c r="K160" s="160"/>
      <c r="L160" s="160"/>
    </row>
    <row r="161" spans="1:18" ht="15.75" x14ac:dyDescent="0.25">
      <c r="A161" s="156" t="s">
        <v>37</v>
      </c>
      <c r="B161" s="156"/>
      <c r="C161" s="31">
        <v>0</v>
      </c>
      <c r="D161" s="32">
        <v>0</v>
      </c>
      <c r="E161" s="33">
        <f t="shared" si="17"/>
        <v>0</v>
      </c>
      <c r="F161" s="34">
        <v>0</v>
      </c>
      <c r="G161" s="157">
        <v>0</v>
      </c>
      <c r="H161" s="158"/>
      <c r="I161" s="34">
        <v>0</v>
      </c>
      <c r="J161" s="159">
        <f t="shared" si="16"/>
        <v>0</v>
      </c>
      <c r="K161" s="160"/>
      <c r="L161" s="160"/>
      <c r="N161" s="128"/>
      <c r="O161" s="128"/>
      <c r="P161" s="128"/>
      <c r="Q161" s="128"/>
      <c r="R161" s="128"/>
    </row>
    <row r="162" spans="1:18" ht="15.75" customHeight="1" x14ac:dyDescent="0.25">
      <c r="A162" s="156" t="s">
        <v>38</v>
      </c>
      <c r="B162" s="156"/>
      <c r="C162" s="31">
        <v>0</v>
      </c>
      <c r="D162" s="32">
        <v>0</v>
      </c>
      <c r="E162" s="33">
        <f>G162-0</f>
        <v>0</v>
      </c>
      <c r="F162" s="34">
        <v>0</v>
      </c>
      <c r="G162" s="157">
        <v>0</v>
      </c>
      <c r="H162" s="158"/>
      <c r="I162" s="34">
        <v>0</v>
      </c>
      <c r="J162" s="159">
        <f t="shared" si="16"/>
        <v>0</v>
      </c>
      <c r="K162" s="160"/>
      <c r="L162" s="160"/>
      <c r="N162" s="128"/>
      <c r="O162" s="128"/>
      <c r="P162" s="128"/>
      <c r="Q162" s="128"/>
      <c r="R162" s="128"/>
    </row>
    <row r="163" spans="1:18" ht="15.75" x14ac:dyDescent="0.25">
      <c r="A163" s="156" t="s">
        <v>39</v>
      </c>
      <c r="B163" s="156"/>
      <c r="C163" s="31">
        <v>0</v>
      </c>
      <c r="D163" s="32">
        <v>0</v>
      </c>
      <c r="E163" s="33">
        <f t="shared" si="17"/>
        <v>0</v>
      </c>
      <c r="F163" s="34">
        <v>0</v>
      </c>
      <c r="G163" s="226">
        <v>0</v>
      </c>
      <c r="H163" s="227"/>
      <c r="I163" s="34">
        <v>0</v>
      </c>
      <c r="J163" s="159">
        <f t="shared" si="16"/>
        <v>0</v>
      </c>
      <c r="K163" s="160"/>
      <c r="L163" s="160"/>
      <c r="N163" s="128"/>
      <c r="O163" s="128"/>
      <c r="P163" s="128"/>
      <c r="Q163" s="128"/>
      <c r="R163" s="128"/>
    </row>
    <row r="164" spans="1:18" ht="15.75" x14ac:dyDescent="0.25">
      <c r="A164" s="156" t="s">
        <v>40</v>
      </c>
      <c r="B164" s="156"/>
      <c r="C164" s="31">
        <v>0</v>
      </c>
      <c r="D164" s="32">
        <v>0</v>
      </c>
      <c r="E164" s="33">
        <f t="shared" si="17"/>
        <v>0</v>
      </c>
      <c r="F164" s="34">
        <v>0</v>
      </c>
      <c r="G164" s="226">
        <v>0</v>
      </c>
      <c r="H164" s="227"/>
      <c r="I164" s="34">
        <v>0</v>
      </c>
      <c r="J164" s="159">
        <f t="shared" si="16"/>
        <v>0</v>
      </c>
      <c r="K164" s="160"/>
      <c r="L164" s="160"/>
    </row>
    <row r="165" spans="1:18" ht="15.75" x14ac:dyDescent="0.25">
      <c r="A165" s="156" t="s">
        <v>41</v>
      </c>
      <c r="B165" s="156"/>
      <c r="C165" s="31">
        <f>SUM(C166:C170)</f>
        <v>3427735451</v>
      </c>
      <c r="D165" s="32">
        <f>SUM(D166:D170)</f>
        <v>3427735451</v>
      </c>
      <c r="E165" s="33">
        <f>SUM(E166:E170)</f>
        <v>947968065.16000009</v>
      </c>
      <c r="F165" s="34">
        <f t="shared" si="13"/>
        <v>27.655811795027592</v>
      </c>
      <c r="G165" s="226">
        <f>SUM(G166:H170)</f>
        <v>1364547223.0400002</v>
      </c>
      <c r="H165" s="227"/>
      <c r="I165" s="34">
        <f t="shared" si="15"/>
        <v>39.809000506206225</v>
      </c>
      <c r="J165" s="159">
        <f t="shared" si="16"/>
        <v>2063188227.9599998</v>
      </c>
      <c r="K165" s="160"/>
      <c r="L165" s="160"/>
    </row>
    <row r="166" spans="1:18" ht="15.75" x14ac:dyDescent="0.25">
      <c r="A166" s="156" t="s">
        <v>42</v>
      </c>
      <c r="B166" s="156"/>
      <c r="C166" s="43">
        <v>330629582</v>
      </c>
      <c r="D166" s="44">
        <v>330629582</v>
      </c>
      <c r="E166" s="33">
        <f>G166-32691822.58</f>
        <v>32848854.810000002</v>
      </c>
      <c r="F166" s="34">
        <f t="shared" si="13"/>
        <v>9.93524372843323</v>
      </c>
      <c r="G166" s="157">
        <v>65540677.390000001</v>
      </c>
      <c r="H166" s="158"/>
      <c r="I166" s="34">
        <f t="shared" si="15"/>
        <v>19.822992544569107</v>
      </c>
      <c r="J166" s="159">
        <f t="shared" si="16"/>
        <v>265088904.61000001</v>
      </c>
      <c r="K166" s="160"/>
      <c r="L166" s="160"/>
    </row>
    <row r="167" spans="1:18" ht="15.75" x14ac:dyDescent="0.25">
      <c r="A167" s="156" t="s">
        <v>43</v>
      </c>
      <c r="B167" s="156"/>
      <c r="C167" s="31">
        <v>0</v>
      </c>
      <c r="D167" s="32">
        <v>0</v>
      </c>
      <c r="E167" s="33">
        <f>G167</f>
        <v>0</v>
      </c>
      <c r="F167" s="34">
        <v>0</v>
      </c>
      <c r="G167" s="157">
        <v>0</v>
      </c>
      <c r="H167" s="158"/>
      <c r="I167" s="34">
        <v>0</v>
      </c>
      <c r="J167" s="167">
        <f t="shared" si="16"/>
        <v>0</v>
      </c>
      <c r="K167" s="168"/>
      <c r="L167" s="168"/>
    </row>
    <row r="168" spans="1:18" ht="15.75" x14ac:dyDescent="0.25">
      <c r="A168" s="156" t="s">
        <v>44</v>
      </c>
      <c r="B168" s="156"/>
      <c r="C168" s="43">
        <v>3000000000</v>
      </c>
      <c r="D168" s="44">
        <v>3000000000</v>
      </c>
      <c r="E168" s="33">
        <f>G168-377669331.3</f>
        <v>893489971.08000016</v>
      </c>
      <c r="F168" s="34">
        <f t="shared" si="13"/>
        <v>29.782999036000007</v>
      </c>
      <c r="G168" s="157">
        <v>1271159302.3800001</v>
      </c>
      <c r="H168" s="158"/>
      <c r="I168" s="34">
        <f t="shared" si="15"/>
        <v>42.371976746000009</v>
      </c>
      <c r="J168" s="167">
        <f t="shared" si="16"/>
        <v>1728840697.6199999</v>
      </c>
      <c r="K168" s="168"/>
      <c r="L168" s="168"/>
    </row>
    <row r="169" spans="1:18" ht="15.75" x14ac:dyDescent="0.25">
      <c r="A169" s="156" t="s">
        <v>45</v>
      </c>
      <c r="B169" s="156"/>
      <c r="C169" s="31">
        <v>0</v>
      </c>
      <c r="D169" s="32">
        <v>0</v>
      </c>
      <c r="E169" s="33">
        <f>G169</f>
        <v>0</v>
      </c>
      <c r="F169" s="34">
        <v>0</v>
      </c>
      <c r="G169" s="157">
        <v>0</v>
      </c>
      <c r="H169" s="158"/>
      <c r="I169" s="34">
        <v>0</v>
      </c>
      <c r="J169" s="167">
        <f t="shared" si="16"/>
        <v>0</v>
      </c>
      <c r="K169" s="168"/>
      <c r="L169" s="168"/>
    </row>
    <row r="170" spans="1:18" ht="15.75" x14ac:dyDescent="0.25">
      <c r="A170" s="156" t="s">
        <v>46</v>
      </c>
      <c r="B170" s="156"/>
      <c r="C170" s="31">
        <v>97105869</v>
      </c>
      <c r="D170" s="32">
        <v>97105869</v>
      </c>
      <c r="E170" s="33">
        <f>G170-6218004</f>
        <v>21629239.27</v>
      </c>
      <c r="F170" s="34">
        <f t="shared" si="13"/>
        <v>22.273874373133921</v>
      </c>
      <c r="G170" s="157">
        <v>27847243.27</v>
      </c>
      <c r="H170" s="158"/>
      <c r="I170" s="34">
        <f t="shared" si="15"/>
        <v>28.677198975481076</v>
      </c>
      <c r="J170" s="167">
        <f t="shared" si="16"/>
        <v>69258625.730000004</v>
      </c>
      <c r="K170" s="168"/>
      <c r="L170" s="168"/>
    </row>
    <row r="171" spans="1:18" ht="15.75" x14ac:dyDescent="0.25">
      <c r="A171" s="156" t="s">
        <v>47</v>
      </c>
      <c r="B171" s="156"/>
      <c r="C171" s="31">
        <f>SUM(C172:C178)</f>
        <v>0</v>
      </c>
      <c r="D171" s="32">
        <f>SUM(D172:D178)</f>
        <v>0</v>
      </c>
      <c r="E171" s="33">
        <f>SUM(E172:E178)</f>
        <v>0</v>
      </c>
      <c r="F171" s="34">
        <v>0</v>
      </c>
      <c r="G171" s="226">
        <f>SUM(G172:H178)</f>
        <v>0</v>
      </c>
      <c r="H171" s="227">
        <f>SUM(H172:H176)</f>
        <v>0</v>
      </c>
      <c r="I171" s="34">
        <v>0</v>
      </c>
      <c r="J171" s="159">
        <f t="shared" si="16"/>
        <v>0</v>
      </c>
      <c r="K171" s="160"/>
      <c r="L171" s="160"/>
    </row>
    <row r="172" spans="1:18" ht="15.75" x14ac:dyDescent="0.25">
      <c r="A172" s="156" t="s">
        <v>48</v>
      </c>
      <c r="B172" s="156"/>
      <c r="C172" s="31">
        <v>0</v>
      </c>
      <c r="D172" s="32">
        <v>0</v>
      </c>
      <c r="E172" s="33">
        <f t="shared" ref="E172:E178" si="18">G172</f>
        <v>0</v>
      </c>
      <c r="F172" s="34">
        <v>0</v>
      </c>
      <c r="G172" s="157">
        <v>0</v>
      </c>
      <c r="H172" s="158"/>
      <c r="I172" s="34">
        <v>0</v>
      </c>
      <c r="J172" s="159">
        <f t="shared" si="16"/>
        <v>0</v>
      </c>
      <c r="K172" s="160"/>
      <c r="L172" s="160"/>
    </row>
    <row r="173" spans="1:18" ht="15.75" x14ac:dyDescent="0.25">
      <c r="A173" s="156" t="s">
        <v>49</v>
      </c>
      <c r="B173" s="156"/>
      <c r="C173" s="37">
        <v>0</v>
      </c>
      <c r="D173" s="38">
        <v>0</v>
      </c>
      <c r="E173" s="33">
        <f>G173-0</f>
        <v>0</v>
      </c>
      <c r="F173" s="34">
        <v>0</v>
      </c>
      <c r="G173" s="157">
        <v>0</v>
      </c>
      <c r="H173" s="158"/>
      <c r="I173" s="34">
        <v>0</v>
      </c>
      <c r="J173" s="159">
        <f t="shared" si="16"/>
        <v>0</v>
      </c>
      <c r="K173" s="160"/>
      <c r="L173" s="160"/>
    </row>
    <row r="174" spans="1:18" ht="15.75" x14ac:dyDescent="0.25">
      <c r="A174" s="156" t="s">
        <v>50</v>
      </c>
      <c r="B174" s="156"/>
      <c r="C174" s="37">
        <v>0</v>
      </c>
      <c r="D174" s="38">
        <v>0</v>
      </c>
      <c r="E174" s="33">
        <f t="shared" si="18"/>
        <v>0</v>
      </c>
      <c r="F174" s="34">
        <v>0</v>
      </c>
      <c r="G174" s="157">
        <v>0</v>
      </c>
      <c r="H174" s="158"/>
      <c r="I174" s="34">
        <v>0</v>
      </c>
      <c r="J174" s="159">
        <f t="shared" si="16"/>
        <v>0</v>
      </c>
      <c r="K174" s="160"/>
      <c r="L174" s="160"/>
    </row>
    <row r="175" spans="1:18" ht="15.75" x14ac:dyDescent="0.25">
      <c r="A175" s="156" t="s">
        <v>51</v>
      </c>
      <c r="B175" s="156"/>
      <c r="C175" s="37">
        <v>0</v>
      </c>
      <c r="D175" s="38">
        <v>0</v>
      </c>
      <c r="E175" s="39">
        <f t="shared" si="18"/>
        <v>0</v>
      </c>
      <c r="F175" s="40">
        <v>0</v>
      </c>
      <c r="G175" s="164">
        <v>0</v>
      </c>
      <c r="H175" s="165"/>
      <c r="I175" s="40">
        <v>0</v>
      </c>
      <c r="J175" s="154">
        <f t="shared" si="16"/>
        <v>0</v>
      </c>
      <c r="K175" s="155"/>
      <c r="L175" s="155"/>
    </row>
    <row r="176" spans="1:18" ht="15.75" x14ac:dyDescent="0.25">
      <c r="A176" s="156" t="s">
        <v>52</v>
      </c>
      <c r="B176" s="156"/>
      <c r="C176" s="37">
        <v>0</v>
      </c>
      <c r="D176" s="38">
        <v>0</v>
      </c>
      <c r="E176" s="39">
        <f t="shared" si="18"/>
        <v>0</v>
      </c>
      <c r="F176" s="40">
        <v>0</v>
      </c>
      <c r="G176" s="164">
        <v>0</v>
      </c>
      <c r="H176" s="165"/>
      <c r="I176" s="40">
        <v>0</v>
      </c>
      <c r="J176" s="154">
        <f t="shared" si="16"/>
        <v>0</v>
      </c>
      <c r="K176" s="155"/>
      <c r="L176" s="155"/>
    </row>
    <row r="177" spans="1:14" ht="15.75" x14ac:dyDescent="0.25">
      <c r="A177" s="156" t="s">
        <v>53</v>
      </c>
      <c r="B177" s="156"/>
      <c r="C177" s="37">
        <v>0</v>
      </c>
      <c r="D177" s="38">
        <v>0</v>
      </c>
      <c r="E177" s="39">
        <f t="shared" si="18"/>
        <v>0</v>
      </c>
      <c r="F177" s="40">
        <v>0</v>
      </c>
      <c r="G177" s="164">
        <v>0</v>
      </c>
      <c r="H177" s="165"/>
      <c r="I177" s="40">
        <v>0</v>
      </c>
      <c r="J177" s="228">
        <f t="shared" si="16"/>
        <v>0</v>
      </c>
      <c r="K177" s="229"/>
      <c r="L177" s="229"/>
    </row>
    <row r="178" spans="1:14" ht="15.75" x14ac:dyDescent="0.25">
      <c r="A178" s="156" t="s">
        <v>54</v>
      </c>
      <c r="B178" s="156"/>
      <c r="C178" s="37">
        <v>0</v>
      </c>
      <c r="D178" s="38">
        <v>0</v>
      </c>
      <c r="E178" s="39">
        <f t="shared" si="18"/>
        <v>0</v>
      </c>
      <c r="F178" s="40">
        <v>0</v>
      </c>
      <c r="G178" s="164">
        <v>0</v>
      </c>
      <c r="H178" s="165"/>
      <c r="I178" s="40">
        <v>0</v>
      </c>
      <c r="J178" s="228">
        <f t="shared" si="16"/>
        <v>0</v>
      </c>
      <c r="K178" s="229"/>
      <c r="L178" s="229"/>
      <c r="M178" s="324"/>
      <c r="N178" s="324"/>
    </row>
    <row r="179" spans="1:14" ht="15.75" x14ac:dyDescent="0.25">
      <c r="A179" s="156" t="s">
        <v>55</v>
      </c>
      <c r="B179" s="156"/>
      <c r="C179" s="37">
        <f>SUM(C180:C184)</f>
        <v>585729032</v>
      </c>
      <c r="D179" s="38">
        <f>SUM(D180:D184)</f>
        <v>624323963.97000003</v>
      </c>
      <c r="E179" s="39">
        <f>SUM(E180:E184)</f>
        <v>157404752.66999999</v>
      </c>
      <c r="F179" s="40">
        <f t="shared" si="13"/>
        <v>25.212031213583785</v>
      </c>
      <c r="G179" s="180">
        <f>SUM(G180:H184)</f>
        <v>271297063.16999996</v>
      </c>
      <c r="H179" s="181">
        <f>SUM(H180:H184)</f>
        <v>0</v>
      </c>
      <c r="I179" s="40">
        <f t="shared" si="15"/>
        <v>43.454533035197777</v>
      </c>
      <c r="J179" s="154">
        <f t="shared" si="16"/>
        <v>353026900.80000007</v>
      </c>
      <c r="K179" s="155"/>
      <c r="L179" s="155"/>
    </row>
    <row r="180" spans="1:14" ht="15.75" x14ac:dyDescent="0.25">
      <c r="A180" s="156" t="s">
        <v>56</v>
      </c>
      <c r="B180" s="156"/>
      <c r="C180" s="37">
        <v>0</v>
      </c>
      <c r="D180" s="38">
        <v>0</v>
      </c>
      <c r="E180" s="39">
        <f>G180-0</f>
        <v>0</v>
      </c>
      <c r="F180" s="40">
        <v>0</v>
      </c>
      <c r="G180" s="164">
        <v>0</v>
      </c>
      <c r="H180" s="165"/>
      <c r="I180" s="40">
        <v>0</v>
      </c>
      <c r="J180" s="154">
        <f t="shared" si="16"/>
        <v>0</v>
      </c>
      <c r="K180" s="155"/>
      <c r="L180" s="155"/>
    </row>
    <row r="181" spans="1:14" ht="15.75" x14ac:dyDescent="0.25">
      <c r="A181" s="156" t="s">
        <v>57</v>
      </c>
      <c r="B181" s="156"/>
      <c r="C181" s="37">
        <v>399346076</v>
      </c>
      <c r="D181" s="38">
        <v>437941007.97000003</v>
      </c>
      <c r="E181" s="39">
        <f>G181-87532310.5</f>
        <v>109718347.66999999</v>
      </c>
      <c r="F181" s="40">
        <f t="shared" si="13"/>
        <v>25.053225359867636</v>
      </c>
      <c r="G181" s="180">
        <v>197250658.16999999</v>
      </c>
      <c r="H181" s="181"/>
      <c r="I181" s="40">
        <f t="shared" si="15"/>
        <v>45.040463117240691</v>
      </c>
      <c r="J181" s="154">
        <f t="shared" si="16"/>
        <v>240690349.80000004</v>
      </c>
      <c r="K181" s="155"/>
      <c r="L181" s="155"/>
    </row>
    <row r="182" spans="1:14" ht="15.75" x14ac:dyDescent="0.25">
      <c r="A182" s="156" t="s">
        <v>58</v>
      </c>
      <c r="B182" s="156"/>
      <c r="C182" s="37">
        <v>0</v>
      </c>
      <c r="D182" s="40">
        <v>0</v>
      </c>
      <c r="E182" s="39">
        <f>G182</f>
        <v>0</v>
      </c>
      <c r="F182" s="40">
        <v>0</v>
      </c>
      <c r="G182" s="164">
        <v>0</v>
      </c>
      <c r="H182" s="165"/>
      <c r="I182" s="40">
        <v>0</v>
      </c>
      <c r="J182" s="154">
        <f t="shared" si="16"/>
        <v>0</v>
      </c>
      <c r="K182" s="155"/>
      <c r="L182" s="155"/>
    </row>
    <row r="183" spans="1:14" ht="15.75" x14ac:dyDescent="0.25">
      <c r="A183" s="156" t="s">
        <v>59</v>
      </c>
      <c r="B183" s="156"/>
      <c r="C183" s="37">
        <v>0</v>
      </c>
      <c r="D183" s="40">
        <v>0</v>
      </c>
      <c r="E183" s="39">
        <f>G183</f>
        <v>0</v>
      </c>
      <c r="F183" s="40">
        <v>0</v>
      </c>
      <c r="G183" s="164">
        <v>0</v>
      </c>
      <c r="H183" s="165"/>
      <c r="I183" s="40">
        <v>0</v>
      </c>
      <c r="J183" s="154">
        <f t="shared" si="16"/>
        <v>0</v>
      </c>
      <c r="K183" s="155"/>
      <c r="L183" s="155"/>
      <c r="M183" s="324"/>
      <c r="N183" s="324"/>
    </row>
    <row r="184" spans="1:14" ht="15" customHeight="1" x14ac:dyDescent="0.25">
      <c r="A184" s="156" t="s">
        <v>60</v>
      </c>
      <c r="B184" s="156"/>
      <c r="C184" s="37">
        <v>186382956</v>
      </c>
      <c r="D184" s="37">
        <v>186382956</v>
      </c>
      <c r="E184" s="39">
        <f>G184-26360000</f>
        <v>47686405</v>
      </c>
      <c r="F184" s="40">
        <f t="shared" si="13"/>
        <v>25.585174751708522</v>
      </c>
      <c r="G184" s="164">
        <v>74046405</v>
      </c>
      <c r="H184" s="165"/>
      <c r="I184" s="40">
        <f t="shared" si="15"/>
        <v>39.728098850412053</v>
      </c>
      <c r="J184" s="154">
        <f t="shared" si="16"/>
        <v>112336551</v>
      </c>
      <c r="K184" s="155"/>
      <c r="L184" s="155"/>
    </row>
    <row r="185" spans="1:14" ht="15.75" x14ac:dyDescent="0.25">
      <c r="A185" s="166" t="s">
        <v>61</v>
      </c>
      <c r="B185" s="166"/>
      <c r="C185" s="129">
        <f>C186+C189+C193+C194+C204</f>
        <v>0</v>
      </c>
      <c r="D185" s="130">
        <f>D186+D189+D193+D194+D204</f>
        <v>79601.48</v>
      </c>
      <c r="E185" s="131">
        <f>E186+E189+E193+E194+E204</f>
        <v>51786</v>
      </c>
      <c r="F185" s="132">
        <f t="shared" si="13"/>
        <v>65.05657935003218</v>
      </c>
      <c r="G185" s="162">
        <f>G186+G189+G193+G194+G204</f>
        <v>81841.33</v>
      </c>
      <c r="H185" s="163"/>
      <c r="I185" s="132">
        <f t="shared" si="15"/>
        <v>102.81382959211311</v>
      </c>
      <c r="J185" s="182">
        <f t="shared" si="16"/>
        <v>-2239.8500000000058</v>
      </c>
      <c r="K185" s="183"/>
      <c r="L185" s="183"/>
    </row>
    <row r="186" spans="1:14" ht="15.75" x14ac:dyDescent="0.25">
      <c r="A186" s="156" t="s">
        <v>62</v>
      </c>
      <c r="B186" s="156"/>
      <c r="C186" s="31">
        <f>C187+C188</f>
        <v>0</v>
      </c>
      <c r="D186" s="32">
        <f>D187+D188</f>
        <v>0</v>
      </c>
      <c r="E186" s="33">
        <f>E187+E188</f>
        <v>0</v>
      </c>
      <c r="F186" s="34">
        <v>0</v>
      </c>
      <c r="G186" s="157">
        <f>G187+G188</f>
        <v>0</v>
      </c>
      <c r="H186" s="158"/>
      <c r="I186" s="34">
        <v>0</v>
      </c>
      <c r="J186" s="159">
        <f t="shared" si="16"/>
        <v>0</v>
      </c>
      <c r="K186" s="160"/>
      <c r="L186" s="160"/>
    </row>
    <row r="187" spans="1:14" ht="15.75" x14ac:dyDescent="0.25">
      <c r="A187" s="156" t="s">
        <v>63</v>
      </c>
      <c r="B187" s="156"/>
      <c r="C187" s="31">
        <v>0</v>
      </c>
      <c r="D187" s="32">
        <v>0</v>
      </c>
      <c r="E187" s="33">
        <f>G187</f>
        <v>0</v>
      </c>
      <c r="F187" s="34">
        <v>0</v>
      </c>
      <c r="G187" s="157">
        <v>0</v>
      </c>
      <c r="H187" s="158"/>
      <c r="I187" s="34">
        <v>0</v>
      </c>
      <c r="J187" s="159">
        <f t="shared" si="16"/>
        <v>0</v>
      </c>
      <c r="K187" s="160"/>
      <c r="L187" s="160"/>
    </row>
    <row r="188" spans="1:14" ht="15.75" x14ac:dyDescent="0.25">
      <c r="A188" s="156" t="s">
        <v>64</v>
      </c>
      <c r="B188" s="156"/>
      <c r="C188" s="31">
        <v>0</v>
      </c>
      <c r="D188" s="32">
        <v>0</v>
      </c>
      <c r="E188" s="33">
        <f>G188</f>
        <v>0</v>
      </c>
      <c r="F188" s="34">
        <v>0</v>
      </c>
      <c r="G188" s="157">
        <v>0</v>
      </c>
      <c r="H188" s="158"/>
      <c r="I188" s="34">
        <v>0</v>
      </c>
      <c r="J188" s="159">
        <f t="shared" si="16"/>
        <v>0</v>
      </c>
      <c r="K188" s="160"/>
      <c r="L188" s="160"/>
    </row>
    <row r="189" spans="1:14" ht="15.75" x14ac:dyDescent="0.25">
      <c r="A189" s="156" t="s">
        <v>65</v>
      </c>
      <c r="B189" s="156"/>
      <c r="C189" s="31">
        <f>C190+C191+C192</f>
        <v>0</v>
      </c>
      <c r="D189" s="32">
        <f>D190+D191+D192</f>
        <v>0</v>
      </c>
      <c r="E189" s="33">
        <f>E190+E191+E192</f>
        <v>0</v>
      </c>
      <c r="F189" s="34">
        <v>0</v>
      </c>
      <c r="G189" s="157">
        <f>SUM(G190:H192)</f>
        <v>0</v>
      </c>
      <c r="H189" s="158"/>
      <c r="I189" s="34">
        <v>0</v>
      </c>
      <c r="J189" s="159">
        <f t="shared" si="16"/>
        <v>0</v>
      </c>
      <c r="K189" s="160"/>
      <c r="L189" s="160"/>
    </row>
    <row r="190" spans="1:14" ht="15.75" x14ac:dyDescent="0.25">
      <c r="A190" s="156" t="s">
        <v>66</v>
      </c>
      <c r="B190" s="156"/>
      <c r="C190" s="31">
        <v>0</v>
      </c>
      <c r="D190" s="32">
        <v>0</v>
      </c>
      <c r="E190" s="33">
        <f>G190</f>
        <v>0</v>
      </c>
      <c r="F190" s="34">
        <v>0</v>
      </c>
      <c r="G190" s="157">
        <v>0</v>
      </c>
      <c r="H190" s="158"/>
      <c r="I190" s="34">
        <v>0</v>
      </c>
      <c r="J190" s="159">
        <f t="shared" si="16"/>
        <v>0</v>
      </c>
      <c r="K190" s="160"/>
      <c r="L190" s="160"/>
    </row>
    <row r="191" spans="1:14" ht="15.75" x14ac:dyDescent="0.25">
      <c r="A191" s="156" t="s">
        <v>67</v>
      </c>
      <c r="B191" s="156"/>
      <c r="C191" s="31">
        <v>0</v>
      </c>
      <c r="D191" s="32">
        <v>0</v>
      </c>
      <c r="E191" s="33">
        <f>G191</f>
        <v>0</v>
      </c>
      <c r="F191" s="34">
        <v>0</v>
      </c>
      <c r="G191" s="157">
        <v>0</v>
      </c>
      <c r="H191" s="158"/>
      <c r="I191" s="34">
        <v>0</v>
      </c>
      <c r="J191" s="159">
        <f t="shared" si="16"/>
        <v>0</v>
      </c>
      <c r="K191" s="160"/>
      <c r="L191" s="160"/>
    </row>
    <row r="192" spans="1:14" ht="15.75" x14ac:dyDescent="0.25">
      <c r="A192" s="156" t="s">
        <v>68</v>
      </c>
      <c r="B192" s="156"/>
      <c r="C192" s="31">
        <v>0</v>
      </c>
      <c r="D192" s="32">
        <v>0</v>
      </c>
      <c r="E192" s="33">
        <f>G192</f>
        <v>0</v>
      </c>
      <c r="F192" s="34">
        <v>0</v>
      </c>
      <c r="G192" s="157">
        <v>0</v>
      </c>
      <c r="H192" s="158"/>
      <c r="I192" s="34">
        <v>0</v>
      </c>
      <c r="J192" s="167">
        <f t="shared" si="16"/>
        <v>0</v>
      </c>
      <c r="K192" s="168"/>
      <c r="L192" s="168"/>
    </row>
    <row r="193" spans="1:16" ht="15.75" x14ac:dyDescent="0.25">
      <c r="A193" s="156" t="s">
        <v>69</v>
      </c>
      <c r="B193" s="156"/>
      <c r="C193" s="31">
        <v>0</v>
      </c>
      <c r="D193" s="133">
        <v>79601.48</v>
      </c>
      <c r="E193" s="33">
        <f>G193-30055.33</f>
        <v>51786</v>
      </c>
      <c r="F193" s="34">
        <f t="shared" si="13"/>
        <v>65.05657935003218</v>
      </c>
      <c r="G193" s="157">
        <v>81841.33</v>
      </c>
      <c r="H193" s="158"/>
      <c r="I193" s="34">
        <f t="shared" si="15"/>
        <v>102.81382959211311</v>
      </c>
      <c r="J193" s="159">
        <f t="shared" si="16"/>
        <v>-2239.8500000000058</v>
      </c>
      <c r="K193" s="160"/>
      <c r="L193" s="160"/>
    </row>
    <row r="194" spans="1:16" ht="15.75" x14ac:dyDescent="0.25">
      <c r="A194" s="156" t="s">
        <v>70</v>
      </c>
      <c r="B194" s="156"/>
      <c r="C194" s="31">
        <f>SUM(C195:C203)</f>
        <v>0</v>
      </c>
      <c r="D194" s="31">
        <f>SUM(D195:D203)</f>
        <v>0</v>
      </c>
      <c r="E194" s="33">
        <f>SUM(E195:E203)</f>
        <v>0</v>
      </c>
      <c r="F194" s="34">
        <v>0</v>
      </c>
      <c r="G194" s="157">
        <f>SUM(G195:H203)</f>
        <v>0</v>
      </c>
      <c r="H194" s="158">
        <f>SUM(H195:H203)</f>
        <v>0</v>
      </c>
      <c r="I194" s="34">
        <v>0</v>
      </c>
      <c r="J194" s="159">
        <f t="shared" si="16"/>
        <v>0</v>
      </c>
      <c r="K194" s="160"/>
      <c r="L194" s="160"/>
    </row>
    <row r="195" spans="1:16" ht="15.75" x14ac:dyDescent="0.25">
      <c r="A195" s="156" t="s">
        <v>48</v>
      </c>
      <c r="B195" s="156"/>
      <c r="C195" s="31">
        <v>0</v>
      </c>
      <c r="D195" s="32">
        <v>0</v>
      </c>
      <c r="E195" s="33">
        <f t="shared" ref="E195:E203" si="19">G195</f>
        <v>0</v>
      </c>
      <c r="F195" s="34">
        <v>0</v>
      </c>
      <c r="G195" s="157">
        <v>0</v>
      </c>
      <c r="H195" s="158"/>
      <c r="I195" s="34">
        <v>0</v>
      </c>
      <c r="J195" s="159">
        <f t="shared" si="16"/>
        <v>0</v>
      </c>
      <c r="K195" s="160"/>
      <c r="L195" s="160"/>
    </row>
    <row r="196" spans="1:16" ht="15.75" x14ac:dyDescent="0.25">
      <c r="A196" s="156" t="s">
        <v>49</v>
      </c>
      <c r="B196" s="156"/>
      <c r="C196" s="31">
        <v>0</v>
      </c>
      <c r="D196" s="32">
        <v>0</v>
      </c>
      <c r="E196" s="33">
        <f t="shared" si="19"/>
        <v>0</v>
      </c>
      <c r="F196" s="34">
        <v>0</v>
      </c>
      <c r="G196" s="157">
        <v>0</v>
      </c>
      <c r="H196" s="158"/>
      <c r="I196" s="34">
        <v>0</v>
      </c>
      <c r="J196" s="159">
        <f t="shared" si="16"/>
        <v>0</v>
      </c>
      <c r="K196" s="160"/>
      <c r="L196" s="160"/>
    </row>
    <row r="197" spans="1:16" ht="15.75" x14ac:dyDescent="0.25">
      <c r="A197" s="156" t="s">
        <v>50</v>
      </c>
      <c r="B197" s="156"/>
      <c r="C197" s="31">
        <v>0</v>
      </c>
      <c r="D197" s="32">
        <v>0</v>
      </c>
      <c r="E197" s="33">
        <f t="shared" si="19"/>
        <v>0</v>
      </c>
      <c r="F197" s="34">
        <v>0</v>
      </c>
      <c r="G197" s="157">
        <v>0</v>
      </c>
      <c r="H197" s="158"/>
      <c r="I197" s="34">
        <v>0</v>
      </c>
      <c r="J197" s="159">
        <f t="shared" si="16"/>
        <v>0</v>
      </c>
      <c r="K197" s="160"/>
      <c r="L197" s="160"/>
    </row>
    <row r="198" spans="1:16" ht="15.75" x14ac:dyDescent="0.25">
      <c r="A198" s="156" t="s">
        <v>51</v>
      </c>
      <c r="B198" s="156"/>
      <c r="C198" s="31">
        <v>0</v>
      </c>
      <c r="D198" s="32">
        <v>0</v>
      </c>
      <c r="E198" s="33">
        <f t="shared" si="19"/>
        <v>0</v>
      </c>
      <c r="F198" s="34">
        <v>0</v>
      </c>
      <c r="G198" s="157">
        <v>0</v>
      </c>
      <c r="H198" s="158"/>
      <c r="I198" s="34">
        <v>0</v>
      </c>
      <c r="J198" s="159">
        <f t="shared" si="16"/>
        <v>0</v>
      </c>
      <c r="K198" s="160"/>
      <c r="L198" s="160"/>
    </row>
    <row r="199" spans="1:16" ht="15.75" x14ac:dyDescent="0.25">
      <c r="A199" s="156" t="s">
        <v>52</v>
      </c>
      <c r="B199" s="156"/>
      <c r="C199" s="31">
        <v>0</v>
      </c>
      <c r="D199" s="32">
        <v>0</v>
      </c>
      <c r="E199" s="33">
        <f t="shared" si="19"/>
        <v>0</v>
      </c>
      <c r="F199" s="34">
        <v>0</v>
      </c>
      <c r="G199" s="157">
        <v>0</v>
      </c>
      <c r="H199" s="158"/>
      <c r="I199" s="34">
        <v>0</v>
      </c>
      <c r="J199" s="159">
        <f t="shared" si="16"/>
        <v>0</v>
      </c>
      <c r="K199" s="160"/>
      <c r="L199" s="160"/>
    </row>
    <row r="200" spans="1:16" ht="15.75" x14ac:dyDescent="0.25">
      <c r="A200" s="156" t="s">
        <v>53</v>
      </c>
      <c r="B200" s="156"/>
      <c r="C200" s="31">
        <v>0</v>
      </c>
      <c r="D200" s="32">
        <v>0</v>
      </c>
      <c r="E200" s="33">
        <f t="shared" si="19"/>
        <v>0</v>
      </c>
      <c r="F200" s="34">
        <v>0</v>
      </c>
      <c r="G200" s="157">
        <v>0</v>
      </c>
      <c r="H200" s="158"/>
      <c r="I200" s="34">
        <v>0</v>
      </c>
      <c r="J200" s="159">
        <f t="shared" si="16"/>
        <v>0</v>
      </c>
      <c r="K200" s="160"/>
      <c r="L200" s="160"/>
    </row>
    <row r="201" spans="1:16" ht="15.75" x14ac:dyDescent="0.25">
      <c r="A201" s="161" t="s">
        <v>71</v>
      </c>
      <c r="B201" s="156"/>
      <c r="C201" s="31">
        <v>0</v>
      </c>
      <c r="D201" s="32">
        <v>0</v>
      </c>
      <c r="E201" s="33">
        <f>G201-0</f>
        <v>0</v>
      </c>
      <c r="F201" s="34">
        <v>0</v>
      </c>
      <c r="G201" s="157">
        <v>0</v>
      </c>
      <c r="H201" s="158"/>
      <c r="I201" s="34">
        <v>0</v>
      </c>
      <c r="J201" s="159">
        <f t="shared" si="16"/>
        <v>0</v>
      </c>
      <c r="K201" s="160"/>
      <c r="L201" s="160"/>
      <c r="M201" s="325"/>
      <c r="N201" s="325"/>
      <c r="O201" s="325"/>
      <c r="P201" s="325"/>
    </row>
    <row r="202" spans="1:16" ht="15.75" hidden="1" x14ac:dyDescent="0.25">
      <c r="A202" s="156" t="s">
        <v>73</v>
      </c>
      <c r="B202" s="156"/>
      <c r="C202" s="31">
        <v>0</v>
      </c>
      <c r="D202" s="32">
        <v>0</v>
      </c>
      <c r="E202" s="33">
        <f t="shared" si="19"/>
        <v>0</v>
      </c>
      <c r="F202" s="34" t="e">
        <f t="shared" si="13"/>
        <v>#DIV/0!</v>
      </c>
      <c r="G202" s="157">
        <v>0</v>
      </c>
      <c r="H202" s="158"/>
      <c r="I202" s="34" t="e">
        <f t="shared" si="15"/>
        <v>#DIV/0!</v>
      </c>
      <c r="J202" s="167">
        <f t="shared" si="16"/>
        <v>0</v>
      </c>
      <c r="K202" s="168"/>
      <c r="L202" s="168"/>
      <c r="N202" s="321" t="s">
        <v>136</v>
      </c>
    </row>
    <row r="203" spans="1:16" ht="15.75" hidden="1" x14ac:dyDescent="0.25">
      <c r="A203" s="156" t="s">
        <v>75</v>
      </c>
      <c r="B203" s="156"/>
      <c r="C203" s="31">
        <v>0</v>
      </c>
      <c r="D203" s="32">
        <v>0</v>
      </c>
      <c r="E203" s="33">
        <f t="shared" si="19"/>
        <v>0</v>
      </c>
      <c r="F203" s="34" t="e">
        <f t="shared" si="13"/>
        <v>#DIV/0!</v>
      </c>
      <c r="G203" s="157">
        <v>0</v>
      </c>
      <c r="H203" s="158"/>
      <c r="I203" s="34" t="e">
        <f t="shared" si="15"/>
        <v>#DIV/0!</v>
      </c>
      <c r="J203" s="167">
        <f t="shared" si="16"/>
        <v>0</v>
      </c>
      <c r="K203" s="168"/>
      <c r="L203" s="168"/>
      <c r="N203" s="321"/>
    </row>
    <row r="204" spans="1:16" ht="15.75" x14ac:dyDescent="0.25">
      <c r="A204" s="161" t="s">
        <v>77</v>
      </c>
      <c r="B204" s="156"/>
      <c r="C204" s="31">
        <f>SUM(C205:C208)</f>
        <v>0</v>
      </c>
      <c r="D204" s="32">
        <f>SUM(D205:D208)</f>
        <v>0</v>
      </c>
      <c r="E204" s="33">
        <f>SUM(E205:E208)</f>
        <v>0</v>
      </c>
      <c r="F204" s="34">
        <v>0</v>
      </c>
      <c r="G204" s="157">
        <f>SUM(G205:H208)</f>
        <v>0</v>
      </c>
      <c r="H204" s="158">
        <f>SUM(H206:H208)</f>
        <v>0</v>
      </c>
      <c r="I204" s="34">
        <v>0</v>
      </c>
      <c r="J204" s="159">
        <f t="shared" si="16"/>
        <v>0</v>
      </c>
      <c r="K204" s="160"/>
      <c r="L204" s="160"/>
    </row>
    <row r="205" spans="1:16" ht="15.75" x14ac:dyDescent="0.25">
      <c r="A205" s="156" t="s">
        <v>78</v>
      </c>
      <c r="B205" s="156"/>
      <c r="C205" s="31">
        <v>0</v>
      </c>
      <c r="D205" s="32">
        <v>0</v>
      </c>
      <c r="E205" s="33">
        <f>G205</f>
        <v>0</v>
      </c>
      <c r="F205" s="34">
        <v>0</v>
      </c>
      <c r="G205" s="157">
        <v>0</v>
      </c>
      <c r="H205" s="158"/>
      <c r="I205" s="34">
        <v>0</v>
      </c>
      <c r="J205" s="159">
        <f t="shared" si="16"/>
        <v>0</v>
      </c>
      <c r="K205" s="160"/>
      <c r="L205" s="160"/>
    </row>
    <row r="206" spans="1:16" ht="15.75" x14ac:dyDescent="0.25">
      <c r="A206" s="156" t="s">
        <v>79</v>
      </c>
      <c r="B206" s="156"/>
      <c r="C206" s="31">
        <v>0</v>
      </c>
      <c r="D206" s="32">
        <v>0</v>
      </c>
      <c r="E206" s="33">
        <f>G206</f>
        <v>0</v>
      </c>
      <c r="F206" s="34">
        <v>0</v>
      </c>
      <c r="G206" s="157">
        <v>0</v>
      </c>
      <c r="H206" s="158"/>
      <c r="I206" s="34">
        <v>0</v>
      </c>
      <c r="J206" s="159">
        <f t="shared" si="16"/>
        <v>0</v>
      </c>
      <c r="K206" s="160"/>
      <c r="L206" s="160"/>
    </row>
    <row r="207" spans="1:16" ht="15.75" x14ac:dyDescent="0.25">
      <c r="A207" s="156" t="s">
        <v>80</v>
      </c>
      <c r="B207" s="156"/>
      <c r="C207" s="31">
        <v>0</v>
      </c>
      <c r="D207" s="32">
        <v>0</v>
      </c>
      <c r="E207" s="33">
        <f>G207</f>
        <v>0</v>
      </c>
      <c r="F207" s="34">
        <v>0</v>
      </c>
      <c r="G207" s="157">
        <v>0</v>
      </c>
      <c r="H207" s="158"/>
      <c r="I207" s="34">
        <v>0</v>
      </c>
      <c r="J207" s="159">
        <f t="shared" si="16"/>
        <v>0</v>
      </c>
      <c r="K207" s="160"/>
      <c r="L207" s="160"/>
    </row>
    <row r="208" spans="1:16" ht="15.75" x14ac:dyDescent="0.25">
      <c r="A208" s="192" t="s">
        <v>81</v>
      </c>
      <c r="B208" s="192"/>
      <c r="C208" s="134">
        <v>0</v>
      </c>
      <c r="D208" s="100">
        <v>0</v>
      </c>
      <c r="E208" s="135">
        <f>G208</f>
        <v>0</v>
      </c>
      <c r="F208" s="64">
        <v>0</v>
      </c>
      <c r="G208" s="187">
        <v>0</v>
      </c>
      <c r="H208" s="188"/>
      <c r="I208" s="64">
        <v>0</v>
      </c>
      <c r="J208" s="201">
        <f t="shared" si="16"/>
        <v>0</v>
      </c>
      <c r="K208" s="202"/>
      <c r="L208" s="202"/>
    </row>
    <row r="209" spans="1:12" ht="15.75" customHeight="1" x14ac:dyDescent="0.25">
      <c r="A209" s="110"/>
      <c r="B209" s="111"/>
      <c r="C209" s="111"/>
      <c r="D209" s="112"/>
      <c r="E209" s="116"/>
      <c r="F209" s="111"/>
      <c r="G209" s="116"/>
      <c r="H209" s="193"/>
      <c r="I209" s="193"/>
      <c r="J209" s="113"/>
      <c r="K209" s="193"/>
      <c r="L209" s="193"/>
    </row>
    <row r="210" spans="1:12" ht="15.75" x14ac:dyDescent="0.25">
      <c r="A210" s="189" t="s">
        <v>137</v>
      </c>
      <c r="B210" s="79" t="s">
        <v>95</v>
      </c>
      <c r="C210" s="79" t="s">
        <v>95</v>
      </c>
      <c r="D210" s="184" t="s">
        <v>96</v>
      </c>
      <c r="E210" s="185"/>
      <c r="F210" s="80" t="s">
        <v>9</v>
      </c>
      <c r="G210" s="184" t="s">
        <v>97</v>
      </c>
      <c r="H210" s="185"/>
      <c r="I210" s="186"/>
      <c r="J210" s="14" t="s">
        <v>9</v>
      </c>
      <c r="K210" s="197" t="s">
        <v>98</v>
      </c>
      <c r="L210" s="198"/>
    </row>
    <row r="211" spans="1:12" ht="15.75" x14ac:dyDescent="0.25">
      <c r="A211" s="190"/>
      <c r="B211" s="81" t="s">
        <v>99</v>
      </c>
      <c r="C211" s="81" t="s">
        <v>10</v>
      </c>
      <c r="D211" s="82" t="s">
        <v>100</v>
      </c>
      <c r="E211" s="82" t="s">
        <v>101</v>
      </c>
      <c r="F211" s="83"/>
      <c r="G211" s="82" t="s">
        <v>100</v>
      </c>
      <c r="H211" s="176" t="s">
        <v>101</v>
      </c>
      <c r="I211" s="177"/>
      <c r="J211" s="84"/>
      <c r="K211" s="199"/>
      <c r="L211" s="200"/>
    </row>
    <row r="212" spans="1:12" ht="15.75" x14ac:dyDescent="0.25">
      <c r="A212" s="190"/>
      <c r="B212" s="81"/>
      <c r="C212" s="81"/>
      <c r="D212" s="83" t="s">
        <v>102</v>
      </c>
      <c r="E212" s="83" t="s">
        <v>102</v>
      </c>
      <c r="F212" s="83"/>
      <c r="G212" s="83" t="s">
        <v>102</v>
      </c>
      <c r="H212" s="178" t="s">
        <v>102</v>
      </c>
      <c r="I212" s="179"/>
      <c r="J212" s="84"/>
      <c r="K212" s="199"/>
      <c r="L212" s="200"/>
    </row>
    <row r="213" spans="1:12" ht="15.75" x14ac:dyDescent="0.25">
      <c r="A213" s="191"/>
      <c r="B213" s="85" t="s">
        <v>103</v>
      </c>
      <c r="C213" s="85" t="s">
        <v>104</v>
      </c>
      <c r="D213" s="85"/>
      <c r="E213" s="85" t="s">
        <v>105</v>
      </c>
      <c r="F213" s="86" t="s">
        <v>106</v>
      </c>
      <c r="G213" s="85"/>
      <c r="H213" s="194" t="s">
        <v>107</v>
      </c>
      <c r="I213" s="195"/>
      <c r="J213" s="18" t="s">
        <v>108</v>
      </c>
      <c r="K213" s="194" t="s">
        <v>109</v>
      </c>
      <c r="L213" s="196"/>
    </row>
    <row r="214" spans="1:12" s="3" customFormat="1" ht="15.75" x14ac:dyDescent="0.25">
      <c r="A214" s="1" t="s">
        <v>120</v>
      </c>
      <c r="B214" s="29">
        <f>B215+B219</f>
        <v>7951876408</v>
      </c>
      <c r="C214" s="29">
        <f>C215+C219</f>
        <v>7775272094.3999996</v>
      </c>
      <c r="D214" s="29">
        <f>D215+D219</f>
        <v>1446599468.3499999</v>
      </c>
      <c r="E214" s="29">
        <f>E215+E219</f>
        <v>3381077384.0599999</v>
      </c>
      <c r="F214" s="29">
        <f>C214-E214</f>
        <v>4394194710.3400002</v>
      </c>
      <c r="G214" s="29">
        <f>G215+G219</f>
        <v>1639510114.29</v>
      </c>
      <c r="H214" s="170">
        <f>H215+H219</f>
        <v>2993767174.54</v>
      </c>
      <c r="I214" s="171"/>
      <c r="J214" s="27">
        <f t="shared" ref="J214:J223" si="20">C214-H214</f>
        <v>4781504919.8599997</v>
      </c>
      <c r="K214" s="170">
        <f>K215+K219</f>
        <v>2368782748.7199998</v>
      </c>
      <c r="L214" s="172"/>
    </row>
    <row r="215" spans="1:12" s="3" customFormat="1" ht="15.75" x14ac:dyDescent="0.25">
      <c r="A215" s="1" t="s">
        <v>111</v>
      </c>
      <c r="B215" s="29">
        <f>SUM(B216:B218)</f>
        <v>7951415679</v>
      </c>
      <c r="C215" s="29">
        <f>SUM(C216:C218)</f>
        <v>7774889812.2399998</v>
      </c>
      <c r="D215" s="29">
        <f>SUM(D216:D218)</f>
        <v>1446484299.5599999</v>
      </c>
      <c r="E215" s="29">
        <f>SUM(E216:E218)</f>
        <v>3380944153.1999998</v>
      </c>
      <c r="F215" s="29">
        <f t="shared" ref="F215:F223" si="21">C215-E215</f>
        <v>4393945659.04</v>
      </c>
      <c r="G215" s="29">
        <f>SUM(G216:G218)</f>
        <v>1639461544.6599998</v>
      </c>
      <c r="H215" s="170">
        <f>SUM(H216:I218)</f>
        <v>2993700542.8400002</v>
      </c>
      <c r="I215" s="171">
        <f>SUM(I216:I218)</f>
        <v>0</v>
      </c>
      <c r="J215" s="27">
        <f t="shared" si="20"/>
        <v>4781189269.3999996</v>
      </c>
      <c r="K215" s="170">
        <f>SUM(K216:L218)</f>
        <v>2368764686.6499996</v>
      </c>
      <c r="L215" s="172"/>
    </row>
    <row r="216" spans="1:12" s="3" customFormat="1" ht="15.95" customHeight="1" x14ac:dyDescent="0.25">
      <c r="A216" s="3" t="s">
        <v>112</v>
      </c>
      <c r="B216" s="35">
        <v>3924184249</v>
      </c>
      <c r="C216" s="35">
        <v>3631199657.6300001</v>
      </c>
      <c r="D216" s="35">
        <f>E216-805134081.14</f>
        <v>573616351.76000011</v>
      </c>
      <c r="E216" s="43">
        <v>1378750432.9000001</v>
      </c>
      <c r="F216" s="35">
        <f t="shared" si="21"/>
        <v>2252449224.73</v>
      </c>
      <c r="G216" s="35">
        <f>H216-541184686.01</f>
        <v>558455959.98000002</v>
      </c>
      <c r="H216" s="167">
        <v>1099640645.99</v>
      </c>
      <c r="I216" s="169"/>
      <c r="J216" s="32">
        <f t="shared" si="20"/>
        <v>2531559011.6400003</v>
      </c>
      <c r="K216" s="167">
        <v>840659627.02999997</v>
      </c>
      <c r="L216" s="168"/>
    </row>
    <row r="217" spans="1:12" s="3" customFormat="1" ht="15.95" customHeight="1" x14ac:dyDescent="0.25">
      <c r="A217" s="136" t="s">
        <v>138</v>
      </c>
      <c r="B217" s="35">
        <v>0</v>
      </c>
      <c r="C217" s="35">
        <v>0</v>
      </c>
      <c r="D217" s="35">
        <f>E217</f>
        <v>0</v>
      </c>
      <c r="E217" s="35">
        <v>0</v>
      </c>
      <c r="F217" s="35">
        <f t="shared" si="21"/>
        <v>0</v>
      </c>
      <c r="G217" s="35">
        <f>H217</f>
        <v>0</v>
      </c>
      <c r="H217" s="167">
        <v>0</v>
      </c>
      <c r="I217" s="169"/>
      <c r="J217" s="32">
        <f t="shared" si="20"/>
        <v>0</v>
      </c>
      <c r="K217" s="167">
        <v>0</v>
      </c>
      <c r="L217" s="168"/>
    </row>
    <row r="218" spans="1:12" s="3" customFormat="1" ht="15.95" customHeight="1" x14ac:dyDescent="0.25">
      <c r="A218" s="3" t="s">
        <v>114</v>
      </c>
      <c r="B218" s="43">
        <v>4027231430</v>
      </c>
      <c r="C218" s="43">
        <v>4143690154.6100001</v>
      </c>
      <c r="D218" s="35">
        <f>E218-1129325772.5</f>
        <v>872867947.79999995</v>
      </c>
      <c r="E218" s="43">
        <v>2002193720.3</v>
      </c>
      <c r="F218" s="35">
        <f t="shared" si="21"/>
        <v>2141496434.3100002</v>
      </c>
      <c r="G218" s="35">
        <f>H218-813054312.17</f>
        <v>1081005584.6799998</v>
      </c>
      <c r="H218" s="167">
        <v>1894059896.8499999</v>
      </c>
      <c r="I218" s="169"/>
      <c r="J218" s="32">
        <f t="shared" si="20"/>
        <v>2249630257.7600002</v>
      </c>
      <c r="K218" s="167">
        <v>1528105059.6199999</v>
      </c>
      <c r="L218" s="168"/>
    </row>
    <row r="219" spans="1:12" s="3" customFormat="1" ht="15.95" customHeight="1" x14ac:dyDescent="0.25">
      <c r="A219" s="1" t="s">
        <v>115</v>
      </c>
      <c r="B219" s="29">
        <f>B220+B221+B222</f>
        <v>460729</v>
      </c>
      <c r="C219" s="29">
        <f>C220+C221+C222</f>
        <v>382282.16000000003</v>
      </c>
      <c r="D219" s="29">
        <f>D220+D221+D222</f>
        <v>115168.79000000001</v>
      </c>
      <c r="E219" s="29">
        <f>E220+E221+E222</f>
        <v>133230.85999999999</v>
      </c>
      <c r="F219" s="29">
        <f t="shared" si="21"/>
        <v>249051.30000000005</v>
      </c>
      <c r="G219" s="29">
        <f>G220+G221+G222</f>
        <v>48569.63</v>
      </c>
      <c r="H219" s="170">
        <f>H220+H221+H222</f>
        <v>66631.7</v>
      </c>
      <c r="I219" s="171"/>
      <c r="J219" s="27">
        <f t="shared" si="20"/>
        <v>315650.46000000002</v>
      </c>
      <c r="K219" s="170">
        <f>K220+K221+K222</f>
        <v>18062.07</v>
      </c>
      <c r="L219" s="172"/>
    </row>
    <row r="220" spans="1:12" s="3" customFormat="1" ht="15.95" customHeight="1" x14ac:dyDescent="0.25">
      <c r="A220" s="3" t="s">
        <v>116</v>
      </c>
      <c r="B220" s="35">
        <v>202007</v>
      </c>
      <c r="C220" s="35">
        <v>123560.16</v>
      </c>
      <c r="D220" s="35">
        <f>E220</f>
        <v>66599.16</v>
      </c>
      <c r="E220" s="35">
        <v>66599.16</v>
      </c>
      <c r="F220" s="35">
        <f t="shared" si="21"/>
        <v>56961</v>
      </c>
      <c r="G220" s="32">
        <f>H220</f>
        <v>0</v>
      </c>
      <c r="H220" s="168">
        <v>0</v>
      </c>
      <c r="I220" s="169"/>
      <c r="J220" s="32">
        <f t="shared" si="20"/>
        <v>123560.16</v>
      </c>
      <c r="K220" s="168">
        <v>0</v>
      </c>
      <c r="L220" s="168"/>
    </row>
    <row r="221" spans="1:12" s="3" customFormat="1" ht="15.95" customHeight="1" x14ac:dyDescent="0.25">
      <c r="A221" s="3" t="s">
        <v>117</v>
      </c>
      <c r="B221" s="35">
        <v>0</v>
      </c>
      <c r="C221" s="35">
        <v>0</v>
      </c>
      <c r="D221" s="35">
        <f>E221</f>
        <v>0</v>
      </c>
      <c r="E221" s="35">
        <v>0</v>
      </c>
      <c r="F221" s="35">
        <f t="shared" si="21"/>
        <v>0</v>
      </c>
      <c r="G221" s="32">
        <f>H221</f>
        <v>0</v>
      </c>
      <c r="H221" s="167">
        <v>0</v>
      </c>
      <c r="I221" s="169"/>
      <c r="J221" s="32">
        <f t="shared" si="20"/>
        <v>0</v>
      </c>
      <c r="K221" s="167">
        <v>0</v>
      </c>
      <c r="L221" s="168"/>
    </row>
    <row r="222" spans="1:12" s="3" customFormat="1" ht="15.95" customHeight="1" x14ac:dyDescent="0.25">
      <c r="A222" s="3" t="s">
        <v>118</v>
      </c>
      <c r="B222" s="35">
        <v>258722</v>
      </c>
      <c r="C222" s="35">
        <v>258722</v>
      </c>
      <c r="D222" s="35">
        <f>E222-18062.07</f>
        <v>48569.63</v>
      </c>
      <c r="E222" s="43">
        <v>66631.7</v>
      </c>
      <c r="F222" s="35">
        <v>0</v>
      </c>
      <c r="G222" s="35">
        <f>H222-18062.07</f>
        <v>48569.63</v>
      </c>
      <c r="H222" s="167">
        <v>66631.7</v>
      </c>
      <c r="I222" s="169"/>
      <c r="J222" s="32">
        <f t="shared" si="20"/>
        <v>192090.3</v>
      </c>
      <c r="K222" s="167">
        <v>18062.07</v>
      </c>
      <c r="L222" s="168"/>
    </row>
    <row r="223" spans="1:12" s="3" customFormat="1" ht="15.95" customHeight="1" x14ac:dyDescent="0.25">
      <c r="A223" s="137" t="s">
        <v>139</v>
      </c>
      <c r="B223" s="102">
        <v>0</v>
      </c>
      <c r="C223" s="102">
        <v>0</v>
      </c>
      <c r="D223" s="102">
        <f>E223-0</f>
        <v>0</v>
      </c>
      <c r="E223" s="102">
        <v>0</v>
      </c>
      <c r="F223" s="102">
        <f t="shared" si="21"/>
        <v>0</v>
      </c>
      <c r="G223" s="102">
        <f>H223-0</f>
        <v>0</v>
      </c>
      <c r="H223" s="173">
        <v>0</v>
      </c>
      <c r="I223" s="174"/>
      <c r="J223" s="100">
        <f t="shared" si="20"/>
        <v>0</v>
      </c>
      <c r="K223" s="173">
        <v>0</v>
      </c>
      <c r="L223" s="175"/>
    </row>
    <row r="224" spans="1:12" s="3" customFormat="1" ht="15.75" x14ac:dyDescent="0.25">
      <c r="A224" s="138" t="s">
        <v>140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40" t="s">
        <v>141</v>
      </c>
    </row>
    <row r="225" spans="1:13" s="3" customFormat="1" ht="18" x14ac:dyDescent="0.25">
      <c r="A225" s="138" t="s">
        <v>160</v>
      </c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40"/>
    </row>
    <row r="226" spans="1:13" s="3" customFormat="1" ht="18" x14ac:dyDescent="0.25">
      <c r="A226" s="138" t="s">
        <v>161</v>
      </c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40"/>
    </row>
    <row r="227" spans="1:13" s="3" customFormat="1" ht="15.95" customHeight="1" x14ac:dyDescent="0.25">
      <c r="A227" s="141" t="s">
        <v>142</v>
      </c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2"/>
    </row>
    <row r="228" spans="1:13" s="3" customFormat="1" ht="15.95" customHeight="1" x14ac:dyDescent="0.25">
      <c r="A228" s="141" t="s">
        <v>153</v>
      </c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38"/>
    </row>
    <row r="229" spans="1:13" s="3" customFormat="1" ht="15.95" customHeight="1" x14ac:dyDescent="0.25">
      <c r="A229" s="315" t="s">
        <v>154</v>
      </c>
      <c r="B229" s="315"/>
      <c r="C229" s="315"/>
      <c r="D229" s="315"/>
      <c r="E229" s="315"/>
      <c r="F229" s="315"/>
      <c r="G229" s="315"/>
      <c r="H229" s="315"/>
      <c r="I229" s="315"/>
      <c r="J229" s="315"/>
      <c r="K229" s="315"/>
      <c r="L229" s="315"/>
    </row>
    <row r="230" spans="1:13" s="3" customFormat="1" ht="15.75" x14ac:dyDescent="0.25">
      <c r="A230" s="313" t="s">
        <v>143</v>
      </c>
      <c r="B230" s="313"/>
      <c r="C230" s="313"/>
      <c r="D230" s="313"/>
      <c r="E230" s="313"/>
      <c r="F230" s="313"/>
      <c r="G230" s="313"/>
      <c r="H230" s="313"/>
      <c r="I230" s="313"/>
      <c r="J230" s="313"/>
      <c r="K230" s="313"/>
      <c r="L230" s="313"/>
    </row>
    <row r="231" spans="1:13" s="3" customFormat="1" ht="15.95" customHeight="1" x14ac:dyDescent="0.25">
      <c r="A231" s="144"/>
      <c r="B231" s="141"/>
      <c r="C231" s="145"/>
      <c r="D231" s="141"/>
      <c r="E231" s="146"/>
      <c r="F231" s="141"/>
      <c r="G231" s="146"/>
      <c r="H231" s="141"/>
      <c r="I231" s="141"/>
      <c r="J231" s="141"/>
      <c r="K231" s="141"/>
      <c r="L231" s="141"/>
    </row>
    <row r="232" spans="1:13" s="3" customFormat="1" ht="15.95" customHeight="1" x14ac:dyDescent="0.25">
      <c r="A232" s="147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</row>
    <row r="233" spans="1:13" s="3" customFormat="1" ht="15.95" customHeight="1" x14ac:dyDescent="0.25">
      <c r="A233" s="149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1"/>
    </row>
    <row r="234" spans="1:13" s="3" customFormat="1" ht="15.95" customHeight="1" x14ac:dyDescent="0.25">
      <c r="A234" s="150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</row>
    <row r="235" spans="1:13" s="3" customFormat="1" ht="15.95" customHeight="1" x14ac:dyDescent="0.25">
      <c r="A235" s="150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</row>
    <row r="236" spans="1:13" s="3" customFormat="1" ht="15.95" customHeight="1" x14ac:dyDescent="0.25">
      <c r="A236" s="152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</row>
    <row r="237" spans="1:13" s="3" customFormat="1" ht="15.95" customHeight="1" x14ac:dyDescent="0.25">
      <c r="A237" s="152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</row>
    <row r="238" spans="1:13" s="3" customFormat="1" ht="15.95" customHeight="1" x14ac:dyDescent="0.25">
      <c r="A238" s="312" t="s">
        <v>144</v>
      </c>
      <c r="B238" s="312"/>
      <c r="C238" s="312" t="s">
        <v>145</v>
      </c>
      <c r="D238" s="312"/>
      <c r="E238" s="312"/>
      <c r="F238" s="312"/>
      <c r="G238" s="314" t="s">
        <v>146</v>
      </c>
      <c r="H238" s="314"/>
      <c r="I238" s="314"/>
      <c r="J238" s="314"/>
      <c r="K238" s="314"/>
      <c r="L238" s="314"/>
    </row>
    <row r="239" spans="1:13" s="3" customFormat="1" ht="15.95" customHeight="1" x14ac:dyDescent="0.25">
      <c r="A239" s="312" t="s">
        <v>147</v>
      </c>
      <c r="B239" s="312"/>
      <c r="C239" s="312" t="s">
        <v>148</v>
      </c>
      <c r="D239" s="312"/>
      <c r="E239" s="312"/>
      <c r="F239" s="312"/>
      <c r="G239" s="314" t="s">
        <v>149</v>
      </c>
      <c r="H239" s="314"/>
      <c r="I239" s="314"/>
      <c r="J239" s="314"/>
      <c r="K239" s="314"/>
      <c r="L239" s="314"/>
    </row>
    <row r="240" spans="1:13" s="3" customFormat="1" ht="15.95" customHeight="1" x14ac:dyDescent="0.25">
      <c r="A240" s="312" t="s">
        <v>150</v>
      </c>
      <c r="B240" s="312"/>
      <c r="C240" s="312" t="s">
        <v>151</v>
      </c>
      <c r="D240" s="312"/>
      <c r="E240" s="312"/>
      <c r="F240" s="312"/>
      <c r="G240" s="314" t="s">
        <v>152</v>
      </c>
      <c r="H240" s="314"/>
      <c r="I240" s="314"/>
      <c r="J240" s="314"/>
      <c r="K240" s="314"/>
      <c r="L240" s="314"/>
    </row>
    <row r="241" spans="1:12" ht="15.95" customHeight="1" x14ac:dyDescent="0.2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</row>
    <row r="242" spans="1:12" ht="11.25" customHeight="1" x14ac:dyDescent="0.2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</row>
    <row r="243" spans="1:12" ht="11.25" customHeight="1" x14ac:dyDescent="0.2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</row>
    <row r="244" spans="1:12" ht="11.25" customHeight="1" x14ac:dyDescent="0.2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</row>
    <row r="245" spans="1:12" ht="11.25" customHeight="1" x14ac:dyDescent="0.2">
      <c r="A245" s="141"/>
      <c r="B245" s="141"/>
      <c r="C245" s="141"/>
      <c r="D245" s="153"/>
      <c r="E245" s="141"/>
      <c r="F245" s="141"/>
      <c r="G245" s="141"/>
      <c r="H245" s="141"/>
      <c r="I245" s="141"/>
      <c r="J245" s="141"/>
      <c r="K245" s="141"/>
      <c r="L245" s="141"/>
    </row>
    <row r="246" spans="1:12" ht="11.25" customHeight="1" x14ac:dyDescent="0.2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</row>
    <row r="247" spans="1:12" ht="11.25" customHeight="1" x14ac:dyDescent="0.2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</row>
    <row r="248" spans="1:12" ht="11.25" customHeight="1" x14ac:dyDescent="0.2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</row>
    <row r="249" spans="1:12" ht="11.25" customHeight="1" x14ac:dyDescent="0.25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</row>
    <row r="250" spans="1:12" ht="11.25" customHeight="1" x14ac:dyDescent="0.25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</row>
    <row r="251" spans="1:12" ht="11.25" customHeight="1" x14ac:dyDescent="0.25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</row>
    <row r="252" spans="1:12" ht="11.25" customHeight="1" x14ac:dyDescent="0.25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</row>
  </sheetData>
  <dataConsolidate/>
  <mergeCells count="577"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Q57:T57"/>
    <mergeCell ref="N82:Q84"/>
    <mergeCell ref="M74:P74"/>
    <mergeCell ref="M75:P77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8:F219 F214:F216 E28 E23 E194 E189 E179 E155 E150 E38 D121 E44 E58 H92 H94 H93 E62 D107:D108 E204 G217 D217 E52 E171 E172:E173 E169 E65 E163:E164 E160:E161 E165 E167:E168 E162 E201 E33 E67 E71 F18 F94 F92 F84 F145:F164 F171:F178 F186:F208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 F60:F66 I165:I195 F68:F74" evalError="1"/>
    <ignoredError sqref="F144 F17 E84 F58:F59 F83 F165:F170 F179:F185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AF8C03-EAEE-46C2-8A29-99CDDBFE7E30}"/>
</file>

<file path=customXml/itemProps2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A27B0-2487-4C29-87DA-3DF4E02FDDCD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ebfcc7d6-e1dc-4701-b230-8bbb8f498e6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2025-05-20T20:22:33Z</cp:lastPrinted>
  <dcterms:created xsi:type="dcterms:W3CDTF">2005-03-07T15:54:32Z</dcterms:created>
  <dcterms:modified xsi:type="dcterms:W3CDTF">2025-05-30T14:13:37Z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