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fazrj.sharepoint.com/sites/SUBCONT-SUDEC-COOCGRF/Shared Documents/COOCGRF/CGERF - Migrado/02 - DEREF/ANEXOS PUBLICAÇÃO/LRF - ANEXOS 2024/RREO/4º Bimestre/SITE/"/>
    </mc:Choice>
  </mc:AlternateContent>
  <xr:revisionPtr revIDLastSave="4" documentId="8_{61CD723A-FFB3-477B-8BA7-08E5AD61E0FB}" xr6:coauthVersionLast="47" xr6:coauthVersionMax="47" xr10:uidLastSave="{9ABCC253-10F6-4666-A301-15B9F21389EE}"/>
  <bookViews>
    <workbookView xWindow="-120" yWindow="-120" windowWidth="29040" windowHeight="15840" xr2:uid="{104F4C16-10C8-42A2-AB95-74E34E87F8C0}"/>
  </bookViews>
  <sheets>
    <sheet name="Anexo II - 4º BIM" sheetId="5" r:id="rId1"/>
  </sheets>
  <definedNames>
    <definedName name="_xlnm.Print_Area" localSheetId="0">'Anexo II - 4º BIM'!$A$1:$L$483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4" i="5" l="1"/>
  <c r="I338" i="5"/>
  <c r="J334" i="5"/>
  <c r="I432" i="5"/>
  <c r="I430" i="5"/>
  <c r="I429" i="5"/>
  <c r="I425" i="5"/>
  <c r="I424" i="5" s="1"/>
  <c r="I419" i="5"/>
  <c r="I418" i="5" s="1"/>
  <c r="I416" i="5"/>
  <c r="I414" i="5"/>
  <c r="I412" i="5"/>
  <c r="I409" i="5"/>
  <c r="I407" i="5"/>
  <c r="I400" i="5"/>
  <c r="I398" i="5"/>
  <c r="I394" i="5"/>
  <c r="I393" i="5" s="1"/>
  <c r="I391" i="5"/>
  <c r="I388" i="5"/>
  <c r="I387" i="5"/>
  <c r="I384" i="5"/>
  <c r="I380" i="5"/>
  <c r="I379" i="5"/>
  <c r="I376" i="5"/>
  <c r="I375" i="5" s="1"/>
  <c r="I373" i="5"/>
  <c r="I370" i="5"/>
  <c r="I369" i="5"/>
  <c r="I367" i="5"/>
  <c r="I364" i="5"/>
  <c r="I363" i="5"/>
  <c r="I358" i="5"/>
  <c r="I357" i="5"/>
  <c r="I352" i="5"/>
  <c r="I349" i="5"/>
  <c r="I347" i="5"/>
  <c r="I346" i="5"/>
  <c r="I342" i="5" s="1"/>
  <c r="I345" i="5"/>
  <c r="I341" i="5"/>
  <c r="I340" i="5"/>
  <c r="I336" i="5"/>
  <c r="I311" i="5"/>
  <c r="I309" i="5"/>
  <c r="I308" i="5"/>
  <c r="I307" i="5"/>
  <c r="I304" i="5"/>
  <c r="I303" i="5"/>
  <c r="I301" i="5"/>
  <c r="I299" i="5"/>
  <c r="I296" i="5"/>
  <c r="I295" i="5"/>
  <c r="I293" i="5"/>
  <c r="I292" i="5"/>
  <c r="I288" i="5"/>
  <c r="I285" i="5"/>
  <c r="I283" i="5"/>
  <c r="I277" i="5"/>
  <c r="I275" i="5"/>
  <c r="I273" i="5"/>
  <c r="I271" i="5"/>
  <c r="I268" i="5"/>
  <c r="I262" i="5"/>
  <c r="I259" i="5"/>
  <c r="I253" i="5"/>
  <c r="I251" i="5"/>
  <c r="I248" i="5" s="1"/>
  <c r="I249" i="5"/>
  <c r="I247" i="5"/>
  <c r="I245" i="5"/>
  <c r="I244" i="5"/>
  <c r="I243" i="5"/>
  <c r="I235" i="5"/>
  <c r="I230" i="5"/>
  <c r="I227" i="5"/>
  <c r="I220" i="5"/>
  <c r="I218" i="5"/>
  <c r="I217" i="5"/>
  <c r="I214" i="5"/>
  <c r="I213" i="5"/>
  <c r="I212" i="5"/>
  <c r="I211" i="5"/>
  <c r="I210" i="5"/>
  <c r="I205" i="5" s="1"/>
  <c r="I209" i="5"/>
  <c r="I206" i="5"/>
  <c r="I201" i="5"/>
  <c r="I197" i="5"/>
  <c r="I192" i="5" s="1"/>
  <c r="I196" i="5"/>
  <c r="I193" i="5"/>
  <c r="I188" i="5"/>
  <c r="I184" i="5"/>
  <c r="I183" i="5" s="1"/>
  <c r="I182" i="5"/>
  <c r="I176" i="5"/>
  <c r="I175" i="5"/>
  <c r="I156" i="5"/>
  <c r="I153" i="5" s="1"/>
  <c r="I155" i="5"/>
  <c r="I154" i="5"/>
  <c r="I151" i="5"/>
  <c r="I150" i="5"/>
  <c r="I146" i="5"/>
  <c r="I145" i="5"/>
  <c r="I144" i="5"/>
  <c r="I143" i="5"/>
  <c r="I142" i="5"/>
  <c r="I141" i="5"/>
  <c r="I140" i="5"/>
  <c r="I138" i="5"/>
  <c r="I130" i="5" s="1"/>
  <c r="I136" i="5"/>
  <c r="I133" i="5"/>
  <c r="I131" i="5"/>
  <c r="I127" i="5"/>
  <c r="I125" i="5"/>
  <c r="I122" i="5"/>
  <c r="I117" i="5"/>
  <c r="I116" i="5"/>
  <c r="I108" i="5" s="1"/>
  <c r="I115" i="5"/>
  <c r="I114" i="5"/>
  <c r="I111" i="5"/>
  <c r="I110" i="5"/>
  <c r="I109" i="5"/>
  <c r="I106" i="5"/>
  <c r="I102" i="5"/>
  <c r="I99" i="5"/>
  <c r="I98" i="5"/>
  <c r="I95" i="5"/>
  <c r="I94" i="5"/>
  <c r="I92" i="5"/>
  <c r="I87" i="5" s="1"/>
  <c r="I88" i="5"/>
  <c r="I83" i="5"/>
  <c r="I82" i="5"/>
  <c r="I81" i="5"/>
  <c r="I77" i="5"/>
  <c r="I76" i="5"/>
  <c r="I74" i="5"/>
  <c r="I71" i="5"/>
  <c r="I70" i="5"/>
  <c r="I69" i="5"/>
  <c r="I68" i="5"/>
  <c r="I67" i="5"/>
  <c r="I66" i="5"/>
  <c r="I65" i="5"/>
  <c r="I42" i="5"/>
  <c r="I59" i="5"/>
  <c r="I50" i="5"/>
  <c r="I46" i="5"/>
  <c r="I45" i="5"/>
  <c r="I43" i="5"/>
  <c r="I41" i="5"/>
  <c r="I40" i="5"/>
  <c r="I39" i="5"/>
  <c r="I38" i="5"/>
  <c r="I37" i="5"/>
  <c r="I34" i="5"/>
  <c r="I33" i="5"/>
  <c r="I29" i="5" s="1"/>
  <c r="I32" i="5"/>
  <c r="I31" i="5"/>
  <c r="I30" i="5"/>
  <c r="I27" i="5"/>
  <c r="I25" i="5" s="1"/>
  <c r="I26" i="5"/>
  <c r="I23" i="5"/>
  <c r="I19" i="5"/>
  <c r="I18" i="5"/>
  <c r="I17" i="5"/>
  <c r="I16" i="5"/>
  <c r="E432" i="5"/>
  <c r="E429" i="5"/>
  <c r="E428" i="5" s="1"/>
  <c r="E425" i="5"/>
  <c r="E419" i="5"/>
  <c r="E416" i="5"/>
  <c r="E414" i="5"/>
  <c r="E412" i="5"/>
  <c r="E408" i="5" s="1"/>
  <c r="E409" i="5"/>
  <c r="E407" i="5"/>
  <c r="E400" i="5"/>
  <c r="E398" i="5"/>
  <c r="E397" i="5" s="1"/>
  <c r="E394" i="5"/>
  <c r="E391" i="5"/>
  <c r="E387" i="5"/>
  <c r="E384" i="5"/>
  <c r="E383" i="5" s="1"/>
  <c r="E380" i="5"/>
  <c r="E379" i="5"/>
  <c r="E376" i="5"/>
  <c r="E373" i="5"/>
  <c r="E372" i="5" s="1"/>
  <c r="E370" i="5"/>
  <c r="E369" i="5"/>
  <c r="E367" i="5"/>
  <c r="E366" i="5" s="1"/>
  <c r="E364" i="5"/>
  <c r="E363" i="5"/>
  <c r="E358" i="5"/>
  <c r="E357" i="5"/>
  <c r="E352" i="5"/>
  <c r="E348" i="5" s="1"/>
  <c r="E349" i="5"/>
  <c r="F348" i="5"/>
  <c r="E346" i="5"/>
  <c r="E345" i="5"/>
  <c r="E341" i="5"/>
  <c r="E340" i="5"/>
  <c r="E338" i="5"/>
  <c r="E336" i="5"/>
  <c r="E311" i="5"/>
  <c r="E309" i="5"/>
  <c r="E308" i="5"/>
  <c r="E307" i="5"/>
  <c r="E306" i="5" s="1"/>
  <c r="E304" i="5"/>
  <c r="E303" i="5"/>
  <c r="E301" i="5"/>
  <c r="E299" i="5"/>
  <c r="E296" i="5"/>
  <c r="E295" i="5"/>
  <c r="E293" i="5"/>
  <c r="E292" i="5"/>
  <c r="E288" i="5"/>
  <c r="E283" i="5"/>
  <c r="E277" i="5"/>
  <c r="E273" i="5"/>
  <c r="E271" i="5"/>
  <c r="E268" i="5"/>
  <c r="E262" i="5"/>
  <c r="E259" i="5"/>
  <c r="E252" i="5" s="1"/>
  <c r="E255" i="5"/>
  <c r="E253" i="5"/>
  <c r="E251" i="5"/>
  <c r="E249" i="5"/>
  <c r="E248" i="5" s="1"/>
  <c r="E247" i="5"/>
  <c r="E245" i="5"/>
  <c r="E244" i="5"/>
  <c r="E243" i="5"/>
  <c r="E235" i="5"/>
  <c r="E230" i="5"/>
  <c r="E227" i="5"/>
  <c r="E220" i="5"/>
  <c r="E218" i="5"/>
  <c r="E217" i="5"/>
  <c r="E214" i="5"/>
  <c r="E213" i="5"/>
  <c r="E212" i="5"/>
  <c r="E211" i="5"/>
  <c r="E210" i="5"/>
  <c r="E209" i="5"/>
  <c r="E206" i="5"/>
  <c r="E201" i="5"/>
  <c r="E197" i="5"/>
  <c r="E196" i="5"/>
  <c r="E193" i="5"/>
  <c r="E188" i="5"/>
  <c r="E184" i="5"/>
  <c r="E182" i="5"/>
  <c r="E176" i="5"/>
  <c r="E175" i="5"/>
  <c r="E156" i="5"/>
  <c r="E155" i="5"/>
  <c r="E154" i="5"/>
  <c r="E151" i="5"/>
  <c r="E146" i="5"/>
  <c r="E145" i="5"/>
  <c r="E144" i="5"/>
  <c r="E143" i="5"/>
  <c r="E142" i="5"/>
  <c r="E141" i="5"/>
  <c r="E140" i="5"/>
  <c r="E138" i="5"/>
  <c r="E136" i="5"/>
  <c r="E133" i="5"/>
  <c r="E131" i="5"/>
  <c r="E127" i="5"/>
  <c r="E125" i="5"/>
  <c r="E122" i="5"/>
  <c r="E120" i="5" s="1"/>
  <c r="E117" i="5"/>
  <c r="E116" i="5"/>
  <c r="E115" i="5"/>
  <c r="E114" i="5"/>
  <c r="E111" i="5"/>
  <c r="E110" i="5"/>
  <c r="E109" i="5"/>
  <c r="E106" i="5"/>
  <c r="E101" i="5" s="1"/>
  <c r="E102" i="5"/>
  <c r="E99" i="5"/>
  <c r="E98" i="5"/>
  <c r="E95" i="5"/>
  <c r="E87" i="5" s="1"/>
  <c r="E94" i="5"/>
  <c r="E92" i="5"/>
  <c r="E88" i="5"/>
  <c r="E83" i="5"/>
  <c r="E82" i="5"/>
  <c r="E81" i="5"/>
  <c r="E77" i="5"/>
  <c r="E76" i="5"/>
  <c r="E74" i="5"/>
  <c r="E70" i="5"/>
  <c r="E69" i="5"/>
  <c r="E68" i="5"/>
  <c r="E63" i="5" s="1"/>
  <c r="E67" i="5"/>
  <c r="E66" i="5"/>
  <c r="E65" i="5"/>
  <c r="E59" i="5"/>
  <c r="E50" i="5"/>
  <c r="E46" i="5"/>
  <c r="E45" i="5"/>
  <c r="E43" i="5"/>
  <c r="E42" i="5"/>
  <c r="E41" i="5"/>
  <c r="E40" i="5"/>
  <c r="E39" i="5"/>
  <c r="E38" i="5"/>
  <c r="E37" i="5"/>
  <c r="E34" i="5"/>
  <c r="E33" i="5"/>
  <c r="E32" i="5"/>
  <c r="E31" i="5"/>
  <c r="E30" i="5"/>
  <c r="E29" i="5" s="1"/>
  <c r="E27" i="5"/>
  <c r="E26" i="5"/>
  <c r="E23" i="5"/>
  <c r="E19" i="5"/>
  <c r="E14" i="5" s="1"/>
  <c r="E18" i="5"/>
  <c r="E17" i="5"/>
  <c r="E16" i="5"/>
  <c r="C317" i="5"/>
  <c r="C316" i="5"/>
  <c r="C333" i="5"/>
  <c r="C399" i="5"/>
  <c r="J399" i="5"/>
  <c r="L399" i="5" s="1"/>
  <c r="F399" i="5"/>
  <c r="D399" i="5"/>
  <c r="E402" i="5"/>
  <c r="E399" i="5" s="1"/>
  <c r="L407" i="5"/>
  <c r="L402" i="5"/>
  <c r="H407" i="5"/>
  <c r="I402" i="5"/>
  <c r="H402" i="5"/>
  <c r="E371" i="5"/>
  <c r="D339" i="5"/>
  <c r="J431" i="5"/>
  <c r="L431" i="5" s="1"/>
  <c r="E430" i="5"/>
  <c r="I413" i="5"/>
  <c r="E413" i="5"/>
  <c r="I397" i="5"/>
  <c r="E393" i="5"/>
  <c r="E388" i="5"/>
  <c r="I366" i="5"/>
  <c r="E347" i="5"/>
  <c r="E285" i="5"/>
  <c r="E282" i="5" s="1"/>
  <c r="E275" i="5"/>
  <c r="E221" i="5"/>
  <c r="I204" i="5"/>
  <c r="E204" i="5"/>
  <c r="E198" i="5" s="1"/>
  <c r="E150" i="5"/>
  <c r="E71" i="5"/>
  <c r="E25" i="5"/>
  <c r="I371" i="5"/>
  <c r="E406" i="5"/>
  <c r="L406" i="5"/>
  <c r="L405" i="5"/>
  <c r="I406" i="5"/>
  <c r="I405" i="5"/>
  <c r="H406" i="5"/>
  <c r="H405" i="5"/>
  <c r="L388" i="5"/>
  <c r="L283" i="5"/>
  <c r="L286" i="5"/>
  <c r="L285" i="5"/>
  <c r="L204" i="5"/>
  <c r="E339" i="5"/>
  <c r="I260" i="5"/>
  <c r="E260" i="5"/>
  <c r="E124" i="5"/>
  <c r="E286" i="5"/>
  <c r="E284" i="5"/>
  <c r="E219" i="5"/>
  <c r="E216" i="5" s="1"/>
  <c r="H204" i="5"/>
  <c r="E199" i="5"/>
  <c r="E174" i="5"/>
  <c r="I20" i="5"/>
  <c r="H388" i="5"/>
  <c r="L149" i="5"/>
  <c r="I149" i="5"/>
  <c r="H149" i="5"/>
  <c r="E149" i="5"/>
  <c r="L148" i="5"/>
  <c r="I148" i="5"/>
  <c r="H148" i="5"/>
  <c r="E148" i="5"/>
  <c r="J130" i="5"/>
  <c r="F130" i="5"/>
  <c r="D130" i="5"/>
  <c r="C130" i="5"/>
  <c r="J386" i="5"/>
  <c r="L386" i="5" s="1"/>
  <c r="F386" i="5"/>
  <c r="H386" i="5" s="1"/>
  <c r="D386" i="5"/>
  <c r="C386" i="5"/>
  <c r="C383" i="5"/>
  <c r="H423" i="5"/>
  <c r="H422" i="5"/>
  <c r="F421" i="5"/>
  <c r="D421" i="5"/>
  <c r="C421" i="5"/>
  <c r="E423" i="5"/>
  <c r="E422" i="5"/>
  <c r="E421" i="5"/>
  <c r="J282" i="5"/>
  <c r="F282" i="5"/>
  <c r="I286" i="5"/>
  <c r="H283" i="5"/>
  <c r="H286" i="5"/>
  <c r="H285" i="5"/>
  <c r="D282" i="5"/>
  <c r="L282" i="5" s="1"/>
  <c r="C282" i="5"/>
  <c r="I221" i="5"/>
  <c r="I222" i="5"/>
  <c r="L222" i="5"/>
  <c r="L221" i="5"/>
  <c r="H221" i="5"/>
  <c r="L219" i="5"/>
  <c r="H219" i="5"/>
  <c r="E222" i="5"/>
  <c r="H222" i="5"/>
  <c r="J198" i="5"/>
  <c r="L198" i="5" s="1"/>
  <c r="F198" i="5"/>
  <c r="D198" i="5"/>
  <c r="C198" i="5"/>
  <c r="J173" i="5"/>
  <c r="F173" i="5"/>
  <c r="D173" i="5"/>
  <c r="C173" i="5"/>
  <c r="L174" i="5"/>
  <c r="H174" i="5"/>
  <c r="L124" i="5"/>
  <c r="H124" i="5"/>
  <c r="I152" i="5"/>
  <c r="L152" i="5"/>
  <c r="E152" i="5"/>
  <c r="H152" i="5"/>
  <c r="I55" i="5"/>
  <c r="L55" i="5"/>
  <c r="E55" i="5"/>
  <c r="H55" i="5"/>
  <c r="E15" i="5"/>
  <c r="L434" i="5"/>
  <c r="L433" i="5"/>
  <c r="L432" i="5"/>
  <c r="L430" i="5"/>
  <c r="L429" i="5"/>
  <c r="L427" i="5"/>
  <c r="L426" i="5"/>
  <c r="L425" i="5"/>
  <c r="L420" i="5"/>
  <c r="L419" i="5"/>
  <c r="L417" i="5"/>
  <c r="L416" i="5"/>
  <c r="L414" i="5"/>
  <c r="L412" i="5"/>
  <c r="L411" i="5"/>
  <c r="L410" i="5"/>
  <c r="L409" i="5"/>
  <c r="L404" i="5"/>
  <c r="L403" i="5"/>
  <c r="L401" i="5"/>
  <c r="L400" i="5"/>
  <c r="L398" i="5"/>
  <c r="L396" i="5"/>
  <c r="L394" i="5"/>
  <c r="L392" i="5"/>
  <c r="L391" i="5"/>
  <c r="L389" i="5"/>
  <c r="L387" i="5"/>
  <c r="L385" i="5"/>
  <c r="L384" i="5"/>
  <c r="L382" i="5"/>
  <c r="L381" i="5"/>
  <c r="L380" i="5"/>
  <c r="L379" i="5"/>
  <c r="L378" i="5"/>
  <c r="L377" i="5"/>
  <c r="L376" i="5"/>
  <c r="L374" i="5"/>
  <c r="L373" i="5"/>
  <c r="L371" i="5"/>
  <c r="L370" i="5"/>
  <c r="L369" i="5"/>
  <c r="L367" i="5"/>
  <c r="L365" i="5"/>
  <c r="L364" i="5"/>
  <c r="L363" i="5"/>
  <c r="L361" i="5"/>
  <c r="L360" i="5"/>
  <c r="L359" i="5"/>
  <c r="L358" i="5"/>
  <c r="L357" i="5"/>
  <c r="L355" i="5"/>
  <c r="L354" i="5"/>
  <c r="L353" i="5"/>
  <c r="L352" i="5"/>
  <c r="L351" i="5"/>
  <c r="L350" i="5"/>
  <c r="L349" i="5"/>
  <c r="L347" i="5"/>
  <c r="L346" i="5"/>
  <c r="L345" i="5"/>
  <c r="L344" i="5"/>
  <c r="L343" i="5"/>
  <c r="L341" i="5"/>
  <c r="L340" i="5"/>
  <c r="L338" i="5"/>
  <c r="L337" i="5"/>
  <c r="L336" i="5"/>
  <c r="L335" i="5"/>
  <c r="H434" i="5"/>
  <c r="H433" i="5"/>
  <c r="H432" i="5"/>
  <c r="H430" i="5"/>
  <c r="H429" i="5"/>
  <c r="H427" i="5"/>
  <c r="H426" i="5"/>
  <c r="H425" i="5"/>
  <c r="H420" i="5"/>
  <c r="H419" i="5"/>
  <c r="H417" i="5"/>
  <c r="H416" i="5"/>
  <c r="H414" i="5"/>
  <c r="H412" i="5"/>
  <c r="H411" i="5"/>
  <c r="H410" i="5"/>
  <c r="H409" i="5"/>
  <c r="H404" i="5"/>
  <c r="H403" i="5"/>
  <c r="H401" i="5"/>
  <c r="H400" i="5"/>
  <c r="H398" i="5"/>
  <c r="H396" i="5"/>
  <c r="H394" i="5"/>
  <c r="H392" i="5"/>
  <c r="H391" i="5"/>
  <c r="H389" i="5"/>
  <c r="H387" i="5"/>
  <c r="H385" i="5"/>
  <c r="H384" i="5"/>
  <c r="H382" i="5"/>
  <c r="H381" i="5"/>
  <c r="H380" i="5"/>
  <c r="H379" i="5"/>
  <c r="H378" i="5"/>
  <c r="H377" i="5"/>
  <c r="H376" i="5"/>
  <c r="H374" i="5"/>
  <c r="H373" i="5"/>
  <c r="H371" i="5"/>
  <c r="H370" i="5"/>
  <c r="H369" i="5"/>
  <c r="H367" i="5"/>
  <c r="H365" i="5"/>
  <c r="H364" i="5"/>
  <c r="H363" i="5"/>
  <c r="H361" i="5"/>
  <c r="H360" i="5"/>
  <c r="H359" i="5"/>
  <c r="H358" i="5"/>
  <c r="H357" i="5"/>
  <c r="H355" i="5"/>
  <c r="H354" i="5"/>
  <c r="H353" i="5"/>
  <c r="H352" i="5"/>
  <c r="H351" i="5"/>
  <c r="H350" i="5"/>
  <c r="H349" i="5"/>
  <c r="H347" i="5"/>
  <c r="H346" i="5"/>
  <c r="H345" i="5"/>
  <c r="H344" i="5"/>
  <c r="H343" i="5"/>
  <c r="H341" i="5"/>
  <c r="H340" i="5"/>
  <c r="H338" i="5"/>
  <c r="H337" i="5"/>
  <c r="H336" i="5"/>
  <c r="H335" i="5"/>
  <c r="L315" i="5"/>
  <c r="L314" i="5"/>
  <c r="L313" i="5"/>
  <c r="L311" i="5"/>
  <c r="L310" i="5"/>
  <c r="L309" i="5"/>
  <c r="L308" i="5"/>
  <c r="L307" i="5"/>
  <c r="L305" i="5"/>
  <c r="L304" i="5"/>
  <c r="L303" i="5"/>
  <c r="L302" i="5"/>
  <c r="L301" i="5"/>
  <c r="L299" i="5"/>
  <c r="L298" i="5"/>
  <c r="L297" i="5"/>
  <c r="L296" i="5"/>
  <c r="L295" i="5"/>
  <c r="L294" i="5"/>
  <c r="L293" i="5"/>
  <c r="L292" i="5"/>
  <c r="L291" i="5"/>
  <c r="L290" i="5"/>
  <c r="L289" i="5"/>
  <c r="L288" i="5"/>
  <c r="L284" i="5"/>
  <c r="L281" i="5"/>
  <c r="L280" i="5"/>
  <c r="L279" i="5"/>
  <c r="L277" i="5"/>
  <c r="L276" i="5"/>
  <c r="L275" i="5"/>
  <c r="L274" i="5"/>
  <c r="L273" i="5"/>
  <c r="L272" i="5"/>
  <c r="L271" i="5"/>
  <c r="L270" i="5"/>
  <c r="L269" i="5"/>
  <c r="L268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1" i="5"/>
  <c r="L250" i="5"/>
  <c r="L249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8" i="5"/>
  <c r="L227" i="5"/>
  <c r="L226" i="5"/>
  <c r="L225" i="5"/>
  <c r="L224" i="5"/>
  <c r="L223" i="5"/>
  <c r="L220" i="5"/>
  <c r="L218" i="5"/>
  <c r="L217" i="5"/>
  <c r="L215" i="5"/>
  <c r="L214" i="5"/>
  <c r="L213" i="5"/>
  <c r="L212" i="5"/>
  <c r="L211" i="5"/>
  <c r="L210" i="5"/>
  <c r="L209" i="5"/>
  <c r="L208" i="5"/>
  <c r="L207" i="5"/>
  <c r="L206" i="5"/>
  <c r="L203" i="5"/>
  <c r="L202" i="5"/>
  <c r="L201" i="5"/>
  <c r="L200" i="5"/>
  <c r="L197" i="5"/>
  <c r="L196" i="5"/>
  <c r="L195" i="5"/>
  <c r="L194" i="5"/>
  <c r="L193" i="5"/>
  <c r="L191" i="5"/>
  <c r="L190" i="5"/>
  <c r="L189" i="5"/>
  <c r="L188" i="5"/>
  <c r="L187" i="5"/>
  <c r="L186" i="5"/>
  <c r="L185" i="5"/>
  <c r="L184" i="5"/>
  <c r="L182" i="5"/>
  <c r="L181" i="5"/>
  <c r="L180" i="5"/>
  <c r="L179" i="5"/>
  <c r="L178" i="5"/>
  <c r="L177" i="5"/>
  <c r="L176" i="5"/>
  <c r="L175" i="5"/>
  <c r="H315" i="5"/>
  <c r="H314" i="5"/>
  <c r="H313" i="5"/>
  <c r="H311" i="5"/>
  <c r="H310" i="5"/>
  <c r="H309" i="5"/>
  <c r="H308" i="5"/>
  <c r="H307" i="5"/>
  <c r="H305" i="5"/>
  <c r="H304" i="5"/>
  <c r="H303" i="5"/>
  <c r="H302" i="5"/>
  <c r="H301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4" i="5"/>
  <c r="H281" i="5"/>
  <c r="H280" i="5"/>
  <c r="H279" i="5"/>
  <c r="H277" i="5"/>
  <c r="H276" i="5"/>
  <c r="H275" i="5"/>
  <c r="H274" i="5"/>
  <c r="H273" i="5"/>
  <c r="H272" i="5"/>
  <c r="H271" i="5"/>
  <c r="H270" i="5"/>
  <c r="H269" i="5"/>
  <c r="H268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1" i="5"/>
  <c r="H250" i="5"/>
  <c r="H249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8" i="5"/>
  <c r="H227" i="5"/>
  <c r="H226" i="5"/>
  <c r="H225" i="5"/>
  <c r="H224" i="5"/>
  <c r="H223" i="5"/>
  <c r="H220" i="5"/>
  <c r="H218" i="5"/>
  <c r="H217" i="5"/>
  <c r="H215" i="5"/>
  <c r="H214" i="5"/>
  <c r="H213" i="5"/>
  <c r="H212" i="5"/>
  <c r="H211" i="5"/>
  <c r="H210" i="5"/>
  <c r="H209" i="5"/>
  <c r="H208" i="5"/>
  <c r="H207" i="5"/>
  <c r="H206" i="5"/>
  <c r="H203" i="5"/>
  <c r="H202" i="5"/>
  <c r="H201" i="5"/>
  <c r="H200" i="5"/>
  <c r="H197" i="5"/>
  <c r="H196" i="5"/>
  <c r="H195" i="5"/>
  <c r="H194" i="5"/>
  <c r="H193" i="5"/>
  <c r="H191" i="5"/>
  <c r="H190" i="5"/>
  <c r="H189" i="5"/>
  <c r="H188" i="5"/>
  <c r="H187" i="5"/>
  <c r="H186" i="5"/>
  <c r="H185" i="5"/>
  <c r="H184" i="5"/>
  <c r="H182" i="5"/>
  <c r="H181" i="5"/>
  <c r="H180" i="5"/>
  <c r="H179" i="5"/>
  <c r="H178" i="5"/>
  <c r="H177" i="5"/>
  <c r="H176" i="5"/>
  <c r="H175" i="5"/>
  <c r="H157" i="5"/>
  <c r="H156" i="5"/>
  <c r="H155" i="5"/>
  <c r="H154" i="5"/>
  <c r="H151" i="5"/>
  <c r="H150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29" i="5"/>
  <c r="H128" i="5"/>
  <c r="H127" i="5"/>
  <c r="H126" i="5"/>
  <c r="H125" i="5"/>
  <c r="H123" i="5"/>
  <c r="H122" i="5"/>
  <c r="H121" i="5"/>
  <c r="H119" i="5"/>
  <c r="H118" i="5"/>
  <c r="H117" i="5"/>
  <c r="H116" i="5"/>
  <c r="H115" i="5"/>
  <c r="H114" i="5"/>
  <c r="H113" i="5"/>
  <c r="H112" i="5"/>
  <c r="H111" i="5"/>
  <c r="H110" i="5"/>
  <c r="H109" i="5"/>
  <c r="H107" i="5"/>
  <c r="H106" i="5"/>
  <c r="H105" i="5"/>
  <c r="H104" i="5"/>
  <c r="H103" i="5"/>
  <c r="H102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2" i="5"/>
  <c r="H61" i="5"/>
  <c r="H60" i="5"/>
  <c r="H59" i="5"/>
  <c r="H58" i="5"/>
  <c r="H57" i="5"/>
  <c r="H56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4" i="5"/>
  <c r="H33" i="5"/>
  <c r="H32" i="5"/>
  <c r="H31" i="5"/>
  <c r="H30" i="5"/>
  <c r="H28" i="5"/>
  <c r="H27" i="5"/>
  <c r="H26" i="5"/>
  <c r="H24" i="5"/>
  <c r="H23" i="5"/>
  <c r="H22" i="5"/>
  <c r="H21" i="5"/>
  <c r="H20" i="5"/>
  <c r="H19" i="5"/>
  <c r="H18" i="5"/>
  <c r="H17" i="5"/>
  <c r="H16" i="5"/>
  <c r="H15" i="5"/>
  <c r="L157" i="5"/>
  <c r="L156" i="5"/>
  <c r="L155" i="5"/>
  <c r="L154" i="5"/>
  <c r="L151" i="5"/>
  <c r="L150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29" i="5"/>
  <c r="L128" i="5"/>
  <c r="L127" i="5"/>
  <c r="L126" i="5"/>
  <c r="L125" i="5"/>
  <c r="L123" i="5"/>
  <c r="L122" i="5"/>
  <c r="L121" i="5"/>
  <c r="L119" i="5"/>
  <c r="L118" i="5"/>
  <c r="L117" i="5"/>
  <c r="L116" i="5"/>
  <c r="L115" i="5"/>
  <c r="L114" i="5"/>
  <c r="L113" i="5"/>
  <c r="L112" i="5"/>
  <c r="L111" i="5"/>
  <c r="L110" i="5"/>
  <c r="L109" i="5"/>
  <c r="L107" i="5"/>
  <c r="L106" i="5"/>
  <c r="L105" i="5"/>
  <c r="L104" i="5"/>
  <c r="L103" i="5"/>
  <c r="L102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2" i="5"/>
  <c r="L61" i="5"/>
  <c r="L60" i="5"/>
  <c r="L59" i="5"/>
  <c r="L58" i="5"/>
  <c r="L57" i="5"/>
  <c r="L56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4" i="5"/>
  <c r="L33" i="5"/>
  <c r="L32" i="5"/>
  <c r="L31" i="5"/>
  <c r="L30" i="5"/>
  <c r="L28" i="5"/>
  <c r="L27" i="5"/>
  <c r="L26" i="5"/>
  <c r="L24" i="5"/>
  <c r="L23" i="5"/>
  <c r="L22" i="5"/>
  <c r="L21" i="5"/>
  <c r="L20" i="5"/>
  <c r="L19" i="5"/>
  <c r="L18" i="5"/>
  <c r="L17" i="5"/>
  <c r="L16" i="5"/>
  <c r="L15" i="5"/>
  <c r="I189" i="5"/>
  <c r="E189" i="5"/>
  <c r="I181" i="5"/>
  <c r="E181" i="5"/>
  <c r="I134" i="5"/>
  <c r="E134" i="5"/>
  <c r="E107" i="5"/>
  <c r="I107" i="5"/>
  <c r="J101" i="5"/>
  <c r="F101" i="5"/>
  <c r="D101" i="5"/>
  <c r="C101" i="5"/>
  <c r="I61" i="5"/>
  <c r="E61" i="5"/>
  <c r="I49" i="5"/>
  <c r="E49" i="5"/>
  <c r="I48" i="5"/>
  <c r="E48" i="5"/>
  <c r="I28" i="5"/>
  <c r="J25" i="5"/>
  <c r="F25" i="5"/>
  <c r="D25" i="5"/>
  <c r="C25" i="5"/>
  <c r="E28" i="5"/>
  <c r="I378" i="5"/>
  <c r="I359" i="5"/>
  <c r="I353" i="5"/>
  <c r="E426" i="5"/>
  <c r="E378" i="5"/>
  <c r="E359" i="5"/>
  <c r="E353" i="5"/>
  <c r="E335" i="5"/>
  <c r="I298" i="5"/>
  <c r="I297" i="5"/>
  <c r="I284" i="5"/>
  <c r="I282" i="5" s="1"/>
  <c r="I276" i="5"/>
  <c r="I250" i="5"/>
  <c r="I242" i="5"/>
  <c r="I238" i="5"/>
  <c r="I231" i="5"/>
  <c r="I225" i="5"/>
  <c r="I223" i="5"/>
  <c r="I187" i="5"/>
  <c r="I147" i="5"/>
  <c r="I137" i="5"/>
  <c r="I128" i="5"/>
  <c r="I113" i="5"/>
  <c r="I84" i="5"/>
  <c r="I56" i="5"/>
  <c r="I54" i="5"/>
  <c r="I21" i="5"/>
  <c r="I15" i="5"/>
  <c r="E298" i="5"/>
  <c r="E297" i="5"/>
  <c r="E276" i="5"/>
  <c r="E267" i="5" s="1"/>
  <c r="E261" i="5"/>
  <c r="E256" i="5"/>
  <c r="E250" i="5"/>
  <c r="E242" i="5"/>
  <c r="E238" i="5"/>
  <c r="E231" i="5"/>
  <c r="E229" i="5" s="1"/>
  <c r="E225" i="5"/>
  <c r="E223" i="5"/>
  <c r="E187" i="5"/>
  <c r="E147" i="5"/>
  <c r="E137" i="5"/>
  <c r="E132" i="5"/>
  <c r="E128" i="5"/>
  <c r="E113" i="5"/>
  <c r="E108" i="5" s="1"/>
  <c r="E84" i="5"/>
  <c r="E56" i="5"/>
  <c r="E54" i="5"/>
  <c r="E21" i="5"/>
  <c r="J342" i="5"/>
  <c r="I433" i="5"/>
  <c r="I431" i="5"/>
  <c r="E433" i="5"/>
  <c r="E431" i="5"/>
  <c r="E355" i="5"/>
  <c r="I355" i="5"/>
  <c r="J348" i="5"/>
  <c r="D348" i="5"/>
  <c r="C348" i="5"/>
  <c r="I417" i="5"/>
  <c r="I415" i="5"/>
  <c r="E417" i="5"/>
  <c r="J415" i="5"/>
  <c r="F415" i="5"/>
  <c r="D415" i="5"/>
  <c r="C415" i="5"/>
  <c r="I186" i="5"/>
  <c r="D431" i="5"/>
  <c r="F431" i="5"/>
  <c r="C431" i="5"/>
  <c r="D428" i="5"/>
  <c r="H428" i="5" s="1"/>
  <c r="F428" i="5"/>
  <c r="C428" i="5"/>
  <c r="J424" i="5"/>
  <c r="D424" i="5"/>
  <c r="H424" i="5" s="1"/>
  <c r="F424" i="5"/>
  <c r="C424" i="5"/>
  <c r="J418" i="5"/>
  <c r="D418" i="5"/>
  <c r="H418" i="5" s="1"/>
  <c r="F418" i="5"/>
  <c r="C418" i="5"/>
  <c r="J383" i="5"/>
  <c r="D383" i="5"/>
  <c r="F383" i="5"/>
  <c r="H383" i="5" s="1"/>
  <c r="D312" i="5"/>
  <c r="L312" i="5" s="1"/>
  <c r="C312" i="5"/>
  <c r="I427" i="5"/>
  <c r="E427" i="5"/>
  <c r="I420" i="5"/>
  <c r="E420" i="5"/>
  <c r="E418" i="5"/>
  <c r="I411" i="5"/>
  <c r="E411" i="5"/>
  <c r="I385" i="5"/>
  <c r="E385" i="5"/>
  <c r="I202" i="5"/>
  <c r="E202" i="5"/>
  <c r="J183" i="5"/>
  <c r="F183" i="5"/>
  <c r="H183" i="5" s="1"/>
  <c r="D183" i="5"/>
  <c r="C183" i="5"/>
  <c r="I191" i="5"/>
  <c r="E191" i="5"/>
  <c r="E186" i="5"/>
  <c r="I89" i="5"/>
  <c r="E89" i="5"/>
  <c r="J63" i="5"/>
  <c r="L63" i="5" s="1"/>
  <c r="F63" i="5"/>
  <c r="D63" i="5"/>
  <c r="C63" i="5"/>
  <c r="I86" i="5"/>
  <c r="E86" i="5"/>
  <c r="I75" i="5"/>
  <c r="E75" i="5"/>
  <c r="I72" i="5"/>
  <c r="E72" i="5"/>
  <c r="I381" i="5"/>
  <c r="I374" i="5"/>
  <c r="I372" i="5"/>
  <c r="E381" i="5"/>
  <c r="E375" i="5" s="1"/>
  <c r="E374" i="5"/>
  <c r="I255" i="5"/>
  <c r="I226" i="5"/>
  <c r="E226" i="5"/>
  <c r="I93" i="5"/>
  <c r="I78" i="5"/>
  <c r="I64" i="5"/>
  <c r="I36" i="5"/>
  <c r="E93" i="5"/>
  <c r="E78" i="5"/>
  <c r="E64" i="5"/>
  <c r="E36" i="5"/>
  <c r="J428" i="5"/>
  <c r="J120" i="5"/>
  <c r="F120" i="5"/>
  <c r="H120" i="5" s="1"/>
  <c r="J390" i="5"/>
  <c r="I392" i="5"/>
  <c r="I390" i="5"/>
  <c r="C390" i="5"/>
  <c r="D390" i="5"/>
  <c r="F390" i="5"/>
  <c r="H390" i="5" s="1"/>
  <c r="E392" i="5"/>
  <c r="I389" i="5"/>
  <c r="E389" i="5"/>
  <c r="J372" i="5"/>
  <c r="F372" i="5"/>
  <c r="I426" i="5"/>
  <c r="F413" i="5"/>
  <c r="I351" i="5"/>
  <c r="E351" i="5"/>
  <c r="F334" i="5"/>
  <c r="C334" i="5"/>
  <c r="D334" i="5"/>
  <c r="E266" i="5"/>
  <c r="I96" i="5"/>
  <c r="E58" i="5"/>
  <c r="I401" i="5"/>
  <c r="J375" i="5"/>
  <c r="L375" i="5" s="1"/>
  <c r="F375" i="5"/>
  <c r="H375" i="5" s="1"/>
  <c r="D375" i="5"/>
  <c r="C375" i="5"/>
  <c r="I382" i="5"/>
  <c r="E382" i="5"/>
  <c r="D372" i="5"/>
  <c r="H372" i="5"/>
  <c r="C372" i="5"/>
  <c r="E354" i="5"/>
  <c r="I354" i="5"/>
  <c r="I302" i="5"/>
  <c r="E302" i="5"/>
  <c r="I291" i="5"/>
  <c r="I289" i="5"/>
  <c r="E291" i="5"/>
  <c r="E289" i="5"/>
  <c r="J252" i="5"/>
  <c r="F252" i="5"/>
  <c r="D252" i="5"/>
  <c r="C252" i="5"/>
  <c r="I266" i="5"/>
  <c r="I254" i="5"/>
  <c r="E254" i="5"/>
  <c r="J229" i="5"/>
  <c r="L229" i="5" s="1"/>
  <c r="F229" i="5"/>
  <c r="D229" i="5"/>
  <c r="H229" i="5" s="1"/>
  <c r="C229" i="5"/>
  <c r="I236" i="5"/>
  <c r="E236" i="5"/>
  <c r="J216" i="5"/>
  <c r="F216" i="5"/>
  <c r="D216" i="5"/>
  <c r="H216" i="5" s="1"/>
  <c r="C216" i="5"/>
  <c r="E228" i="5"/>
  <c r="I185" i="5"/>
  <c r="E185" i="5"/>
  <c r="I135" i="5"/>
  <c r="I132" i="5"/>
  <c r="E135" i="5"/>
  <c r="I121" i="5"/>
  <c r="I123" i="5"/>
  <c r="E123" i="5"/>
  <c r="D120" i="5"/>
  <c r="C120" i="5"/>
  <c r="E121" i="5"/>
  <c r="I104" i="5"/>
  <c r="E104" i="5"/>
  <c r="I90" i="5"/>
  <c r="E96" i="5"/>
  <c r="E90" i="5"/>
  <c r="I53" i="5"/>
  <c r="I52" i="5"/>
  <c r="E53" i="5"/>
  <c r="E52" i="5"/>
  <c r="E20" i="5"/>
  <c r="I361" i="5"/>
  <c r="I335" i="5"/>
  <c r="E361" i="5"/>
  <c r="I305" i="5"/>
  <c r="I281" i="5"/>
  <c r="I280" i="5"/>
  <c r="I279" i="5"/>
  <c r="I270" i="5"/>
  <c r="I261" i="5"/>
  <c r="I258" i="5"/>
  <c r="I103" i="5"/>
  <c r="I73" i="5"/>
  <c r="I60" i="5"/>
  <c r="I57" i="5"/>
  <c r="E305" i="5"/>
  <c r="E300" i="5" s="1"/>
  <c r="E281" i="5"/>
  <c r="E280" i="5"/>
  <c r="E279" i="5"/>
  <c r="E270" i="5"/>
  <c r="E258" i="5"/>
  <c r="E157" i="5"/>
  <c r="E139" i="5"/>
  <c r="E103" i="5"/>
  <c r="E73" i="5"/>
  <c r="E60" i="5"/>
  <c r="E57" i="5"/>
  <c r="I377" i="5"/>
  <c r="E377" i="5"/>
  <c r="J278" i="5"/>
  <c r="I224" i="5"/>
  <c r="E224" i="5"/>
  <c r="I343" i="5"/>
  <c r="E343" i="5"/>
  <c r="F342" i="5"/>
  <c r="C342" i="5"/>
  <c r="D342" i="5"/>
  <c r="L342" i="5" s="1"/>
  <c r="E24" i="5"/>
  <c r="I24" i="5"/>
  <c r="J14" i="5"/>
  <c r="F14" i="5"/>
  <c r="C14" i="5"/>
  <c r="D14" i="5"/>
  <c r="H14" i="5" s="1"/>
  <c r="D267" i="5"/>
  <c r="H267" i="5" s="1"/>
  <c r="I180" i="5"/>
  <c r="I100" i="5"/>
  <c r="I97" i="5"/>
  <c r="I85" i="5"/>
  <c r="I80" i="5"/>
  <c r="I79" i="5"/>
  <c r="I22" i="5"/>
  <c r="I14" i="5" s="1"/>
  <c r="E195" i="5"/>
  <c r="I410" i="5"/>
  <c r="E410" i="5"/>
  <c r="J408" i="5"/>
  <c r="D408" i="5"/>
  <c r="L408" i="5" s="1"/>
  <c r="F408" i="5"/>
  <c r="H408" i="5"/>
  <c r="C408" i="5"/>
  <c r="I404" i="5"/>
  <c r="I403" i="5"/>
  <c r="E404" i="5"/>
  <c r="E403" i="5"/>
  <c r="E396" i="5"/>
  <c r="E395" i="5"/>
  <c r="I365" i="5"/>
  <c r="E365" i="5"/>
  <c r="I360" i="5"/>
  <c r="E360" i="5"/>
  <c r="I350" i="5"/>
  <c r="E350" i="5"/>
  <c r="E344" i="5"/>
  <c r="I344" i="5"/>
  <c r="E337" i="5"/>
  <c r="I310" i="5"/>
  <c r="E310" i="5"/>
  <c r="I290" i="5"/>
  <c r="I294" i="5"/>
  <c r="E290" i="5"/>
  <c r="E294" i="5"/>
  <c r="D278" i="5"/>
  <c r="L278" i="5"/>
  <c r="F278" i="5"/>
  <c r="C278" i="5"/>
  <c r="I274" i="5"/>
  <c r="I272" i="5"/>
  <c r="E274" i="5"/>
  <c r="E272" i="5"/>
  <c r="E269" i="5"/>
  <c r="E265" i="5"/>
  <c r="E264" i="5"/>
  <c r="E263" i="5"/>
  <c r="E257" i="5"/>
  <c r="I256" i="5"/>
  <c r="I265" i="5"/>
  <c r="I264" i="5"/>
  <c r="E246" i="5"/>
  <c r="E237" i="5"/>
  <c r="E239" i="5"/>
  <c r="E240" i="5"/>
  <c r="E241" i="5"/>
  <c r="E232" i="5"/>
  <c r="E233" i="5"/>
  <c r="E234" i="5"/>
  <c r="I241" i="5"/>
  <c r="I240" i="5"/>
  <c r="I239" i="5"/>
  <c r="I234" i="5"/>
  <c r="I233" i="5"/>
  <c r="I207" i="5"/>
  <c r="I208" i="5"/>
  <c r="I215" i="5"/>
  <c r="E207" i="5"/>
  <c r="E208" i="5"/>
  <c r="E215" i="5"/>
  <c r="D205" i="5"/>
  <c r="F205" i="5"/>
  <c r="H205" i="5" s="1"/>
  <c r="C205" i="5"/>
  <c r="E203" i="5"/>
  <c r="E200" i="5"/>
  <c r="I200" i="5"/>
  <c r="I194" i="5"/>
  <c r="E194" i="5"/>
  <c r="E190" i="5"/>
  <c r="E183" i="5"/>
  <c r="I177" i="5"/>
  <c r="E180" i="5"/>
  <c r="E179" i="5"/>
  <c r="E178" i="5"/>
  <c r="E177" i="5"/>
  <c r="I157" i="5"/>
  <c r="I139" i="5"/>
  <c r="J87" i="5"/>
  <c r="D87" i="5"/>
  <c r="F87" i="5"/>
  <c r="H87" i="5" s="1"/>
  <c r="C87" i="5"/>
  <c r="I126" i="5"/>
  <c r="I129" i="5"/>
  <c r="I118" i="5"/>
  <c r="I119" i="5"/>
  <c r="E126" i="5"/>
  <c r="E129" i="5"/>
  <c r="E112" i="5"/>
  <c r="E118" i="5"/>
  <c r="E119" i="5"/>
  <c r="E91" i="5"/>
  <c r="E97" i="5"/>
  <c r="E100" i="5"/>
  <c r="E85" i="5"/>
  <c r="E80" i="5"/>
  <c r="E79" i="5"/>
  <c r="E105" i="5"/>
  <c r="I47" i="5"/>
  <c r="I44" i="5"/>
  <c r="E62" i="5"/>
  <c r="E51" i="5"/>
  <c r="E47" i="5"/>
  <c r="E44" i="5"/>
  <c r="J368" i="5"/>
  <c r="I396" i="5"/>
  <c r="I395" i="5"/>
  <c r="J395" i="5"/>
  <c r="F395" i="5"/>
  <c r="D395" i="5"/>
  <c r="C395" i="5"/>
  <c r="A167" i="5"/>
  <c r="A327" i="5"/>
  <c r="L168" i="5"/>
  <c r="L328" i="5" s="1"/>
  <c r="J413" i="5"/>
  <c r="D413" i="5"/>
  <c r="L413" i="5" s="1"/>
  <c r="C413" i="5"/>
  <c r="J397" i="5"/>
  <c r="L397" i="5" s="1"/>
  <c r="F397" i="5"/>
  <c r="D397" i="5"/>
  <c r="H397" i="5" s="1"/>
  <c r="C397" i="5"/>
  <c r="J393" i="5"/>
  <c r="L393" i="5" s="1"/>
  <c r="F393" i="5"/>
  <c r="D393" i="5"/>
  <c r="C393" i="5"/>
  <c r="F368" i="5"/>
  <c r="D368" i="5"/>
  <c r="C368" i="5"/>
  <c r="J366" i="5"/>
  <c r="L366" i="5" s="1"/>
  <c r="F366" i="5"/>
  <c r="D366" i="5"/>
  <c r="C366" i="5"/>
  <c r="J362" i="5"/>
  <c r="F362" i="5"/>
  <c r="D362" i="5"/>
  <c r="H362" i="5" s="1"/>
  <c r="C362" i="5"/>
  <c r="J356" i="5"/>
  <c r="F356" i="5"/>
  <c r="D356" i="5"/>
  <c r="L356" i="5" s="1"/>
  <c r="C356" i="5"/>
  <c r="J339" i="5"/>
  <c r="F339" i="5"/>
  <c r="C339" i="5"/>
  <c r="I337" i="5"/>
  <c r="J306" i="5"/>
  <c r="L306" i="5" s="1"/>
  <c r="F306" i="5"/>
  <c r="D306" i="5"/>
  <c r="C306" i="5"/>
  <c r="J300" i="5"/>
  <c r="L300" i="5" s="1"/>
  <c r="F300" i="5"/>
  <c r="D300" i="5"/>
  <c r="C300" i="5"/>
  <c r="J287" i="5"/>
  <c r="L287" i="5" s="1"/>
  <c r="F287" i="5"/>
  <c r="D287" i="5"/>
  <c r="C287" i="5"/>
  <c r="I269" i="5"/>
  <c r="J267" i="5"/>
  <c r="F267" i="5"/>
  <c r="C267" i="5"/>
  <c r="I263" i="5"/>
  <c r="I257" i="5"/>
  <c r="J248" i="5"/>
  <c r="F248" i="5"/>
  <c r="D248" i="5"/>
  <c r="C248" i="5"/>
  <c r="I246" i="5"/>
  <c r="I237" i="5"/>
  <c r="I232" i="5"/>
  <c r="J205" i="5"/>
  <c r="L205" i="5" s="1"/>
  <c r="I203" i="5"/>
  <c r="I195" i="5"/>
  <c r="J192" i="5"/>
  <c r="F192" i="5"/>
  <c r="D192" i="5"/>
  <c r="H192" i="5" s="1"/>
  <c r="C192" i="5"/>
  <c r="I190" i="5"/>
  <c r="I179" i="5"/>
  <c r="I178" i="5"/>
  <c r="J153" i="5"/>
  <c r="F153" i="5"/>
  <c r="D153" i="5"/>
  <c r="L153" i="5" s="1"/>
  <c r="C153" i="5"/>
  <c r="I112" i="5"/>
  <c r="J108" i="5"/>
  <c r="F108" i="5"/>
  <c r="H108" i="5" s="1"/>
  <c r="D108" i="5"/>
  <c r="C108" i="5"/>
  <c r="I105" i="5"/>
  <c r="I62" i="5"/>
  <c r="I51" i="5"/>
  <c r="J35" i="5"/>
  <c r="F35" i="5"/>
  <c r="D35" i="5"/>
  <c r="C35" i="5"/>
  <c r="J29" i="5"/>
  <c r="F29" i="5"/>
  <c r="H29" i="5" s="1"/>
  <c r="D29" i="5"/>
  <c r="C29" i="5"/>
  <c r="I362" i="5"/>
  <c r="I423" i="5"/>
  <c r="L423" i="5"/>
  <c r="J421" i="5"/>
  <c r="I422" i="5"/>
  <c r="L422" i="5"/>
  <c r="I428" i="5"/>
  <c r="I339" i="5"/>
  <c r="L421" i="5"/>
  <c r="E334" i="5"/>
  <c r="E278" i="5"/>
  <c r="E390" i="5"/>
  <c r="L383" i="5"/>
  <c r="I278" i="5"/>
  <c r="E424" i="5"/>
  <c r="I383" i="5"/>
  <c r="L395" i="5"/>
  <c r="E368" i="5"/>
  <c r="E356" i="5"/>
  <c r="H282" i="5"/>
  <c r="E153" i="5"/>
  <c r="I198" i="5"/>
  <c r="E386" i="5"/>
  <c r="E415" i="5"/>
  <c r="H431" i="5"/>
  <c r="C13" i="5"/>
  <c r="H421" i="5"/>
  <c r="H366" i="5"/>
  <c r="I356" i="5"/>
  <c r="H393" i="5"/>
  <c r="H278" i="5"/>
  <c r="L368" i="5"/>
  <c r="H399" i="5"/>
  <c r="I173" i="5"/>
  <c r="E362" i="5"/>
  <c r="I368" i="5"/>
  <c r="H356" i="5"/>
  <c r="L372" i="5"/>
  <c r="E342" i="5"/>
  <c r="I408" i="5"/>
  <c r="H368" i="5"/>
  <c r="L362" i="5"/>
  <c r="H342" i="5"/>
  <c r="H312" i="5"/>
  <c r="I300" i="5"/>
  <c r="I229" i="5"/>
  <c r="I216" i="5"/>
  <c r="E205" i="5"/>
  <c r="E192" i="5"/>
  <c r="E173" i="5"/>
  <c r="H130" i="5"/>
  <c r="L120" i="5"/>
  <c r="I120" i="5"/>
  <c r="H101" i="5"/>
  <c r="I101" i="5"/>
  <c r="I63" i="5"/>
  <c r="L29" i="5"/>
  <c r="L415" i="5"/>
  <c r="H415" i="5"/>
  <c r="L348" i="5"/>
  <c r="H348" i="5"/>
  <c r="L334" i="5"/>
  <c r="H334" i="5"/>
  <c r="H300" i="5"/>
  <c r="H198" i="5"/>
  <c r="L183" i="5"/>
  <c r="H63" i="5"/>
  <c r="L428" i="5" l="1"/>
  <c r="L424" i="5"/>
  <c r="L418" i="5"/>
  <c r="H413" i="5"/>
  <c r="D333" i="5"/>
  <c r="D316" i="5" s="1"/>
  <c r="I399" i="5"/>
  <c r="H395" i="5"/>
  <c r="L390" i="5"/>
  <c r="I386" i="5"/>
  <c r="F333" i="5"/>
  <c r="F316" i="5" s="1"/>
  <c r="I348" i="5"/>
  <c r="E333" i="5"/>
  <c r="E316" i="5" s="1"/>
  <c r="H339" i="5"/>
  <c r="I306" i="5"/>
  <c r="H306" i="5"/>
  <c r="I287" i="5"/>
  <c r="E287" i="5"/>
  <c r="H287" i="5"/>
  <c r="I267" i="5"/>
  <c r="L267" i="5"/>
  <c r="I252" i="5"/>
  <c r="H252" i="5"/>
  <c r="L252" i="5"/>
  <c r="H248" i="5"/>
  <c r="L248" i="5"/>
  <c r="L216" i="5"/>
  <c r="L192" i="5"/>
  <c r="H173" i="5"/>
  <c r="L173" i="5"/>
  <c r="H153" i="5"/>
  <c r="E130" i="5"/>
  <c r="L130" i="5"/>
  <c r="L108" i="5"/>
  <c r="L101" i="5"/>
  <c r="L87" i="5"/>
  <c r="E35" i="5"/>
  <c r="H35" i="5"/>
  <c r="J333" i="5"/>
  <c r="L339" i="5"/>
  <c r="J13" i="5"/>
  <c r="I35" i="5"/>
  <c r="I13" i="5" s="1"/>
  <c r="L35" i="5"/>
  <c r="F13" i="5"/>
  <c r="E13" i="5"/>
  <c r="H25" i="5"/>
  <c r="L25" i="5"/>
  <c r="D13" i="5"/>
  <c r="L14" i="5"/>
  <c r="D317" i="5" l="1"/>
  <c r="L333" i="5"/>
  <c r="H316" i="5"/>
  <c r="H333" i="5"/>
  <c r="F317" i="5"/>
  <c r="G116" i="5" s="1"/>
  <c r="E317" i="5"/>
  <c r="J316" i="5"/>
  <c r="L316" i="5" s="1"/>
  <c r="G199" i="5"/>
  <c r="G140" i="5"/>
  <c r="G111" i="5"/>
  <c r="G51" i="5"/>
  <c r="G296" i="5"/>
  <c r="G122" i="5"/>
  <c r="G255" i="5"/>
  <c r="G153" i="5"/>
  <c r="G288" i="5"/>
  <c r="G13" i="5"/>
  <c r="L13" i="5"/>
  <c r="H13" i="5"/>
  <c r="G96" i="5" l="1"/>
  <c r="H317" i="5"/>
  <c r="G272" i="5"/>
  <c r="G179" i="5"/>
  <c r="G351" i="5"/>
  <c r="G280" i="5"/>
  <c r="G403" i="5"/>
  <c r="G230" i="5"/>
  <c r="G264" i="5"/>
  <c r="G126" i="5"/>
  <c r="G47" i="5"/>
  <c r="G408" i="5"/>
  <c r="G298" i="5"/>
  <c r="G274" i="5"/>
  <c r="G258" i="5"/>
  <c r="G143" i="5"/>
  <c r="G206" i="5"/>
  <c r="G205" i="5"/>
  <c r="G417" i="5"/>
  <c r="G347" i="5"/>
  <c r="G82" i="5"/>
  <c r="G357" i="5"/>
  <c r="G20" i="5"/>
  <c r="G352" i="5"/>
  <c r="G300" i="5"/>
  <c r="G307" i="5"/>
  <c r="G94" i="5"/>
  <c r="G414" i="5"/>
  <c r="G34" i="5"/>
  <c r="G217" i="5"/>
  <c r="G194" i="5"/>
  <c r="G370" i="5"/>
  <c r="G132" i="5"/>
  <c r="G38" i="5"/>
  <c r="G380" i="5"/>
  <c r="G14" i="5"/>
  <c r="G398" i="5"/>
  <c r="G191" i="5"/>
  <c r="G187" i="5"/>
  <c r="G302" i="5"/>
  <c r="G149" i="5"/>
  <c r="G254" i="5"/>
  <c r="G182" i="5"/>
  <c r="G348" i="5"/>
  <c r="G430" i="5"/>
  <c r="G144" i="5"/>
  <c r="G73" i="5"/>
  <c r="G388" i="5"/>
  <c r="G427" i="5"/>
  <c r="G281" i="5"/>
  <c r="G55" i="5"/>
  <c r="G387" i="5"/>
  <c r="G316" i="5"/>
  <c r="G317" i="5" s="1"/>
  <c r="G156" i="5"/>
  <c r="G173" i="5"/>
  <c r="G33" i="5"/>
  <c r="G413" i="5"/>
  <c r="G369" i="5"/>
  <c r="G39" i="5"/>
  <c r="G81" i="5"/>
  <c r="G420" i="5"/>
  <c r="G64" i="5"/>
  <c r="G209" i="5"/>
  <c r="G377" i="5"/>
  <c r="G343" i="5"/>
  <c r="G344" i="5"/>
  <c r="G123" i="5"/>
  <c r="G246" i="5"/>
  <c r="G53" i="5"/>
  <c r="G90" i="5"/>
  <c r="G248" i="5"/>
  <c r="G62" i="5"/>
  <c r="G40" i="5"/>
  <c r="G105" i="5"/>
  <c r="G109" i="5"/>
  <c r="G424" i="5"/>
  <c r="G233" i="5"/>
  <c r="G355" i="5"/>
  <c r="G74" i="5"/>
  <c r="G237" i="5"/>
  <c r="G195" i="5"/>
  <c r="G43" i="5"/>
  <c r="G190" i="5"/>
  <c r="G386" i="5"/>
  <c r="G103" i="5"/>
  <c r="G379" i="5"/>
  <c r="G397" i="5"/>
  <c r="G350" i="5"/>
  <c r="G137" i="5"/>
  <c r="G356" i="5"/>
  <c r="G361" i="5"/>
  <c r="G378" i="5"/>
  <c r="G368" i="5"/>
  <c r="G425" i="5"/>
  <c r="G261" i="5"/>
  <c r="G110" i="5"/>
  <c r="G333" i="5"/>
  <c r="G389" i="5"/>
  <c r="G92" i="5"/>
  <c r="G392" i="5"/>
  <c r="G228" i="5"/>
  <c r="G67" i="5"/>
  <c r="G276" i="5"/>
  <c r="G346" i="5"/>
  <c r="G210" i="5"/>
  <c r="G26" i="5"/>
  <c r="G306" i="5"/>
  <c r="G141" i="5"/>
  <c r="G68" i="5"/>
  <c r="G373" i="5"/>
  <c r="G118" i="5"/>
  <c r="G337" i="5"/>
  <c r="G46" i="5"/>
  <c r="G354" i="5"/>
  <c r="G250" i="5"/>
  <c r="G393" i="5"/>
  <c r="G93" i="5"/>
  <c r="G241" i="5"/>
  <c r="G52" i="5"/>
  <c r="G362" i="5"/>
  <c r="G29" i="5"/>
  <c r="G112" i="5"/>
  <c r="G294" i="5"/>
  <c r="G98" i="5"/>
  <c r="G147" i="5"/>
  <c r="G155" i="5"/>
  <c r="G176" i="5"/>
  <c r="G66" i="5"/>
  <c r="G342" i="5"/>
  <c r="G151" i="5"/>
  <c r="G104" i="5"/>
  <c r="G334" i="5"/>
  <c r="G183" i="5"/>
  <c r="G365" i="5"/>
  <c r="G409" i="5"/>
  <c r="G309" i="5"/>
  <c r="G213" i="5"/>
  <c r="G283" i="5"/>
  <c r="G84" i="5"/>
  <c r="G229" i="5"/>
  <c r="G418" i="5"/>
  <c r="G35" i="5"/>
  <c r="G212" i="5"/>
  <c r="G21" i="5"/>
  <c r="G282" i="5"/>
  <c r="G411" i="5"/>
  <c r="G384" i="5"/>
  <c r="G192" i="5"/>
  <c r="G138" i="5"/>
  <c r="G48" i="5"/>
  <c r="G226" i="5"/>
  <c r="G37" i="5"/>
  <c r="G178" i="5"/>
  <c r="G129" i="5"/>
  <c r="G145" i="5"/>
  <c r="G419" i="5"/>
  <c r="G239" i="5"/>
  <c r="G345" i="5"/>
  <c r="G249" i="5"/>
  <c r="G405" i="5"/>
  <c r="G197" i="5"/>
  <c r="G133" i="5"/>
  <c r="G186" i="5"/>
  <c r="G291" i="5"/>
  <c r="G70" i="5"/>
  <c r="G83" i="5"/>
  <c r="G223" i="5"/>
  <c r="G415" i="5"/>
  <c r="G131" i="5"/>
  <c r="G375" i="5"/>
  <c r="G367" i="5"/>
  <c r="G108" i="5"/>
  <c r="G88" i="5"/>
  <c r="G196" i="5"/>
  <c r="G63" i="5"/>
  <c r="G218" i="5"/>
  <c r="G406" i="5"/>
  <c r="G235" i="5"/>
  <c r="G234" i="5"/>
  <c r="G308" i="5"/>
  <c r="G124" i="5"/>
  <c r="G27" i="5"/>
  <c r="G107" i="5"/>
  <c r="G50" i="5"/>
  <c r="G193" i="5"/>
  <c r="G91" i="5"/>
  <c r="G303" i="5"/>
  <c r="G204" i="5"/>
  <c r="G148" i="5"/>
  <c r="G202" i="5"/>
  <c r="G251" i="5"/>
  <c r="G201" i="5"/>
  <c r="G101" i="5"/>
  <c r="G244" i="5"/>
  <c r="G426" i="5"/>
  <c r="G289" i="5"/>
  <c r="G401" i="5"/>
  <c r="G382" i="5"/>
  <c r="G203" i="5"/>
  <c r="G238" i="5"/>
  <c r="G268" i="5"/>
  <c r="G253" i="5"/>
  <c r="G278" i="5"/>
  <c r="G432" i="5"/>
  <c r="G219" i="5"/>
  <c r="G366" i="5"/>
  <c r="G86" i="5"/>
  <c r="G119" i="5"/>
  <c r="G28" i="5"/>
  <c r="G207" i="5"/>
  <c r="G364" i="5"/>
  <c r="G115" i="5"/>
  <c r="G198" i="5"/>
  <c r="G421" i="5"/>
  <c r="I421" i="5" s="1"/>
  <c r="I333" i="5" s="1"/>
  <c r="I316" i="5" s="1"/>
  <c r="I317" i="5" s="1"/>
  <c r="G402" i="5"/>
  <c r="G410" i="5"/>
  <c r="G31" i="5"/>
  <c r="G336" i="5"/>
  <c r="G376" i="5"/>
  <c r="G80" i="5"/>
  <c r="G44" i="5"/>
  <c r="G358" i="5"/>
  <c r="G150" i="5"/>
  <c r="G395" i="5"/>
  <c r="G71" i="5"/>
  <c r="G78" i="5"/>
  <c r="G130" i="5"/>
  <c r="G265" i="5"/>
  <c r="G97" i="5"/>
  <c r="G292" i="5"/>
  <c r="G284" i="5"/>
  <c r="G45" i="5"/>
  <c r="G349" i="5"/>
  <c r="G236" i="5"/>
  <c r="G59" i="5"/>
  <c r="G142" i="5"/>
  <c r="G87" i="5"/>
  <c r="G372" i="5"/>
  <c r="G404" i="5"/>
  <c r="G75" i="5"/>
  <c r="G134" i="5"/>
  <c r="G17" i="5"/>
  <c r="G371" i="5"/>
  <c r="G224" i="5"/>
  <c r="G69" i="5"/>
  <c r="G277" i="5"/>
  <c r="G175" i="5"/>
  <c r="G60" i="5"/>
  <c r="G185" i="5"/>
  <c r="G157" i="5"/>
  <c r="G297" i="5"/>
  <c r="G269" i="5"/>
  <c r="G416" i="5"/>
  <c r="G136" i="5"/>
  <c r="G99" i="5"/>
  <c r="G41" i="5"/>
  <c r="G263" i="5"/>
  <c r="G184" i="5"/>
  <c r="G120" i="5"/>
  <c r="G299" i="5"/>
  <c r="G106" i="5"/>
  <c r="G293" i="5"/>
  <c r="G18" i="5"/>
  <c r="G339" i="5"/>
  <c r="G363" i="5"/>
  <c r="G428" i="5"/>
  <c r="G146" i="5"/>
  <c r="G216" i="5"/>
  <c r="G128" i="5"/>
  <c r="G227" i="5"/>
  <c r="G36" i="5"/>
  <c r="G247" i="5"/>
  <c r="G267" i="5"/>
  <c r="G72" i="5"/>
  <c r="G353" i="5"/>
  <c r="G85" i="5"/>
  <c r="G243" i="5"/>
  <c r="G270" i="5"/>
  <c r="G114" i="5"/>
  <c r="G279" i="5"/>
  <c r="G121" i="5"/>
  <c r="G259" i="5"/>
  <c r="G335" i="5"/>
  <c r="G374" i="5"/>
  <c r="G61" i="5"/>
  <c r="G304" i="5"/>
  <c r="G287" i="5"/>
  <c r="G407" i="5"/>
  <c r="G310" i="5"/>
  <c r="G180" i="5"/>
  <c r="G154" i="5"/>
  <c r="G181" i="5"/>
  <c r="G221" i="5"/>
  <c r="G394" i="5"/>
  <c r="G211" i="5"/>
  <c r="G266" i="5"/>
  <c r="G19" i="5"/>
  <c r="G431" i="5"/>
  <c r="G433" i="5"/>
  <c r="G214" i="5"/>
  <c r="G295" i="5"/>
  <c r="G422" i="5"/>
  <c r="G77" i="5"/>
  <c r="G225" i="5"/>
  <c r="G240" i="5"/>
  <c r="G42" i="5"/>
  <c r="G399" i="5"/>
  <c r="G139" i="5"/>
  <c r="G113" i="5"/>
  <c r="G23" i="5"/>
  <c r="G429" i="5"/>
  <c r="G260" i="5"/>
  <c r="G32" i="5"/>
  <c r="G400" i="5"/>
  <c r="G423" i="5"/>
  <c r="G57" i="5"/>
  <c r="G89" i="5"/>
  <c r="G311" i="5"/>
  <c r="G390" i="5"/>
  <c r="G15" i="5"/>
  <c r="G383" i="5"/>
  <c r="G189" i="5"/>
  <c r="G135" i="5"/>
  <c r="G222" i="5"/>
  <c r="G208" i="5"/>
  <c r="G65" i="5"/>
  <c r="G231" i="5"/>
  <c r="G273" i="5"/>
  <c r="G340" i="5"/>
  <c r="G271" i="5"/>
  <c r="G49" i="5"/>
  <c r="G16" i="5"/>
  <c r="G391" i="5"/>
  <c r="G286" i="5"/>
  <c r="G30" i="5"/>
  <c r="G275" i="5"/>
  <c r="G188" i="5"/>
  <c r="G200" i="5"/>
  <c r="G24" i="5"/>
  <c r="G305" i="5"/>
  <c r="G58" i="5"/>
  <c r="G301" i="5"/>
  <c r="G360" i="5"/>
  <c r="G54" i="5"/>
  <c r="G56" i="5"/>
  <c r="G412" i="5"/>
  <c r="G256" i="5"/>
  <c r="G290" i="5"/>
  <c r="G215" i="5"/>
  <c r="G245" i="5"/>
  <c r="G385" i="5"/>
  <c r="G22" i="5"/>
  <c r="G117" i="5"/>
  <c r="G396" i="5"/>
  <c r="G338" i="5"/>
  <c r="G220" i="5"/>
  <c r="G252" i="5"/>
  <c r="G285" i="5"/>
  <c r="G262" i="5"/>
  <c r="G242" i="5"/>
  <c r="G152" i="5"/>
  <c r="G381" i="5"/>
  <c r="G125" i="5"/>
  <c r="G232" i="5"/>
  <c r="G341" i="5"/>
  <c r="G95" i="5"/>
  <c r="G100" i="5"/>
  <c r="G177" i="5"/>
  <c r="G127" i="5"/>
  <c r="G76" i="5"/>
  <c r="G79" i="5"/>
  <c r="G102" i="5"/>
  <c r="G257" i="5"/>
  <c r="G359" i="5"/>
  <c r="G25" i="5"/>
  <c r="L317" i="5"/>
  <c r="J317" i="5"/>
  <c r="K334" i="5" s="1"/>
  <c r="K175" i="5" l="1"/>
  <c r="K346" i="5"/>
  <c r="K56" i="5"/>
  <c r="K377" i="5"/>
  <c r="K418" i="5"/>
  <c r="K143" i="5"/>
  <c r="K140" i="5"/>
  <c r="K25" i="5"/>
  <c r="K413" i="5"/>
  <c r="K296" i="5"/>
  <c r="K145" i="5"/>
  <c r="K176" i="5"/>
  <c r="K239" i="5"/>
  <c r="K191" i="5"/>
  <c r="K268" i="5"/>
  <c r="K222" i="5"/>
  <c r="K81" i="5"/>
  <c r="K76" i="5"/>
  <c r="K117" i="5"/>
  <c r="K234" i="5"/>
  <c r="K353" i="5"/>
  <c r="K72" i="5"/>
  <c r="K192" i="5"/>
  <c r="K30" i="5"/>
  <c r="K238" i="5"/>
  <c r="K201" i="5"/>
  <c r="K85" i="5"/>
  <c r="K385" i="5"/>
  <c r="K373" i="5"/>
  <c r="K114" i="5"/>
  <c r="K278" i="5"/>
  <c r="K215" i="5"/>
  <c r="K252" i="5"/>
  <c r="K339" i="5"/>
  <c r="K262" i="5"/>
  <c r="K250" i="5"/>
  <c r="K430" i="5"/>
  <c r="K95" i="5"/>
  <c r="K364" i="5"/>
  <c r="K183" i="5"/>
  <c r="K92" i="5"/>
  <c r="K396" i="5"/>
  <c r="K66" i="5"/>
  <c r="K316" i="5"/>
  <c r="K427" i="5"/>
  <c r="K127" i="5"/>
  <c r="K59" i="5"/>
  <c r="K349" i="5"/>
  <c r="K73" i="5"/>
  <c r="K137" i="5"/>
  <c r="K285" i="5"/>
  <c r="K432" i="5"/>
  <c r="K205" i="5"/>
  <c r="K259" i="5"/>
  <c r="K344" i="5"/>
  <c r="K16" i="5"/>
  <c r="K389" i="5"/>
  <c r="K299" i="5"/>
  <c r="K153" i="5"/>
  <c r="K231" i="5"/>
  <c r="K398" i="5"/>
  <c r="K407" i="5"/>
  <c r="K403" i="5"/>
  <c r="K142" i="5"/>
  <c r="K136" i="5"/>
  <c r="K37" i="5"/>
  <c r="K185" i="5"/>
  <c r="K97" i="5"/>
  <c r="K350" i="5"/>
  <c r="K157" i="5"/>
  <c r="K400" i="5"/>
  <c r="K219" i="5"/>
  <c r="K276" i="5"/>
  <c r="K182" i="5"/>
  <c r="K235" i="5"/>
  <c r="K211" i="5"/>
  <c r="K96" i="5"/>
  <c r="K63" i="5"/>
  <c r="K100" i="5"/>
  <c r="K87" i="5"/>
  <c r="K71" i="5"/>
  <c r="K74" i="5"/>
  <c r="K371" i="5"/>
  <c r="K249" i="5"/>
  <c r="K86" i="5"/>
  <c r="K148" i="5"/>
  <c r="K263" i="5"/>
  <c r="K144" i="5"/>
  <c r="K129" i="5"/>
  <c r="K342" i="5"/>
  <c r="K242" i="5"/>
  <c r="K179" i="5"/>
  <c r="K351" i="5"/>
  <c r="K210" i="5"/>
  <c r="K297" i="5"/>
  <c r="K356" i="5"/>
  <c r="K39" i="5"/>
  <c r="K79" i="5"/>
  <c r="K338" i="5"/>
  <c r="K415" i="5"/>
  <c r="K178" i="5"/>
  <c r="K226" i="5"/>
  <c r="K181" i="5"/>
  <c r="K282" i="5"/>
  <c r="K361" i="5"/>
  <c r="K128" i="5"/>
  <c r="K370" i="5"/>
  <c r="K392" i="5"/>
  <c r="K50" i="5"/>
  <c r="K287" i="5"/>
  <c r="K264" i="5"/>
  <c r="K31" i="5"/>
  <c r="K42" i="5"/>
  <c r="K133" i="5"/>
  <c r="K354" i="5"/>
  <c r="K125" i="5"/>
  <c r="K368" i="5"/>
  <c r="K32" i="5"/>
  <c r="K154" i="5"/>
  <c r="K57" i="5"/>
  <c r="K189" i="5"/>
  <c r="K138" i="5"/>
  <c r="K130" i="5"/>
  <c r="K387" i="5"/>
  <c r="K348" i="5"/>
  <c r="K227" i="5"/>
  <c r="K408" i="5"/>
  <c r="K84" i="5"/>
  <c r="K359" i="5"/>
  <c r="K244" i="5"/>
  <c r="K412" i="5"/>
  <c r="K255" i="5"/>
  <c r="K271" i="5"/>
  <c r="K17" i="5"/>
  <c r="K53" i="5"/>
  <c r="K75" i="5"/>
  <c r="K232" i="5"/>
  <c r="K105" i="5"/>
  <c r="K295" i="5"/>
  <c r="K106" i="5"/>
  <c r="K200" i="5"/>
  <c r="K115" i="5"/>
  <c r="K126" i="5"/>
  <c r="K410" i="5"/>
  <c r="K99" i="5"/>
  <c r="K27" i="5"/>
  <c r="K173" i="5"/>
  <c r="K416" i="5"/>
  <c r="K20" i="5"/>
  <c r="K90" i="5"/>
  <c r="K409" i="5"/>
  <c r="K111" i="5"/>
  <c r="K123" i="5"/>
  <c r="K417" i="5"/>
  <c r="K374" i="5"/>
  <c r="K209" i="5"/>
  <c r="K337" i="5"/>
  <c r="K110" i="5"/>
  <c r="K424" i="5"/>
  <c r="K257" i="5"/>
  <c r="K343" i="5"/>
  <c r="K422" i="5"/>
  <c r="K358" i="5"/>
  <c r="K433" i="5"/>
  <c r="K190" i="5"/>
  <c r="K290" i="5"/>
  <c r="K98" i="5"/>
  <c r="K198" i="5"/>
  <c r="K309" i="5"/>
  <c r="K310" i="5"/>
  <c r="K151" i="5"/>
  <c r="K51" i="5"/>
  <c r="K289" i="5"/>
  <c r="K394" i="5"/>
  <c r="K52" i="5"/>
  <c r="K35" i="5"/>
  <c r="K305" i="5"/>
  <c r="K195" i="5"/>
  <c r="K275" i="5"/>
  <c r="K193" i="5"/>
  <c r="K429" i="5"/>
  <c r="K82" i="5"/>
  <c r="K272" i="5"/>
  <c r="K260" i="5"/>
  <c r="K281" i="5"/>
  <c r="K43" i="5"/>
  <c r="K156" i="5"/>
  <c r="K36" i="5"/>
  <c r="K360" i="5"/>
  <c r="K102" i="5"/>
  <c r="K369" i="5"/>
  <c r="K237" i="5"/>
  <c r="K384" i="5"/>
  <c r="K104" i="5"/>
  <c r="K109" i="5"/>
  <c r="K363" i="5"/>
  <c r="K388" i="5"/>
  <c r="K26" i="5"/>
  <c r="K152" i="5"/>
  <c r="K48" i="5"/>
  <c r="K94" i="5"/>
  <c r="K335" i="5"/>
  <c r="K426" i="5"/>
  <c r="K288" i="5"/>
  <c r="K367" i="5"/>
  <c r="K225" i="5"/>
  <c r="K207" i="5"/>
  <c r="K33" i="5"/>
  <c r="K292" i="5"/>
  <c r="K121" i="5"/>
  <c r="K375" i="5"/>
  <c r="K119" i="5"/>
  <c r="K83" i="5"/>
  <c r="K247" i="5"/>
  <c r="K122" i="5"/>
  <c r="K45" i="5"/>
  <c r="K174" i="5"/>
  <c r="K196" i="5"/>
  <c r="K395" i="5"/>
  <c r="K301" i="5"/>
  <c r="K77" i="5"/>
  <c r="K420" i="5"/>
  <c r="K212" i="5"/>
  <c r="K78" i="5"/>
  <c r="K230" i="5"/>
  <c r="K177" i="5"/>
  <c r="K265" i="5"/>
  <c r="K241" i="5"/>
  <c r="K64" i="5"/>
  <c r="K279" i="5"/>
  <c r="K419" i="5"/>
  <c r="K267" i="5"/>
  <c r="K431" i="5"/>
  <c r="K46" i="5"/>
  <c r="K308" i="5"/>
  <c r="K246" i="5"/>
  <c r="K134" i="5"/>
  <c r="K274" i="5"/>
  <c r="K187" i="5"/>
  <c r="K28" i="5"/>
  <c r="K425" i="5"/>
  <c r="K277" i="5"/>
  <c r="K118" i="5"/>
  <c r="K44" i="5"/>
  <c r="K233" i="5"/>
  <c r="K251" i="5"/>
  <c r="K386" i="5"/>
  <c r="K261" i="5"/>
  <c r="K280" i="5"/>
  <c r="K341" i="5"/>
  <c r="K286" i="5"/>
  <c r="K69" i="5"/>
  <c r="K67" i="5"/>
  <c r="K340" i="5"/>
  <c r="K89" i="5"/>
  <c r="K397" i="5"/>
  <c r="K139" i="5"/>
  <c r="K68" i="5"/>
  <c r="K180" i="5"/>
  <c r="K306" i="5"/>
  <c r="K112" i="5"/>
  <c r="K273" i="5"/>
  <c r="K378" i="5"/>
  <c r="K229" i="5"/>
  <c r="K206" i="5"/>
  <c r="K298" i="5"/>
  <c r="K304" i="5"/>
  <c r="K300" i="5"/>
  <c r="K18" i="5"/>
  <c r="K22" i="5"/>
  <c r="K202" i="5"/>
  <c r="K15" i="5"/>
  <c r="K103" i="5"/>
  <c r="K362" i="5"/>
  <c r="K101" i="5"/>
  <c r="K188" i="5"/>
  <c r="K283" i="5"/>
  <c r="K208" i="5"/>
  <c r="K284" i="5"/>
  <c r="K270" i="5"/>
  <c r="K406" i="5"/>
  <c r="K383" i="5"/>
  <c r="K149" i="5"/>
  <c r="K24" i="5"/>
  <c r="K372" i="5"/>
  <c r="K236" i="5"/>
  <c r="K221" i="5"/>
  <c r="K146" i="5"/>
  <c r="K54" i="5"/>
  <c r="K423" i="5"/>
  <c r="K23" i="5"/>
  <c r="K65" i="5"/>
  <c r="K135" i="5"/>
  <c r="K120" i="5"/>
  <c r="K254" i="5"/>
  <c r="K214" i="5"/>
  <c r="K93" i="5"/>
  <c r="K382" i="5"/>
  <c r="K411" i="5"/>
  <c r="K258" i="5"/>
  <c r="K405" i="5"/>
  <c r="K355" i="5"/>
  <c r="K345" i="5"/>
  <c r="K393" i="5"/>
  <c r="K414" i="5"/>
  <c r="K291" i="5"/>
  <c r="K38" i="5"/>
  <c r="K428" i="5"/>
  <c r="K352" i="5"/>
  <c r="K357" i="5"/>
  <c r="K107" i="5"/>
  <c r="K399" i="5"/>
  <c r="K186" i="5"/>
  <c r="K91" i="5"/>
  <c r="K216" i="5"/>
  <c r="K243" i="5"/>
  <c r="K34" i="5"/>
  <c r="K218" i="5"/>
  <c r="K245" i="5"/>
  <c r="K61" i="5"/>
  <c r="K256" i="5"/>
  <c r="K347" i="5"/>
  <c r="K49" i="5"/>
  <c r="K116" i="5"/>
  <c r="K266" i="5"/>
  <c r="K40" i="5"/>
  <c r="K124" i="5"/>
  <c r="K132" i="5"/>
  <c r="K21" i="5"/>
  <c r="K224" i="5"/>
  <c r="K307" i="5"/>
  <c r="K294" i="5"/>
  <c r="K293" i="5"/>
  <c r="K404" i="5"/>
  <c r="K14" i="5"/>
  <c r="K376" i="5"/>
  <c r="K253" i="5"/>
  <c r="K29" i="5"/>
  <c r="K150" i="5"/>
  <c r="K391" i="5"/>
  <c r="K311" i="5"/>
  <c r="K381" i="5"/>
  <c r="K365" i="5"/>
  <c r="K269" i="5"/>
  <c r="K55" i="5"/>
  <c r="K379" i="5"/>
  <c r="K248" i="5"/>
  <c r="K217" i="5"/>
  <c r="K47" i="5"/>
  <c r="K366" i="5"/>
  <c r="K80" i="5"/>
  <c r="K220" i="5"/>
  <c r="K41" i="5"/>
  <c r="K88" i="5"/>
  <c r="K184" i="5"/>
  <c r="K203" i="5"/>
  <c r="K213" i="5"/>
  <c r="K197" i="5"/>
  <c r="K336" i="5"/>
  <c r="K194" i="5"/>
  <c r="K58" i="5"/>
  <c r="K155" i="5"/>
  <c r="K240" i="5"/>
  <c r="K421" i="5"/>
  <c r="K228" i="5"/>
  <c r="K141" i="5"/>
  <c r="K401" i="5"/>
  <c r="K19" i="5"/>
  <c r="K70" i="5"/>
  <c r="K131" i="5"/>
  <c r="K223" i="5"/>
  <c r="K108" i="5"/>
  <c r="K303" i="5"/>
  <c r="K13" i="5"/>
  <c r="K333" i="5"/>
  <c r="K302" i="5"/>
  <c r="K390" i="5"/>
  <c r="K113" i="5"/>
  <c r="K60" i="5"/>
  <c r="K62" i="5"/>
  <c r="K380" i="5"/>
  <c r="K147" i="5"/>
  <c r="K317" i="5" l="1"/>
</calcChain>
</file>

<file path=xl/sharedStrings.xml><?xml version="1.0" encoding="utf-8"?>
<sst xmlns="http://schemas.openxmlformats.org/spreadsheetml/2006/main" count="883" uniqueCount="291">
  <si>
    <t>GOVERNO DO ESTADO DO RIO DE JANEIRO</t>
  </si>
  <si>
    <t>RELATÓRIO RESUMIDO DA EXECUÇÃO ORÇAMENTÁRIA</t>
  </si>
  <si>
    <t>DEMONSTRATIVO DA EXECUÇÃO DAS DESPESAS POR FUNÇÃO/SUBFUNÇÃO</t>
  </si>
  <si>
    <t>ORÇAMENTOS FISCAL E DA SEGURIDADE SOCIAL</t>
  </si>
  <si>
    <t>RREO - Anexo 2 (LRF, Art 52, inciso II, alínea "c")</t>
  </si>
  <si>
    <t>DOTAÇÃO</t>
  </si>
  <si>
    <t>DESPESAS EMPENHADAS</t>
  </si>
  <si>
    <t>SALDO</t>
  </si>
  <si>
    <t>DESPESAS LIQUIDADAS</t>
  </si>
  <si>
    <t>COD</t>
  </si>
  <si>
    <t>FUNÇÃO/SUBFUNÇÃO</t>
  </si>
  <si>
    <t>INICIAL</t>
  </si>
  <si>
    <t>ATUALIZADA</t>
  </si>
  <si>
    <t>No Bimestre</t>
  </si>
  <si>
    <t>Até o Bimestre</t>
  </si>
  <si>
    <t>%</t>
  </si>
  <si>
    <t>(a)</t>
  </si>
  <si>
    <t>(b)</t>
  </si>
  <si>
    <t>(b/total b)</t>
  </si>
  <si>
    <t>(c) = (a - b)</t>
  </si>
  <si>
    <t>(d)</t>
  </si>
  <si>
    <t>(d/total d)</t>
  </si>
  <si>
    <t>(e) = (a - d)</t>
  </si>
  <si>
    <t>DESPESAS (EXCETO INTRA-ORÇAMENTÁRIAS) (I)</t>
  </si>
  <si>
    <t>01</t>
  </si>
  <si>
    <t>Legislativa</t>
  </si>
  <si>
    <t>031</t>
  </si>
  <si>
    <t>Ação Legislativa</t>
  </si>
  <si>
    <t>032</t>
  </si>
  <si>
    <t>Controle Externo</t>
  </si>
  <si>
    <t>122</t>
  </si>
  <si>
    <t>Administração Geral</t>
  </si>
  <si>
    <t>126</t>
  </si>
  <si>
    <t>Tecnologia da Informação</t>
  </si>
  <si>
    <t>128</t>
  </si>
  <si>
    <t>Formação de Recursos Humanos</t>
  </si>
  <si>
    <t>131</t>
  </si>
  <si>
    <t>Comunicação Social</t>
  </si>
  <si>
    <t>392</t>
  </si>
  <si>
    <t>Difusão Cultural</t>
  </si>
  <si>
    <t>422</t>
  </si>
  <si>
    <t>Direitos Individuais, Coletivos e Difusos</t>
  </si>
  <si>
    <t>542</t>
  </si>
  <si>
    <t>Controle Ambiental</t>
  </si>
  <si>
    <t>572</t>
  </si>
  <si>
    <t>Desenvolvimento Tecnológico e Engenharia</t>
  </si>
  <si>
    <t>02</t>
  </si>
  <si>
    <t>Judiciária</t>
  </si>
  <si>
    <t>061</t>
  </si>
  <si>
    <t>Ação Judiciária</t>
  </si>
  <si>
    <t>03</t>
  </si>
  <si>
    <t>Essencial à Justiça</t>
  </si>
  <si>
    <t>091</t>
  </si>
  <si>
    <t>Defesa da Ordem Jurídica</t>
  </si>
  <si>
    <t>092</t>
  </si>
  <si>
    <t>Representação Judicial e Extrajudicial</t>
  </si>
  <si>
    <t xml:space="preserve"> Tecnologia da Informação</t>
  </si>
  <si>
    <t>04</t>
  </si>
  <si>
    <t>Administração</t>
  </si>
  <si>
    <t>121</t>
  </si>
  <si>
    <t>Planejamento e Orçamento</t>
  </si>
  <si>
    <t>123</t>
  </si>
  <si>
    <t>Administração Financeira</t>
  </si>
  <si>
    <t>124</t>
  </si>
  <si>
    <t>Controle Interno</t>
  </si>
  <si>
    <t>125</t>
  </si>
  <si>
    <t>Normatização e Fiscalização</t>
  </si>
  <si>
    <t>127</t>
  </si>
  <si>
    <t>Ordenamento Territorial</t>
  </si>
  <si>
    <t>129</t>
  </si>
  <si>
    <t>Administração de Receitas</t>
  </si>
  <si>
    <t>130</t>
  </si>
  <si>
    <t>Administração de Concessões</t>
  </si>
  <si>
    <t>183</t>
  </si>
  <si>
    <t>Informação e Inteligência</t>
  </si>
  <si>
    <t>421</t>
  </si>
  <si>
    <t>Custódia e Reintegração Social</t>
  </si>
  <si>
    <t>451</t>
  </si>
  <si>
    <t>Infraestrutura Urbana</t>
  </si>
  <si>
    <t>453</t>
  </si>
  <si>
    <t>Transportes Coletivos Urbanos</t>
  </si>
  <si>
    <t>482</t>
  </si>
  <si>
    <t>Habitação Urbana</t>
  </si>
  <si>
    <t>512</t>
  </si>
  <si>
    <t>Saneamento Básico Urbano</t>
  </si>
  <si>
    <t>541</t>
  </si>
  <si>
    <t>Preservação e Conservação Ambiental</t>
  </si>
  <si>
    <t>571</t>
  </si>
  <si>
    <t>Desenvolvimento Científico</t>
  </si>
  <si>
    <t>573</t>
  </si>
  <si>
    <t>Difusão do Conhecimento Científico e Tecnológico</t>
  </si>
  <si>
    <t>661</t>
  </si>
  <si>
    <t>Promoção Industrial</t>
  </si>
  <si>
    <t>694</t>
  </si>
  <si>
    <t>Serviços Financeiros</t>
  </si>
  <si>
    <t>695</t>
  </si>
  <si>
    <t>Turismo</t>
  </si>
  <si>
    <t>783</t>
  </si>
  <si>
    <t>Transporte Ferroviário</t>
  </si>
  <si>
    <t>813</t>
  </si>
  <si>
    <t>Lazer</t>
  </si>
  <si>
    <t>06</t>
  </si>
  <si>
    <t>Segurança Pública</t>
  </si>
  <si>
    <t>Ação judiciária</t>
  </si>
  <si>
    <t>181</t>
  </si>
  <si>
    <t>Policiamento</t>
  </si>
  <si>
    <t>182</t>
  </si>
  <si>
    <t>Defesa Civil</t>
  </si>
  <si>
    <t>242</t>
  </si>
  <si>
    <t>Assistência ao Portador de Deficiência</t>
  </si>
  <si>
    <t>243</t>
  </si>
  <si>
    <t>Assistência à Criança e ao Adolescente</t>
  </si>
  <si>
    <t>244</t>
  </si>
  <si>
    <t>Assistência Comunitária</t>
  </si>
  <si>
    <t>301</t>
  </si>
  <si>
    <t>Atenção Básica</t>
  </si>
  <si>
    <t>302</t>
  </si>
  <si>
    <t>Assistência Hospitalar e Ambulatorial</t>
  </si>
  <si>
    <t>306</t>
  </si>
  <si>
    <t>Alimentação e Nutrição</t>
  </si>
  <si>
    <t>332</t>
  </si>
  <si>
    <t>Relações de Trabalho</t>
  </si>
  <si>
    <t>334</t>
  </si>
  <si>
    <t>Fomento ao Trabalho</t>
  </si>
  <si>
    <t>366</t>
  </si>
  <si>
    <t>Educação de Jovens e Adultos</t>
  </si>
  <si>
    <t>781</t>
  </si>
  <si>
    <t>Transporte Aéreo</t>
  </si>
  <si>
    <t>782</t>
  </si>
  <si>
    <t>Transporte Rodoviário</t>
  </si>
  <si>
    <t>784</t>
  </si>
  <si>
    <t>Transporte Hidroviário</t>
  </si>
  <si>
    <t>812</t>
  </si>
  <si>
    <t>Desporto Comunitário</t>
  </si>
  <si>
    <t>08</t>
  </si>
  <si>
    <t>Assistência Social</t>
  </si>
  <si>
    <t>241</t>
  </si>
  <si>
    <t>Assistência ao Idoso</t>
  </si>
  <si>
    <t>303</t>
  </si>
  <si>
    <t>Suporte Profilático e Terapêutico</t>
  </si>
  <si>
    <t>09</t>
  </si>
  <si>
    <t>Previdência Social</t>
  </si>
  <si>
    <t>272</t>
  </si>
  <si>
    <t>Previdência do Regime Estatutário</t>
  </si>
  <si>
    <t>273</t>
  </si>
  <si>
    <t>Previdência Complementar</t>
  </si>
  <si>
    <t>10</t>
  </si>
  <si>
    <t>Saúde</t>
  </si>
  <si>
    <t>304</t>
  </si>
  <si>
    <t>Vigilância Sanitária</t>
  </si>
  <si>
    <t>305</t>
  </si>
  <si>
    <t>Vigilância Epidemiológica</t>
  </si>
  <si>
    <t>Difusão do Conhecimento Científ e Tecnológ</t>
  </si>
  <si>
    <t>11</t>
  </si>
  <si>
    <t>Trabalho</t>
  </si>
  <si>
    <t>331</t>
  </si>
  <si>
    <t>Proteção e Benefícios ao Trabalhador</t>
  </si>
  <si>
    <t>333</t>
  </si>
  <si>
    <t>Empregabilidade</t>
  </si>
  <si>
    <t>12</t>
  </si>
  <si>
    <t>Educação</t>
  </si>
  <si>
    <t>361</t>
  </si>
  <si>
    <t>Ensino Fundamental</t>
  </si>
  <si>
    <t>362</t>
  </si>
  <si>
    <t>Ensino Médio</t>
  </si>
  <si>
    <t>363</t>
  </si>
  <si>
    <t>Ensino Profissional</t>
  </si>
  <si>
    <t>364</t>
  </si>
  <si>
    <t>Ensino Superior</t>
  </si>
  <si>
    <t>367</t>
  </si>
  <si>
    <t>Educação Especial</t>
  </si>
  <si>
    <t>368</t>
  </si>
  <si>
    <t>Educação Básica</t>
  </si>
  <si>
    <t>13</t>
  </si>
  <si>
    <t>Cultura</t>
  </si>
  <si>
    <t>391</t>
  </si>
  <si>
    <t>Patrimônio Histór, Artístico e Arqueológico</t>
  </si>
  <si>
    <t>Continua (1/3)</t>
  </si>
  <si>
    <t>Continuação</t>
  </si>
  <si>
    <t>14</t>
  </si>
  <si>
    <t>Direitos da Cidadania</t>
  </si>
  <si>
    <t>Patrimônio Histórico, Artístico e Arqueológico</t>
  </si>
  <si>
    <t>15</t>
  </si>
  <si>
    <t>Urbanismo</t>
  </si>
  <si>
    <t>452</t>
  </si>
  <si>
    <t>Serviços Urbanos</t>
  </si>
  <si>
    <t>481</t>
  </si>
  <si>
    <t>Habitação Rural</t>
  </si>
  <si>
    <t>16</t>
  </si>
  <si>
    <t>Habitação</t>
  </si>
  <si>
    <t>17</t>
  </si>
  <si>
    <t>Saneamento</t>
  </si>
  <si>
    <t>544</t>
  </si>
  <si>
    <t>Recursos Hídricos</t>
  </si>
  <si>
    <t>18</t>
  </si>
  <si>
    <t>Gestão Ambiental</t>
  </si>
  <si>
    <t>543</t>
  </si>
  <si>
    <t>Recuperação de Áreas Degradadas</t>
  </si>
  <si>
    <t>785</t>
  </si>
  <si>
    <t>Transportes Especiais</t>
  </si>
  <si>
    <t>19</t>
  </si>
  <si>
    <t>Ciência e Tecnologia</t>
  </si>
  <si>
    <t>751</t>
  </si>
  <si>
    <t>Conservação de Energia</t>
  </si>
  <si>
    <t>20</t>
  </si>
  <si>
    <t>Agricultura</t>
  </si>
  <si>
    <t xml:space="preserve"> Formação de Recursos Humanos</t>
  </si>
  <si>
    <t>601</t>
  </si>
  <si>
    <t>Promoção da Produção Vegetal</t>
  </si>
  <si>
    <t>602</t>
  </si>
  <si>
    <t>Promoção da Produção Animal</t>
  </si>
  <si>
    <t>604</t>
  </si>
  <si>
    <t>Defesa Sanitária Animal</t>
  </si>
  <si>
    <t>605</t>
  </si>
  <si>
    <t>Abastecimento</t>
  </si>
  <si>
    <t>606</t>
  </si>
  <si>
    <t>Extensão Rural</t>
  </si>
  <si>
    <t>608</t>
  </si>
  <si>
    <t>Promoção da Produção Agropecuária</t>
  </si>
  <si>
    <t>609</t>
  </si>
  <si>
    <t>Defesa Agropecuária</t>
  </si>
  <si>
    <t>692</t>
  </si>
  <si>
    <t>Comercialização</t>
  </si>
  <si>
    <t>21</t>
  </si>
  <si>
    <t>Organização Agrária</t>
  </si>
  <si>
    <t>631</t>
  </si>
  <si>
    <t>Reforma Agrária</t>
  </si>
  <si>
    <t>22</t>
  </si>
  <si>
    <t>Indústria</t>
  </si>
  <si>
    <t>663</t>
  </si>
  <si>
    <t>Mineração</t>
  </si>
  <si>
    <t>665</t>
  </si>
  <si>
    <t>Normalização e Qualidade</t>
  </si>
  <si>
    <t>691</t>
  </si>
  <si>
    <t>Promoção Comercial</t>
  </si>
  <si>
    <t>752</t>
  </si>
  <si>
    <t>Energia Elétrica</t>
  </si>
  <si>
    <t>753</t>
  </si>
  <si>
    <t>Combustíveis Minerais</t>
  </si>
  <si>
    <t>23</t>
  </si>
  <si>
    <t>Comércio e Serviços</t>
  </si>
  <si>
    <t>693</t>
  </si>
  <si>
    <t>Comércio Exterior</t>
  </si>
  <si>
    <t>24</t>
  </si>
  <si>
    <t>Comunicações</t>
  </si>
  <si>
    <t>25</t>
  </si>
  <si>
    <t>Energia</t>
  </si>
  <si>
    <t>26</t>
  </si>
  <si>
    <t>Transporte</t>
  </si>
  <si>
    <t>27</t>
  </si>
  <si>
    <t>Desporto e Lazer</t>
  </si>
  <si>
    <t>811</t>
  </si>
  <si>
    <t>Desporto de Rendimento</t>
  </si>
  <si>
    <t>28</t>
  </si>
  <si>
    <t>Encargos Especiais</t>
  </si>
  <si>
    <t>841</t>
  </si>
  <si>
    <t>Refinanciamento da Dívida Interna</t>
  </si>
  <si>
    <t>843</t>
  </si>
  <si>
    <t>Serviço da Dívida Interna</t>
  </si>
  <si>
    <t>844</t>
  </si>
  <si>
    <t>Serviço da Dívida Externa</t>
  </si>
  <si>
    <t>846</t>
  </si>
  <si>
    <t>Outros Encargos Especiais</t>
  </si>
  <si>
    <t>99</t>
  </si>
  <si>
    <t>Reserva de Contingência</t>
  </si>
  <si>
    <t>997</t>
  </si>
  <si>
    <t>Reserva do Regime Próprio de Previdência do Servidor - RPPS</t>
  </si>
  <si>
    <t>999</t>
  </si>
  <si>
    <t>Reserva de Contingência do RPPS</t>
  </si>
  <si>
    <t>DESPESAS (INTRA-ORÇAMENTÁRIAS) (II)</t>
  </si>
  <si>
    <t>TOTAL (III) = (I) + (II)</t>
  </si>
  <si>
    <t>Continua (2/3)</t>
  </si>
  <si>
    <t>FUNÇÃO/SUBFUNÇÃO - INTRA-ORÇAMENTÁRIAS</t>
  </si>
  <si>
    <t>(b/III b)</t>
  </si>
  <si>
    <t>(d/III d)</t>
  </si>
  <si>
    <t xml:space="preserve"> Assistência Comunitária</t>
  </si>
  <si>
    <t>FONTE: Siafe-Rio - Secretaria de Estado de Fazenda.</t>
  </si>
  <si>
    <t>(3/3)</t>
  </si>
  <si>
    <t>Obs.:  1 - Excluídas a Imprensa Oficial, a CEDAE e a AGERIO por não se enquadrarem no conceito de Empresa Dependente.</t>
  </si>
  <si>
    <t xml:space="preserve">          2 - Imprensa Oficial, CEDAE e AGERIO não constam nos Orçamentos Fiscal e da Seguridade Social no exercício de 2024.</t>
  </si>
  <si>
    <t>Renato Ferreira Costa</t>
  </si>
  <si>
    <t>Ronald Marcio G. Rodrigues</t>
  </si>
  <si>
    <t>Yasmim da Costa Monteiro</t>
  </si>
  <si>
    <t>Coordenador - ID: 4.284.985-3</t>
  </si>
  <si>
    <t>Superintendente - ID: 1.943.584-3</t>
  </si>
  <si>
    <t>Subsecretária de Contabilidade Geral - ID: 4.461.243-5</t>
  </si>
  <si>
    <t xml:space="preserve">     Contador - CRC-RJ-097281/O-6</t>
  </si>
  <si>
    <t xml:space="preserve">Contador - CRC-RJ-079208/O-8 </t>
  </si>
  <si>
    <t>Contadora - CRC-RJ-114428/O-0</t>
  </si>
  <si>
    <t>JANEIRO A AGOSTO  2024/BIMESTRE JULHO - AGOSTO</t>
  </si>
  <si>
    <t>Emissão: 20/09/2024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</si>
</sst>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  <numFmt numFmtId="166" formatCode="#,##0.0_);\(#,##0.0\)"/>
    <numFmt numFmtId="167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rgb="FF000000"/>
        <bgColor rgb="FFFFFFFF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49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167" fontId="4" fillId="0" borderId="0" xfId="2" applyNumberFormat="1" applyFont="1" applyFill="1"/>
    <xf numFmtId="167" fontId="4" fillId="0" borderId="0" xfId="0" applyNumberFormat="1" applyFont="1"/>
    <xf numFmtId="49" fontId="7" fillId="3" borderId="1" xfId="0" applyNumberFormat="1" applyFont="1" applyFill="1" applyBorder="1" applyAlignment="1">
      <alignment horizontal="center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49" fontId="7" fillId="3" borderId="7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right"/>
    </xf>
    <xf numFmtId="0" fontId="6" fillId="4" borderId="0" xfId="0" applyFont="1" applyFill="1"/>
    <xf numFmtId="49" fontId="6" fillId="4" borderId="0" xfId="0" applyNumberFormat="1" applyFont="1" applyFill="1"/>
    <xf numFmtId="166" fontId="6" fillId="4" borderId="0" xfId="0" applyNumberFormat="1" applyFont="1" applyFill="1"/>
    <xf numFmtId="165" fontId="6" fillId="4" borderId="0" xfId="0" applyNumberFormat="1" applyFont="1" applyFill="1" applyAlignment="1">
      <alignment horizontal="right"/>
    </xf>
    <xf numFmtId="49" fontId="6" fillId="4" borderId="0" xfId="0" applyNumberFormat="1" applyFont="1" applyFill="1" applyAlignment="1">
      <alignment horizontal="center"/>
    </xf>
    <xf numFmtId="167" fontId="6" fillId="4" borderId="0" xfId="2" applyNumberFormat="1" applyFont="1" applyFill="1" applyBorder="1"/>
    <xf numFmtId="164" fontId="6" fillId="4" borderId="0" xfId="2" applyFont="1" applyFill="1" applyBorder="1"/>
    <xf numFmtId="49" fontId="4" fillId="4" borderId="0" xfId="0" applyNumberFormat="1" applyFont="1" applyFill="1" applyAlignment="1">
      <alignment horizontal="left"/>
    </xf>
    <xf numFmtId="0" fontId="4" fillId="4" borderId="0" xfId="0" applyFont="1" applyFill="1"/>
    <xf numFmtId="0" fontId="5" fillId="4" borderId="0" xfId="0" applyFont="1" applyFill="1"/>
    <xf numFmtId="167" fontId="7" fillId="4" borderId="0" xfId="2" applyNumberFormat="1" applyFont="1" applyFill="1" applyBorder="1"/>
    <xf numFmtId="164" fontId="7" fillId="4" borderId="0" xfId="2" applyFont="1" applyFill="1" applyBorder="1"/>
    <xf numFmtId="49" fontId="2" fillId="4" borderId="0" xfId="0" applyNumberFormat="1" applyFont="1" applyFill="1" applyAlignment="1">
      <alignment horizontal="center"/>
    </xf>
    <xf numFmtId="164" fontId="6" fillId="4" borderId="0" xfId="2" applyFont="1" applyFill="1" applyAlignment="1">
      <alignment horizontal="center"/>
    </xf>
    <xf numFmtId="167" fontId="6" fillId="4" borderId="0" xfId="0" applyNumberFormat="1" applyFont="1" applyFill="1"/>
    <xf numFmtId="167" fontId="6" fillId="4" borderId="0" xfId="0" applyNumberFormat="1" applyFont="1" applyFill="1" applyAlignment="1">
      <alignment horizontal="right"/>
    </xf>
    <xf numFmtId="49" fontId="4" fillId="4" borderId="0" xfId="0" applyNumberFormat="1" applyFont="1" applyFill="1" applyAlignment="1">
      <alignment horizontal="center"/>
    </xf>
    <xf numFmtId="49" fontId="6" fillId="4" borderId="0" xfId="0" applyNumberFormat="1" applyFont="1" applyFill="1" applyAlignment="1">
      <alignment horizontal="left"/>
    </xf>
    <xf numFmtId="49" fontId="8" fillId="4" borderId="0" xfId="0" applyNumberFormat="1" applyFont="1" applyFill="1" applyAlignment="1">
      <alignment horizontal="center"/>
    </xf>
    <xf numFmtId="0" fontId="8" fillId="4" borderId="2" xfId="0" applyFont="1" applyFill="1" applyBorder="1"/>
    <xf numFmtId="164" fontId="8" fillId="4" borderId="5" xfId="2" applyFont="1" applyFill="1" applyBorder="1"/>
    <xf numFmtId="49" fontId="9" fillId="4" borderId="0" xfId="0" applyNumberFormat="1" applyFont="1" applyFill="1" applyAlignment="1">
      <alignment horizontal="center"/>
    </xf>
    <xf numFmtId="0" fontId="9" fillId="4" borderId="5" xfId="0" applyFont="1" applyFill="1" applyBorder="1"/>
    <xf numFmtId="167" fontId="9" fillId="4" borderId="5" xfId="2" applyNumberFormat="1" applyFont="1" applyFill="1" applyBorder="1"/>
    <xf numFmtId="164" fontId="9" fillId="4" borderId="5" xfId="2" applyFont="1" applyFill="1" applyBorder="1"/>
    <xf numFmtId="167" fontId="9" fillId="4" borderId="6" xfId="2" applyNumberFormat="1" applyFont="1" applyFill="1" applyBorder="1"/>
    <xf numFmtId="49" fontId="9" fillId="4" borderId="10" xfId="0" applyNumberFormat="1" applyFont="1" applyFill="1" applyBorder="1" applyAlignment="1">
      <alignment horizontal="center"/>
    </xf>
    <xf numFmtId="0" fontId="9" fillId="4" borderId="8" xfId="0" applyFont="1" applyFill="1" applyBorder="1"/>
    <xf numFmtId="0" fontId="9" fillId="4" borderId="0" xfId="0" applyFont="1" applyFill="1"/>
    <xf numFmtId="167" fontId="9" fillId="4" borderId="0" xfId="2" applyNumberFormat="1" applyFont="1" applyFill="1" applyBorder="1"/>
    <xf numFmtId="164" fontId="9" fillId="4" borderId="0" xfId="2" applyFont="1" applyFill="1" applyBorder="1"/>
    <xf numFmtId="167" fontId="9" fillId="4" borderId="0" xfId="2" applyNumberFormat="1" applyFont="1" applyFill="1" applyBorder="1" applyAlignment="1">
      <alignment horizontal="right"/>
    </xf>
    <xf numFmtId="0" fontId="9" fillId="4" borderId="6" xfId="0" applyFont="1" applyFill="1" applyBorder="1"/>
    <xf numFmtId="164" fontId="9" fillId="4" borderId="6" xfId="2" applyFont="1" applyFill="1" applyBorder="1"/>
    <xf numFmtId="49" fontId="9" fillId="4" borderId="4" xfId="0" applyNumberFormat="1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164" fontId="9" fillId="4" borderId="8" xfId="2" applyFont="1" applyFill="1" applyBorder="1"/>
    <xf numFmtId="164" fontId="8" fillId="4" borderId="6" xfId="2" applyFont="1" applyFill="1" applyBorder="1"/>
    <xf numFmtId="164" fontId="9" fillId="4" borderId="4" xfId="2" applyFont="1" applyFill="1" applyBorder="1"/>
    <xf numFmtId="164" fontId="8" fillId="4" borderId="11" xfId="2" applyFont="1" applyFill="1" applyBorder="1"/>
    <xf numFmtId="164" fontId="8" fillId="4" borderId="12" xfId="2" applyFont="1" applyFill="1" applyBorder="1"/>
    <xf numFmtId="164" fontId="9" fillId="0" borderId="5" xfId="2" applyFont="1" applyFill="1" applyBorder="1"/>
    <xf numFmtId="43" fontId="9" fillId="4" borderId="0" xfId="0" applyNumberFormat="1" applyFont="1" applyFill="1"/>
    <xf numFmtId="43" fontId="5" fillId="4" borderId="0" xfId="0" applyNumberFormat="1" applyFont="1" applyFill="1"/>
    <xf numFmtId="49" fontId="9" fillId="0" borderId="0" xfId="0" applyNumberFormat="1" applyFont="1" applyAlignment="1">
      <alignment horizontal="center"/>
    </xf>
    <xf numFmtId="0" fontId="9" fillId="0" borderId="5" xfId="0" applyFont="1" applyBorder="1"/>
    <xf numFmtId="49" fontId="8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3" fontId="6" fillId="4" borderId="0" xfId="0" applyNumberFormat="1" applyFont="1" applyFill="1"/>
    <xf numFmtId="0" fontId="5" fillId="0" borderId="0" xfId="0" applyFont="1" applyAlignment="1">
      <alignment horizontal="center"/>
    </xf>
    <xf numFmtId="0" fontId="8" fillId="0" borderId="5" xfId="0" applyFont="1" applyBorder="1"/>
    <xf numFmtId="0" fontId="8" fillId="4" borderId="5" xfId="0" applyFont="1" applyFill="1" applyBorder="1"/>
    <xf numFmtId="164" fontId="8" fillId="4" borderId="5" xfId="2" applyFont="1" applyFill="1" applyBorder="1" applyAlignment="1"/>
    <xf numFmtId="164" fontId="8" fillId="4" borderId="5" xfId="2" applyFont="1" applyFill="1" applyBorder="1" applyAlignment="1">
      <alignment horizontal="center"/>
    </xf>
    <xf numFmtId="164" fontId="8" fillId="4" borderId="6" xfId="2" applyFont="1" applyFill="1" applyBorder="1" applyAlignment="1">
      <alignment horizontal="center"/>
    </xf>
    <xf numFmtId="164" fontId="9" fillId="4" borderId="5" xfId="2" applyFont="1" applyFill="1" applyBorder="1" applyAlignment="1">
      <alignment horizontal="center"/>
    </xf>
    <xf numFmtId="164" fontId="9" fillId="4" borderId="9" xfId="2" applyFont="1" applyFill="1" applyBorder="1"/>
    <xf numFmtId="164" fontId="9" fillId="5" borderId="5" xfId="2" applyFont="1" applyFill="1" applyBorder="1" applyAlignment="1"/>
    <xf numFmtId="0" fontId="8" fillId="4" borderId="6" xfId="0" applyFont="1" applyFill="1" applyBorder="1"/>
    <xf numFmtId="164" fontId="8" fillId="4" borderId="2" xfId="2" applyFont="1" applyFill="1" applyBorder="1"/>
    <xf numFmtId="164" fontId="8" fillId="4" borderId="0" xfId="2" applyFont="1" applyFill="1" applyBorder="1"/>
    <xf numFmtId="0" fontId="8" fillId="0" borderId="6" xfId="0" applyFont="1" applyBorder="1"/>
    <xf numFmtId="0" fontId="9" fillId="0" borderId="6" xfId="0" applyFont="1" applyBorder="1"/>
    <xf numFmtId="49" fontId="8" fillId="4" borderId="4" xfId="0" applyNumberFormat="1" applyFont="1" applyFill="1" applyBorder="1" applyAlignment="1">
      <alignment horizontal="center"/>
    </xf>
    <xf numFmtId="0" fontId="8" fillId="0" borderId="0" xfId="0" applyFont="1"/>
    <xf numFmtId="0" fontId="8" fillId="4" borderId="0" xfId="0" applyFont="1" applyFill="1"/>
    <xf numFmtId="49" fontId="8" fillId="4" borderId="10" xfId="0" applyNumberFormat="1" applyFont="1" applyFill="1" applyBorder="1" applyAlignment="1">
      <alignment horizontal="center"/>
    </xf>
    <xf numFmtId="0" fontId="8" fillId="0" borderId="8" xfId="0" applyFont="1" applyBorder="1"/>
    <xf numFmtId="164" fontId="8" fillId="4" borderId="8" xfId="2" applyFont="1" applyFill="1" applyBorder="1"/>
    <xf numFmtId="164" fontId="9" fillId="5" borderId="8" xfId="2" applyFont="1" applyFill="1" applyBorder="1" applyAlignment="1"/>
    <xf numFmtId="164" fontId="8" fillId="4" borderId="9" xfId="2" applyFont="1" applyFill="1" applyBorder="1"/>
    <xf numFmtId="4" fontId="9" fillId="2" borderId="13" xfId="0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3" fillId="0" borderId="0" xfId="0" applyFont="1"/>
    <xf numFmtId="4" fontId="9" fillId="4" borderId="13" xfId="0" applyNumberFormat="1" applyFont="1" applyFill="1" applyBorder="1" applyAlignment="1">
      <alignment horizontal="right" vertical="top" wrapText="1"/>
    </xf>
    <xf numFmtId="4" fontId="9" fillId="4" borderId="5" xfId="0" applyNumberFormat="1" applyFont="1" applyFill="1" applyBorder="1" applyAlignment="1">
      <alignment horizontal="right" vertical="top" wrapText="1"/>
    </xf>
    <xf numFmtId="0" fontId="6" fillId="4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4" borderId="0" xfId="1" applyFont="1" applyFill="1" applyAlignment="1">
      <alignment horizontal="center"/>
    </xf>
    <xf numFmtId="49" fontId="6" fillId="4" borderId="0" xfId="0" applyNumberFormat="1" applyFont="1" applyFill="1" applyAlignment="1">
      <alignment horizontal="center"/>
    </xf>
    <xf numFmtId="49" fontId="8" fillId="4" borderId="14" xfId="0" applyNumberFormat="1" applyFont="1" applyFill="1" applyBorder="1" applyAlignment="1">
      <alignment horizontal="left"/>
    </xf>
    <xf numFmtId="49" fontId="8" fillId="4" borderId="15" xfId="0" applyNumberFormat="1" applyFont="1" applyFill="1" applyBorder="1" applyAlignment="1">
      <alignment horizontal="left"/>
    </xf>
    <xf numFmtId="0" fontId="7" fillId="4" borderId="0" xfId="0" applyFont="1" applyFill="1" applyAlignment="1">
      <alignment horizontal="center"/>
    </xf>
  </cellXfs>
  <cellStyles count="3">
    <cellStyle name="Normal" xfId="0" builtinId="0"/>
    <cellStyle name="Normal 4 2 3" xfId="1" xr:uid="{3C2EFF80-DAAA-4D9D-AB95-8C29CD71875D}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614363</xdr:colOff>
      <xdr:row>0</xdr:row>
      <xdr:rowOff>23813</xdr:rowOff>
    </xdr:from>
    <xdr:to>
      <xdr:col>4</xdr:col>
      <xdr:colOff>1300163</xdr:colOff>
      <xdr:row>1</xdr:row>
      <xdr:rowOff>333376</xdr:rowOff>
    </xdr:to>
    <xdr:pic>
      <xdr:nvPicPr>
        <xdr:cNvPr id="6865" name="Picture 1">
          <a:extLst>
            <a:ext uri="{FF2B5EF4-FFF2-40B4-BE49-F238E27FC236}">
              <a16:creationId xmlns:a16="http://schemas.microsoft.com/office/drawing/2014/main" id="{88A6B375-8B5F-EF1F-5EE4-6D73F0F7A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1" y="23813"/>
          <a:ext cx="685800" cy="511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607220</xdr:colOff>
      <xdr:row>159</xdr:row>
      <xdr:rowOff>26192</xdr:rowOff>
    </xdr:from>
    <xdr:to>
      <xdr:col>4</xdr:col>
      <xdr:colOff>1293020</xdr:colOff>
      <xdr:row>161</xdr:row>
      <xdr:rowOff>126205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860E24-3BD3-400B-8860-6450C1CD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6408" y="28779786"/>
          <a:ext cx="685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609603</xdr:colOff>
      <xdr:row>319</xdr:row>
      <xdr:rowOff>2379</xdr:rowOff>
    </xdr:from>
    <xdr:to>
      <xdr:col>4</xdr:col>
      <xdr:colOff>1295403</xdr:colOff>
      <xdr:row>321</xdr:row>
      <xdr:rowOff>135729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54B7043-E58D-4FDA-871F-F1CCFBC8D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8791" y="57581004"/>
          <a:ext cx="685800" cy="526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1345A-D510-4AD8-A032-456C64E72250}">
  <sheetPr>
    <pageSetUpPr fitToPage="1"/>
  </sheetPr>
  <dimension ref="A1:O498"/>
  <sheetViews>
    <sheetView tabSelected="1" topLeftCell="A448" zoomScale="80" zoomScaleNormal="80" workbookViewId="0">
      <selection activeCell="E472" sqref="E472"/>
    </sheetView>
  </sheetViews>
  <sheetFormatPr defaultColWidth="9.140625" defaultRowHeight="12.75" x14ac:dyDescent="0.2"/>
  <cols>
    <col min="1" max="1" width="5.85546875" style="1" customWidth="1"/>
    <col min="2" max="2" width="62.28515625" style="2" customWidth="1"/>
    <col min="3" max="3" width="31.7109375" style="2" bestFit="1" customWidth="1"/>
    <col min="4" max="4" width="31" style="2" bestFit="1" customWidth="1"/>
    <col min="5" max="5" width="22.85546875" style="2" customWidth="1"/>
    <col min="6" max="6" width="29.28515625" style="2" bestFit="1" customWidth="1"/>
    <col min="7" max="7" width="11.140625" style="2" customWidth="1"/>
    <col min="8" max="8" width="23.140625" style="2" customWidth="1"/>
    <col min="9" max="9" width="22.85546875" style="2" customWidth="1"/>
    <col min="10" max="10" width="21.7109375" style="2" customWidth="1"/>
    <col min="11" max="11" width="10.42578125" style="2" customWidth="1"/>
    <col min="12" max="12" width="21.28515625" style="2" customWidth="1"/>
    <col min="13" max="14" width="9.140625" style="2"/>
    <col min="15" max="15" width="8.42578125" style="2" customWidth="1"/>
    <col min="16" max="16" width="14.85546875" style="2" bestFit="1" customWidth="1"/>
    <col min="17" max="17" width="13.42578125" style="2" bestFit="1" customWidth="1"/>
    <col min="18" max="18" width="9.28515625" style="2" bestFit="1" customWidth="1"/>
    <col min="19" max="16384" width="9.140625" style="2"/>
  </cols>
  <sheetData>
    <row r="1" spans="1:13" ht="15.75" x14ac:dyDescent="0.25">
      <c r="A1" s="26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ht="27.75" customHeight="1" x14ac:dyDescent="0.25">
      <c r="A2" s="2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3" s="3" customFormat="1" ht="16.5" customHeight="1" x14ac:dyDescent="0.2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3" s="3" customFormat="1" ht="15.75" x14ac:dyDescent="0.25">
      <c r="A4" s="98" t="s">
        <v>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3" s="3" customFormat="1" ht="15.75" x14ac:dyDescent="0.25">
      <c r="A5" s="108" t="s">
        <v>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4"/>
    </row>
    <row r="6" spans="1:13" s="3" customFormat="1" ht="15.75" x14ac:dyDescent="0.25">
      <c r="A6" s="98" t="s">
        <v>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3" s="3" customFormat="1" ht="15.75" x14ac:dyDescent="0.25">
      <c r="A7" s="98" t="s">
        <v>289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1:13" ht="15.75" x14ac:dyDescent="0.25">
      <c r="A8" s="69"/>
      <c r="B8" s="26"/>
      <c r="C8" s="35"/>
      <c r="D8" s="35"/>
      <c r="E8" s="35"/>
      <c r="F8" s="35"/>
      <c r="G8" s="35"/>
      <c r="H8" s="35"/>
      <c r="I8" s="35"/>
      <c r="J8" s="35"/>
      <c r="K8" s="26"/>
      <c r="L8" s="21" t="s">
        <v>290</v>
      </c>
    </row>
    <row r="9" spans="1:13" s="5" customFormat="1" ht="15.75" x14ac:dyDescent="0.25">
      <c r="A9" s="23" t="s">
        <v>4</v>
      </c>
      <c r="B9" s="22"/>
      <c r="C9" s="36"/>
      <c r="D9" s="36"/>
      <c r="E9" s="36"/>
      <c r="F9" s="36"/>
      <c r="G9" s="36"/>
      <c r="H9" s="36"/>
      <c r="I9" s="36"/>
      <c r="J9" s="36"/>
      <c r="K9" s="37"/>
      <c r="L9" s="25">
        <v>1</v>
      </c>
    </row>
    <row r="10" spans="1:13" s="5" customFormat="1" ht="13.5" customHeight="1" x14ac:dyDescent="0.25">
      <c r="A10" s="8"/>
      <c r="B10" s="9"/>
      <c r="C10" s="10" t="s">
        <v>5</v>
      </c>
      <c r="D10" s="10" t="s">
        <v>5</v>
      </c>
      <c r="E10" s="99" t="s">
        <v>6</v>
      </c>
      <c r="F10" s="100"/>
      <c r="G10" s="101"/>
      <c r="H10" s="10" t="s">
        <v>7</v>
      </c>
      <c r="I10" s="99" t="s">
        <v>8</v>
      </c>
      <c r="J10" s="100"/>
      <c r="K10" s="100"/>
      <c r="L10" s="11" t="s">
        <v>7</v>
      </c>
    </row>
    <row r="11" spans="1:13" s="5" customFormat="1" ht="14.25" customHeight="1" x14ac:dyDescent="0.25">
      <c r="A11" s="12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4"/>
      <c r="I11" s="13" t="s">
        <v>13</v>
      </c>
      <c r="J11" s="13" t="s">
        <v>14</v>
      </c>
      <c r="K11" s="13" t="s">
        <v>15</v>
      </c>
      <c r="L11" s="15"/>
    </row>
    <row r="12" spans="1:13" s="5" customFormat="1" ht="13.5" customHeight="1" x14ac:dyDescent="0.25">
      <c r="A12" s="16"/>
      <c r="B12" s="17"/>
      <c r="C12" s="17"/>
      <c r="D12" s="18" t="s">
        <v>16</v>
      </c>
      <c r="E12" s="18"/>
      <c r="F12" s="18" t="s">
        <v>17</v>
      </c>
      <c r="G12" s="18" t="s">
        <v>18</v>
      </c>
      <c r="H12" s="19" t="s">
        <v>19</v>
      </c>
      <c r="I12" s="18"/>
      <c r="J12" s="18" t="s">
        <v>20</v>
      </c>
      <c r="K12" s="18" t="s">
        <v>21</v>
      </c>
      <c r="L12" s="20" t="s">
        <v>22</v>
      </c>
    </row>
    <row r="13" spans="1:13" s="5" customFormat="1" ht="14.85" customHeight="1" x14ac:dyDescent="0.25">
      <c r="A13" s="40"/>
      <c r="B13" s="41" t="s">
        <v>23</v>
      </c>
      <c r="C13" s="74">
        <f>C14+C25+C29+C35+C63+C87+C101+C108+C120+C130+C153+C173+C183+C192+C198+C205+C216+C229+C248+C252+C267+C278+C282+C287+C300+C306+C312</f>
        <v>105606489534</v>
      </c>
      <c r="D13" s="74">
        <f>D14+D25+D29+D35+D63+D87+D101+D108+D120+D130+D153+D173+D183+D192+D198+D205+D216+D229+D248+D252+D267+D278+D282+D287+D300+D306+D312</f>
        <v>118048711650.67999</v>
      </c>
      <c r="E13" s="74">
        <f>E14+E25+E29+E35+E63+E87+E101+E108+E120+E130+E153+E173+E183+E192+E198+E205+E216+E229+E248+E252+E267+E278+E282+E287+E300+E306+E312</f>
        <v>17972678138.849998</v>
      </c>
      <c r="F13" s="74">
        <f>F14+F25+F29+F35+F63+F87+F101+F108+F120+F130+F153+F173+F183+F192+F198+F205+F216+F229+F248+F252+F267+F278+F282+F287+F300+F306+F312</f>
        <v>68560053045.720001</v>
      </c>
      <c r="G13" s="75">
        <f t="shared" ref="G13:G44" si="0">(F13/$F$317)*100</f>
        <v>92.851742449107832</v>
      </c>
      <c r="H13" s="75">
        <f>D13-F13</f>
        <v>49488658604.959991</v>
      </c>
      <c r="I13" s="75">
        <f>I14+I25+I29+I35+I63+I87+I101+I108+I120+I130+I153+I173+I183+I192+I198+I205+I216+I229+I248+I252+I267+I278+I282+I287+I300+I306+I312</f>
        <v>17188442728.670002</v>
      </c>
      <c r="J13" s="75">
        <f>J14+J25+J29+J35+J63+J87+J101+J108+J120+J130+J153+J173+J183+J192+J198+J205+J216+J229+J248+J252+J267+J278+J282+J287+J300+J306+J312</f>
        <v>62878685471.610016</v>
      </c>
      <c r="K13" s="75">
        <f t="shared" ref="K13:K44" si="1">(J13/$J$317)*100</f>
        <v>92.751519602859048</v>
      </c>
      <c r="L13" s="76">
        <f>D13-J13</f>
        <v>55170026179.069977</v>
      </c>
    </row>
    <row r="14" spans="1:13" s="5" customFormat="1" ht="14.85" customHeight="1" x14ac:dyDescent="0.25">
      <c r="A14" s="40" t="s">
        <v>24</v>
      </c>
      <c r="B14" s="72" t="s">
        <v>25</v>
      </c>
      <c r="C14" s="42">
        <f>SUM(C15:C24)</f>
        <v>2686383323</v>
      </c>
      <c r="D14" s="42">
        <f>SUM(D15:D24)</f>
        <v>2650989305</v>
      </c>
      <c r="E14" s="42">
        <f>SUM(E15:E24)</f>
        <v>333409532.04999995</v>
      </c>
      <c r="F14" s="42">
        <f>SUM(F15:F24)</f>
        <v>1815547281.6799998</v>
      </c>
      <c r="G14" s="75">
        <f t="shared" si="0"/>
        <v>2.4588185264429709</v>
      </c>
      <c r="H14" s="42">
        <f t="shared" ref="H14:H78" si="2">D14-F14</f>
        <v>835442023.32000017</v>
      </c>
      <c r="I14" s="42">
        <f>SUM(I15:I24)</f>
        <v>290862265.0200001</v>
      </c>
      <c r="J14" s="42">
        <f>SUM(J15:J24)</f>
        <v>1185578566.01</v>
      </c>
      <c r="K14" s="42">
        <f t="shared" si="1"/>
        <v>1.7488313055726223</v>
      </c>
      <c r="L14" s="59">
        <f t="shared" ref="L14:L78" si="3">D14-J14</f>
        <v>1465410738.99</v>
      </c>
    </row>
    <row r="15" spans="1:13" s="5" customFormat="1" ht="14.85" customHeight="1" x14ac:dyDescent="0.25">
      <c r="A15" s="43" t="s">
        <v>26</v>
      </c>
      <c r="B15" s="44" t="s">
        <v>27</v>
      </c>
      <c r="C15" s="46">
        <v>17244557</v>
      </c>
      <c r="D15" s="46">
        <v>17244557</v>
      </c>
      <c r="E15" s="46">
        <f t="shared" ref="E15:E21" si="4">F15-0</f>
        <v>0</v>
      </c>
      <c r="F15" s="46">
        <v>0</v>
      </c>
      <c r="G15" s="77">
        <f t="shared" si="0"/>
        <v>0</v>
      </c>
      <c r="H15" s="46">
        <f t="shared" si="2"/>
        <v>17244557</v>
      </c>
      <c r="I15" s="46">
        <f t="shared" ref="I15:I24" si="5">J15-0</f>
        <v>0</v>
      </c>
      <c r="J15" s="46">
        <v>0</v>
      </c>
      <c r="K15" s="46">
        <f t="shared" si="1"/>
        <v>0</v>
      </c>
      <c r="L15" s="55">
        <f t="shared" si="3"/>
        <v>17244557</v>
      </c>
    </row>
    <row r="16" spans="1:13" s="5" customFormat="1" ht="14.85" customHeight="1" x14ac:dyDescent="0.25">
      <c r="A16" s="43" t="s">
        <v>28</v>
      </c>
      <c r="B16" s="44" t="s">
        <v>29</v>
      </c>
      <c r="C16" s="46">
        <v>79238973</v>
      </c>
      <c r="D16" s="46">
        <v>79238973</v>
      </c>
      <c r="E16" s="46">
        <f>F16-6842885.37</f>
        <v>2369351.6000000006</v>
      </c>
      <c r="F16" s="46">
        <v>9212236.9700000007</v>
      </c>
      <c r="G16" s="46">
        <f t="shared" si="0"/>
        <v>1.2476248435049716E-2</v>
      </c>
      <c r="H16" s="46">
        <f t="shared" si="2"/>
        <v>70026736.030000001</v>
      </c>
      <c r="I16" s="46">
        <f>J16-6070760.37</f>
        <v>301478.16000000015</v>
      </c>
      <c r="J16" s="46">
        <v>6372238.5300000003</v>
      </c>
      <c r="K16" s="46">
        <f t="shared" si="1"/>
        <v>9.3996050091766543E-3</v>
      </c>
      <c r="L16" s="55">
        <f t="shared" si="3"/>
        <v>72866734.469999999</v>
      </c>
    </row>
    <row r="17" spans="1:12" s="5" customFormat="1" ht="14.85" customHeight="1" x14ac:dyDescent="0.25">
      <c r="A17" s="43" t="s">
        <v>30</v>
      </c>
      <c r="B17" s="44" t="s">
        <v>31</v>
      </c>
      <c r="C17" s="46">
        <v>2503749491</v>
      </c>
      <c r="D17" s="46">
        <v>2468444692</v>
      </c>
      <c r="E17" s="46">
        <f>F17-1450952226.21</f>
        <v>325804635.83999991</v>
      </c>
      <c r="F17" s="46">
        <v>1776756862.05</v>
      </c>
      <c r="G17" s="46">
        <f t="shared" si="0"/>
        <v>2.4062841730845266</v>
      </c>
      <c r="H17" s="46">
        <f t="shared" si="2"/>
        <v>691687829.95000005</v>
      </c>
      <c r="I17" s="46">
        <f>J17-880571233.54</f>
        <v>288686270.16000009</v>
      </c>
      <c r="J17" s="46">
        <v>1169257503.7</v>
      </c>
      <c r="K17" s="46">
        <f t="shared" si="1"/>
        <v>1.7247563218252455</v>
      </c>
      <c r="L17" s="55">
        <f t="shared" si="3"/>
        <v>1299187188.3</v>
      </c>
    </row>
    <row r="18" spans="1:12" s="5" customFormat="1" ht="14.85" customHeight="1" x14ac:dyDescent="0.25">
      <c r="A18" s="43" t="s">
        <v>32</v>
      </c>
      <c r="B18" s="44" t="s">
        <v>33</v>
      </c>
      <c r="C18" s="46">
        <v>38325200</v>
      </c>
      <c r="D18" s="46">
        <v>38235981</v>
      </c>
      <c r="E18" s="46">
        <f>F18-19648871.42</f>
        <v>1081899.629999999</v>
      </c>
      <c r="F18" s="46">
        <v>20730771.050000001</v>
      </c>
      <c r="G18" s="46">
        <f t="shared" si="0"/>
        <v>2.8075944063555326E-2</v>
      </c>
      <c r="H18" s="46">
        <f t="shared" si="2"/>
        <v>17505209.949999999</v>
      </c>
      <c r="I18" s="46">
        <f>J18-5518869.76</f>
        <v>514616.49000000022</v>
      </c>
      <c r="J18" s="46">
        <v>6033486.25</v>
      </c>
      <c r="K18" s="46">
        <f t="shared" si="1"/>
        <v>8.899915988910486E-3</v>
      </c>
      <c r="L18" s="55">
        <f t="shared" si="3"/>
        <v>32202494.75</v>
      </c>
    </row>
    <row r="19" spans="1:12" s="5" customFormat="1" ht="14.85" customHeight="1" x14ac:dyDescent="0.25">
      <c r="A19" s="43" t="s">
        <v>34</v>
      </c>
      <c r="B19" s="44" t="s">
        <v>35</v>
      </c>
      <c r="C19" s="46">
        <v>36728539</v>
      </c>
      <c r="D19" s="46">
        <v>36728539</v>
      </c>
      <c r="E19" s="46">
        <f>F19-4683751.33</f>
        <v>4117994.9800000004</v>
      </c>
      <c r="F19" s="46">
        <v>8801746.3100000005</v>
      </c>
      <c r="G19" s="46">
        <f t="shared" si="0"/>
        <v>1.1920315769497852E-2</v>
      </c>
      <c r="H19" s="46">
        <f t="shared" si="2"/>
        <v>27926792.689999998</v>
      </c>
      <c r="I19" s="46">
        <f>J19-2549056.02</f>
        <v>1359250.21</v>
      </c>
      <c r="J19" s="46">
        <v>3908306.23</v>
      </c>
      <c r="K19" s="46">
        <f t="shared" si="1"/>
        <v>5.7650909713990754E-3</v>
      </c>
      <c r="L19" s="55">
        <f t="shared" si="3"/>
        <v>32820232.77</v>
      </c>
    </row>
    <row r="20" spans="1:12" s="5" customFormat="1" ht="14.85" customHeight="1" x14ac:dyDescent="0.25">
      <c r="A20" s="43" t="s">
        <v>36</v>
      </c>
      <c r="B20" s="44" t="s">
        <v>37</v>
      </c>
      <c r="C20" s="46">
        <v>0</v>
      </c>
      <c r="D20" s="46">
        <v>0</v>
      </c>
      <c r="E20" s="46">
        <f t="shared" si="4"/>
        <v>0</v>
      </c>
      <c r="F20" s="46">
        <v>0</v>
      </c>
      <c r="G20" s="46">
        <f t="shared" si="0"/>
        <v>0</v>
      </c>
      <c r="H20" s="46">
        <f t="shared" si="2"/>
        <v>0</v>
      </c>
      <c r="I20" s="46">
        <f>J20-0</f>
        <v>0</v>
      </c>
      <c r="J20" s="46">
        <v>0</v>
      </c>
      <c r="K20" s="46">
        <f t="shared" si="1"/>
        <v>0</v>
      </c>
      <c r="L20" s="55">
        <f t="shared" si="3"/>
        <v>0</v>
      </c>
    </row>
    <row r="21" spans="1:12" s="5" customFormat="1" ht="14.85" customHeight="1" x14ac:dyDescent="0.25">
      <c r="A21" s="43" t="s">
        <v>38</v>
      </c>
      <c r="B21" s="44" t="s">
        <v>39</v>
      </c>
      <c r="C21" s="46">
        <v>0</v>
      </c>
      <c r="D21" s="46">
        <v>0</v>
      </c>
      <c r="E21" s="46">
        <f t="shared" si="4"/>
        <v>0</v>
      </c>
      <c r="F21" s="46">
        <v>0</v>
      </c>
      <c r="G21" s="46">
        <f t="shared" si="0"/>
        <v>0</v>
      </c>
      <c r="H21" s="46">
        <f t="shared" si="2"/>
        <v>0</v>
      </c>
      <c r="I21" s="46">
        <f t="shared" si="5"/>
        <v>0</v>
      </c>
      <c r="J21" s="46">
        <v>0</v>
      </c>
      <c r="K21" s="46">
        <f t="shared" si="1"/>
        <v>0</v>
      </c>
      <c r="L21" s="55">
        <f t="shared" si="3"/>
        <v>0</v>
      </c>
    </row>
    <row r="22" spans="1:12" s="5" customFormat="1" ht="14.85" customHeight="1" x14ac:dyDescent="0.25">
      <c r="A22" s="43" t="s">
        <v>40</v>
      </c>
      <c r="B22" s="44" t="s">
        <v>41</v>
      </c>
      <c r="C22" s="46">
        <v>318125</v>
      </c>
      <c r="D22" s="46">
        <v>318125</v>
      </c>
      <c r="E22" s="46">
        <v>0</v>
      </c>
      <c r="F22" s="46">
        <v>0</v>
      </c>
      <c r="G22" s="46">
        <f t="shared" si="0"/>
        <v>0</v>
      </c>
      <c r="H22" s="46">
        <f t="shared" si="2"/>
        <v>318125</v>
      </c>
      <c r="I22" s="46">
        <f t="shared" si="5"/>
        <v>0</v>
      </c>
      <c r="J22" s="46">
        <v>0</v>
      </c>
      <c r="K22" s="46">
        <f t="shared" si="1"/>
        <v>0</v>
      </c>
      <c r="L22" s="55">
        <f t="shared" si="3"/>
        <v>318125</v>
      </c>
    </row>
    <row r="23" spans="1:12" s="5" customFormat="1" ht="14.85" customHeight="1" x14ac:dyDescent="0.25">
      <c r="A23" s="43" t="s">
        <v>42</v>
      </c>
      <c r="B23" s="44" t="s">
        <v>43</v>
      </c>
      <c r="C23" s="46">
        <v>778438</v>
      </c>
      <c r="D23" s="46">
        <v>778438</v>
      </c>
      <c r="E23" s="46">
        <f>F23-10015.3</f>
        <v>35650</v>
      </c>
      <c r="F23" s="46">
        <v>45665.3</v>
      </c>
      <c r="G23" s="46">
        <f t="shared" si="0"/>
        <v>6.1845090341947182E-5</v>
      </c>
      <c r="H23" s="46">
        <f t="shared" si="2"/>
        <v>732772.7</v>
      </c>
      <c r="I23" s="46">
        <f>J23-6381.3</f>
        <v>650</v>
      </c>
      <c r="J23" s="46">
        <v>7031.3</v>
      </c>
      <c r="K23" s="46">
        <f t="shared" si="1"/>
        <v>1.0371777890904502E-5</v>
      </c>
      <c r="L23" s="55">
        <f t="shared" si="3"/>
        <v>771406.7</v>
      </c>
    </row>
    <row r="24" spans="1:12" s="5" customFormat="1" ht="14.85" customHeight="1" x14ac:dyDescent="0.25">
      <c r="A24" s="43" t="s">
        <v>44</v>
      </c>
      <c r="B24" s="44" t="s">
        <v>45</v>
      </c>
      <c r="C24" s="46">
        <v>10000000</v>
      </c>
      <c r="D24" s="46">
        <v>10000000</v>
      </c>
      <c r="E24" s="46">
        <f>F24-0</f>
        <v>0</v>
      </c>
      <c r="F24" s="46">
        <v>0</v>
      </c>
      <c r="G24" s="46">
        <f t="shared" si="0"/>
        <v>0</v>
      </c>
      <c r="H24" s="46">
        <f t="shared" si="2"/>
        <v>10000000</v>
      </c>
      <c r="I24" s="46">
        <f t="shared" si="5"/>
        <v>0</v>
      </c>
      <c r="J24" s="46">
        <v>0</v>
      </c>
      <c r="K24" s="46">
        <f t="shared" si="1"/>
        <v>0</v>
      </c>
      <c r="L24" s="55">
        <f t="shared" si="3"/>
        <v>10000000</v>
      </c>
    </row>
    <row r="25" spans="1:12" s="5" customFormat="1" ht="14.85" customHeight="1" x14ac:dyDescent="0.25">
      <c r="A25" s="40" t="s">
        <v>46</v>
      </c>
      <c r="B25" s="72" t="s">
        <v>47</v>
      </c>
      <c r="C25" s="42">
        <f>SUM(C26:C28)</f>
        <v>7549378647</v>
      </c>
      <c r="D25" s="42">
        <f>SUM(D26:D28)</f>
        <v>7552378647</v>
      </c>
      <c r="E25" s="42">
        <f>SUM(E26:E27)</f>
        <v>1283388216.4199998</v>
      </c>
      <c r="F25" s="42">
        <f>SUM(F26:F28)</f>
        <v>4969973011.4099998</v>
      </c>
      <c r="G25" s="46">
        <f t="shared" si="0"/>
        <v>6.7308969805889962</v>
      </c>
      <c r="H25" s="42">
        <f t="shared" si="2"/>
        <v>2582405635.5900002</v>
      </c>
      <c r="I25" s="42">
        <f>SUM(I26:I28)</f>
        <v>1146035272.5799999</v>
      </c>
      <c r="J25" s="42">
        <f>SUM(J26:J28)</f>
        <v>4256273057.0299997</v>
      </c>
      <c r="K25" s="42">
        <f t="shared" si="1"/>
        <v>6.278372248454235</v>
      </c>
      <c r="L25" s="59">
        <f t="shared" si="3"/>
        <v>3296105589.9700003</v>
      </c>
    </row>
    <row r="26" spans="1:12" s="5" customFormat="1" ht="14.85" customHeight="1" x14ac:dyDescent="0.25">
      <c r="A26" s="43" t="s">
        <v>48</v>
      </c>
      <c r="B26" s="44" t="s">
        <v>49</v>
      </c>
      <c r="C26" s="46">
        <v>2885471000</v>
      </c>
      <c r="D26" s="46">
        <v>2888471000</v>
      </c>
      <c r="E26" s="46">
        <f>F26-1476037073.94</f>
        <v>560338924.20000005</v>
      </c>
      <c r="F26" s="46">
        <v>2036375998.1400001</v>
      </c>
      <c r="G26" s="46">
        <f t="shared" si="0"/>
        <v>2.7578896355688269</v>
      </c>
      <c r="H26" s="46">
        <f t="shared" si="2"/>
        <v>852095001.8599999</v>
      </c>
      <c r="I26" s="46">
        <f>J26-899690063.4</f>
        <v>422985980.36000001</v>
      </c>
      <c r="J26" s="46">
        <v>1322676043.76</v>
      </c>
      <c r="K26" s="46">
        <f t="shared" si="1"/>
        <v>1.9510619867590635</v>
      </c>
      <c r="L26" s="55">
        <f t="shared" si="3"/>
        <v>1565794956.24</v>
      </c>
    </row>
    <row r="27" spans="1:12" s="5" customFormat="1" ht="14.85" customHeight="1" x14ac:dyDescent="0.25">
      <c r="A27" s="43" t="s">
        <v>30</v>
      </c>
      <c r="B27" s="44" t="s">
        <v>31</v>
      </c>
      <c r="C27" s="46">
        <v>4663907647</v>
      </c>
      <c r="D27" s="46">
        <v>4663907647</v>
      </c>
      <c r="E27" s="46">
        <f>F27-2210547721.05</f>
        <v>723049292.21999979</v>
      </c>
      <c r="F27" s="46">
        <v>2933597013.27</v>
      </c>
      <c r="G27" s="46">
        <f t="shared" si="0"/>
        <v>3.9730073450201693</v>
      </c>
      <c r="H27" s="46">
        <f t="shared" si="2"/>
        <v>1730310633.73</v>
      </c>
      <c r="I27" s="46">
        <f>J27-2210547721.05</f>
        <v>723049292.21999979</v>
      </c>
      <c r="J27" s="46">
        <v>2933597013.27</v>
      </c>
      <c r="K27" s="46">
        <f t="shared" si="1"/>
        <v>4.327310261695172</v>
      </c>
      <c r="L27" s="55">
        <f t="shared" si="3"/>
        <v>1730310633.73</v>
      </c>
    </row>
    <row r="28" spans="1:12" s="5" customFormat="1" ht="14.85" customHeight="1" x14ac:dyDescent="0.25">
      <c r="A28" s="43" t="s">
        <v>38</v>
      </c>
      <c r="B28" s="44" t="s">
        <v>39</v>
      </c>
      <c r="C28" s="46">
        <v>0</v>
      </c>
      <c r="D28" s="46">
        <v>0</v>
      </c>
      <c r="E28" s="46">
        <f>F28-0</f>
        <v>0</v>
      </c>
      <c r="F28" s="46">
        <v>0</v>
      </c>
      <c r="G28" s="46">
        <f t="shared" si="0"/>
        <v>0</v>
      </c>
      <c r="H28" s="46">
        <f t="shared" si="2"/>
        <v>0</v>
      </c>
      <c r="I28" s="46">
        <f>J28-0</f>
        <v>0</v>
      </c>
      <c r="J28" s="46">
        <v>0</v>
      </c>
      <c r="K28" s="46">
        <f t="shared" si="1"/>
        <v>0</v>
      </c>
      <c r="L28" s="55">
        <f t="shared" si="3"/>
        <v>0</v>
      </c>
    </row>
    <row r="29" spans="1:12" s="5" customFormat="1" ht="14.85" customHeight="1" x14ac:dyDescent="0.25">
      <c r="A29" s="40" t="s">
        <v>50</v>
      </c>
      <c r="B29" s="72" t="s">
        <v>51</v>
      </c>
      <c r="C29" s="42">
        <f>SUM(C30:C34)</f>
        <v>4706195020</v>
      </c>
      <c r="D29" s="42">
        <f>SUM(D30:D34)</f>
        <v>5180396148.9799995</v>
      </c>
      <c r="E29" s="42">
        <f>SUM(E30:E34)</f>
        <v>417776189.08000016</v>
      </c>
      <c r="F29" s="42">
        <f>SUM(F30:F34)</f>
        <v>3812818219.4100003</v>
      </c>
      <c r="G29" s="42">
        <f t="shared" si="0"/>
        <v>5.1637476866862508</v>
      </c>
      <c r="H29" s="42">
        <f t="shared" si="2"/>
        <v>1367577929.5699992</v>
      </c>
      <c r="I29" s="42">
        <f>SUM(I30:I34)</f>
        <v>732138930.02999997</v>
      </c>
      <c r="J29" s="42">
        <f>SUM(J30:J34)</f>
        <v>2964430016.25</v>
      </c>
      <c r="K29" s="42">
        <f t="shared" si="1"/>
        <v>4.3727916177201109</v>
      </c>
      <c r="L29" s="59">
        <f t="shared" si="3"/>
        <v>2215966132.7299995</v>
      </c>
    </row>
    <row r="30" spans="1:12" s="5" customFormat="1" ht="14.85" customHeight="1" x14ac:dyDescent="0.25">
      <c r="A30" s="43" t="s">
        <v>52</v>
      </c>
      <c r="B30" s="44" t="s">
        <v>53</v>
      </c>
      <c r="C30" s="46">
        <v>146304452</v>
      </c>
      <c r="D30" s="46">
        <v>147558546</v>
      </c>
      <c r="E30" s="46">
        <f>F30-55139308.23</f>
        <v>52351110.339999996</v>
      </c>
      <c r="F30" s="46">
        <v>107490418.56999999</v>
      </c>
      <c r="G30" s="46">
        <f t="shared" si="0"/>
        <v>0.14557562629294818</v>
      </c>
      <c r="H30" s="46">
        <f t="shared" si="2"/>
        <v>40068127.430000007</v>
      </c>
      <c r="I30" s="46">
        <f>J30-4874370.41</f>
        <v>38603204.840000004</v>
      </c>
      <c r="J30" s="46">
        <v>43477575.25</v>
      </c>
      <c r="K30" s="46">
        <f t="shared" si="1"/>
        <v>6.4133197805254602E-2</v>
      </c>
      <c r="L30" s="55">
        <f t="shared" si="3"/>
        <v>104080970.75</v>
      </c>
    </row>
    <row r="31" spans="1:12" s="5" customFormat="1" ht="14.85" customHeight="1" x14ac:dyDescent="0.25">
      <c r="A31" s="43" t="s">
        <v>54</v>
      </c>
      <c r="B31" s="44" t="s">
        <v>55</v>
      </c>
      <c r="C31" s="46">
        <v>7589369</v>
      </c>
      <c r="D31" s="46">
        <v>8100648.2199999997</v>
      </c>
      <c r="E31" s="46">
        <f>F31-305016.76</f>
        <v>9735.4400000000023</v>
      </c>
      <c r="F31" s="46">
        <v>314752.2</v>
      </c>
      <c r="G31" s="46">
        <f t="shared" si="0"/>
        <v>4.2627286461112982E-4</v>
      </c>
      <c r="H31" s="46">
        <f t="shared" si="2"/>
        <v>7785896.0199999996</v>
      </c>
      <c r="I31" s="46">
        <f>J31-169007.81</f>
        <v>89531.459999999992</v>
      </c>
      <c r="J31" s="46">
        <v>258539.27</v>
      </c>
      <c r="K31" s="46">
        <f t="shared" si="1"/>
        <v>3.8136786718197052E-4</v>
      </c>
      <c r="L31" s="55">
        <f t="shared" si="3"/>
        <v>7842108.9500000002</v>
      </c>
    </row>
    <row r="32" spans="1:12" s="5" customFormat="1" ht="14.85" customHeight="1" x14ac:dyDescent="0.25">
      <c r="A32" s="43" t="s">
        <v>30</v>
      </c>
      <c r="B32" s="44" t="s">
        <v>31</v>
      </c>
      <c r="C32" s="46">
        <v>4324958767</v>
      </c>
      <c r="D32" s="46">
        <v>4540716034.5299997</v>
      </c>
      <c r="E32" s="46">
        <f>F32-3222496860.81</f>
        <v>332502700.09000015</v>
      </c>
      <c r="F32" s="46">
        <v>3554999560.9000001</v>
      </c>
      <c r="G32" s="46">
        <f t="shared" si="0"/>
        <v>4.8145806336418033</v>
      </c>
      <c r="H32" s="46">
        <f t="shared" si="2"/>
        <v>985716473.62999964</v>
      </c>
      <c r="I32" s="46">
        <f>J32-2140037096.48</f>
        <v>653508184.69000006</v>
      </c>
      <c r="J32" s="46">
        <v>2793545281.1700001</v>
      </c>
      <c r="K32" s="46">
        <f t="shared" si="1"/>
        <v>4.1207217988820846</v>
      </c>
      <c r="L32" s="55">
        <f t="shared" si="3"/>
        <v>1747170753.3599997</v>
      </c>
    </row>
    <row r="33" spans="1:12" s="5" customFormat="1" ht="14.85" customHeight="1" x14ac:dyDescent="0.25">
      <c r="A33" s="43" t="s">
        <v>32</v>
      </c>
      <c r="B33" s="44" t="s">
        <v>56</v>
      </c>
      <c r="C33" s="46">
        <v>77838991</v>
      </c>
      <c r="D33" s="46">
        <v>199722738.40000001</v>
      </c>
      <c r="E33" s="46">
        <f>F33-46336068.39</f>
        <v>5668483.1799999997</v>
      </c>
      <c r="F33" s="46">
        <v>52004551.57</v>
      </c>
      <c r="G33" s="46">
        <f t="shared" si="0"/>
        <v>7.0430418502431841E-2</v>
      </c>
      <c r="H33" s="46">
        <f t="shared" si="2"/>
        <v>147718186.83000001</v>
      </c>
      <c r="I33" s="46">
        <f>J33-18709172.11</f>
        <v>13571043.560000002</v>
      </c>
      <c r="J33" s="46">
        <v>32280215.670000002</v>
      </c>
      <c r="K33" s="46">
        <f t="shared" si="1"/>
        <v>4.7616120375995198E-2</v>
      </c>
      <c r="L33" s="55">
        <f t="shared" si="3"/>
        <v>167442522.73000002</v>
      </c>
    </row>
    <row r="34" spans="1:12" s="5" customFormat="1" ht="14.85" customHeight="1" x14ac:dyDescent="0.25">
      <c r="A34" s="43" t="s">
        <v>34</v>
      </c>
      <c r="B34" s="44" t="s">
        <v>35</v>
      </c>
      <c r="C34" s="46">
        <v>149503441</v>
      </c>
      <c r="D34" s="46">
        <v>284298181.82999998</v>
      </c>
      <c r="E34" s="46">
        <f>F34-70764776.14</f>
        <v>27244160.030000001</v>
      </c>
      <c r="F34" s="46">
        <v>98008936.170000002</v>
      </c>
      <c r="G34" s="46">
        <f t="shared" si="0"/>
        <v>0.13273473538445568</v>
      </c>
      <c r="H34" s="46">
        <f t="shared" si="2"/>
        <v>186289245.65999997</v>
      </c>
      <c r="I34" s="46">
        <f>J34-68501439.41</f>
        <v>26366965.480000004</v>
      </c>
      <c r="J34" s="46">
        <v>94868404.890000001</v>
      </c>
      <c r="K34" s="46">
        <f t="shared" si="1"/>
        <v>0.13993913278959488</v>
      </c>
      <c r="L34" s="55">
        <f t="shared" si="3"/>
        <v>189429776.94</v>
      </c>
    </row>
    <row r="35" spans="1:12" s="5" customFormat="1" ht="14.85" customHeight="1" x14ac:dyDescent="0.25">
      <c r="A35" s="40" t="s">
        <v>57</v>
      </c>
      <c r="B35" s="72" t="s">
        <v>58</v>
      </c>
      <c r="C35" s="42">
        <f>SUM(C36:C62)</f>
        <v>6268768591</v>
      </c>
      <c r="D35" s="42">
        <f>SUM(D36:D62)</f>
        <v>6886276102.2999992</v>
      </c>
      <c r="E35" s="42">
        <f>SUM(E36:E62)</f>
        <v>2100024241.9899998</v>
      </c>
      <c r="F35" s="42">
        <f>SUM(F36:F62)</f>
        <v>3934561288.5799999</v>
      </c>
      <c r="G35" s="42">
        <f t="shared" si="0"/>
        <v>5.3286258570108638</v>
      </c>
      <c r="H35" s="42">
        <f t="shared" si="2"/>
        <v>2951714813.7199993</v>
      </c>
      <c r="I35" s="42">
        <f>SUM(I36:I62)</f>
        <v>2070691574.5899997</v>
      </c>
      <c r="J35" s="42">
        <f>SUM(J36:J62)</f>
        <v>3759481769.5899992</v>
      </c>
      <c r="K35" s="42">
        <f t="shared" si="1"/>
        <v>5.5455619727635126</v>
      </c>
      <c r="L35" s="59">
        <f t="shared" si="3"/>
        <v>3126794332.71</v>
      </c>
    </row>
    <row r="36" spans="1:12" s="5" customFormat="1" ht="14.85" customHeight="1" x14ac:dyDescent="0.25">
      <c r="A36" s="43" t="s">
        <v>59</v>
      </c>
      <c r="B36" s="44" t="s">
        <v>60</v>
      </c>
      <c r="C36" s="46">
        <v>260024999</v>
      </c>
      <c r="D36" s="46">
        <v>136292802.22999999</v>
      </c>
      <c r="E36" s="46">
        <f t="shared" ref="E36:E62" si="6">F36-0</f>
        <v>0</v>
      </c>
      <c r="F36" s="46">
        <v>0</v>
      </c>
      <c r="G36" s="46">
        <f t="shared" si="0"/>
        <v>0</v>
      </c>
      <c r="H36" s="46">
        <f t="shared" si="2"/>
        <v>136292802.22999999</v>
      </c>
      <c r="I36" s="46">
        <f>J36-0</f>
        <v>0</v>
      </c>
      <c r="J36" s="46">
        <v>0</v>
      </c>
      <c r="K36" s="46">
        <f t="shared" si="1"/>
        <v>0</v>
      </c>
      <c r="L36" s="55">
        <f t="shared" si="3"/>
        <v>136292802.22999999</v>
      </c>
    </row>
    <row r="37" spans="1:12" s="5" customFormat="1" ht="14.85" customHeight="1" x14ac:dyDescent="0.25">
      <c r="A37" s="43" t="s">
        <v>30</v>
      </c>
      <c r="B37" s="44" t="s">
        <v>31</v>
      </c>
      <c r="C37" s="46">
        <v>3967325316</v>
      </c>
      <c r="D37" s="46">
        <v>4523304657.4799995</v>
      </c>
      <c r="E37" s="46">
        <f>F37-840859269.57</f>
        <v>1785321804.4899998</v>
      </c>
      <c r="F37" s="46">
        <v>2626181074.0599999</v>
      </c>
      <c r="G37" s="46">
        <f t="shared" si="0"/>
        <v>3.5566700707003469</v>
      </c>
      <c r="H37" s="46">
        <f t="shared" si="2"/>
        <v>1897123583.4199996</v>
      </c>
      <c r="I37" s="46">
        <f>J37-766659995.45</f>
        <v>1788547574.05</v>
      </c>
      <c r="J37" s="46">
        <v>2555207569.5</v>
      </c>
      <c r="K37" s="46">
        <f t="shared" si="1"/>
        <v>3.7691529839449212</v>
      </c>
      <c r="L37" s="55">
        <f t="shared" si="3"/>
        <v>1968097087.9799995</v>
      </c>
    </row>
    <row r="38" spans="1:12" s="5" customFormat="1" ht="14.85" customHeight="1" x14ac:dyDescent="0.25">
      <c r="A38" s="43" t="s">
        <v>61</v>
      </c>
      <c r="B38" s="44" t="s">
        <v>62</v>
      </c>
      <c r="C38" s="46">
        <v>2218750</v>
      </c>
      <c r="D38" s="46">
        <v>11008889.66</v>
      </c>
      <c r="E38" s="46">
        <f>F38-4435932.46</f>
        <v>2707789.5599999996</v>
      </c>
      <c r="F38" s="46">
        <v>7143722.0199999996</v>
      </c>
      <c r="G38" s="46">
        <f t="shared" si="0"/>
        <v>9.6748326126108296E-3</v>
      </c>
      <c r="H38" s="46">
        <f t="shared" si="2"/>
        <v>3865167.6400000006</v>
      </c>
      <c r="I38" s="46">
        <f>J38-4335942.46</f>
        <v>1096308.0899999999</v>
      </c>
      <c r="J38" s="46">
        <v>5432250.5499999998</v>
      </c>
      <c r="K38" s="46">
        <f t="shared" si="1"/>
        <v>8.0130411378185849E-3</v>
      </c>
      <c r="L38" s="55">
        <f t="shared" si="3"/>
        <v>5576639.1100000003</v>
      </c>
    </row>
    <row r="39" spans="1:12" s="5" customFormat="1" ht="14.85" customHeight="1" x14ac:dyDescent="0.25">
      <c r="A39" s="43" t="s">
        <v>63</v>
      </c>
      <c r="B39" s="44" t="s">
        <v>64</v>
      </c>
      <c r="C39" s="46">
        <v>6386924</v>
      </c>
      <c r="D39" s="46">
        <v>13924908.25</v>
      </c>
      <c r="E39" s="46">
        <f>F39-1334782.75</f>
        <v>2660729.27</v>
      </c>
      <c r="F39" s="46">
        <v>3995512.02</v>
      </c>
      <c r="G39" s="46">
        <f t="shared" si="0"/>
        <v>5.4111721994432498E-3</v>
      </c>
      <c r="H39" s="46">
        <f t="shared" si="2"/>
        <v>9929396.2300000004</v>
      </c>
      <c r="I39" s="46">
        <f>J39-1252125.39</f>
        <v>1420264.6000000003</v>
      </c>
      <c r="J39" s="46">
        <v>2672389.9900000002</v>
      </c>
      <c r="K39" s="46">
        <f t="shared" si="1"/>
        <v>3.9420072268508671E-3</v>
      </c>
      <c r="L39" s="55">
        <f t="shared" si="3"/>
        <v>11252518.26</v>
      </c>
    </row>
    <row r="40" spans="1:12" s="5" customFormat="1" ht="14.85" customHeight="1" x14ac:dyDescent="0.25">
      <c r="A40" s="43" t="s">
        <v>65</v>
      </c>
      <c r="B40" s="44" t="s">
        <v>66</v>
      </c>
      <c r="C40" s="46">
        <v>6361796</v>
      </c>
      <c r="D40" s="46">
        <v>5704833.7699999996</v>
      </c>
      <c r="E40" s="46">
        <f>F40-3875594.91</f>
        <v>1040785.6200000001</v>
      </c>
      <c r="F40" s="46">
        <v>4916380.53</v>
      </c>
      <c r="G40" s="46">
        <f t="shared" si="0"/>
        <v>6.6583160087252272E-3</v>
      </c>
      <c r="H40" s="46">
        <f t="shared" si="2"/>
        <v>788453.23999999929</v>
      </c>
      <c r="I40" s="46">
        <f>J40-1893084.92</f>
        <v>1015348.8000000003</v>
      </c>
      <c r="J40" s="46">
        <v>2908433.72</v>
      </c>
      <c r="K40" s="46">
        <f t="shared" si="1"/>
        <v>4.2901922196830079E-3</v>
      </c>
      <c r="L40" s="55">
        <f t="shared" si="3"/>
        <v>2796400.0499999993</v>
      </c>
    </row>
    <row r="41" spans="1:12" s="5" customFormat="1" ht="14.85" customHeight="1" x14ac:dyDescent="0.25">
      <c r="A41" s="43" t="s">
        <v>32</v>
      </c>
      <c r="B41" s="44" t="s">
        <v>33</v>
      </c>
      <c r="C41" s="46">
        <v>149715046</v>
      </c>
      <c r="D41" s="46">
        <v>150215046</v>
      </c>
      <c r="E41" s="46">
        <f>F41-75548262.68</f>
        <v>20894024.639999986</v>
      </c>
      <c r="F41" s="46">
        <v>96442287.319999993</v>
      </c>
      <c r="G41" s="46">
        <f t="shared" si="0"/>
        <v>0.13061300313562871</v>
      </c>
      <c r="H41" s="46">
        <f t="shared" si="2"/>
        <v>53772758.680000007</v>
      </c>
      <c r="I41" s="46">
        <f>J41-37713399.78</f>
        <v>14151086.689999998</v>
      </c>
      <c r="J41" s="46">
        <v>51864486.469999999</v>
      </c>
      <c r="K41" s="46">
        <f t="shared" si="1"/>
        <v>7.6504619926992395E-2</v>
      </c>
      <c r="L41" s="55">
        <f t="shared" si="3"/>
        <v>98350559.530000001</v>
      </c>
    </row>
    <row r="42" spans="1:12" s="5" customFormat="1" ht="14.85" customHeight="1" x14ac:dyDescent="0.25">
      <c r="A42" s="43" t="s">
        <v>67</v>
      </c>
      <c r="B42" s="44" t="s">
        <v>68</v>
      </c>
      <c r="C42" s="46">
        <v>60430000</v>
      </c>
      <c r="D42" s="46">
        <v>173345000</v>
      </c>
      <c r="E42" s="46">
        <f>F42-47358677.06</f>
        <v>1921141.1999999955</v>
      </c>
      <c r="F42" s="46">
        <v>49279818.259999998</v>
      </c>
      <c r="G42" s="46">
        <f t="shared" si="0"/>
        <v>6.6740277898632835E-2</v>
      </c>
      <c r="H42" s="46">
        <f t="shared" si="2"/>
        <v>124065181.74000001</v>
      </c>
      <c r="I42" s="46">
        <f>J42-20521863.91</f>
        <v>4800551.1499999985</v>
      </c>
      <c r="J42" s="46">
        <v>25322415.059999999</v>
      </c>
      <c r="K42" s="46">
        <f t="shared" si="1"/>
        <v>3.7352760465861952E-2</v>
      </c>
      <c r="L42" s="55">
        <f t="shared" si="3"/>
        <v>148022584.94</v>
      </c>
    </row>
    <row r="43" spans="1:12" s="5" customFormat="1" ht="14.85" customHeight="1" x14ac:dyDescent="0.25">
      <c r="A43" s="43" t="s">
        <v>34</v>
      </c>
      <c r="B43" s="44" t="s">
        <v>35</v>
      </c>
      <c r="C43" s="46">
        <v>26860666</v>
      </c>
      <c r="D43" s="46">
        <v>9831336.6999999993</v>
      </c>
      <c r="E43" s="46">
        <f>F43-176821.37</f>
        <v>336558.13</v>
      </c>
      <c r="F43" s="46">
        <v>513379.5</v>
      </c>
      <c r="G43" s="46">
        <f t="shared" si="0"/>
        <v>6.952763160912918E-4</v>
      </c>
      <c r="H43" s="46">
        <f t="shared" si="2"/>
        <v>9317957.1999999993</v>
      </c>
      <c r="I43" s="46">
        <f>J43-64395.27</f>
        <v>267993.07999999996</v>
      </c>
      <c r="J43" s="46">
        <v>332388.34999999998</v>
      </c>
      <c r="K43" s="46">
        <f t="shared" si="1"/>
        <v>4.9030167106000699E-4</v>
      </c>
      <c r="L43" s="55">
        <f t="shared" si="3"/>
        <v>9498948.3499999996</v>
      </c>
    </row>
    <row r="44" spans="1:12" s="5" customFormat="1" ht="14.85" customHeight="1" x14ac:dyDescent="0.25">
      <c r="A44" s="43" t="s">
        <v>69</v>
      </c>
      <c r="B44" s="44" t="s">
        <v>70</v>
      </c>
      <c r="C44" s="46">
        <v>0</v>
      </c>
      <c r="D44" s="46">
        <v>0</v>
      </c>
      <c r="E44" s="46">
        <f t="shared" si="6"/>
        <v>0</v>
      </c>
      <c r="F44" s="46">
        <v>0</v>
      </c>
      <c r="G44" s="46">
        <f t="shared" si="0"/>
        <v>0</v>
      </c>
      <c r="H44" s="46">
        <f t="shared" si="2"/>
        <v>0</v>
      </c>
      <c r="I44" s="46">
        <f t="shared" ref="I44:I57" si="7">J44-0</f>
        <v>0</v>
      </c>
      <c r="J44" s="46">
        <v>0</v>
      </c>
      <c r="K44" s="46">
        <f t="shared" si="1"/>
        <v>0</v>
      </c>
      <c r="L44" s="55">
        <f t="shared" si="3"/>
        <v>0</v>
      </c>
    </row>
    <row r="45" spans="1:12" s="5" customFormat="1" ht="14.85" customHeight="1" x14ac:dyDescent="0.25">
      <c r="A45" s="43" t="s">
        <v>71</v>
      </c>
      <c r="B45" s="44" t="s">
        <v>72</v>
      </c>
      <c r="C45" s="46">
        <v>23656352</v>
      </c>
      <c r="D45" s="46">
        <v>32156352</v>
      </c>
      <c r="E45" s="46">
        <f>F45-7445328.57</f>
        <v>3882493.1999999993</v>
      </c>
      <c r="F45" s="93">
        <v>11327821.77</v>
      </c>
      <c r="G45" s="46">
        <f t="shared" ref="G45:G76" si="8">(F45/$F$317)*100</f>
        <v>1.5341411547567321E-2</v>
      </c>
      <c r="H45" s="46">
        <f t="shared" si="2"/>
        <v>20828530.23</v>
      </c>
      <c r="I45" s="46">
        <f>J45-6276933.56</f>
        <v>2245604.12</v>
      </c>
      <c r="J45" s="93">
        <v>8522537.6799999997</v>
      </c>
      <c r="K45" s="46">
        <f t="shared" ref="K45:K76" si="9">(J45/$J$317)*100</f>
        <v>1.2571482924043142E-2</v>
      </c>
      <c r="L45" s="55">
        <f t="shared" si="3"/>
        <v>23633814.32</v>
      </c>
    </row>
    <row r="46" spans="1:12" s="5" customFormat="1" ht="14.85" customHeight="1" x14ac:dyDescent="0.25">
      <c r="A46" s="43" t="s">
        <v>36</v>
      </c>
      <c r="B46" s="44" t="s">
        <v>37</v>
      </c>
      <c r="C46" s="46">
        <v>2681036</v>
      </c>
      <c r="D46" s="46">
        <v>53890181.609999999</v>
      </c>
      <c r="E46" s="46">
        <f>F46-21467906.64</f>
        <v>26608233.329999998</v>
      </c>
      <c r="F46" s="93">
        <v>48076139.969999999</v>
      </c>
      <c r="G46" s="46">
        <f t="shared" si="8"/>
        <v>6.5110121246039057E-2</v>
      </c>
      <c r="H46" s="46">
        <f t="shared" si="2"/>
        <v>5814041.6400000006</v>
      </c>
      <c r="I46" s="46">
        <f>J46-18087983.68</f>
        <v>2593035.5500000007</v>
      </c>
      <c r="J46" s="93">
        <v>20681019.23</v>
      </c>
      <c r="K46" s="46">
        <f t="shared" si="9"/>
        <v>3.0506298694563571E-2</v>
      </c>
      <c r="L46" s="55">
        <f t="shared" si="3"/>
        <v>33209162.379999999</v>
      </c>
    </row>
    <row r="47" spans="1:12" s="5" customFormat="1" ht="14.85" customHeight="1" x14ac:dyDescent="0.25">
      <c r="A47" s="43" t="s">
        <v>73</v>
      </c>
      <c r="B47" s="44" t="s">
        <v>74</v>
      </c>
      <c r="C47" s="46">
        <v>0</v>
      </c>
      <c r="D47" s="46">
        <v>0</v>
      </c>
      <c r="E47" s="46">
        <f t="shared" si="6"/>
        <v>0</v>
      </c>
      <c r="F47" s="46">
        <v>0</v>
      </c>
      <c r="G47" s="46">
        <f t="shared" si="8"/>
        <v>0</v>
      </c>
      <c r="H47" s="46">
        <f t="shared" si="2"/>
        <v>0</v>
      </c>
      <c r="I47" s="46">
        <f t="shared" si="7"/>
        <v>0</v>
      </c>
      <c r="J47" s="46">
        <v>0</v>
      </c>
      <c r="K47" s="46">
        <f t="shared" si="9"/>
        <v>0</v>
      </c>
      <c r="L47" s="55">
        <f t="shared" si="3"/>
        <v>0</v>
      </c>
    </row>
    <row r="48" spans="1:12" s="5" customFormat="1" ht="14.85" customHeight="1" x14ac:dyDescent="0.25">
      <c r="A48" s="43" t="s">
        <v>38</v>
      </c>
      <c r="B48" s="44" t="s">
        <v>39</v>
      </c>
      <c r="C48" s="46">
        <v>0</v>
      </c>
      <c r="D48" s="46">
        <v>0</v>
      </c>
      <c r="E48" s="46">
        <f>F48-0</f>
        <v>0</v>
      </c>
      <c r="F48" s="46">
        <v>0</v>
      </c>
      <c r="G48" s="46">
        <f t="shared" si="8"/>
        <v>0</v>
      </c>
      <c r="H48" s="46">
        <f t="shared" si="2"/>
        <v>0</v>
      </c>
      <c r="I48" s="46">
        <f t="shared" si="7"/>
        <v>0</v>
      </c>
      <c r="J48" s="46">
        <v>0</v>
      </c>
      <c r="K48" s="46">
        <f t="shared" si="9"/>
        <v>0</v>
      </c>
      <c r="L48" s="55">
        <f t="shared" si="3"/>
        <v>0</v>
      </c>
    </row>
    <row r="49" spans="1:12" s="5" customFormat="1" ht="14.85" customHeight="1" x14ac:dyDescent="0.25">
      <c r="A49" s="43" t="s">
        <v>75</v>
      </c>
      <c r="B49" s="44" t="s">
        <v>76</v>
      </c>
      <c r="C49" s="46">
        <v>0</v>
      </c>
      <c r="D49" s="46">
        <v>0</v>
      </c>
      <c r="E49" s="46">
        <f>F49-0</f>
        <v>0</v>
      </c>
      <c r="F49" s="46">
        <v>0</v>
      </c>
      <c r="G49" s="46">
        <f t="shared" si="8"/>
        <v>0</v>
      </c>
      <c r="H49" s="46">
        <f t="shared" si="2"/>
        <v>0</v>
      </c>
      <c r="I49" s="46">
        <f t="shared" si="7"/>
        <v>0</v>
      </c>
      <c r="J49" s="46">
        <v>0</v>
      </c>
      <c r="K49" s="46">
        <f t="shared" si="9"/>
        <v>0</v>
      </c>
      <c r="L49" s="55">
        <f t="shared" si="3"/>
        <v>0</v>
      </c>
    </row>
    <row r="50" spans="1:12" s="5" customFormat="1" ht="14.85" customHeight="1" x14ac:dyDescent="0.25">
      <c r="A50" s="43" t="s">
        <v>40</v>
      </c>
      <c r="B50" s="44" t="s">
        <v>41</v>
      </c>
      <c r="C50" s="46">
        <v>63092698</v>
      </c>
      <c r="D50" s="46">
        <v>76587086.599999994</v>
      </c>
      <c r="E50" s="46">
        <f>F50-45968040.4</f>
        <v>13843390.700000003</v>
      </c>
      <c r="F50" s="93">
        <v>59811431.100000001</v>
      </c>
      <c r="G50" s="46">
        <f t="shared" si="8"/>
        <v>8.1003373674554846E-2</v>
      </c>
      <c r="H50" s="46">
        <f t="shared" si="2"/>
        <v>16775655.499999993</v>
      </c>
      <c r="I50" s="46">
        <f>J50-45918040.4</f>
        <v>13746516.609999999</v>
      </c>
      <c r="J50" s="93">
        <v>59664557.009999998</v>
      </c>
      <c r="K50" s="46">
        <f t="shared" si="9"/>
        <v>8.8010401101777644E-2</v>
      </c>
      <c r="L50" s="55">
        <f t="shared" si="3"/>
        <v>16922529.589999996</v>
      </c>
    </row>
    <row r="51" spans="1:12" s="5" customFormat="1" ht="14.85" customHeight="1" x14ac:dyDescent="0.25">
      <c r="A51" s="66" t="s">
        <v>77</v>
      </c>
      <c r="B51" s="44" t="s">
        <v>78</v>
      </c>
      <c r="C51" s="46">
        <v>0</v>
      </c>
      <c r="D51" s="46">
        <v>0</v>
      </c>
      <c r="E51" s="46">
        <f t="shared" si="6"/>
        <v>0</v>
      </c>
      <c r="F51" s="46">
        <v>0</v>
      </c>
      <c r="G51" s="46">
        <f t="shared" si="8"/>
        <v>0</v>
      </c>
      <c r="H51" s="46">
        <f t="shared" si="2"/>
        <v>0</v>
      </c>
      <c r="I51" s="46">
        <f t="shared" si="7"/>
        <v>0</v>
      </c>
      <c r="J51" s="46">
        <v>0</v>
      </c>
      <c r="K51" s="46">
        <f t="shared" si="9"/>
        <v>0</v>
      </c>
      <c r="L51" s="55">
        <f t="shared" si="3"/>
        <v>0</v>
      </c>
    </row>
    <row r="52" spans="1:12" s="5" customFormat="1" ht="14.85" customHeight="1" x14ac:dyDescent="0.25">
      <c r="A52" s="43" t="s">
        <v>79</v>
      </c>
      <c r="B52" s="44" t="s">
        <v>80</v>
      </c>
      <c r="C52" s="46">
        <v>0</v>
      </c>
      <c r="D52" s="46">
        <v>0</v>
      </c>
      <c r="E52" s="46">
        <f t="shared" si="6"/>
        <v>0</v>
      </c>
      <c r="F52" s="46">
        <v>0</v>
      </c>
      <c r="G52" s="46">
        <f t="shared" si="8"/>
        <v>0</v>
      </c>
      <c r="H52" s="46">
        <f t="shared" si="2"/>
        <v>0</v>
      </c>
      <c r="I52" s="46">
        <f t="shared" si="7"/>
        <v>0</v>
      </c>
      <c r="J52" s="46">
        <v>0</v>
      </c>
      <c r="K52" s="46">
        <f t="shared" si="9"/>
        <v>0</v>
      </c>
      <c r="L52" s="55">
        <f t="shared" si="3"/>
        <v>0</v>
      </c>
    </row>
    <row r="53" spans="1:12" s="5" customFormat="1" ht="14.85" customHeight="1" x14ac:dyDescent="0.25">
      <c r="A53" s="43" t="s">
        <v>81</v>
      </c>
      <c r="B53" s="44" t="s">
        <v>82</v>
      </c>
      <c r="C53" s="46">
        <v>0</v>
      </c>
      <c r="D53" s="46">
        <v>0</v>
      </c>
      <c r="E53" s="46">
        <f t="shared" si="6"/>
        <v>0</v>
      </c>
      <c r="F53" s="46">
        <v>0</v>
      </c>
      <c r="G53" s="46">
        <f t="shared" si="8"/>
        <v>0</v>
      </c>
      <c r="H53" s="46">
        <f t="shared" si="2"/>
        <v>0</v>
      </c>
      <c r="I53" s="46">
        <f t="shared" si="7"/>
        <v>0</v>
      </c>
      <c r="J53" s="46">
        <v>0</v>
      </c>
      <c r="K53" s="46">
        <f t="shared" si="9"/>
        <v>0</v>
      </c>
      <c r="L53" s="55">
        <f t="shared" si="3"/>
        <v>0</v>
      </c>
    </row>
    <row r="54" spans="1:12" s="5" customFormat="1" ht="14.85" customHeight="1" x14ac:dyDescent="0.25">
      <c r="A54" s="43" t="s">
        <v>83</v>
      </c>
      <c r="B54" s="44" t="s">
        <v>84</v>
      </c>
      <c r="C54" s="46">
        <v>0</v>
      </c>
      <c r="D54" s="46">
        <v>0</v>
      </c>
      <c r="E54" s="46">
        <f t="shared" si="6"/>
        <v>0</v>
      </c>
      <c r="F54" s="46">
        <v>0</v>
      </c>
      <c r="G54" s="46">
        <f t="shared" si="8"/>
        <v>0</v>
      </c>
      <c r="H54" s="46">
        <f t="shared" si="2"/>
        <v>0</v>
      </c>
      <c r="I54" s="46">
        <f t="shared" si="7"/>
        <v>0</v>
      </c>
      <c r="J54" s="46">
        <v>0</v>
      </c>
      <c r="K54" s="46">
        <f t="shared" si="9"/>
        <v>0</v>
      </c>
      <c r="L54" s="55">
        <f t="shared" si="3"/>
        <v>0</v>
      </c>
    </row>
    <row r="55" spans="1:12" s="5" customFormat="1" ht="14.85" customHeight="1" x14ac:dyDescent="0.25">
      <c r="A55" s="43" t="s">
        <v>85</v>
      </c>
      <c r="B55" s="44" t="s">
        <v>86</v>
      </c>
      <c r="C55" s="93">
        <v>97155</v>
      </c>
      <c r="D55" s="93">
        <v>97155</v>
      </c>
      <c r="E55" s="46">
        <f t="shared" si="6"/>
        <v>0</v>
      </c>
      <c r="F55" s="46">
        <v>0</v>
      </c>
      <c r="G55" s="46">
        <f t="shared" si="8"/>
        <v>0</v>
      </c>
      <c r="H55" s="46">
        <f t="shared" si="2"/>
        <v>97155</v>
      </c>
      <c r="I55" s="46">
        <f t="shared" si="7"/>
        <v>0</v>
      </c>
      <c r="J55" s="46">
        <v>0</v>
      </c>
      <c r="K55" s="46">
        <f t="shared" si="9"/>
        <v>0</v>
      </c>
      <c r="L55" s="55">
        <f t="shared" si="3"/>
        <v>97155</v>
      </c>
    </row>
    <row r="56" spans="1:12" s="5" customFormat="1" ht="14.85" customHeight="1" x14ac:dyDescent="0.25">
      <c r="A56" s="43" t="s">
        <v>87</v>
      </c>
      <c r="B56" s="44" t="s">
        <v>88</v>
      </c>
      <c r="C56" s="46">
        <v>0</v>
      </c>
      <c r="D56" s="46">
        <v>0</v>
      </c>
      <c r="E56" s="46">
        <f t="shared" si="6"/>
        <v>0</v>
      </c>
      <c r="F56" s="46">
        <v>0</v>
      </c>
      <c r="G56" s="46">
        <f t="shared" si="8"/>
        <v>0</v>
      </c>
      <c r="H56" s="46">
        <f t="shared" si="2"/>
        <v>0</v>
      </c>
      <c r="I56" s="46">
        <f t="shared" si="7"/>
        <v>0</v>
      </c>
      <c r="J56" s="46">
        <v>0</v>
      </c>
      <c r="K56" s="46">
        <f t="shared" si="9"/>
        <v>0</v>
      </c>
      <c r="L56" s="55">
        <f t="shared" si="3"/>
        <v>0</v>
      </c>
    </row>
    <row r="57" spans="1:12" s="5" customFormat="1" ht="14.85" customHeight="1" x14ac:dyDescent="0.25">
      <c r="A57" s="43" t="s">
        <v>89</v>
      </c>
      <c r="B57" s="44" t="s">
        <v>90</v>
      </c>
      <c r="C57" s="46">
        <v>0</v>
      </c>
      <c r="D57" s="46">
        <v>0</v>
      </c>
      <c r="E57" s="46">
        <f t="shared" si="6"/>
        <v>0</v>
      </c>
      <c r="F57" s="46">
        <v>0</v>
      </c>
      <c r="G57" s="46">
        <f t="shared" si="8"/>
        <v>0</v>
      </c>
      <c r="H57" s="46">
        <f t="shared" si="2"/>
        <v>0</v>
      </c>
      <c r="I57" s="46">
        <f t="shared" si="7"/>
        <v>0</v>
      </c>
      <c r="J57" s="46">
        <v>0</v>
      </c>
      <c r="K57" s="46">
        <f t="shared" si="9"/>
        <v>0</v>
      </c>
      <c r="L57" s="55">
        <f t="shared" si="3"/>
        <v>0</v>
      </c>
    </row>
    <row r="58" spans="1:12" s="5" customFormat="1" ht="14.85" customHeight="1" x14ac:dyDescent="0.25">
      <c r="A58" s="43" t="s">
        <v>91</v>
      </c>
      <c r="B58" s="44" t="s">
        <v>92</v>
      </c>
      <c r="C58" s="46">
        <v>0</v>
      </c>
      <c r="D58" s="46">
        <v>0</v>
      </c>
      <c r="E58" s="46">
        <f t="shared" si="6"/>
        <v>0</v>
      </c>
      <c r="F58" s="46">
        <v>0</v>
      </c>
      <c r="G58" s="46">
        <f t="shared" si="8"/>
        <v>0</v>
      </c>
      <c r="H58" s="46">
        <f t="shared" si="2"/>
        <v>0</v>
      </c>
      <c r="I58" s="46">
        <v>0</v>
      </c>
      <c r="J58" s="46">
        <v>0</v>
      </c>
      <c r="K58" s="46">
        <f t="shared" si="9"/>
        <v>0</v>
      </c>
      <c r="L58" s="55">
        <f t="shared" si="3"/>
        <v>0</v>
      </c>
    </row>
    <row r="59" spans="1:12" s="5" customFormat="1" ht="14.85" customHeight="1" x14ac:dyDescent="0.25">
      <c r="A59" s="43" t="s">
        <v>93</v>
      </c>
      <c r="B59" s="44" t="s">
        <v>94</v>
      </c>
      <c r="C59" s="46">
        <v>1699917853</v>
      </c>
      <c r="D59" s="46">
        <v>1699917853</v>
      </c>
      <c r="E59" s="46">
        <f>F59-786066430.18</f>
        <v>240807291.85000002</v>
      </c>
      <c r="F59" s="93">
        <v>1026873722.03</v>
      </c>
      <c r="G59" s="46">
        <f t="shared" si="8"/>
        <v>1.390708001671223</v>
      </c>
      <c r="H59" s="46">
        <f t="shared" si="2"/>
        <v>673044130.97000003</v>
      </c>
      <c r="I59" s="46">
        <f>J59-786066430.18</f>
        <v>240807291.85000002</v>
      </c>
      <c r="J59" s="93">
        <v>1026873722.03</v>
      </c>
      <c r="K59" s="46">
        <f t="shared" si="9"/>
        <v>1.5147278834499407</v>
      </c>
      <c r="L59" s="55">
        <f t="shared" si="3"/>
        <v>673044130.97000003</v>
      </c>
    </row>
    <row r="60" spans="1:12" s="5" customFormat="1" ht="14.85" customHeight="1" x14ac:dyDescent="0.25">
      <c r="A60" s="43" t="s">
        <v>95</v>
      </c>
      <c r="B60" s="44" t="s">
        <v>96</v>
      </c>
      <c r="C60" s="46">
        <v>0</v>
      </c>
      <c r="D60" s="46">
        <v>0</v>
      </c>
      <c r="E60" s="46">
        <f t="shared" si="6"/>
        <v>0</v>
      </c>
      <c r="F60" s="46">
        <v>0</v>
      </c>
      <c r="G60" s="46">
        <f t="shared" si="8"/>
        <v>0</v>
      </c>
      <c r="H60" s="46">
        <f t="shared" si="2"/>
        <v>0</v>
      </c>
      <c r="I60" s="46">
        <f>J60-0</f>
        <v>0</v>
      </c>
      <c r="J60" s="46">
        <v>0</v>
      </c>
      <c r="K60" s="46">
        <f t="shared" si="9"/>
        <v>0</v>
      </c>
      <c r="L60" s="55">
        <f t="shared" si="3"/>
        <v>0</v>
      </c>
    </row>
    <row r="61" spans="1:12" s="5" customFormat="1" ht="14.85" customHeight="1" x14ac:dyDescent="0.25">
      <c r="A61" s="43" t="s">
        <v>97</v>
      </c>
      <c r="B61" s="44" t="s">
        <v>98</v>
      </c>
      <c r="C61" s="46">
        <v>0</v>
      </c>
      <c r="D61" s="46">
        <v>0</v>
      </c>
      <c r="E61" s="46">
        <f>F61-0</f>
        <v>0</v>
      </c>
      <c r="F61" s="46">
        <v>0</v>
      </c>
      <c r="G61" s="46">
        <f t="shared" si="8"/>
        <v>0</v>
      </c>
      <c r="H61" s="46">
        <f t="shared" si="2"/>
        <v>0</v>
      </c>
      <c r="I61" s="46">
        <f>J61-0</f>
        <v>0</v>
      </c>
      <c r="J61" s="46">
        <v>0</v>
      </c>
      <c r="K61" s="46">
        <f t="shared" si="9"/>
        <v>0</v>
      </c>
      <c r="L61" s="55">
        <f t="shared" si="3"/>
        <v>0</v>
      </c>
    </row>
    <row r="62" spans="1:12" s="5" customFormat="1" ht="14.85" customHeight="1" x14ac:dyDescent="0.25">
      <c r="A62" s="43" t="s">
        <v>99</v>
      </c>
      <c r="B62" s="44" t="s">
        <v>100</v>
      </c>
      <c r="C62" s="46">
        <v>0</v>
      </c>
      <c r="D62" s="46">
        <v>0</v>
      </c>
      <c r="E62" s="46">
        <f t="shared" si="6"/>
        <v>0</v>
      </c>
      <c r="F62" s="46">
        <v>0</v>
      </c>
      <c r="G62" s="46">
        <f t="shared" si="8"/>
        <v>0</v>
      </c>
      <c r="H62" s="46">
        <f t="shared" si="2"/>
        <v>0</v>
      </c>
      <c r="I62" s="46">
        <f>J62-0</f>
        <v>0</v>
      </c>
      <c r="J62" s="46">
        <v>0</v>
      </c>
      <c r="K62" s="46">
        <f t="shared" si="9"/>
        <v>0</v>
      </c>
      <c r="L62" s="55">
        <f t="shared" si="3"/>
        <v>0</v>
      </c>
    </row>
    <row r="63" spans="1:12" s="5" customFormat="1" ht="14.85" customHeight="1" x14ac:dyDescent="0.25">
      <c r="A63" s="68" t="s">
        <v>101</v>
      </c>
      <c r="B63" s="72" t="s">
        <v>102</v>
      </c>
      <c r="C63" s="42">
        <f>SUM(C64:C86)</f>
        <v>16693088789</v>
      </c>
      <c r="D63" s="42">
        <f>SUM(D64:D86)</f>
        <v>17391744816.169994</v>
      </c>
      <c r="E63" s="42">
        <f>SUM(E64:E86)</f>
        <v>2715094525.5300007</v>
      </c>
      <c r="F63" s="42">
        <f>SUM(F64:F86)</f>
        <v>10573870591.930004</v>
      </c>
      <c r="G63" s="42">
        <f t="shared" si="8"/>
        <v>14.320325981039641</v>
      </c>
      <c r="H63" s="42">
        <f t="shared" si="2"/>
        <v>6817874224.2399902</v>
      </c>
      <c r="I63" s="42">
        <f>SUM(I64:I86)</f>
        <v>2545990060.7200007</v>
      </c>
      <c r="J63" s="42">
        <f>SUM(J64:J86)</f>
        <v>9988347642.2200012</v>
      </c>
      <c r="K63" s="42">
        <f t="shared" si="9"/>
        <v>14.733679866062536</v>
      </c>
      <c r="L63" s="59">
        <f t="shared" si="3"/>
        <v>7403397173.9499931</v>
      </c>
    </row>
    <row r="64" spans="1:12" s="5" customFormat="1" ht="14.85" customHeight="1" x14ac:dyDescent="0.25">
      <c r="A64" s="43" t="s">
        <v>48</v>
      </c>
      <c r="B64" s="44" t="s">
        <v>103</v>
      </c>
      <c r="C64" s="46">
        <v>0</v>
      </c>
      <c r="D64" s="46">
        <v>0</v>
      </c>
      <c r="E64" s="46">
        <f>F64-0</f>
        <v>0</v>
      </c>
      <c r="F64" s="46">
        <v>0</v>
      </c>
      <c r="G64" s="46">
        <f t="shared" si="8"/>
        <v>0</v>
      </c>
      <c r="H64" s="46">
        <f t="shared" si="2"/>
        <v>0</v>
      </c>
      <c r="I64" s="46">
        <f>J64-0</f>
        <v>0</v>
      </c>
      <c r="J64" s="46">
        <v>0</v>
      </c>
      <c r="K64" s="46">
        <f t="shared" si="9"/>
        <v>0</v>
      </c>
      <c r="L64" s="55">
        <f t="shared" si="3"/>
        <v>0</v>
      </c>
    </row>
    <row r="65" spans="1:12" s="5" customFormat="1" ht="14.85" customHeight="1" x14ac:dyDescent="0.25">
      <c r="A65" s="43" t="s">
        <v>30</v>
      </c>
      <c r="B65" s="44" t="s">
        <v>31</v>
      </c>
      <c r="C65" s="93">
        <v>14824873447</v>
      </c>
      <c r="D65" s="93">
        <v>15110006053.57</v>
      </c>
      <c r="E65" s="46">
        <f>F65-7054805924</f>
        <v>2302597352.5300007</v>
      </c>
      <c r="F65" s="46">
        <v>9357403276.5300007</v>
      </c>
      <c r="G65" s="46">
        <f t="shared" si="8"/>
        <v>12.672848990437604</v>
      </c>
      <c r="H65" s="46">
        <f t="shared" si="2"/>
        <v>5752602777.039999</v>
      </c>
      <c r="I65" s="46">
        <f>J65-6903459024.89</f>
        <v>2272664364.4000006</v>
      </c>
      <c r="J65" s="46">
        <v>9176123389.2900009</v>
      </c>
      <c r="K65" s="46">
        <f t="shared" si="9"/>
        <v>13.535578583370031</v>
      </c>
      <c r="L65" s="55">
        <f t="shared" si="3"/>
        <v>5933882664.2799988</v>
      </c>
    </row>
    <row r="66" spans="1:12" s="5" customFormat="1" ht="14.85" customHeight="1" x14ac:dyDescent="0.25">
      <c r="A66" s="43" t="s">
        <v>65</v>
      </c>
      <c r="B66" s="44" t="s">
        <v>66</v>
      </c>
      <c r="C66" s="46">
        <v>205637785</v>
      </c>
      <c r="D66" s="46">
        <v>278691039.72000003</v>
      </c>
      <c r="E66" s="46">
        <f>F66-94187506.45</f>
        <v>50713698.86999999</v>
      </c>
      <c r="F66" s="46">
        <v>144901205.31999999</v>
      </c>
      <c r="G66" s="46">
        <f t="shared" si="8"/>
        <v>0.19624152548373569</v>
      </c>
      <c r="H66" s="46">
        <f t="shared" si="2"/>
        <v>133789834.40000004</v>
      </c>
      <c r="I66" s="46">
        <f>J66-75344496.79</f>
        <v>37108418.059999987</v>
      </c>
      <c r="J66" s="46">
        <v>112452914.84999999</v>
      </c>
      <c r="K66" s="46">
        <f t="shared" si="9"/>
        <v>0.16587781150128658</v>
      </c>
      <c r="L66" s="55">
        <f t="shared" si="3"/>
        <v>166238124.87000003</v>
      </c>
    </row>
    <row r="67" spans="1:12" s="5" customFormat="1" ht="14.85" customHeight="1" x14ac:dyDescent="0.25">
      <c r="A67" s="66" t="s">
        <v>32</v>
      </c>
      <c r="B67" s="67" t="s">
        <v>33</v>
      </c>
      <c r="C67" s="46">
        <v>87621598</v>
      </c>
      <c r="D67" s="46">
        <v>145702777.31999999</v>
      </c>
      <c r="E67" s="46">
        <f>F67-58872894.99</f>
        <v>36957393.389999993</v>
      </c>
      <c r="F67" s="46">
        <v>95830288.379999995</v>
      </c>
      <c r="G67" s="46">
        <f t="shared" si="8"/>
        <v>0.12978416527113476</v>
      </c>
      <c r="H67" s="46">
        <f t="shared" si="2"/>
        <v>49872488.939999998</v>
      </c>
      <c r="I67" s="46">
        <f>J67-38262890.5</f>
        <v>23237108.899999999</v>
      </c>
      <c r="J67" s="46">
        <v>61499999.399999999</v>
      </c>
      <c r="K67" s="46">
        <f t="shared" si="9"/>
        <v>9.0717837962760811E-2</v>
      </c>
      <c r="L67" s="55">
        <f t="shared" si="3"/>
        <v>84202777.919999987</v>
      </c>
    </row>
    <row r="68" spans="1:12" s="5" customFormat="1" ht="14.85" customHeight="1" x14ac:dyDescent="0.25">
      <c r="A68" s="43" t="s">
        <v>34</v>
      </c>
      <c r="B68" s="44" t="s">
        <v>35</v>
      </c>
      <c r="C68" s="46">
        <v>15128633</v>
      </c>
      <c r="D68" s="46">
        <v>18723962</v>
      </c>
      <c r="E68" s="46">
        <f>F68-1116023.34</f>
        <v>3513460.1799999997</v>
      </c>
      <c r="F68" s="46">
        <v>4629483.5199999996</v>
      </c>
      <c r="G68" s="46">
        <f t="shared" si="8"/>
        <v>6.2697677783996953E-3</v>
      </c>
      <c r="H68" s="46">
        <f t="shared" si="2"/>
        <v>14094478.48</v>
      </c>
      <c r="I68" s="46">
        <f>J68-605385.66</f>
        <v>173529.82999999996</v>
      </c>
      <c r="J68" s="46">
        <v>778915.49</v>
      </c>
      <c r="K68" s="46">
        <f t="shared" si="9"/>
        <v>1.1489679658192719E-3</v>
      </c>
      <c r="L68" s="55">
        <f t="shared" si="3"/>
        <v>17945046.510000002</v>
      </c>
    </row>
    <row r="69" spans="1:12" s="5" customFormat="1" ht="14.85" customHeight="1" x14ac:dyDescent="0.25">
      <c r="A69" s="43" t="s">
        <v>104</v>
      </c>
      <c r="B69" s="44" t="s">
        <v>105</v>
      </c>
      <c r="C69" s="46">
        <v>403937980</v>
      </c>
      <c r="D69" s="46">
        <v>520400410.88</v>
      </c>
      <c r="E69" s="46">
        <f>F69-194977456.24</f>
        <v>74382544.800000012</v>
      </c>
      <c r="F69" s="46">
        <v>269360001.04000002</v>
      </c>
      <c r="G69" s="46">
        <f t="shared" si="8"/>
        <v>0.36479763844375895</v>
      </c>
      <c r="H69" s="46">
        <f t="shared" si="2"/>
        <v>251040409.83999997</v>
      </c>
      <c r="I69" s="46">
        <f>J69-104458420.7</f>
        <v>62470763.11999999</v>
      </c>
      <c r="J69" s="46">
        <v>166929183.81999999</v>
      </c>
      <c r="K69" s="46">
        <f t="shared" si="9"/>
        <v>0.24623503734601129</v>
      </c>
      <c r="L69" s="55">
        <f t="shared" si="3"/>
        <v>353471227.06</v>
      </c>
    </row>
    <row r="70" spans="1:12" s="5" customFormat="1" ht="14.85" customHeight="1" x14ac:dyDescent="0.25">
      <c r="A70" s="43" t="s">
        <v>106</v>
      </c>
      <c r="B70" s="44" t="s">
        <v>107</v>
      </c>
      <c r="C70" s="46">
        <v>232652325</v>
      </c>
      <c r="D70" s="46">
        <v>262188145.99000001</v>
      </c>
      <c r="E70" s="46">
        <f>F70-129301766.35</f>
        <v>66627111.24000001</v>
      </c>
      <c r="F70" s="46">
        <v>195928877.59</v>
      </c>
      <c r="G70" s="46">
        <f t="shared" si="8"/>
        <v>0.26534894405927167</v>
      </c>
      <c r="H70" s="46">
        <f t="shared" si="2"/>
        <v>66259268.400000006</v>
      </c>
      <c r="I70" s="46">
        <f>J70-84368168.1</f>
        <v>33391451.730000004</v>
      </c>
      <c r="J70" s="46">
        <v>117759619.83</v>
      </c>
      <c r="K70" s="46">
        <f t="shared" si="9"/>
        <v>0.17370566202467727</v>
      </c>
      <c r="L70" s="55">
        <f t="shared" si="3"/>
        <v>144428526.16000003</v>
      </c>
    </row>
    <row r="71" spans="1:12" s="5" customFormat="1" ht="14.85" customHeight="1" x14ac:dyDescent="0.25">
      <c r="A71" s="43" t="s">
        <v>73</v>
      </c>
      <c r="B71" s="44" t="s">
        <v>74</v>
      </c>
      <c r="C71" s="46">
        <v>2318846</v>
      </c>
      <c r="D71" s="46">
        <v>2941828</v>
      </c>
      <c r="E71" s="46">
        <f>F71-1052079.9</f>
        <v>350693.30000000005</v>
      </c>
      <c r="F71" s="46">
        <v>1402773.2</v>
      </c>
      <c r="G71" s="46">
        <f t="shared" si="8"/>
        <v>1.8997933941803148E-3</v>
      </c>
      <c r="H71" s="46">
        <f t="shared" si="2"/>
        <v>1539054.8</v>
      </c>
      <c r="I71" s="46">
        <f>J71-835519.2</f>
        <v>501311.52</v>
      </c>
      <c r="J71" s="46">
        <v>1336830.72</v>
      </c>
      <c r="K71" s="46">
        <f t="shared" si="9"/>
        <v>1.9719413629880598E-3</v>
      </c>
      <c r="L71" s="55">
        <f t="shared" si="3"/>
        <v>1604997.28</v>
      </c>
    </row>
    <row r="72" spans="1:12" s="5" customFormat="1" ht="14.85" customHeight="1" x14ac:dyDescent="0.25">
      <c r="A72" s="43" t="s">
        <v>108</v>
      </c>
      <c r="B72" s="44" t="s">
        <v>109</v>
      </c>
      <c r="C72" s="46">
        <v>0</v>
      </c>
      <c r="D72" s="46">
        <v>0</v>
      </c>
      <c r="E72" s="46">
        <f>F72-0</f>
        <v>0</v>
      </c>
      <c r="F72" s="46">
        <v>0</v>
      </c>
      <c r="G72" s="46">
        <f t="shared" si="8"/>
        <v>0</v>
      </c>
      <c r="H72" s="46">
        <f t="shared" si="2"/>
        <v>0</v>
      </c>
      <c r="I72" s="46">
        <f>J72-0</f>
        <v>0</v>
      </c>
      <c r="J72" s="46">
        <v>0</v>
      </c>
      <c r="K72" s="46">
        <f t="shared" si="9"/>
        <v>0</v>
      </c>
      <c r="L72" s="55">
        <f t="shared" si="3"/>
        <v>0</v>
      </c>
    </row>
    <row r="73" spans="1:12" s="5" customFormat="1" ht="14.85" customHeight="1" x14ac:dyDescent="0.25">
      <c r="A73" s="43" t="s">
        <v>110</v>
      </c>
      <c r="B73" s="44" t="s">
        <v>111</v>
      </c>
      <c r="C73" s="46">
        <v>0</v>
      </c>
      <c r="D73" s="46">
        <v>0</v>
      </c>
      <c r="E73" s="46">
        <f>F73-0</f>
        <v>0</v>
      </c>
      <c r="F73" s="46">
        <v>0</v>
      </c>
      <c r="G73" s="46">
        <f t="shared" si="8"/>
        <v>0</v>
      </c>
      <c r="H73" s="46">
        <f t="shared" si="2"/>
        <v>0</v>
      </c>
      <c r="I73" s="46">
        <f>J73-0</f>
        <v>0</v>
      </c>
      <c r="J73" s="46">
        <v>0</v>
      </c>
      <c r="K73" s="46">
        <f t="shared" si="9"/>
        <v>0</v>
      </c>
      <c r="L73" s="55">
        <f t="shared" si="3"/>
        <v>0</v>
      </c>
    </row>
    <row r="74" spans="1:12" s="5" customFormat="1" ht="14.85" customHeight="1" x14ac:dyDescent="0.25">
      <c r="A74" s="43" t="s">
        <v>112</v>
      </c>
      <c r="B74" s="44" t="s">
        <v>113</v>
      </c>
      <c r="C74" s="93">
        <v>2145000</v>
      </c>
      <c r="D74" s="93">
        <v>53045570</v>
      </c>
      <c r="E74" s="46">
        <f>F74-931387.21</f>
        <v>-431924.17999999993</v>
      </c>
      <c r="F74" s="46">
        <v>499463.03</v>
      </c>
      <c r="G74" s="46">
        <f t="shared" si="8"/>
        <v>6.7642906567596563E-4</v>
      </c>
      <c r="H74" s="46">
        <f t="shared" si="2"/>
        <v>52546106.969999999</v>
      </c>
      <c r="I74" s="46">
        <f>J74-254416.85</f>
        <v>111189.31999999998</v>
      </c>
      <c r="J74" s="93">
        <v>365606.17</v>
      </c>
      <c r="K74" s="46">
        <f t="shared" si="9"/>
        <v>5.3930083921668436E-4</v>
      </c>
      <c r="L74" s="55">
        <f t="shared" si="3"/>
        <v>52679963.829999998</v>
      </c>
    </row>
    <row r="75" spans="1:12" s="5" customFormat="1" ht="14.85" customHeight="1" x14ac:dyDescent="0.25">
      <c r="A75" s="43" t="s">
        <v>114</v>
      </c>
      <c r="B75" s="44" t="s">
        <v>115</v>
      </c>
      <c r="C75" s="46">
        <v>0</v>
      </c>
      <c r="D75" s="46">
        <v>0</v>
      </c>
      <c r="E75" s="46">
        <f>F75-0</f>
        <v>0</v>
      </c>
      <c r="F75" s="46">
        <v>0</v>
      </c>
      <c r="G75" s="46">
        <f t="shared" si="8"/>
        <v>0</v>
      </c>
      <c r="H75" s="46">
        <f t="shared" si="2"/>
        <v>0</v>
      </c>
      <c r="I75" s="46">
        <f>J75-0</f>
        <v>0</v>
      </c>
      <c r="J75" s="46">
        <v>0</v>
      </c>
      <c r="K75" s="46">
        <f t="shared" si="9"/>
        <v>0</v>
      </c>
      <c r="L75" s="55">
        <f t="shared" si="3"/>
        <v>0</v>
      </c>
    </row>
    <row r="76" spans="1:12" s="5" customFormat="1" ht="14.85" customHeight="1" x14ac:dyDescent="0.25">
      <c r="A76" s="43" t="s">
        <v>116</v>
      </c>
      <c r="B76" s="44" t="s">
        <v>117</v>
      </c>
      <c r="C76" s="93">
        <v>370965984</v>
      </c>
      <c r="D76" s="93">
        <v>370965984</v>
      </c>
      <c r="E76" s="46">
        <f>F76-109316774.27</f>
        <v>52115029.570000008</v>
      </c>
      <c r="F76" s="93">
        <v>161431803.84</v>
      </c>
      <c r="G76" s="46">
        <f t="shared" si="8"/>
        <v>0.21862912304415594</v>
      </c>
      <c r="H76" s="46">
        <f t="shared" si="2"/>
        <v>209534180.16</v>
      </c>
      <c r="I76" s="46">
        <f>J76-45980767.07</f>
        <v>28689439.550000004</v>
      </c>
      <c r="J76" s="93">
        <v>74670206.620000005</v>
      </c>
      <c r="K76" s="46">
        <f t="shared" si="9"/>
        <v>0.11014503692497646</v>
      </c>
      <c r="L76" s="55">
        <f t="shared" si="3"/>
        <v>296295777.38</v>
      </c>
    </row>
    <row r="77" spans="1:12" s="5" customFormat="1" ht="14.85" customHeight="1" x14ac:dyDescent="0.25">
      <c r="A77" s="43" t="s">
        <v>118</v>
      </c>
      <c r="B77" s="44" t="s">
        <v>119</v>
      </c>
      <c r="C77" s="93">
        <v>232799165</v>
      </c>
      <c r="D77" s="93">
        <v>232799165</v>
      </c>
      <c r="E77" s="46">
        <f>F77-84261812.19</f>
        <v>33996828.670000002</v>
      </c>
      <c r="F77" s="93">
        <v>118258640.86</v>
      </c>
      <c r="G77" s="46">
        <f t="shared" ref="G77:G108" si="10">(F77/$F$317)*100</f>
        <v>0.16015916522397938</v>
      </c>
      <c r="H77" s="46">
        <f t="shared" si="2"/>
        <v>114540524.14</v>
      </c>
      <c r="I77" s="46">
        <f>J77-84261812.19</f>
        <v>33996828.670000002</v>
      </c>
      <c r="J77" s="93">
        <v>118258640.86</v>
      </c>
      <c r="K77" s="46">
        <f t="shared" ref="K77:K108" si="11">(J77/$J$317)*100</f>
        <v>0.17444176136420911</v>
      </c>
      <c r="L77" s="55">
        <f t="shared" si="3"/>
        <v>114540524.14</v>
      </c>
    </row>
    <row r="78" spans="1:12" s="5" customFormat="1" ht="14.85" customHeight="1" x14ac:dyDescent="0.25">
      <c r="A78" s="43" t="s">
        <v>120</v>
      </c>
      <c r="B78" s="44" t="s">
        <v>121</v>
      </c>
      <c r="C78" s="46">
        <v>0</v>
      </c>
      <c r="D78" s="46">
        <v>0</v>
      </c>
      <c r="E78" s="46">
        <f>F78-0</f>
        <v>0</v>
      </c>
      <c r="F78" s="46">
        <v>0</v>
      </c>
      <c r="G78" s="46">
        <f t="shared" si="10"/>
        <v>0</v>
      </c>
      <c r="H78" s="46">
        <f t="shared" si="2"/>
        <v>0</v>
      </c>
      <c r="I78" s="46">
        <f>J78-0</f>
        <v>0</v>
      </c>
      <c r="J78" s="46">
        <v>0</v>
      </c>
      <c r="K78" s="46">
        <f t="shared" si="11"/>
        <v>0</v>
      </c>
      <c r="L78" s="55">
        <f t="shared" si="3"/>
        <v>0</v>
      </c>
    </row>
    <row r="79" spans="1:12" s="5" customFormat="1" ht="14.85" customHeight="1" x14ac:dyDescent="0.25">
      <c r="A79" s="43" t="s">
        <v>122</v>
      </c>
      <c r="B79" s="44" t="s">
        <v>123</v>
      </c>
      <c r="C79" s="46">
        <v>0</v>
      </c>
      <c r="D79" s="46">
        <v>0</v>
      </c>
      <c r="E79" s="46">
        <f>F79-0</f>
        <v>0</v>
      </c>
      <c r="F79" s="46">
        <v>0</v>
      </c>
      <c r="G79" s="46">
        <f t="shared" si="10"/>
        <v>0</v>
      </c>
      <c r="H79" s="46">
        <f t="shared" ref="H79:H143" si="12">D79-F79</f>
        <v>0</v>
      </c>
      <c r="I79" s="46">
        <f>J79-0</f>
        <v>0</v>
      </c>
      <c r="J79" s="46">
        <v>0</v>
      </c>
      <c r="K79" s="46">
        <f t="shared" si="11"/>
        <v>0</v>
      </c>
      <c r="L79" s="55">
        <f t="shared" ref="L79:L143" si="13">D79-J79</f>
        <v>0</v>
      </c>
    </row>
    <row r="80" spans="1:12" s="5" customFormat="1" ht="14.85" customHeight="1" x14ac:dyDescent="0.25">
      <c r="A80" s="43" t="s">
        <v>124</v>
      </c>
      <c r="B80" s="44" t="s">
        <v>125</v>
      </c>
      <c r="C80" s="46">
        <v>0</v>
      </c>
      <c r="D80" s="46">
        <v>0</v>
      </c>
      <c r="E80" s="46">
        <f>F80-0</f>
        <v>0</v>
      </c>
      <c r="F80" s="46">
        <v>0</v>
      </c>
      <c r="G80" s="46">
        <f t="shared" si="10"/>
        <v>0</v>
      </c>
      <c r="H80" s="46">
        <f t="shared" si="12"/>
        <v>0</v>
      </c>
      <c r="I80" s="46">
        <f>J80-0</f>
        <v>0</v>
      </c>
      <c r="J80" s="46">
        <v>0</v>
      </c>
      <c r="K80" s="46">
        <f t="shared" si="11"/>
        <v>0</v>
      </c>
      <c r="L80" s="55">
        <f t="shared" si="13"/>
        <v>0</v>
      </c>
    </row>
    <row r="81" spans="1:12" s="5" customFormat="1" ht="14.85" customHeight="1" x14ac:dyDescent="0.25">
      <c r="A81" s="43" t="s">
        <v>75</v>
      </c>
      <c r="B81" s="44" t="s">
        <v>76</v>
      </c>
      <c r="C81" s="93">
        <v>180286949</v>
      </c>
      <c r="D81" s="93">
        <v>187728776.13</v>
      </c>
      <c r="E81" s="46">
        <f>F81-47711173.24</f>
        <v>50915744.600000001</v>
      </c>
      <c r="F81" s="93">
        <v>98626917.840000004</v>
      </c>
      <c r="G81" s="46">
        <f t="shared" si="10"/>
        <v>0.13357167573546219</v>
      </c>
      <c r="H81" s="46">
        <f t="shared" si="12"/>
        <v>89101858.289999992</v>
      </c>
      <c r="I81" s="46">
        <f>J81-36938229.24</f>
        <v>16540457.239999995</v>
      </c>
      <c r="J81" s="93">
        <v>53478686.479999997</v>
      </c>
      <c r="K81" s="46">
        <f t="shared" si="11"/>
        <v>7.8885705071306503E-2</v>
      </c>
      <c r="L81" s="55">
        <f t="shared" si="13"/>
        <v>134250089.65000001</v>
      </c>
    </row>
    <row r="82" spans="1:12" s="5" customFormat="1" ht="14.85" customHeight="1" x14ac:dyDescent="0.25">
      <c r="A82" s="43" t="s">
        <v>40</v>
      </c>
      <c r="B82" s="44" t="s">
        <v>41</v>
      </c>
      <c r="C82" s="93">
        <v>123097921</v>
      </c>
      <c r="D82" s="93">
        <v>197215486.91999999</v>
      </c>
      <c r="E82" s="46">
        <f>F82-73489794.3</f>
        <v>40867024.120000005</v>
      </c>
      <c r="F82" s="93">
        <v>114356818.42</v>
      </c>
      <c r="G82" s="46">
        <f t="shared" si="10"/>
        <v>0.15487487800151425</v>
      </c>
      <c r="H82" s="46">
        <f t="shared" si="12"/>
        <v>82858668.499999985</v>
      </c>
      <c r="I82" s="46">
        <f>J82-61563479.15</f>
        <v>34567340.100000001</v>
      </c>
      <c r="J82" s="93">
        <v>96130819.25</v>
      </c>
      <c r="K82" s="46">
        <f t="shared" si="11"/>
        <v>0.14180130356145901</v>
      </c>
      <c r="L82" s="55">
        <f t="shared" si="13"/>
        <v>101084667.66999999</v>
      </c>
    </row>
    <row r="83" spans="1:12" s="5" customFormat="1" ht="14.85" customHeight="1" x14ac:dyDescent="0.25">
      <c r="A83" s="43" t="s">
        <v>126</v>
      </c>
      <c r="B83" s="44" t="s">
        <v>127</v>
      </c>
      <c r="C83" s="93">
        <v>11623156</v>
      </c>
      <c r="D83" s="93">
        <v>11335616.640000001</v>
      </c>
      <c r="E83" s="46">
        <f>F83-8751473.92</f>
        <v>2489568.4399999995</v>
      </c>
      <c r="F83" s="93">
        <v>11241042.359999999</v>
      </c>
      <c r="G83" s="46">
        <f t="shared" si="10"/>
        <v>1.5223885100762615E-2</v>
      </c>
      <c r="H83" s="46">
        <f t="shared" si="12"/>
        <v>94574.280000001192</v>
      </c>
      <c r="I83" s="46">
        <f>J83-6024971.16</f>
        <v>2537858.2799999993</v>
      </c>
      <c r="J83" s="93">
        <v>8562829.4399999995</v>
      </c>
      <c r="K83" s="46">
        <f t="shared" si="11"/>
        <v>1.2630916767792323E-2</v>
      </c>
      <c r="L83" s="55">
        <f t="shared" si="13"/>
        <v>2772787.2000000011</v>
      </c>
    </row>
    <row r="84" spans="1:12" s="5" customFormat="1" ht="14.85" customHeight="1" x14ac:dyDescent="0.25">
      <c r="A84" s="43" t="s">
        <v>128</v>
      </c>
      <c r="B84" s="44" t="s">
        <v>129</v>
      </c>
      <c r="C84" s="46">
        <v>0</v>
      </c>
      <c r="D84" s="46">
        <v>0</v>
      </c>
      <c r="E84" s="46">
        <f>F84-0</f>
        <v>0</v>
      </c>
      <c r="F84" s="46">
        <v>0</v>
      </c>
      <c r="G84" s="46">
        <f t="shared" si="10"/>
        <v>0</v>
      </c>
      <c r="H84" s="46">
        <f t="shared" si="12"/>
        <v>0</v>
      </c>
      <c r="I84" s="46">
        <f>J84-0</f>
        <v>0</v>
      </c>
      <c r="J84" s="46">
        <v>0</v>
      </c>
      <c r="K84" s="46">
        <f t="shared" si="11"/>
        <v>0</v>
      </c>
      <c r="L84" s="55">
        <f t="shared" si="13"/>
        <v>0</v>
      </c>
    </row>
    <row r="85" spans="1:12" s="5" customFormat="1" ht="14.85" customHeight="1" x14ac:dyDescent="0.25">
      <c r="A85" s="43" t="s">
        <v>130</v>
      </c>
      <c r="B85" s="44" t="s">
        <v>131</v>
      </c>
      <c r="C85" s="46">
        <v>0</v>
      </c>
      <c r="D85" s="46">
        <v>0</v>
      </c>
      <c r="E85" s="46">
        <f>F85-0</f>
        <v>0</v>
      </c>
      <c r="F85" s="46">
        <v>0</v>
      </c>
      <c r="G85" s="46">
        <f t="shared" si="10"/>
        <v>0</v>
      </c>
      <c r="H85" s="46">
        <f t="shared" si="12"/>
        <v>0</v>
      </c>
      <c r="I85" s="46">
        <f>J85-0</f>
        <v>0</v>
      </c>
      <c r="J85" s="46">
        <v>0</v>
      </c>
      <c r="K85" s="46">
        <f t="shared" si="11"/>
        <v>0</v>
      </c>
      <c r="L85" s="55">
        <f t="shared" si="13"/>
        <v>0</v>
      </c>
    </row>
    <row r="86" spans="1:12" s="5" customFormat="1" ht="14.85" customHeight="1" x14ac:dyDescent="0.25">
      <c r="A86" s="43" t="s">
        <v>132</v>
      </c>
      <c r="B86" s="44" t="s">
        <v>133</v>
      </c>
      <c r="C86" s="46">
        <v>0</v>
      </c>
      <c r="D86" s="46">
        <v>0</v>
      </c>
      <c r="E86" s="46">
        <f>F86-0</f>
        <v>0</v>
      </c>
      <c r="F86" s="46">
        <v>0</v>
      </c>
      <c r="G86" s="46">
        <f t="shared" si="10"/>
        <v>0</v>
      </c>
      <c r="H86" s="46">
        <f t="shared" si="12"/>
        <v>0</v>
      </c>
      <c r="I86" s="46">
        <f>J86-0</f>
        <v>0</v>
      </c>
      <c r="J86" s="46">
        <v>0</v>
      </c>
      <c r="K86" s="46">
        <f t="shared" si="11"/>
        <v>0</v>
      </c>
      <c r="L86" s="55">
        <f t="shared" si="13"/>
        <v>0</v>
      </c>
    </row>
    <row r="87" spans="1:12" s="5" customFormat="1" ht="14.85" customHeight="1" x14ac:dyDescent="0.25">
      <c r="A87" s="40" t="s">
        <v>134</v>
      </c>
      <c r="B87" s="72" t="s">
        <v>135</v>
      </c>
      <c r="C87" s="42">
        <f>SUM(C88:C100)</f>
        <v>1074079798</v>
      </c>
      <c r="D87" s="42">
        <f>SUM(D88:D100)</f>
        <v>1103590155.2100003</v>
      </c>
      <c r="E87" s="42">
        <f>SUM(E88:E100)</f>
        <v>82548586.259999976</v>
      </c>
      <c r="F87" s="42">
        <f>SUM(F88:F100)</f>
        <v>450393499.23999995</v>
      </c>
      <c r="G87" s="42">
        <f t="shared" si="10"/>
        <v>0.60997358278437919</v>
      </c>
      <c r="H87" s="42">
        <f t="shared" si="12"/>
        <v>653196655.97000027</v>
      </c>
      <c r="I87" s="42">
        <f>SUM(I88:I100)</f>
        <v>78312883.399999991</v>
      </c>
      <c r="J87" s="42">
        <f>SUM(J88:J100)</f>
        <v>436675744.73999995</v>
      </c>
      <c r="K87" s="42">
        <f t="shared" si="11"/>
        <v>0.64413463154588613</v>
      </c>
      <c r="L87" s="59">
        <f t="shared" si="13"/>
        <v>666914410.47000027</v>
      </c>
    </row>
    <row r="88" spans="1:12" s="5" customFormat="1" ht="14.85" customHeight="1" x14ac:dyDescent="0.25">
      <c r="A88" s="43" t="s">
        <v>30</v>
      </c>
      <c r="B88" s="44" t="s">
        <v>31</v>
      </c>
      <c r="C88" s="93">
        <v>127331652</v>
      </c>
      <c r="D88" s="93">
        <v>124509565.31999999</v>
      </c>
      <c r="E88" s="46">
        <f>F88-59748599.08</f>
        <v>18718160.269999996</v>
      </c>
      <c r="F88" s="93">
        <v>78466759.349999994</v>
      </c>
      <c r="G88" s="46">
        <f t="shared" si="10"/>
        <v>0.10626851944125142</v>
      </c>
      <c r="H88" s="46">
        <f t="shared" si="12"/>
        <v>46042805.969999999</v>
      </c>
      <c r="I88" s="46">
        <f>J88-56223594.28</f>
        <v>18190653.039999992</v>
      </c>
      <c r="J88" s="93">
        <v>74414247.319999993</v>
      </c>
      <c r="K88" s="46">
        <f t="shared" si="11"/>
        <v>0.10976747473751304</v>
      </c>
      <c r="L88" s="55">
        <f t="shared" si="13"/>
        <v>50095318</v>
      </c>
    </row>
    <row r="89" spans="1:12" s="5" customFormat="1" ht="14.85" customHeight="1" x14ac:dyDescent="0.25">
      <c r="A89" s="43" t="s">
        <v>34</v>
      </c>
      <c r="B89" s="44" t="s">
        <v>35</v>
      </c>
      <c r="C89" s="46">
        <v>0</v>
      </c>
      <c r="D89" s="46">
        <v>0</v>
      </c>
      <c r="E89" s="46">
        <f t="shared" ref="E89:E100" si="14">F89-0</f>
        <v>0</v>
      </c>
      <c r="F89" s="46">
        <v>0</v>
      </c>
      <c r="G89" s="46">
        <f t="shared" si="10"/>
        <v>0</v>
      </c>
      <c r="H89" s="46">
        <f t="shared" si="12"/>
        <v>0</v>
      </c>
      <c r="I89" s="46">
        <f>J89-0</f>
        <v>0</v>
      </c>
      <c r="J89" s="46">
        <v>0</v>
      </c>
      <c r="K89" s="46">
        <f t="shared" si="11"/>
        <v>0</v>
      </c>
      <c r="L89" s="55">
        <f t="shared" si="13"/>
        <v>0</v>
      </c>
    </row>
    <row r="90" spans="1:12" s="5" customFormat="1" ht="14.85" customHeight="1" x14ac:dyDescent="0.25">
      <c r="A90" s="43" t="s">
        <v>36</v>
      </c>
      <c r="B90" s="44" t="s">
        <v>37</v>
      </c>
      <c r="C90" s="46">
        <v>0</v>
      </c>
      <c r="D90" s="46">
        <v>0</v>
      </c>
      <c r="E90" s="46">
        <f t="shared" si="14"/>
        <v>0</v>
      </c>
      <c r="F90" s="46">
        <v>0</v>
      </c>
      <c r="G90" s="46">
        <f t="shared" si="10"/>
        <v>0</v>
      </c>
      <c r="H90" s="46">
        <f t="shared" si="12"/>
        <v>0</v>
      </c>
      <c r="I90" s="46">
        <f>J90-0</f>
        <v>0</v>
      </c>
      <c r="J90" s="46">
        <v>0</v>
      </c>
      <c r="K90" s="46">
        <f t="shared" si="11"/>
        <v>0</v>
      </c>
      <c r="L90" s="55">
        <f t="shared" si="13"/>
        <v>0</v>
      </c>
    </row>
    <row r="91" spans="1:12" s="5" customFormat="1" ht="14.85" customHeight="1" x14ac:dyDescent="0.25">
      <c r="A91" s="43" t="s">
        <v>104</v>
      </c>
      <c r="B91" s="44" t="s">
        <v>105</v>
      </c>
      <c r="C91" s="46">
        <v>0</v>
      </c>
      <c r="D91" s="46">
        <v>0</v>
      </c>
      <c r="E91" s="46">
        <f t="shared" si="14"/>
        <v>0</v>
      </c>
      <c r="F91" s="46">
        <v>0</v>
      </c>
      <c r="G91" s="46">
        <f t="shared" si="10"/>
        <v>0</v>
      </c>
      <c r="H91" s="46">
        <f t="shared" si="12"/>
        <v>0</v>
      </c>
      <c r="I91" s="46">
        <v>0</v>
      </c>
      <c r="J91" s="46">
        <v>0</v>
      </c>
      <c r="K91" s="46">
        <f t="shared" si="11"/>
        <v>0</v>
      </c>
      <c r="L91" s="55">
        <f t="shared" si="13"/>
        <v>0</v>
      </c>
    </row>
    <row r="92" spans="1:12" s="5" customFormat="1" ht="14.85" customHeight="1" x14ac:dyDescent="0.25">
      <c r="A92" s="43" t="s">
        <v>136</v>
      </c>
      <c r="B92" s="44" t="s">
        <v>137</v>
      </c>
      <c r="C92" s="93">
        <v>68762071</v>
      </c>
      <c r="D92" s="93">
        <v>59925411.170000002</v>
      </c>
      <c r="E92" s="46">
        <f>F92-10320982.45</f>
        <v>7025523.620000001</v>
      </c>
      <c r="F92" s="93">
        <v>17346506.07</v>
      </c>
      <c r="G92" s="46">
        <f t="shared" si="10"/>
        <v>2.3492591420975775E-2</v>
      </c>
      <c r="H92" s="46">
        <f t="shared" si="12"/>
        <v>42578905.100000001</v>
      </c>
      <c r="I92" s="46">
        <f>J92-10319309.05</f>
        <v>6245433.5399999991</v>
      </c>
      <c r="J92" s="93">
        <v>16564742.59</v>
      </c>
      <c r="K92" s="46">
        <f t="shared" si="11"/>
        <v>2.443443331439224E-2</v>
      </c>
      <c r="L92" s="55">
        <f t="shared" si="13"/>
        <v>43360668.579999998</v>
      </c>
    </row>
    <row r="93" spans="1:12" s="5" customFormat="1" ht="14.85" customHeight="1" x14ac:dyDescent="0.25">
      <c r="A93" s="43" t="s">
        <v>108</v>
      </c>
      <c r="B93" s="44" t="s">
        <v>109</v>
      </c>
      <c r="C93" s="46">
        <v>0</v>
      </c>
      <c r="D93" s="46">
        <v>0</v>
      </c>
      <c r="E93" s="46">
        <f t="shared" si="14"/>
        <v>0</v>
      </c>
      <c r="F93" s="46">
        <v>0</v>
      </c>
      <c r="G93" s="46">
        <f t="shared" si="10"/>
        <v>0</v>
      </c>
      <c r="H93" s="46">
        <f t="shared" si="12"/>
        <v>0</v>
      </c>
      <c r="I93" s="46">
        <f t="shared" ref="I93:I100" si="15">J93-0</f>
        <v>0</v>
      </c>
      <c r="J93" s="46">
        <v>0</v>
      </c>
      <c r="K93" s="46">
        <f t="shared" si="11"/>
        <v>0</v>
      </c>
      <c r="L93" s="55">
        <f t="shared" si="13"/>
        <v>0</v>
      </c>
    </row>
    <row r="94" spans="1:12" s="5" customFormat="1" ht="14.85" customHeight="1" x14ac:dyDescent="0.25">
      <c r="A94" s="43" t="s">
        <v>110</v>
      </c>
      <c r="B94" s="44" t="s">
        <v>111</v>
      </c>
      <c r="C94" s="93">
        <v>88698317</v>
      </c>
      <c r="D94" s="93">
        <v>88715148.319999993</v>
      </c>
      <c r="E94" s="46">
        <f>F94-27197026.06</f>
        <v>7620668.870000001</v>
      </c>
      <c r="F94" s="93">
        <v>34817694.93</v>
      </c>
      <c r="G94" s="46">
        <f t="shared" si="10"/>
        <v>4.715404231318323E-2</v>
      </c>
      <c r="H94" s="46">
        <f t="shared" si="12"/>
        <v>53897453.389999993</v>
      </c>
      <c r="I94" s="46">
        <f>J94-26481976.33</f>
        <v>6986626.7600000016</v>
      </c>
      <c r="J94" s="93">
        <v>33468603.09</v>
      </c>
      <c r="K94" s="46">
        <f t="shared" si="11"/>
        <v>4.9369094985041183E-2</v>
      </c>
      <c r="L94" s="55">
        <f t="shared" si="13"/>
        <v>55246545.229999989</v>
      </c>
    </row>
    <row r="95" spans="1:12" s="5" customFormat="1" ht="14.85" customHeight="1" x14ac:dyDescent="0.25">
      <c r="A95" s="43" t="s">
        <v>112</v>
      </c>
      <c r="B95" s="44" t="s">
        <v>113</v>
      </c>
      <c r="C95" s="93">
        <v>514467691</v>
      </c>
      <c r="D95" s="93">
        <v>556416875.08000004</v>
      </c>
      <c r="E95" s="46">
        <f>F95-237454735.53</f>
        <v>44052537.429999977</v>
      </c>
      <c r="F95" s="93">
        <v>281507272.95999998</v>
      </c>
      <c r="G95" s="46">
        <f t="shared" si="10"/>
        <v>0.38124884163963407</v>
      </c>
      <c r="H95" s="46">
        <f t="shared" si="12"/>
        <v>274909602.12000006</v>
      </c>
      <c r="I95" s="46">
        <f>J95-237163443.2</f>
        <v>39150812.699999988</v>
      </c>
      <c r="J95" s="93">
        <v>276314255.89999998</v>
      </c>
      <c r="K95" s="46">
        <f t="shared" si="11"/>
        <v>0.40758751444048019</v>
      </c>
      <c r="L95" s="55">
        <f t="shared" si="13"/>
        <v>280102619.18000007</v>
      </c>
    </row>
    <row r="96" spans="1:12" s="5" customFormat="1" ht="14.85" customHeight="1" x14ac:dyDescent="0.25">
      <c r="A96" s="43" t="s">
        <v>116</v>
      </c>
      <c r="B96" s="44" t="s">
        <v>117</v>
      </c>
      <c r="C96" s="46">
        <v>0</v>
      </c>
      <c r="D96" s="46">
        <v>0</v>
      </c>
      <c r="E96" s="46">
        <f t="shared" si="14"/>
        <v>0</v>
      </c>
      <c r="F96" s="46">
        <v>0</v>
      </c>
      <c r="G96" s="46">
        <f t="shared" si="10"/>
        <v>0</v>
      </c>
      <c r="H96" s="46">
        <f t="shared" si="12"/>
        <v>0</v>
      </c>
      <c r="I96" s="63">
        <f t="shared" si="15"/>
        <v>0</v>
      </c>
      <c r="J96" s="63">
        <v>0</v>
      </c>
      <c r="K96" s="46">
        <f t="shared" si="11"/>
        <v>0</v>
      </c>
      <c r="L96" s="55">
        <f t="shared" si="13"/>
        <v>0</v>
      </c>
    </row>
    <row r="97" spans="1:12" s="5" customFormat="1" ht="14.85" customHeight="1" x14ac:dyDescent="0.25">
      <c r="A97" s="43" t="s">
        <v>138</v>
      </c>
      <c r="B97" s="44" t="s">
        <v>139</v>
      </c>
      <c r="C97" s="46">
        <v>0</v>
      </c>
      <c r="D97" s="46">
        <v>0</v>
      </c>
      <c r="E97" s="46">
        <f t="shared" si="14"/>
        <v>0</v>
      </c>
      <c r="F97" s="46">
        <v>0</v>
      </c>
      <c r="G97" s="46">
        <f t="shared" si="10"/>
        <v>0</v>
      </c>
      <c r="H97" s="46">
        <f t="shared" si="12"/>
        <v>0</v>
      </c>
      <c r="I97" s="46">
        <f t="shared" si="15"/>
        <v>0</v>
      </c>
      <c r="J97" s="46">
        <v>0</v>
      </c>
      <c r="K97" s="46">
        <f t="shared" si="11"/>
        <v>0</v>
      </c>
      <c r="L97" s="55">
        <f t="shared" si="13"/>
        <v>0</v>
      </c>
    </row>
    <row r="98" spans="1:12" s="5" customFormat="1" ht="14.85" customHeight="1" x14ac:dyDescent="0.25">
      <c r="A98" s="43" t="s">
        <v>118</v>
      </c>
      <c r="B98" s="44" t="s">
        <v>119</v>
      </c>
      <c r="C98" s="93">
        <v>260068579</v>
      </c>
      <c r="D98" s="93">
        <v>259761985.18000001</v>
      </c>
      <c r="E98" s="46">
        <f>F98-31695274.28</f>
        <v>4935208.5899999961</v>
      </c>
      <c r="F98" s="93">
        <v>36630482.869999997</v>
      </c>
      <c r="G98" s="46">
        <f t="shared" si="10"/>
        <v>4.960912382847147E-2</v>
      </c>
      <c r="H98" s="46">
        <f t="shared" si="12"/>
        <v>223131502.31</v>
      </c>
      <c r="I98" s="46">
        <f>J98-26746251.9</f>
        <v>7542869.8800000027</v>
      </c>
      <c r="J98" s="93">
        <v>34289121.780000001</v>
      </c>
      <c r="K98" s="46">
        <f t="shared" si="11"/>
        <v>5.0579431282456448E-2</v>
      </c>
      <c r="L98" s="55">
        <f t="shared" si="13"/>
        <v>225472863.40000001</v>
      </c>
    </row>
    <row r="99" spans="1:12" s="5" customFormat="1" ht="14.85" customHeight="1" x14ac:dyDescent="0.25">
      <c r="A99" s="43" t="s">
        <v>40</v>
      </c>
      <c r="B99" s="44" t="s">
        <v>41</v>
      </c>
      <c r="C99" s="93">
        <v>14751488</v>
      </c>
      <c r="D99" s="93">
        <v>14261170.140000001</v>
      </c>
      <c r="E99" s="46">
        <f>F99-1428295.58</f>
        <v>196487.47999999998</v>
      </c>
      <c r="F99" s="93">
        <v>1624783.06</v>
      </c>
      <c r="G99" s="46">
        <f t="shared" si="10"/>
        <v>2.2004641408633115E-3</v>
      </c>
      <c r="H99" s="46">
        <f t="shared" si="12"/>
        <v>12636387.08</v>
      </c>
      <c r="I99" s="46">
        <f>J99-1428286.58</f>
        <v>196487.47999999998</v>
      </c>
      <c r="J99" s="93">
        <v>1624774.06</v>
      </c>
      <c r="K99" s="46">
        <f t="shared" si="11"/>
        <v>2.3966827860030355E-3</v>
      </c>
      <c r="L99" s="55">
        <f t="shared" si="13"/>
        <v>12636396.08</v>
      </c>
    </row>
    <row r="100" spans="1:12" s="5" customFormat="1" ht="14.85" customHeight="1" x14ac:dyDescent="0.25">
      <c r="A100" s="43" t="s">
        <v>87</v>
      </c>
      <c r="B100" s="44" t="s">
        <v>88</v>
      </c>
      <c r="C100" s="46">
        <v>0</v>
      </c>
      <c r="D100" s="46">
        <v>0</v>
      </c>
      <c r="E100" s="46">
        <f t="shared" si="14"/>
        <v>0</v>
      </c>
      <c r="F100" s="46">
        <v>0</v>
      </c>
      <c r="G100" s="46">
        <f t="shared" si="10"/>
        <v>0</v>
      </c>
      <c r="H100" s="46">
        <f t="shared" si="12"/>
        <v>0</v>
      </c>
      <c r="I100" s="46">
        <f t="shared" si="15"/>
        <v>0</v>
      </c>
      <c r="J100" s="46">
        <v>0</v>
      </c>
      <c r="K100" s="46">
        <f t="shared" si="11"/>
        <v>0</v>
      </c>
      <c r="L100" s="55">
        <f t="shared" si="13"/>
        <v>0</v>
      </c>
    </row>
    <row r="101" spans="1:12" s="5" customFormat="1" ht="14.85" customHeight="1" x14ac:dyDescent="0.25">
      <c r="A101" s="40" t="s">
        <v>140</v>
      </c>
      <c r="B101" s="72" t="s">
        <v>141</v>
      </c>
      <c r="C101" s="42">
        <f>SUM(C102:C107)</f>
        <v>28383272165</v>
      </c>
      <c r="D101" s="42">
        <f>SUM(D102:D107)</f>
        <v>33653489931.650002</v>
      </c>
      <c r="E101" s="42">
        <f>SUM(E102:E107)</f>
        <v>4361190142.7599993</v>
      </c>
      <c r="F101" s="42">
        <f>SUM(F102:F107)</f>
        <v>18205523383.950001</v>
      </c>
      <c r="G101" s="42">
        <f t="shared" si="10"/>
        <v>24.655969377247487</v>
      </c>
      <c r="H101" s="42">
        <f t="shared" si="12"/>
        <v>15447966547.700001</v>
      </c>
      <c r="I101" s="42">
        <f>SUM(I102:I107)</f>
        <v>3994630807.1000023</v>
      </c>
      <c r="J101" s="42">
        <f>SUM(J102:J107)</f>
        <v>17734243017.459999</v>
      </c>
      <c r="K101" s="42">
        <f t="shared" si="11"/>
        <v>26.159547969851825</v>
      </c>
      <c r="L101" s="59">
        <f t="shared" si="13"/>
        <v>15919246914.190002</v>
      </c>
    </row>
    <row r="102" spans="1:12" s="5" customFormat="1" ht="14.85" customHeight="1" x14ac:dyDescent="0.25">
      <c r="A102" s="43" t="s">
        <v>30</v>
      </c>
      <c r="B102" s="44" t="s">
        <v>31</v>
      </c>
      <c r="C102" s="46">
        <v>10589429078</v>
      </c>
      <c r="D102" s="46">
        <v>12521015471.74</v>
      </c>
      <c r="E102" s="46">
        <f>F102-5069001302.93</f>
        <v>1668981048.6199999</v>
      </c>
      <c r="F102" s="93">
        <v>6737982351.5500002</v>
      </c>
      <c r="G102" s="46">
        <f t="shared" si="10"/>
        <v>9.1253342746911859</v>
      </c>
      <c r="H102" s="46">
        <f t="shared" si="12"/>
        <v>5783033120.1899996</v>
      </c>
      <c r="I102" s="46">
        <f>J102-5018621943.73</f>
        <v>1302642404.4400005</v>
      </c>
      <c r="J102" s="93">
        <v>6321264348.1700001</v>
      </c>
      <c r="K102" s="46">
        <f t="shared" si="11"/>
        <v>9.3244136658814814</v>
      </c>
      <c r="L102" s="55">
        <f t="shared" si="13"/>
        <v>6199751123.5699997</v>
      </c>
    </row>
    <row r="103" spans="1:12" s="5" customFormat="1" ht="14.85" customHeight="1" x14ac:dyDescent="0.25">
      <c r="A103" s="43" t="s">
        <v>61</v>
      </c>
      <c r="B103" s="44" t="s">
        <v>62</v>
      </c>
      <c r="C103" s="46">
        <v>0</v>
      </c>
      <c r="D103" s="46">
        <v>0</v>
      </c>
      <c r="E103" s="46">
        <f>F103-0</f>
        <v>0</v>
      </c>
      <c r="F103" s="46">
        <v>0</v>
      </c>
      <c r="G103" s="46">
        <f t="shared" si="10"/>
        <v>0</v>
      </c>
      <c r="H103" s="46">
        <f t="shared" si="12"/>
        <v>0</v>
      </c>
      <c r="I103" s="46">
        <f>J103-0</f>
        <v>0</v>
      </c>
      <c r="J103" s="46">
        <v>0</v>
      </c>
      <c r="K103" s="46">
        <f t="shared" si="11"/>
        <v>0</v>
      </c>
      <c r="L103" s="55">
        <f t="shared" si="13"/>
        <v>0</v>
      </c>
    </row>
    <row r="104" spans="1:12" s="5" customFormat="1" ht="14.85" customHeight="1" x14ac:dyDescent="0.25">
      <c r="A104" s="43" t="s">
        <v>63</v>
      </c>
      <c r="B104" s="44" t="s">
        <v>64</v>
      </c>
      <c r="C104" s="46">
        <v>4000000</v>
      </c>
      <c r="D104" s="46">
        <v>4000000</v>
      </c>
      <c r="E104" s="46">
        <f>F104-0</f>
        <v>0</v>
      </c>
      <c r="F104" s="46">
        <v>0</v>
      </c>
      <c r="G104" s="46">
        <f t="shared" si="10"/>
        <v>0</v>
      </c>
      <c r="H104" s="46">
        <f t="shared" si="12"/>
        <v>4000000</v>
      </c>
      <c r="I104" s="46">
        <f>J104-0</f>
        <v>0</v>
      </c>
      <c r="J104" s="46">
        <v>0</v>
      </c>
      <c r="K104" s="46">
        <f t="shared" si="11"/>
        <v>0</v>
      </c>
      <c r="L104" s="55">
        <f t="shared" si="13"/>
        <v>4000000</v>
      </c>
    </row>
    <row r="105" spans="1:12" s="5" customFormat="1" ht="14.85" customHeight="1" x14ac:dyDescent="0.25">
      <c r="A105" s="43" t="s">
        <v>65</v>
      </c>
      <c r="B105" s="44" t="s">
        <v>66</v>
      </c>
      <c r="C105" s="46">
        <v>0</v>
      </c>
      <c r="D105" s="46">
        <v>0</v>
      </c>
      <c r="E105" s="46">
        <f>F105-0</f>
        <v>0</v>
      </c>
      <c r="F105" s="46">
        <v>0</v>
      </c>
      <c r="G105" s="46">
        <f t="shared" si="10"/>
        <v>0</v>
      </c>
      <c r="H105" s="46">
        <f t="shared" si="12"/>
        <v>0</v>
      </c>
      <c r="I105" s="46">
        <f>J105-0</f>
        <v>0</v>
      </c>
      <c r="J105" s="46">
        <v>0</v>
      </c>
      <c r="K105" s="46">
        <f t="shared" si="11"/>
        <v>0</v>
      </c>
      <c r="L105" s="55">
        <f t="shared" si="13"/>
        <v>0</v>
      </c>
    </row>
    <row r="106" spans="1:12" s="5" customFormat="1" ht="14.85" customHeight="1" x14ac:dyDescent="0.25">
      <c r="A106" s="43" t="s">
        <v>142</v>
      </c>
      <c r="B106" s="44" t="s">
        <v>143</v>
      </c>
      <c r="C106" s="93">
        <v>17789843087</v>
      </c>
      <c r="D106" s="93">
        <v>21128474459.91</v>
      </c>
      <c r="E106" s="46">
        <f>F106-8775331938.26</f>
        <v>2692209094.1399994</v>
      </c>
      <c r="F106" s="93">
        <v>11467541032.4</v>
      </c>
      <c r="G106" s="46">
        <f t="shared" si="10"/>
        <v>15.530635102556298</v>
      </c>
      <c r="H106" s="46">
        <f t="shared" si="12"/>
        <v>9660933427.5100002</v>
      </c>
      <c r="I106" s="46">
        <f>J106-8720990266.63</f>
        <v>2691988402.6600018</v>
      </c>
      <c r="J106" s="93">
        <v>11412978669.290001</v>
      </c>
      <c r="K106" s="46">
        <f t="shared" si="11"/>
        <v>16.835134303970349</v>
      </c>
      <c r="L106" s="55">
        <f t="shared" si="13"/>
        <v>9715495790.6199989</v>
      </c>
    </row>
    <row r="107" spans="1:12" s="5" customFormat="1" ht="14.85" customHeight="1" x14ac:dyDescent="0.25">
      <c r="A107" s="43" t="s">
        <v>144</v>
      </c>
      <c r="B107" s="44" t="s">
        <v>145</v>
      </c>
      <c r="C107" s="46">
        <v>0</v>
      </c>
      <c r="D107" s="46">
        <v>0</v>
      </c>
      <c r="E107" s="46">
        <f>F107-0</f>
        <v>0</v>
      </c>
      <c r="F107" s="46">
        <v>0</v>
      </c>
      <c r="G107" s="46">
        <f t="shared" si="10"/>
        <v>0</v>
      </c>
      <c r="H107" s="46">
        <f t="shared" si="12"/>
        <v>0</v>
      </c>
      <c r="I107" s="46">
        <f>J107-0</f>
        <v>0</v>
      </c>
      <c r="J107" s="46">
        <v>0</v>
      </c>
      <c r="K107" s="46">
        <f t="shared" si="11"/>
        <v>0</v>
      </c>
      <c r="L107" s="55">
        <f t="shared" si="13"/>
        <v>0</v>
      </c>
    </row>
    <row r="108" spans="1:12" s="5" customFormat="1" ht="14.85" customHeight="1" x14ac:dyDescent="0.25">
      <c r="A108" s="40" t="s">
        <v>146</v>
      </c>
      <c r="B108" s="72" t="s">
        <v>147</v>
      </c>
      <c r="C108" s="42">
        <f>SUM(C109:C119)</f>
        <v>8209997322</v>
      </c>
      <c r="D108" s="42">
        <f>SUM(D109:D119)</f>
        <v>8715886058.6499996</v>
      </c>
      <c r="E108" s="42">
        <f>SUM(E109:E119)</f>
        <v>1955337987.76</v>
      </c>
      <c r="F108" s="42">
        <f>SUM(F109:F119)</f>
        <v>6994567440.5800009</v>
      </c>
      <c r="G108" s="42">
        <f t="shared" si="10"/>
        <v>9.4728306890683385</v>
      </c>
      <c r="H108" s="42">
        <f t="shared" si="12"/>
        <v>1721318618.0699987</v>
      </c>
      <c r="I108" s="42">
        <f>SUM(I109:I119)</f>
        <v>2035581855.1799998</v>
      </c>
      <c r="J108" s="42">
        <f>SUM(J109:J119)</f>
        <v>6308760504.2600002</v>
      </c>
      <c r="K108" s="42">
        <f t="shared" si="11"/>
        <v>9.3059694106488706</v>
      </c>
      <c r="L108" s="59">
        <f t="shared" si="13"/>
        <v>2407125554.3899994</v>
      </c>
    </row>
    <row r="109" spans="1:12" s="5" customFormat="1" ht="14.85" customHeight="1" x14ac:dyDescent="0.25">
      <c r="A109" s="43" t="s">
        <v>30</v>
      </c>
      <c r="B109" s="44" t="s">
        <v>31</v>
      </c>
      <c r="C109" s="93">
        <v>1325963058</v>
      </c>
      <c r="D109" s="93">
        <v>1300583333.8599999</v>
      </c>
      <c r="E109" s="46">
        <f>F109-721691541.34</f>
        <v>232440935.33999991</v>
      </c>
      <c r="F109" s="93">
        <v>954132476.67999995</v>
      </c>
      <c r="G109" s="46">
        <f t="shared" ref="G109:G124" si="16">(F109/$F$317)*100</f>
        <v>1.2921936178774782</v>
      </c>
      <c r="H109" s="46">
        <f t="shared" si="12"/>
        <v>346450857.17999995</v>
      </c>
      <c r="I109" s="46">
        <f>J109-641656615.05</f>
        <v>220373189.04000008</v>
      </c>
      <c r="J109" s="46">
        <v>862029804.09000003</v>
      </c>
      <c r="K109" s="46">
        <f t="shared" ref="K109:K140" si="17">(J109/$J$317)*100</f>
        <v>1.2715687942999729</v>
      </c>
      <c r="L109" s="55">
        <f t="shared" si="13"/>
        <v>438553529.76999986</v>
      </c>
    </row>
    <row r="110" spans="1:12" s="5" customFormat="1" ht="14.85" customHeight="1" x14ac:dyDescent="0.25">
      <c r="A110" s="43" t="s">
        <v>34</v>
      </c>
      <c r="B110" s="44" t="s">
        <v>35</v>
      </c>
      <c r="C110" s="93">
        <v>20647199</v>
      </c>
      <c r="D110" s="93">
        <v>16639949.699999999</v>
      </c>
      <c r="E110" s="46">
        <f>F110-7819592.28</f>
        <v>1936553.5699999994</v>
      </c>
      <c r="F110" s="93">
        <v>9756145.8499999996</v>
      </c>
      <c r="G110" s="46">
        <f t="shared" si="16"/>
        <v>1.3212871074589743E-2</v>
      </c>
      <c r="H110" s="46">
        <f t="shared" si="12"/>
        <v>6883803.8499999996</v>
      </c>
      <c r="I110" s="46">
        <f>J110-7408929.5</f>
        <v>1611426.7799999993</v>
      </c>
      <c r="J110" s="46">
        <v>9020356.2799999993</v>
      </c>
      <c r="K110" s="46">
        <f t="shared" si="17"/>
        <v>1.3305808574941413E-2</v>
      </c>
      <c r="L110" s="55">
        <f t="shared" si="13"/>
        <v>7619593.4199999999</v>
      </c>
    </row>
    <row r="111" spans="1:12" s="5" customFormat="1" ht="14.85" customHeight="1" x14ac:dyDescent="0.25">
      <c r="A111" s="43" t="s">
        <v>106</v>
      </c>
      <c r="B111" s="44" t="s">
        <v>107</v>
      </c>
      <c r="C111" s="93">
        <v>193763892</v>
      </c>
      <c r="D111" s="93">
        <v>193763892</v>
      </c>
      <c r="E111" s="46">
        <f>F111-86029286.64</f>
        <v>26353943.090000004</v>
      </c>
      <c r="F111" s="93">
        <v>112383229.73</v>
      </c>
      <c r="G111" s="46">
        <f t="shared" si="16"/>
        <v>0.15220202200733718</v>
      </c>
      <c r="H111" s="46">
        <f t="shared" si="12"/>
        <v>81380662.269999996</v>
      </c>
      <c r="I111" s="46">
        <f>J111-86029286.64</f>
        <v>26353943.090000004</v>
      </c>
      <c r="J111" s="46">
        <v>112383229.73</v>
      </c>
      <c r="K111" s="46">
        <f t="shared" si="17"/>
        <v>0.16577501989988416</v>
      </c>
      <c r="L111" s="55">
        <f t="shared" si="13"/>
        <v>81380662.269999996</v>
      </c>
    </row>
    <row r="112" spans="1:12" s="5" customFormat="1" ht="14.85" customHeight="1" x14ac:dyDescent="0.25">
      <c r="A112" s="43" t="s">
        <v>112</v>
      </c>
      <c r="B112" s="44" t="s">
        <v>113</v>
      </c>
      <c r="C112" s="46">
        <v>0</v>
      </c>
      <c r="D112" s="46">
        <v>0</v>
      </c>
      <c r="E112" s="46">
        <f t="shared" ref="E112:E119" si="18">F112-0</f>
        <v>0</v>
      </c>
      <c r="F112" s="46">
        <v>0</v>
      </c>
      <c r="G112" s="46">
        <f t="shared" si="16"/>
        <v>0</v>
      </c>
      <c r="H112" s="46">
        <f t="shared" si="12"/>
        <v>0</v>
      </c>
      <c r="I112" s="46">
        <f t="shared" ref="I112:I119" si="19">J112-0</f>
        <v>0</v>
      </c>
      <c r="J112" s="46">
        <v>0</v>
      </c>
      <c r="K112" s="46">
        <f t="shared" si="17"/>
        <v>0</v>
      </c>
      <c r="L112" s="55">
        <f t="shared" si="13"/>
        <v>0</v>
      </c>
    </row>
    <row r="113" spans="1:12" s="5" customFormat="1" ht="14.85" customHeight="1" x14ac:dyDescent="0.25">
      <c r="A113" s="43" t="s">
        <v>114</v>
      </c>
      <c r="B113" s="44" t="s">
        <v>115</v>
      </c>
      <c r="C113" s="46">
        <v>100688</v>
      </c>
      <c r="D113" s="46">
        <v>100688</v>
      </c>
      <c r="E113" s="46">
        <f t="shared" si="18"/>
        <v>0</v>
      </c>
      <c r="F113" s="46">
        <v>0</v>
      </c>
      <c r="G113" s="46">
        <f t="shared" si="16"/>
        <v>0</v>
      </c>
      <c r="H113" s="46">
        <f t="shared" si="12"/>
        <v>100688</v>
      </c>
      <c r="I113" s="46">
        <f t="shared" si="19"/>
        <v>0</v>
      </c>
      <c r="J113" s="46">
        <v>0</v>
      </c>
      <c r="K113" s="46">
        <f t="shared" si="17"/>
        <v>0</v>
      </c>
      <c r="L113" s="55">
        <f t="shared" si="13"/>
        <v>100688</v>
      </c>
    </row>
    <row r="114" spans="1:12" s="5" customFormat="1" ht="14.85" customHeight="1" x14ac:dyDescent="0.25">
      <c r="A114" s="43" t="s">
        <v>116</v>
      </c>
      <c r="B114" s="44" t="s">
        <v>117</v>
      </c>
      <c r="C114" s="46">
        <v>6363709274</v>
      </c>
      <c r="D114" s="46">
        <v>6893602621.9499998</v>
      </c>
      <c r="E114" s="46">
        <f>F114-4130506878.61</f>
        <v>1636265383.6500001</v>
      </c>
      <c r="F114" s="93">
        <v>5766772262.2600002</v>
      </c>
      <c r="G114" s="46">
        <f t="shared" si="16"/>
        <v>7.8100122311887761</v>
      </c>
      <c r="H114" s="46">
        <f t="shared" si="12"/>
        <v>1126830359.6899996</v>
      </c>
      <c r="I114" s="46">
        <f>J114-3465683287.9</f>
        <v>1734454789.1299996</v>
      </c>
      <c r="J114" s="46">
        <v>5200138077.0299997</v>
      </c>
      <c r="K114" s="46">
        <f t="shared" si="17"/>
        <v>7.6706550903802144</v>
      </c>
      <c r="L114" s="55">
        <f t="shared" si="13"/>
        <v>1693464544.9200001</v>
      </c>
    </row>
    <row r="115" spans="1:12" s="5" customFormat="1" ht="14.85" customHeight="1" x14ac:dyDescent="0.25">
      <c r="A115" s="43" t="s">
        <v>138</v>
      </c>
      <c r="B115" s="44" t="s">
        <v>139</v>
      </c>
      <c r="C115" s="46">
        <v>246825336</v>
      </c>
      <c r="D115" s="46">
        <v>242617382.56999999</v>
      </c>
      <c r="E115" s="46">
        <f>F115-65209984.13</f>
        <v>50508133.93</v>
      </c>
      <c r="F115" s="93">
        <v>115718118.06</v>
      </c>
      <c r="G115" s="46">
        <f t="shared" si="16"/>
        <v>0.15671850323157427</v>
      </c>
      <c r="H115" s="46">
        <f t="shared" si="12"/>
        <v>126899264.50999999</v>
      </c>
      <c r="I115" s="46">
        <f>J115-49353812.63</f>
        <v>48608698.829999991</v>
      </c>
      <c r="J115" s="46">
        <v>97962511.459999993</v>
      </c>
      <c r="K115" s="46">
        <f t="shared" si="17"/>
        <v>0.14450320858138704</v>
      </c>
      <c r="L115" s="55">
        <f t="shared" si="13"/>
        <v>144654871.11000001</v>
      </c>
    </row>
    <row r="116" spans="1:12" s="5" customFormat="1" ht="14.85" customHeight="1" x14ac:dyDescent="0.25">
      <c r="A116" s="43" t="s">
        <v>148</v>
      </c>
      <c r="B116" s="44" t="s">
        <v>149</v>
      </c>
      <c r="C116" s="46">
        <v>8394745</v>
      </c>
      <c r="D116" s="46">
        <v>8427045</v>
      </c>
      <c r="E116" s="46">
        <f>F116-528157.52</f>
        <v>1389153.81</v>
      </c>
      <c r="F116" s="93">
        <v>1917311.33</v>
      </c>
      <c r="G116" s="46">
        <f t="shared" si="16"/>
        <v>2.5966388574582646E-3</v>
      </c>
      <c r="H116" s="46">
        <f t="shared" si="12"/>
        <v>6509733.6699999999</v>
      </c>
      <c r="I116" s="46">
        <f>J116-397284.74</f>
        <v>94993.400000000023</v>
      </c>
      <c r="J116" s="46">
        <v>492278.14</v>
      </c>
      <c r="K116" s="46">
        <f t="shared" si="17"/>
        <v>7.2615299142798505E-4</v>
      </c>
      <c r="L116" s="55">
        <f t="shared" si="13"/>
        <v>7934766.8600000003</v>
      </c>
    </row>
    <row r="117" spans="1:12" s="5" customFormat="1" ht="14.85" customHeight="1" x14ac:dyDescent="0.25">
      <c r="A117" s="43" t="s">
        <v>150</v>
      </c>
      <c r="B117" s="44" t="s">
        <v>151</v>
      </c>
      <c r="C117" s="46">
        <v>49883130</v>
      </c>
      <c r="D117" s="46">
        <v>59441145.57</v>
      </c>
      <c r="E117" s="46">
        <f>F117-27444012.3</f>
        <v>6443884.370000001</v>
      </c>
      <c r="F117" s="93">
        <v>33887896.670000002</v>
      </c>
      <c r="G117" s="46">
        <f t="shared" si="16"/>
        <v>4.5894804831123875E-2</v>
      </c>
      <c r="H117" s="46">
        <f t="shared" si="12"/>
        <v>25553248.899999999</v>
      </c>
      <c r="I117" s="46">
        <f>J117-22649432.62</f>
        <v>4084814.91</v>
      </c>
      <c r="J117" s="46">
        <v>26734247.530000001</v>
      </c>
      <c r="K117" s="46">
        <f t="shared" si="17"/>
        <v>3.9435335921041953E-2</v>
      </c>
      <c r="L117" s="55">
        <f t="shared" si="13"/>
        <v>32706898.039999999</v>
      </c>
    </row>
    <row r="118" spans="1:12" s="5" customFormat="1" ht="14.85" customHeight="1" x14ac:dyDescent="0.25">
      <c r="A118" s="43" t="s">
        <v>118</v>
      </c>
      <c r="B118" s="44" t="s">
        <v>119</v>
      </c>
      <c r="C118" s="46">
        <v>210000</v>
      </c>
      <c r="D118" s="46">
        <v>210000</v>
      </c>
      <c r="E118" s="46">
        <f t="shared" si="18"/>
        <v>0</v>
      </c>
      <c r="F118" s="46">
        <v>0</v>
      </c>
      <c r="G118" s="46">
        <f t="shared" si="16"/>
        <v>0</v>
      </c>
      <c r="H118" s="46">
        <f t="shared" si="12"/>
        <v>210000</v>
      </c>
      <c r="I118" s="46">
        <f t="shared" si="19"/>
        <v>0</v>
      </c>
      <c r="J118" s="46">
        <v>0</v>
      </c>
      <c r="K118" s="46">
        <f t="shared" si="17"/>
        <v>0</v>
      </c>
      <c r="L118" s="55">
        <f t="shared" si="13"/>
        <v>210000</v>
      </c>
    </row>
    <row r="119" spans="1:12" s="5" customFormat="1" ht="14.85" customHeight="1" x14ac:dyDescent="0.25">
      <c r="A119" s="43" t="s">
        <v>89</v>
      </c>
      <c r="B119" s="44" t="s">
        <v>152</v>
      </c>
      <c r="C119" s="46">
        <v>500000</v>
      </c>
      <c r="D119" s="46">
        <v>500000</v>
      </c>
      <c r="E119" s="46">
        <f t="shared" si="18"/>
        <v>0</v>
      </c>
      <c r="F119" s="46">
        <v>0</v>
      </c>
      <c r="G119" s="46">
        <f t="shared" si="16"/>
        <v>0</v>
      </c>
      <c r="H119" s="46">
        <f t="shared" si="12"/>
        <v>500000</v>
      </c>
      <c r="I119" s="46">
        <f t="shared" si="19"/>
        <v>0</v>
      </c>
      <c r="J119" s="46">
        <v>0</v>
      </c>
      <c r="K119" s="46">
        <f t="shared" si="17"/>
        <v>0</v>
      </c>
      <c r="L119" s="55">
        <f t="shared" si="13"/>
        <v>500000</v>
      </c>
    </row>
    <row r="120" spans="1:12" s="5" customFormat="1" ht="14.85" customHeight="1" x14ac:dyDescent="0.25">
      <c r="A120" s="40" t="s">
        <v>153</v>
      </c>
      <c r="B120" s="72" t="s">
        <v>154</v>
      </c>
      <c r="C120" s="42">
        <f>SUM(C121:C129)</f>
        <v>76831614</v>
      </c>
      <c r="D120" s="42">
        <f>SUM(D121:D129)</f>
        <v>56159322.239999995</v>
      </c>
      <c r="E120" s="42">
        <f>SUM(E121:E129)</f>
        <v>6169244.1700000009</v>
      </c>
      <c r="F120" s="42">
        <f>SUM(F121:F129)</f>
        <v>15843596.010000002</v>
      </c>
      <c r="G120" s="42">
        <f t="shared" si="16"/>
        <v>2.1457181417394913E-2</v>
      </c>
      <c r="H120" s="42">
        <f t="shared" si="12"/>
        <v>40315726.229999989</v>
      </c>
      <c r="I120" s="42">
        <f>SUM(I121:I129)</f>
        <v>3145973.1000000006</v>
      </c>
      <c r="J120" s="42">
        <f>SUM(J121:J129)</f>
        <v>12149029.280000001</v>
      </c>
      <c r="K120" s="42">
        <f t="shared" si="17"/>
        <v>1.7920872851713829E-2</v>
      </c>
      <c r="L120" s="59">
        <f t="shared" si="13"/>
        <v>44010292.959999993</v>
      </c>
    </row>
    <row r="121" spans="1:12" s="5" customFormat="1" ht="14.85" customHeight="1" x14ac:dyDescent="0.25">
      <c r="A121" s="43" t="s">
        <v>59</v>
      </c>
      <c r="B121" s="44" t="s">
        <v>60</v>
      </c>
      <c r="C121" s="46">
        <v>0</v>
      </c>
      <c r="D121" s="46">
        <v>0</v>
      </c>
      <c r="E121" s="46">
        <f t="shared" ref="E121:E129" si="20">F121-0</f>
        <v>0</v>
      </c>
      <c r="F121" s="46">
        <v>0</v>
      </c>
      <c r="G121" s="42">
        <f t="shared" si="16"/>
        <v>0</v>
      </c>
      <c r="H121" s="46">
        <f t="shared" si="12"/>
        <v>0</v>
      </c>
      <c r="I121" s="46">
        <f t="shared" ref="I121:I129" si="21">J121-0</f>
        <v>0</v>
      </c>
      <c r="J121" s="46">
        <v>0</v>
      </c>
      <c r="K121" s="42">
        <f t="shared" si="17"/>
        <v>0</v>
      </c>
      <c r="L121" s="55">
        <f t="shared" si="13"/>
        <v>0</v>
      </c>
    </row>
    <row r="122" spans="1:12" s="5" customFormat="1" ht="14.85" customHeight="1" x14ac:dyDescent="0.25">
      <c r="A122" s="43" t="s">
        <v>30</v>
      </c>
      <c r="B122" s="44" t="s">
        <v>31</v>
      </c>
      <c r="C122" s="93">
        <v>16231223</v>
      </c>
      <c r="D122" s="93">
        <v>19204201</v>
      </c>
      <c r="E122" s="46">
        <f>F122-9067534.27</f>
        <v>5783678.4600000009</v>
      </c>
      <c r="F122" s="93">
        <v>14851212.73</v>
      </c>
      <c r="G122" s="46">
        <f t="shared" si="16"/>
        <v>2.0113184255316968E-2</v>
      </c>
      <c r="H122" s="46">
        <f t="shared" si="12"/>
        <v>4352988.2699999996</v>
      </c>
      <c r="I122" s="46">
        <f>J122-8461105.67</f>
        <v>2920047.4600000009</v>
      </c>
      <c r="J122" s="93">
        <v>11381153.130000001</v>
      </c>
      <c r="K122" s="46">
        <f t="shared" si="17"/>
        <v>1.678818887072555E-2</v>
      </c>
      <c r="L122" s="55">
        <f t="shared" si="13"/>
        <v>7823047.8699999992</v>
      </c>
    </row>
    <row r="123" spans="1:12" s="5" customFormat="1" ht="14.85" customHeight="1" x14ac:dyDescent="0.25">
      <c r="A123" s="43" t="s">
        <v>32</v>
      </c>
      <c r="B123" s="44" t="s">
        <v>33</v>
      </c>
      <c r="C123" s="93">
        <v>350000</v>
      </c>
      <c r="D123" s="93">
        <v>350000</v>
      </c>
      <c r="E123" s="46">
        <f t="shared" si="20"/>
        <v>0</v>
      </c>
      <c r="F123" s="46">
        <v>0</v>
      </c>
      <c r="G123" s="46">
        <f t="shared" si="16"/>
        <v>0</v>
      </c>
      <c r="H123" s="46">
        <f t="shared" si="12"/>
        <v>350000</v>
      </c>
      <c r="I123" s="46">
        <f t="shared" si="21"/>
        <v>0</v>
      </c>
      <c r="J123" s="46">
        <v>0</v>
      </c>
      <c r="K123" s="46">
        <f t="shared" si="17"/>
        <v>0</v>
      </c>
      <c r="L123" s="55">
        <f t="shared" si="13"/>
        <v>350000</v>
      </c>
    </row>
    <row r="124" spans="1:12" s="5" customFormat="1" ht="14.85" customHeight="1" x14ac:dyDescent="0.25">
      <c r="A124" s="43" t="s">
        <v>34</v>
      </c>
      <c r="B124" s="44" t="s">
        <v>35</v>
      </c>
      <c r="C124" s="93">
        <v>106593</v>
      </c>
      <c r="D124" s="93">
        <v>306593</v>
      </c>
      <c r="E124" s="46">
        <f t="shared" si="20"/>
        <v>0</v>
      </c>
      <c r="F124" s="46">
        <v>0</v>
      </c>
      <c r="G124" s="46">
        <f t="shared" si="16"/>
        <v>0</v>
      </c>
      <c r="H124" s="46">
        <f t="shared" si="12"/>
        <v>306593</v>
      </c>
      <c r="I124" s="46">
        <v>0</v>
      </c>
      <c r="J124" s="46">
        <v>0</v>
      </c>
      <c r="K124" s="46">
        <f t="shared" si="17"/>
        <v>0</v>
      </c>
      <c r="L124" s="55">
        <f t="shared" si="13"/>
        <v>306593</v>
      </c>
    </row>
    <row r="125" spans="1:12" s="5" customFormat="1" ht="14.85" customHeight="1" x14ac:dyDescent="0.25">
      <c r="A125" s="43" t="s">
        <v>108</v>
      </c>
      <c r="B125" s="44" t="s">
        <v>109</v>
      </c>
      <c r="C125" s="93">
        <v>1000000</v>
      </c>
      <c r="D125" s="93">
        <v>1000000</v>
      </c>
      <c r="E125" s="46">
        <f>F125-7577.01</f>
        <v>11656.960000000001</v>
      </c>
      <c r="F125" s="46">
        <v>19233.97</v>
      </c>
      <c r="G125" s="46">
        <f t="shared" ref="G125:G157" si="22">(F125/$F$317)*100</f>
        <v>2.6048807569079844E-5</v>
      </c>
      <c r="H125" s="46">
        <f t="shared" si="12"/>
        <v>980766.03</v>
      </c>
      <c r="I125" s="46">
        <f>J125-5911.23</f>
        <v>4996.34</v>
      </c>
      <c r="J125" s="46">
        <v>10907.57</v>
      </c>
      <c r="K125" s="46">
        <f t="shared" si="17"/>
        <v>1.6089612641971358E-5</v>
      </c>
      <c r="L125" s="55">
        <f t="shared" si="13"/>
        <v>989092.43</v>
      </c>
    </row>
    <row r="126" spans="1:12" s="5" customFormat="1" ht="14.85" customHeight="1" x14ac:dyDescent="0.25">
      <c r="A126" s="43" t="s">
        <v>155</v>
      </c>
      <c r="B126" s="44" t="s">
        <v>156</v>
      </c>
      <c r="C126" s="46">
        <v>0</v>
      </c>
      <c r="D126" s="46">
        <v>0</v>
      </c>
      <c r="E126" s="46">
        <f t="shared" si="20"/>
        <v>0</v>
      </c>
      <c r="F126" s="46">
        <v>0</v>
      </c>
      <c r="G126" s="46">
        <f t="shared" si="22"/>
        <v>0</v>
      </c>
      <c r="H126" s="46">
        <f t="shared" si="12"/>
        <v>0</v>
      </c>
      <c r="I126" s="46">
        <f t="shared" si="21"/>
        <v>0</v>
      </c>
      <c r="J126" s="46">
        <v>0</v>
      </c>
      <c r="K126" s="46">
        <f t="shared" si="17"/>
        <v>0</v>
      </c>
      <c r="L126" s="55">
        <f t="shared" si="13"/>
        <v>0</v>
      </c>
    </row>
    <row r="127" spans="1:12" s="5" customFormat="1" ht="14.85" customHeight="1" x14ac:dyDescent="0.25">
      <c r="A127" s="43" t="s">
        <v>157</v>
      </c>
      <c r="B127" s="44" t="s">
        <v>158</v>
      </c>
      <c r="C127" s="93">
        <v>52155798</v>
      </c>
      <c r="D127" s="93">
        <v>28143360.239999998</v>
      </c>
      <c r="E127" s="46">
        <f>F127-599240.56</f>
        <v>373908.75</v>
      </c>
      <c r="F127" s="93">
        <v>973149.31</v>
      </c>
      <c r="G127" s="46">
        <f t="shared" si="22"/>
        <v>1.3179483545088626E-3</v>
      </c>
      <c r="H127" s="46">
        <f t="shared" si="12"/>
        <v>27170210.93</v>
      </c>
      <c r="I127" s="46">
        <f>J127-536039.28</f>
        <v>220929.29999999993</v>
      </c>
      <c r="J127" s="46">
        <v>756968.58</v>
      </c>
      <c r="K127" s="46">
        <f t="shared" si="17"/>
        <v>1.1165943683463051E-3</v>
      </c>
      <c r="L127" s="55">
        <f t="shared" si="13"/>
        <v>27386391.66</v>
      </c>
    </row>
    <row r="128" spans="1:12" s="5" customFormat="1" ht="14.85" customHeight="1" x14ac:dyDescent="0.25">
      <c r="A128" s="43" t="s">
        <v>122</v>
      </c>
      <c r="B128" s="44" t="s">
        <v>123</v>
      </c>
      <c r="C128" s="93">
        <v>6988000</v>
      </c>
      <c r="D128" s="93">
        <v>7155168</v>
      </c>
      <c r="E128" s="46">
        <f>F128-0</f>
        <v>0</v>
      </c>
      <c r="F128" s="46">
        <v>0</v>
      </c>
      <c r="G128" s="46">
        <f t="shared" si="22"/>
        <v>0</v>
      </c>
      <c r="H128" s="46">
        <f t="shared" si="12"/>
        <v>7155168</v>
      </c>
      <c r="I128" s="46">
        <f>J128-0</f>
        <v>0</v>
      </c>
      <c r="J128" s="46">
        <v>0</v>
      </c>
      <c r="K128" s="46">
        <f t="shared" si="17"/>
        <v>0</v>
      </c>
      <c r="L128" s="55">
        <f t="shared" si="13"/>
        <v>7155168</v>
      </c>
    </row>
    <row r="129" spans="1:12" s="5" customFormat="1" ht="14.85" customHeight="1" x14ac:dyDescent="0.25">
      <c r="A129" s="43" t="s">
        <v>40</v>
      </c>
      <c r="B129" s="44" t="s">
        <v>41</v>
      </c>
      <c r="C129" s="46">
        <v>0</v>
      </c>
      <c r="D129" s="46">
        <v>0</v>
      </c>
      <c r="E129" s="46">
        <f t="shared" si="20"/>
        <v>0</v>
      </c>
      <c r="F129" s="46">
        <v>0</v>
      </c>
      <c r="G129" s="46">
        <f t="shared" si="22"/>
        <v>0</v>
      </c>
      <c r="H129" s="46">
        <f t="shared" si="12"/>
        <v>0</v>
      </c>
      <c r="I129" s="46">
        <f t="shared" si="21"/>
        <v>0</v>
      </c>
      <c r="J129" s="46">
        <v>0</v>
      </c>
      <c r="K129" s="46">
        <f t="shared" si="17"/>
        <v>0</v>
      </c>
      <c r="L129" s="55">
        <f t="shared" si="13"/>
        <v>0</v>
      </c>
    </row>
    <row r="130" spans="1:12" s="5" customFormat="1" ht="14.85" customHeight="1" x14ac:dyDescent="0.25">
      <c r="A130" s="40" t="s">
        <v>159</v>
      </c>
      <c r="B130" s="72" t="s">
        <v>160</v>
      </c>
      <c r="C130" s="42">
        <f>SUM(C131:C152)</f>
        <v>9516035783</v>
      </c>
      <c r="D130" s="42">
        <f>SUM(D131:D152)</f>
        <v>11758223094.67</v>
      </c>
      <c r="E130" s="42">
        <f>SUM(E131:E151)</f>
        <v>1452813027.75</v>
      </c>
      <c r="F130" s="42">
        <f>SUM(F131:F152)</f>
        <v>6012227170.8000002</v>
      </c>
      <c r="G130" s="42">
        <f t="shared" si="22"/>
        <v>8.1424349020905478</v>
      </c>
      <c r="H130" s="42">
        <f t="shared" si="12"/>
        <v>5745995923.8699999</v>
      </c>
      <c r="I130" s="42">
        <f>SUM(I131:I152)</f>
        <v>1526955856.8199999</v>
      </c>
      <c r="J130" s="42">
        <f>SUM(J131:J152)</f>
        <v>5585363896.2199993</v>
      </c>
      <c r="K130" s="42">
        <f t="shared" si="17"/>
        <v>8.2388966153443608</v>
      </c>
      <c r="L130" s="59">
        <f t="shared" si="13"/>
        <v>6172859198.4500008</v>
      </c>
    </row>
    <row r="131" spans="1:12" s="5" customFormat="1" ht="14.85" customHeight="1" x14ac:dyDescent="0.25">
      <c r="A131" s="43" t="s">
        <v>30</v>
      </c>
      <c r="B131" s="44" t="s">
        <v>31</v>
      </c>
      <c r="C131" s="93">
        <v>3233113872</v>
      </c>
      <c r="D131" s="93">
        <v>3765581845.54</v>
      </c>
      <c r="E131" s="46">
        <f>F131-1481034077.42</f>
        <v>699995406.32999992</v>
      </c>
      <c r="F131" s="93">
        <v>2181029483.75</v>
      </c>
      <c r="G131" s="46">
        <f t="shared" si="22"/>
        <v>2.9537956711325482</v>
      </c>
      <c r="H131" s="46">
        <f t="shared" si="12"/>
        <v>1584552361.79</v>
      </c>
      <c r="I131" s="46">
        <f>J131-1403978377.28</f>
        <v>720506900.38000011</v>
      </c>
      <c r="J131" s="93">
        <v>2124485277.6600001</v>
      </c>
      <c r="K131" s="46">
        <f t="shared" si="17"/>
        <v>3.1338002122489579</v>
      </c>
      <c r="L131" s="55">
        <f t="shared" si="13"/>
        <v>1641096567.8799999</v>
      </c>
    </row>
    <row r="132" spans="1:12" s="5" customFormat="1" ht="14.85" customHeight="1" x14ac:dyDescent="0.25">
      <c r="A132" s="43" t="s">
        <v>32</v>
      </c>
      <c r="B132" s="44" t="s">
        <v>33</v>
      </c>
      <c r="C132" s="93">
        <v>200000</v>
      </c>
      <c r="D132" s="93">
        <v>208600000</v>
      </c>
      <c r="E132" s="46">
        <f>F132-0</f>
        <v>0</v>
      </c>
      <c r="F132" s="46">
        <v>0</v>
      </c>
      <c r="G132" s="46">
        <f t="shared" si="22"/>
        <v>0</v>
      </c>
      <c r="H132" s="46">
        <f t="shared" si="12"/>
        <v>208600000</v>
      </c>
      <c r="I132" s="46">
        <f>J132-0</f>
        <v>0</v>
      </c>
      <c r="J132" s="46">
        <v>0</v>
      </c>
      <c r="K132" s="46">
        <f t="shared" si="17"/>
        <v>0</v>
      </c>
      <c r="L132" s="55">
        <f t="shared" si="13"/>
        <v>208600000</v>
      </c>
    </row>
    <row r="133" spans="1:12" s="5" customFormat="1" ht="14.85" customHeight="1" x14ac:dyDescent="0.25">
      <c r="A133" s="43" t="s">
        <v>34</v>
      </c>
      <c r="B133" s="44" t="s">
        <v>35</v>
      </c>
      <c r="C133" s="93">
        <v>46357994</v>
      </c>
      <c r="D133" s="93">
        <v>51650669</v>
      </c>
      <c r="E133" s="46">
        <f>F133-2748671.44</f>
        <v>5100000</v>
      </c>
      <c r="F133" s="46">
        <v>7848671.4400000004</v>
      </c>
      <c r="G133" s="46">
        <f t="shared" si="22"/>
        <v>1.0629554481653699E-2</v>
      </c>
      <c r="H133" s="46">
        <f t="shared" si="12"/>
        <v>43801997.560000002</v>
      </c>
      <c r="I133" s="46">
        <f>J133-1720635</f>
        <v>5126649</v>
      </c>
      <c r="J133" s="46">
        <v>6847284</v>
      </c>
      <c r="K133" s="46">
        <f t="shared" si="17"/>
        <v>1.010033831637736E-2</v>
      </c>
      <c r="L133" s="55">
        <f t="shared" si="13"/>
        <v>44803385</v>
      </c>
    </row>
    <row r="134" spans="1:12" s="5" customFormat="1" ht="14.85" customHeight="1" x14ac:dyDescent="0.25">
      <c r="A134" s="43" t="s">
        <v>104</v>
      </c>
      <c r="B134" s="44" t="s">
        <v>105</v>
      </c>
      <c r="C134" s="46">
        <v>0</v>
      </c>
      <c r="D134" s="46">
        <v>0</v>
      </c>
      <c r="E134" s="46">
        <f>F134-0</f>
        <v>0</v>
      </c>
      <c r="F134" s="46">
        <v>0</v>
      </c>
      <c r="G134" s="46">
        <f t="shared" si="22"/>
        <v>0</v>
      </c>
      <c r="H134" s="46">
        <f t="shared" si="12"/>
        <v>0</v>
      </c>
      <c r="I134" s="46">
        <f>J134-0</f>
        <v>0</v>
      </c>
      <c r="J134" s="46">
        <v>0</v>
      </c>
      <c r="K134" s="46">
        <f t="shared" si="17"/>
        <v>0</v>
      </c>
      <c r="L134" s="55">
        <f t="shared" si="13"/>
        <v>0</v>
      </c>
    </row>
    <row r="135" spans="1:12" s="5" customFormat="1" ht="14.85" customHeight="1" x14ac:dyDescent="0.25">
      <c r="A135" s="43" t="s">
        <v>108</v>
      </c>
      <c r="B135" s="44" t="s">
        <v>109</v>
      </c>
      <c r="C135" s="46">
        <v>0</v>
      </c>
      <c r="D135" s="46">
        <v>0</v>
      </c>
      <c r="E135" s="46">
        <f>F135-0</f>
        <v>0</v>
      </c>
      <c r="F135" s="46">
        <v>0</v>
      </c>
      <c r="G135" s="46">
        <f t="shared" si="22"/>
        <v>0</v>
      </c>
      <c r="H135" s="46">
        <f t="shared" si="12"/>
        <v>0</v>
      </c>
      <c r="I135" s="46">
        <f>J135-0</f>
        <v>0</v>
      </c>
      <c r="J135" s="46">
        <v>0</v>
      </c>
      <c r="K135" s="46">
        <f t="shared" si="17"/>
        <v>0</v>
      </c>
      <c r="L135" s="55">
        <f t="shared" si="13"/>
        <v>0</v>
      </c>
    </row>
    <row r="136" spans="1:12" s="5" customFormat="1" ht="14.85" customHeight="1" x14ac:dyDescent="0.25">
      <c r="A136" s="43" t="s">
        <v>110</v>
      </c>
      <c r="B136" s="44" t="s">
        <v>111</v>
      </c>
      <c r="C136" s="93">
        <v>129705315</v>
      </c>
      <c r="D136" s="93">
        <v>130520893</v>
      </c>
      <c r="E136" s="46">
        <f>F136-46976274.47</f>
        <v>19050056.410000004</v>
      </c>
      <c r="F136" s="93">
        <v>66026330.880000003</v>
      </c>
      <c r="G136" s="46">
        <f t="shared" si="22"/>
        <v>8.942029064127241E-2</v>
      </c>
      <c r="H136" s="46">
        <f t="shared" si="12"/>
        <v>64494562.119999997</v>
      </c>
      <c r="I136" s="46">
        <f>J136-29394387.46</f>
        <v>16102188.399999999</v>
      </c>
      <c r="J136" s="46">
        <v>45496575.859999999</v>
      </c>
      <c r="K136" s="46">
        <f t="shared" si="17"/>
        <v>6.7111398975524789E-2</v>
      </c>
      <c r="L136" s="55">
        <f t="shared" si="13"/>
        <v>85024317.140000001</v>
      </c>
    </row>
    <row r="137" spans="1:12" s="5" customFormat="1" ht="14.85" customHeight="1" x14ac:dyDescent="0.25">
      <c r="A137" s="43" t="s">
        <v>116</v>
      </c>
      <c r="B137" s="44" t="s">
        <v>117</v>
      </c>
      <c r="C137" s="93">
        <v>1192127</v>
      </c>
      <c r="D137" s="93">
        <v>1192127</v>
      </c>
      <c r="E137" s="46">
        <f>F137-0</f>
        <v>0</v>
      </c>
      <c r="F137" s="46">
        <v>0</v>
      </c>
      <c r="G137" s="46">
        <f t="shared" si="22"/>
        <v>0</v>
      </c>
      <c r="H137" s="46">
        <f t="shared" si="12"/>
        <v>1192127</v>
      </c>
      <c r="I137" s="46">
        <f>J137-0</f>
        <v>0</v>
      </c>
      <c r="J137" s="46">
        <v>0</v>
      </c>
      <c r="K137" s="46">
        <f t="shared" si="17"/>
        <v>0</v>
      </c>
      <c r="L137" s="55">
        <f t="shared" si="13"/>
        <v>1192127</v>
      </c>
    </row>
    <row r="138" spans="1:12" s="5" customFormat="1" ht="14.85" customHeight="1" x14ac:dyDescent="0.25">
      <c r="A138" s="43" t="s">
        <v>118</v>
      </c>
      <c r="B138" s="44" t="s">
        <v>119</v>
      </c>
      <c r="C138" s="93">
        <v>265165083</v>
      </c>
      <c r="D138" s="93">
        <v>270787371.32999998</v>
      </c>
      <c r="E138" s="46">
        <f>F138-107610406.16</f>
        <v>45950301.840000004</v>
      </c>
      <c r="F138" s="46">
        <v>153560708</v>
      </c>
      <c r="G138" s="46">
        <f t="shared" si="22"/>
        <v>0.2079691989154428</v>
      </c>
      <c r="H138" s="46">
        <f t="shared" si="12"/>
        <v>117226663.32999998</v>
      </c>
      <c r="I138" s="46">
        <f>J138-102957851.17</f>
        <v>41773258.549999997</v>
      </c>
      <c r="J138" s="93">
        <v>144731109.72</v>
      </c>
      <c r="K138" s="46">
        <f t="shared" si="17"/>
        <v>0.21349095102185506</v>
      </c>
      <c r="L138" s="55">
        <f t="shared" si="13"/>
        <v>126056261.60999998</v>
      </c>
    </row>
    <row r="139" spans="1:12" s="5" customFormat="1" ht="14.85" customHeight="1" x14ac:dyDescent="0.25">
      <c r="A139" s="43" t="s">
        <v>120</v>
      </c>
      <c r="B139" s="44" t="s">
        <v>121</v>
      </c>
      <c r="C139" s="46">
        <v>0</v>
      </c>
      <c r="D139" s="46">
        <v>0</v>
      </c>
      <c r="E139" s="46">
        <f>F139-0</f>
        <v>0</v>
      </c>
      <c r="F139" s="46">
        <v>0</v>
      </c>
      <c r="G139" s="46">
        <f t="shared" si="22"/>
        <v>0</v>
      </c>
      <c r="H139" s="46">
        <f t="shared" si="12"/>
        <v>0</v>
      </c>
      <c r="I139" s="46">
        <f>J139-0</f>
        <v>0</v>
      </c>
      <c r="J139" s="46">
        <v>0</v>
      </c>
      <c r="K139" s="46">
        <f t="shared" si="17"/>
        <v>0</v>
      </c>
      <c r="L139" s="55">
        <f t="shared" si="13"/>
        <v>0</v>
      </c>
    </row>
    <row r="140" spans="1:12" s="5" customFormat="1" ht="14.85" customHeight="1" x14ac:dyDescent="0.25">
      <c r="A140" s="43" t="s">
        <v>161</v>
      </c>
      <c r="B140" s="44" t="s">
        <v>162</v>
      </c>
      <c r="C140" s="93">
        <v>1229367737</v>
      </c>
      <c r="D140" s="93">
        <v>1165345832.8299999</v>
      </c>
      <c r="E140" s="46">
        <f>F140-473259823.92</f>
        <v>154034025.55000001</v>
      </c>
      <c r="F140" s="93">
        <v>627293849.47000003</v>
      </c>
      <c r="G140" s="46">
        <f t="shared" si="22"/>
        <v>0.84955195282676255</v>
      </c>
      <c r="H140" s="46">
        <f t="shared" si="12"/>
        <v>538051983.3599999</v>
      </c>
      <c r="I140" s="46">
        <f>J140-473259823.92</f>
        <v>154034025.55000001</v>
      </c>
      <c r="J140" s="93">
        <v>627293849.47000003</v>
      </c>
      <c r="K140" s="46">
        <f t="shared" si="17"/>
        <v>0.9253128836820107</v>
      </c>
      <c r="L140" s="55">
        <f t="shared" si="13"/>
        <v>538051983.3599999</v>
      </c>
    </row>
    <row r="141" spans="1:12" s="5" customFormat="1" ht="14.85" customHeight="1" x14ac:dyDescent="0.25">
      <c r="A141" s="43" t="s">
        <v>163</v>
      </c>
      <c r="B141" s="44" t="s">
        <v>164</v>
      </c>
      <c r="C141" s="93">
        <v>2816101393</v>
      </c>
      <c r="D141" s="93">
        <v>2686299680.29</v>
      </c>
      <c r="E141" s="46">
        <f>F141-1376027803.56</f>
        <v>240721378.62000012</v>
      </c>
      <c r="F141" s="93">
        <v>1616749182.1800001</v>
      </c>
      <c r="G141" s="46">
        <f t="shared" si="22"/>
        <v>2.189583759050993</v>
      </c>
      <c r="H141" s="46">
        <f t="shared" si="12"/>
        <v>1069550498.1099999</v>
      </c>
      <c r="I141" s="46">
        <f>J141-1373999121.9</f>
        <v>240642713.13999987</v>
      </c>
      <c r="J141" s="93">
        <v>1614641835.04</v>
      </c>
      <c r="K141" s="46">
        <f t="shared" ref="K141:K157" si="23">(J141/$J$317)*100</f>
        <v>2.3817368746031806</v>
      </c>
      <c r="L141" s="55">
        <f t="shared" si="13"/>
        <v>1071657845.25</v>
      </c>
    </row>
    <row r="142" spans="1:12" s="5" customFormat="1" ht="14.85" customHeight="1" x14ac:dyDescent="0.25">
      <c r="A142" s="43" t="s">
        <v>165</v>
      </c>
      <c r="B142" s="44" t="s">
        <v>166</v>
      </c>
      <c r="C142" s="93">
        <v>75609791</v>
      </c>
      <c r="D142" s="93">
        <v>697688749.16999996</v>
      </c>
      <c r="E142" s="46">
        <f>F142-114387828.16</f>
        <v>45929027.409999996</v>
      </c>
      <c r="F142" s="93">
        <v>160316855.56999999</v>
      </c>
      <c r="G142" s="46">
        <f t="shared" si="22"/>
        <v>0.21711913457403206</v>
      </c>
      <c r="H142" s="46">
        <f t="shared" si="12"/>
        <v>537371893.5999999</v>
      </c>
      <c r="I142" s="46">
        <f>J142-97260833.83</f>
        <v>52740230.399999991</v>
      </c>
      <c r="J142" s="93">
        <v>150001064.22999999</v>
      </c>
      <c r="K142" s="46">
        <f t="shared" si="23"/>
        <v>0.22126459141166782</v>
      </c>
      <c r="L142" s="55">
        <f t="shared" si="13"/>
        <v>547687684.93999994</v>
      </c>
    </row>
    <row r="143" spans="1:12" s="5" customFormat="1" ht="14.85" customHeight="1" x14ac:dyDescent="0.25">
      <c r="A143" s="43" t="s">
        <v>167</v>
      </c>
      <c r="B143" s="44" t="s">
        <v>168</v>
      </c>
      <c r="C143" s="93">
        <v>503063157</v>
      </c>
      <c r="D143" s="93">
        <v>558196974.42999995</v>
      </c>
      <c r="E143" s="46">
        <f>F143-243574507.17</f>
        <v>80035553.050000042</v>
      </c>
      <c r="F143" s="93">
        <v>323610060.22000003</v>
      </c>
      <c r="G143" s="46">
        <f t="shared" si="22"/>
        <v>0.43826917615495503</v>
      </c>
      <c r="H143" s="46">
        <f t="shared" si="12"/>
        <v>234586914.20999992</v>
      </c>
      <c r="I143" s="46">
        <f>J143-226479535.39</f>
        <v>77752536.050000012</v>
      </c>
      <c r="J143" s="93">
        <v>304232071.44</v>
      </c>
      <c r="K143" s="46">
        <f t="shared" si="23"/>
        <v>0.44876871592244261</v>
      </c>
      <c r="L143" s="55">
        <f t="shared" si="13"/>
        <v>253964902.98999995</v>
      </c>
    </row>
    <row r="144" spans="1:12" s="5" customFormat="1" ht="14.85" customHeight="1" x14ac:dyDescent="0.25">
      <c r="A144" s="43" t="s">
        <v>124</v>
      </c>
      <c r="B144" s="44" t="s">
        <v>125</v>
      </c>
      <c r="C144" s="93">
        <v>16758801</v>
      </c>
      <c r="D144" s="93">
        <v>16993521</v>
      </c>
      <c r="E144" s="46">
        <f>F144-6586338.21</f>
        <v>3497505.3500000006</v>
      </c>
      <c r="F144" s="93">
        <v>10083843.560000001</v>
      </c>
      <c r="G144" s="46">
        <f t="shared" si="22"/>
        <v>1.365667620627177E-2</v>
      </c>
      <c r="H144" s="46">
        <f t="shared" ref="H144:H157" si="24">D144-F144</f>
        <v>6909677.4399999995</v>
      </c>
      <c r="I144" s="46">
        <f>J144-5134667.35</f>
        <v>3099159.7800000003</v>
      </c>
      <c r="J144" s="93">
        <v>8233827.1299999999</v>
      </c>
      <c r="K144" s="46">
        <f t="shared" si="23"/>
        <v>1.2145609799676256E-2</v>
      </c>
      <c r="L144" s="55">
        <f t="shared" ref="L144:L157" si="25">D144-J144</f>
        <v>8759693.870000001</v>
      </c>
    </row>
    <row r="145" spans="1:12" s="5" customFormat="1" ht="14.85" customHeight="1" x14ac:dyDescent="0.25">
      <c r="A145" s="43" t="s">
        <v>169</v>
      </c>
      <c r="B145" s="44" t="s">
        <v>170</v>
      </c>
      <c r="C145" s="93">
        <v>45751903</v>
      </c>
      <c r="D145" s="93">
        <v>42251903</v>
      </c>
      <c r="E145" s="46">
        <f>F145-17138045.52</f>
        <v>12196616.379999999</v>
      </c>
      <c r="F145" s="93">
        <v>29334661.899999999</v>
      </c>
      <c r="G145" s="46">
        <f t="shared" si="22"/>
        <v>3.9728301694196159E-2</v>
      </c>
      <c r="H145" s="46">
        <f t="shared" si="24"/>
        <v>12917241.100000001</v>
      </c>
      <c r="I145" s="46">
        <f>J145-9292405.73</f>
        <v>5775863.2599999998</v>
      </c>
      <c r="J145" s="46">
        <v>15068268.99</v>
      </c>
      <c r="K145" s="46">
        <f t="shared" si="23"/>
        <v>2.222700484472059E-2</v>
      </c>
      <c r="L145" s="55">
        <f t="shared" si="25"/>
        <v>27183634.009999998</v>
      </c>
    </row>
    <row r="146" spans="1:12" s="5" customFormat="1" ht="14.85" customHeight="1" x14ac:dyDescent="0.25">
      <c r="A146" s="43" t="s">
        <v>171</v>
      </c>
      <c r="B146" s="44" t="s">
        <v>172</v>
      </c>
      <c r="C146" s="93">
        <v>1101889632</v>
      </c>
      <c r="D146" s="93">
        <v>1924218227.28</v>
      </c>
      <c r="E146" s="46">
        <f>F146-673645880.46</f>
        <v>142305298.38</v>
      </c>
      <c r="F146" s="93">
        <v>815951178.84000003</v>
      </c>
      <c r="G146" s="46">
        <f t="shared" si="22"/>
        <v>1.1050529476424791</v>
      </c>
      <c r="H146" s="46">
        <f t="shared" si="24"/>
        <v>1108267048.4400001</v>
      </c>
      <c r="I146" s="46">
        <f>J146-320551756.17</f>
        <v>208083953.70999998</v>
      </c>
      <c r="J146" s="93">
        <v>528635709.88</v>
      </c>
      <c r="K146" s="46">
        <f t="shared" si="23"/>
        <v>0.7797835632210246</v>
      </c>
      <c r="L146" s="55">
        <f t="shared" si="25"/>
        <v>1395582517.4000001</v>
      </c>
    </row>
    <row r="147" spans="1:12" s="5" customFormat="1" ht="14.85" customHeight="1" x14ac:dyDescent="0.25">
      <c r="A147" s="43" t="s">
        <v>38</v>
      </c>
      <c r="B147" s="44" t="s">
        <v>39</v>
      </c>
      <c r="C147" s="93">
        <v>372578</v>
      </c>
      <c r="D147" s="93">
        <v>52000</v>
      </c>
      <c r="E147" s="46">
        <f>F147-0</f>
        <v>0</v>
      </c>
      <c r="F147" s="46">
        <v>0</v>
      </c>
      <c r="G147" s="46">
        <f t="shared" si="22"/>
        <v>0</v>
      </c>
      <c r="H147" s="46">
        <f t="shared" si="24"/>
        <v>52000</v>
      </c>
      <c r="I147" s="46">
        <f>J147-0</f>
        <v>0</v>
      </c>
      <c r="J147" s="46">
        <v>0</v>
      </c>
      <c r="K147" s="46">
        <f t="shared" si="23"/>
        <v>0</v>
      </c>
      <c r="L147" s="55">
        <f t="shared" si="25"/>
        <v>52000</v>
      </c>
    </row>
    <row r="148" spans="1:12" s="5" customFormat="1" ht="14.85" customHeight="1" x14ac:dyDescent="0.25">
      <c r="A148" s="43" t="s">
        <v>40</v>
      </c>
      <c r="B148" s="44" t="s">
        <v>41</v>
      </c>
      <c r="C148" s="93">
        <v>123000</v>
      </c>
      <c r="D148" s="93">
        <v>0</v>
      </c>
      <c r="E148" s="46">
        <f>F148-0</f>
        <v>0</v>
      </c>
      <c r="F148" s="52">
        <v>0</v>
      </c>
      <c r="G148" s="46">
        <f t="shared" si="22"/>
        <v>0</v>
      </c>
      <c r="H148" s="46">
        <f t="shared" si="24"/>
        <v>0</v>
      </c>
      <c r="I148" s="46">
        <f>J148-0</f>
        <v>0</v>
      </c>
      <c r="J148" s="46">
        <v>0</v>
      </c>
      <c r="K148" s="46">
        <f t="shared" si="23"/>
        <v>0</v>
      </c>
      <c r="L148" s="55">
        <f t="shared" si="25"/>
        <v>0</v>
      </c>
    </row>
    <row r="149" spans="1:12" s="5" customFormat="1" ht="14.85" customHeight="1" x14ac:dyDescent="0.25">
      <c r="A149" s="43" t="s">
        <v>85</v>
      </c>
      <c r="B149" s="44" t="s">
        <v>86</v>
      </c>
      <c r="C149" s="93">
        <v>125000</v>
      </c>
      <c r="D149" s="93">
        <v>178125000</v>
      </c>
      <c r="E149" s="46">
        <f>F149-0</f>
        <v>0</v>
      </c>
      <c r="F149" s="52">
        <v>0</v>
      </c>
      <c r="G149" s="46">
        <f t="shared" si="22"/>
        <v>0</v>
      </c>
      <c r="H149" s="46">
        <f t="shared" si="24"/>
        <v>178125000</v>
      </c>
      <c r="I149" s="46">
        <f>J149-0</f>
        <v>0</v>
      </c>
      <c r="J149" s="46">
        <v>0</v>
      </c>
      <c r="K149" s="46">
        <f t="shared" si="23"/>
        <v>0</v>
      </c>
      <c r="L149" s="55">
        <f t="shared" si="25"/>
        <v>178125000</v>
      </c>
    </row>
    <row r="150" spans="1:12" s="5" customFormat="1" ht="14.85" customHeight="1" x14ac:dyDescent="0.25">
      <c r="A150" s="43" t="s">
        <v>87</v>
      </c>
      <c r="B150" s="44" t="s">
        <v>88</v>
      </c>
      <c r="C150" s="93">
        <v>50715000</v>
      </c>
      <c r="D150" s="93">
        <v>60115000</v>
      </c>
      <c r="E150" s="46">
        <f>F150-16368593.9</f>
        <v>3901794.33</v>
      </c>
      <c r="F150" s="93">
        <v>20270388.23</v>
      </c>
      <c r="G150" s="46">
        <f t="shared" si="22"/>
        <v>2.7452441817981982E-2</v>
      </c>
      <c r="H150" s="46">
        <f t="shared" si="24"/>
        <v>39844611.769999996</v>
      </c>
      <c r="I150" s="46">
        <f>J150-14322751.54</f>
        <v>1222314.5</v>
      </c>
      <c r="J150" s="93">
        <v>15545066.039999999</v>
      </c>
      <c r="K150" s="46">
        <f t="shared" si="23"/>
        <v>2.2930321884476891E-2</v>
      </c>
      <c r="L150" s="55">
        <f t="shared" si="25"/>
        <v>44569933.960000001</v>
      </c>
    </row>
    <row r="151" spans="1:12" s="5" customFormat="1" ht="14.85" customHeight="1" x14ac:dyDescent="0.25">
      <c r="A151" s="43" t="s">
        <v>89</v>
      </c>
      <c r="B151" s="44" t="s">
        <v>90</v>
      </c>
      <c r="C151" s="93">
        <v>301400</v>
      </c>
      <c r="D151" s="93">
        <v>603300.80000000005</v>
      </c>
      <c r="E151" s="46">
        <f>F151-55892.66</f>
        <v>96064.1</v>
      </c>
      <c r="F151" s="93">
        <v>151956.76</v>
      </c>
      <c r="G151" s="46">
        <f t="shared" si="22"/>
        <v>2.0579695195848018E-4</v>
      </c>
      <c r="H151" s="46">
        <f t="shared" si="24"/>
        <v>451344.04000000004</v>
      </c>
      <c r="I151" s="46">
        <f>J151-55892.66</f>
        <v>96064.1</v>
      </c>
      <c r="J151" s="93">
        <v>151956.76</v>
      </c>
      <c r="K151" s="46">
        <f t="shared" si="23"/>
        <v>2.2414941244741109E-4</v>
      </c>
      <c r="L151" s="55">
        <f t="shared" si="25"/>
        <v>451344.04000000004</v>
      </c>
    </row>
    <row r="152" spans="1:12" s="5" customFormat="1" ht="14.85" customHeight="1" x14ac:dyDescent="0.25">
      <c r="A152" s="43" t="s">
        <v>132</v>
      </c>
      <c r="B152" s="44" t="s">
        <v>133</v>
      </c>
      <c r="C152" s="93">
        <v>122000</v>
      </c>
      <c r="D152" s="93">
        <v>0</v>
      </c>
      <c r="E152" s="46">
        <f>F152-0</f>
        <v>0</v>
      </c>
      <c r="F152" s="46">
        <v>0</v>
      </c>
      <c r="G152" s="46">
        <f t="shared" si="22"/>
        <v>0</v>
      </c>
      <c r="H152" s="46">
        <f t="shared" si="24"/>
        <v>0</v>
      </c>
      <c r="I152" s="46">
        <f>J152-0</f>
        <v>0</v>
      </c>
      <c r="J152" s="46">
        <v>0</v>
      </c>
      <c r="K152" s="46">
        <f t="shared" si="23"/>
        <v>0</v>
      </c>
      <c r="L152" s="55">
        <f t="shared" si="25"/>
        <v>0</v>
      </c>
    </row>
    <row r="153" spans="1:12" s="5" customFormat="1" ht="14.85" customHeight="1" x14ac:dyDescent="0.25">
      <c r="A153" s="40" t="s">
        <v>173</v>
      </c>
      <c r="B153" s="72" t="s">
        <v>174</v>
      </c>
      <c r="C153" s="42">
        <f>SUM(C154:C157)</f>
        <v>507123881</v>
      </c>
      <c r="D153" s="42">
        <f>SUM(D154:D157)</f>
        <v>697267887.57000005</v>
      </c>
      <c r="E153" s="42">
        <f>SUM(E154:E157)</f>
        <v>38830696.299999997</v>
      </c>
      <c r="F153" s="42">
        <f>SUM(F154:F157)</f>
        <v>148228927.84999999</v>
      </c>
      <c r="G153" s="42">
        <f t="shared" si="22"/>
        <v>0.20074830197487412</v>
      </c>
      <c r="H153" s="42">
        <f t="shared" si="24"/>
        <v>549038959.72000003</v>
      </c>
      <c r="I153" s="42">
        <f>SUM(I154:I157)</f>
        <v>38679989.080000013</v>
      </c>
      <c r="J153" s="42">
        <f>SUM(J154:J157)</f>
        <v>129464156.66</v>
      </c>
      <c r="K153" s="42">
        <f t="shared" si="23"/>
        <v>0.19097086992601434</v>
      </c>
      <c r="L153" s="59">
        <f t="shared" si="25"/>
        <v>567803730.91000009</v>
      </c>
    </row>
    <row r="154" spans="1:12" s="5" customFormat="1" ht="14.85" customHeight="1" x14ac:dyDescent="0.25">
      <c r="A154" s="43" t="s">
        <v>30</v>
      </c>
      <c r="B154" s="44" t="s">
        <v>31</v>
      </c>
      <c r="C154" s="93">
        <v>136073161</v>
      </c>
      <c r="D154" s="93">
        <v>134289179.72</v>
      </c>
      <c r="E154" s="46">
        <f>F154-56906849.69</f>
        <v>19448941.079999998</v>
      </c>
      <c r="F154" s="93">
        <v>76355790.769999996</v>
      </c>
      <c r="G154" s="46">
        <f t="shared" si="22"/>
        <v>0.10340960813356019</v>
      </c>
      <c r="H154" s="46">
        <f t="shared" si="24"/>
        <v>57933388.950000003</v>
      </c>
      <c r="I154" s="46">
        <f>J154-55339322.95</f>
        <v>18316998.230000004</v>
      </c>
      <c r="J154" s="93">
        <v>73656321.180000007</v>
      </c>
      <c r="K154" s="46">
        <f t="shared" si="23"/>
        <v>0.10864946788504046</v>
      </c>
      <c r="L154" s="55">
        <f t="shared" si="25"/>
        <v>60632858.539999992</v>
      </c>
    </row>
    <row r="155" spans="1:12" s="5" customFormat="1" ht="14.85" customHeight="1" x14ac:dyDescent="0.25">
      <c r="A155" s="43" t="s">
        <v>175</v>
      </c>
      <c r="B155" s="44" t="s">
        <v>176</v>
      </c>
      <c r="C155" s="93">
        <v>1464380</v>
      </c>
      <c r="D155" s="93">
        <v>1422901.5</v>
      </c>
      <c r="E155" s="46">
        <f>F155-201741.33</f>
        <v>101214.63999999998</v>
      </c>
      <c r="F155" s="93">
        <v>302955.96999999997</v>
      </c>
      <c r="G155" s="46">
        <f t="shared" si="22"/>
        <v>4.1029708190425189E-4</v>
      </c>
      <c r="H155" s="46">
        <f t="shared" si="24"/>
        <v>1119945.53</v>
      </c>
      <c r="I155" s="46">
        <f>J155-29606.26</f>
        <v>11686.09</v>
      </c>
      <c r="J155" s="93">
        <v>41292.35</v>
      </c>
      <c r="K155" s="46">
        <f t="shared" si="23"/>
        <v>6.0909800860934748E-5</v>
      </c>
      <c r="L155" s="55">
        <f t="shared" si="25"/>
        <v>1381609.15</v>
      </c>
    </row>
    <row r="156" spans="1:12" s="5" customFormat="1" ht="14.85" customHeight="1" x14ac:dyDescent="0.25">
      <c r="A156" s="43" t="s">
        <v>38</v>
      </c>
      <c r="B156" s="44" t="s">
        <v>39</v>
      </c>
      <c r="C156" s="93">
        <v>369586340</v>
      </c>
      <c r="D156" s="93">
        <v>561555806.35000002</v>
      </c>
      <c r="E156" s="46">
        <f>F156-52289640.53</f>
        <v>19280540.579999998</v>
      </c>
      <c r="F156" s="93">
        <v>71570181.109999999</v>
      </c>
      <c r="G156" s="46">
        <f t="shared" si="22"/>
        <v>9.6928396759409688E-2</v>
      </c>
      <c r="H156" s="46">
        <f t="shared" si="24"/>
        <v>489985625.24000001</v>
      </c>
      <c r="I156" s="46">
        <f>J156-35415238.37</f>
        <v>20351304.760000005</v>
      </c>
      <c r="J156" s="93">
        <v>55766543.130000003</v>
      </c>
      <c r="K156" s="46">
        <f t="shared" si="23"/>
        <v>8.2260492240112962E-2</v>
      </c>
      <c r="L156" s="55">
        <f t="shared" si="25"/>
        <v>505789263.22000003</v>
      </c>
    </row>
    <row r="157" spans="1:12" s="5" customFormat="1" ht="14.85" customHeight="1" x14ac:dyDescent="0.25">
      <c r="A157" s="48" t="s">
        <v>95</v>
      </c>
      <c r="B157" s="49" t="s">
        <v>96</v>
      </c>
      <c r="C157" s="58">
        <v>0</v>
      </c>
      <c r="D157" s="58">
        <v>0</v>
      </c>
      <c r="E157" s="58">
        <f>F157-0</f>
        <v>0</v>
      </c>
      <c r="F157" s="58">
        <v>0</v>
      </c>
      <c r="G157" s="58">
        <f t="shared" si="22"/>
        <v>0</v>
      </c>
      <c r="H157" s="58">
        <f t="shared" si="24"/>
        <v>0</v>
      </c>
      <c r="I157" s="58">
        <f>J157-0</f>
        <v>0</v>
      </c>
      <c r="J157" s="58">
        <v>0</v>
      </c>
      <c r="K157" s="58">
        <f t="shared" si="23"/>
        <v>0</v>
      </c>
      <c r="L157" s="78">
        <f t="shared" si="25"/>
        <v>0</v>
      </c>
    </row>
    <row r="158" spans="1:12" s="5" customFormat="1" ht="15" customHeight="1" x14ac:dyDescent="0.25">
      <c r="A158" s="43"/>
      <c r="B158" s="50"/>
      <c r="C158" s="51"/>
      <c r="D158" s="51"/>
      <c r="E158" s="51"/>
      <c r="F158" s="51"/>
      <c r="G158" s="52"/>
      <c r="H158" s="51"/>
      <c r="I158" s="51"/>
      <c r="J158" s="51"/>
      <c r="K158" s="52"/>
      <c r="L158" s="53" t="s">
        <v>177</v>
      </c>
    </row>
    <row r="159" spans="1:12" s="5" customFormat="1" ht="13.5" customHeight="1" x14ac:dyDescent="0.25">
      <c r="A159" s="26"/>
      <c r="B159" s="22"/>
      <c r="C159" s="27"/>
      <c r="D159" s="27"/>
      <c r="E159" s="27"/>
      <c r="F159" s="27"/>
      <c r="G159" s="28"/>
      <c r="H159" s="27"/>
      <c r="I159" s="27"/>
      <c r="J159" s="27"/>
      <c r="K159" s="28"/>
      <c r="L159" s="27"/>
    </row>
    <row r="160" spans="1:12" s="5" customFormat="1" ht="15.75" x14ac:dyDescent="0.25">
      <c r="A160" s="26"/>
      <c r="B160" s="22"/>
      <c r="C160" s="27"/>
      <c r="D160" s="27"/>
      <c r="E160" s="27"/>
      <c r="F160" s="27"/>
      <c r="G160" s="28"/>
      <c r="H160" s="27"/>
      <c r="I160" s="27"/>
      <c r="J160" s="27"/>
      <c r="K160" s="28"/>
      <c r="L160" s="27"/>
    </row>
    <row r="161" spans="1:12" s="5" customFormat="1" ht="15.75" x14ac:dyDescent="0.25">
      <c r="A161" s="26"/>
      <c r="B161" s="22"/>
      <c r="C161" s="27"/>
      <c r="D161" s="27"/>
      <c r="E161" s="27"/>
      <c r="F161" s="27"/>
      <c r="G161" s="28"/>
      <c r="H161" s="27"/>
      <c r="I161" s="27"/>
      <c r="J161" s="27"/>
      <c r="K161" s="28"/>
      <c r="L161" s="27"/>
    </row>
    <row r="162" spans="1:12" s="5" customFormat="1" ht="17.25" customHeight="1" x14ac:dyDescent="0.25">
      <c r="A162" s="26"/>
      <c r="B162" s="22"/>
      <c r="C162" s="27"/>
      <c r="D162" s="27"/>
      <c r="E162" s="27"/>
      <c r="F162" s="27"/>
      <c r="G162" s="28"/>
      <c r="H162" s="27"/>
      <c r="I162" s="27"/>
      <c r="J162" s="27"/>
      <c r="K162" s="28"/>
      <c r="L162" s="21" t="s">
        <v>178</v>
      </c>
    </row>
    <row r="163" spans="1:12" s="5" customFormat="1" ht="15.75" x14ac:dyDescent="0.25">
      <c r="A163" s="98" t="s">
        <v>0</v>
      </c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</row>
    <row r="164" spans="1:12" s="5" customFormat="1" ht="15.75" x14ac:dyDescent="0.25">
      <c r="A164" s="98" t="s">
        <v>1</v>
      </c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</row>
    <row r="165" spans="1:12" s="5" customFormat="1" ht="15.75" x14ac:dyDescent="0.25">
      <c r="A165" s="108" t="s">
        <v>2</v>
      </c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</row>
    <row r="166" spans="1:12" s="5" customFormat="1" ht="15.75" x14ac:dyDescent="0.25">
      <c r="A166" s="98" t="s">
        <v>3</v>
      </c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</row>
    <row r="167" spans="1:12" s="5" customFormat="1" ht="15.75" x14ac:dyDescent="0.25">
      <c r="A167" s="98" t="str">
        <f>A7</f>
        <v>JANEIRO A AGOSTO  2024/BIMESTRE JULHO - AGOSTO</v>
      </c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</row>
    <row r="168" spans="1:12" s="5" customFormat="1" ht="15.75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1" t="str">
        <f>L8</f>
        <v>Emissão: 20/09/2024</v>
      </c>
    </row>
    <row r="169" spans="1:12" s="5" customFormat="1" ht="15.75" x14ac:dyDescent="0.25">
      <c r="A169" s="23" t="s">
        <v>4</v>
      </c>
      <c r="B169" s="22"/>
      <c r="C169" s="22"/>
      <c r="D169" s="22"/>
      <c r="E169" s="22"/>
      <c r="F169" s="24"/>
      <c r="G169" s="24"/>
      <c r="H169" s="24"/>
      <c r="I169" s="22"/>
      <c r="J169" s="22"/>
      <c r="K169" s="21"/>
      <c r="L169" s="25">
        <v>1</v>
      </c>
    </row>
    <row r="170" spans="1:12" s="5" customFormat="1" ht="13.5" customHeight="1" x14ac:dyDescent="0.25">
      <c r="A170" s="8"/>
      <c r="B170" s="9"/>
      <c r="C170" s="10" t="s">
        <v>5</v>
      </c>
      <c r="D170" s="10" t="s">
        <v>5</v>
      </c>
      <c r="E170" s="99" t="s">
        <v>6</v>
      </c>
      <c r="F170" s="100"/>
      <c r="G170" s="101"/>
      <c r="H170" s="10" t="s">
        <v>7</v>
      </c>
      <c r="I170" s="99" t="s">
        <v>8</v>
      </c>
      <c r="J170" s="100"/>
      <c r="K170" s="101"/>
      <c r="L170" s="11" t="s">
        <v>7</v>
      </c>
    </row>
    <row r="171" spans="1:12" s="5" customFormat="1" ht="14.25" customHeight="1" x14ac:dyDescent="0.25">
      <c r="A171" s="12" t="s">
        <v>9</v>
      </c>
      <c r="B171" s="13" t="s">
        <v>10</v>
      </c>
      <c r="C171" s="13" t="s">
        <v>11</v>
      </c>
      <c r="D171" s="13" t="s">
        <v>12</v>
      </c>
      <c r="E171" s="13" t="s">
        <v>13</v>
      </c>
      <c r="F171" s="13" t="s">
        <v>14</v>
      </c>
      <c r="G171" s="13" t="s">
        <v>15</v>
      </c>
      <c r="H171" s="14"/>
      <c r="I171" s="13" t="s">
        <v>13</v>
      </c>
      <c r="J171" s="13" t="s">
        <v>14</v>
      </c>
      <c r="K171" s="13" t="s">
        <v>15</v>
      </c>
      <c r="L171" s="15"/>
    </row>
    <row r="172" spans="1:12" s="5" customFormat="1" ht="13.5" customHeight="1" x14ac:dyDescent="0.25">
      <c r="A172" s="16"/>
      <c r="B172" s="17"/>
      <c r="C172" s="17"/>
      <c r="D172" s="18" t="s">
        <v>16</v>
      </c>
      <c r="E172" s="18"/>
      <c r="F172" s="18" t="s">
        <v>17</v>
      </c>
      <c r="G172" s="18" t="s">
        <v>18</v>
      </c>
      <c r="H172" s="19" t="s">
        <v>19</v>
      </c>
      <c r="I172" s="18"/>
      <c r="J172" s="18" t="s">
        <v>20</v>
      </c>
      <c r="K172" s="18" t="s">
        <v>21</v>
      </c>
      <c r="L172" s="20" t="s">
        <v>22</v>
      </c>
    </row>
    <row r="173" spans="1:12" s="5" customFormat="1" ht="14.85" customHeight="1" x14ac:dyDescent="0.25">
      <c r="A173" s="40" t="s">
        <v>179</v>
      </c>
      <c r="B173" s="72" t="s">
        <v>180</v>
      </c>
      <c r="C173" s="42">
        <f>SUM(C174:C182)</f>
        <v>310300494</v>
      </c>
      <c r="D173" s="42">
        <f>SUM(D174:D182)</f>
        <v>372509940.07999998</v>
      </c>
      <c r="E173" s="42">
        <f>SUM(E174:E182)</f>
        <v>52730382.950000003</v>
      </c>
      <c r="F173" s="42">
        <f>SUM(F174:F182)</f>
        <v>177954652.10999998</v>
      </c>
      <c r="G173" s="42">
        <f>(F173/$F$317)*100</f>
        <v>0.24100622434348903</v>
      </c>
      <c r="H173" s="42">
        <f t="shared" ref="H173:H242" si="26">D173-F173</f>
        <v>194555287.97</v>
      </c>
      <c r="I173" s="42">
        <f>SUM(I174:I182)</f>
        <v>49449530.070000008</v>
      </c>
      <c r="J173" s="42">
        <f>SUM(J174:J182)</f>
        <v>169285368.10000002</v>
      </c>
      <c r="K173" s="42">
        <f t="shared" ref="K173:K198" si="27">(J173/$J$317)*100</f>
        <v>0.24971061370062581</v>
      </c>
      <c r="L173" s="59">
        <f t="shared" ref="L173:L242" si="28">D173-J173</f>
        <v>203224571.97999996</v>
      </c>
    </row>
    <row r="174" spans="1:12" s="5" customFormat="1" ht="14.85" customHeight="1" x14ac:dyDescent="0.25">
      <c r="A174" s="43" t="s">
        <v>48</v>
      </c>
      <c r="B174" s="44" t="s">
        <v>49</v>
      </c>
      <c r="C174" s="93">
        <v>1000000</v>
      </c>
      <c r="D174" s="93">
        <v>1000000</v>
      </c>
      <c r="E174" s="46">
        <f t="shared" ref="E174:E181" si="29">F174-0</f>
        <v>0</v>
      </c>
      <c r="F174" s="42">
        <v>0</v>
      </c>
      <c r="G174" s="42"/>
      <c r="H174" s="46">
        <f t="shared" si="26"/>
        <v>1000000</v>
      </c>
      <c r="I174" s="46">
        <v>0</v>
      </c>
      <c r="J174" s="46">
        <v>0</v>
      </c>
      <c r="K174" s="46">
        <f t="shared" si="27"/>
        <v>0</v>
      </c>
      <c r="L174" s="55">
        <f t="shared" si="28"/>
        <v>1000000</v>
      </c>
    </row>
    <row r="175" spans="1:12" s="5" customFormat="1" ht="14.85" customHeight="1" x14ac:dyDescent="0.25">
      <c r="A175" s="43" t="s">
        <v>30</v>
      </c>
      <c r="B175" s="44" t="s">
        <v>31</v>
      </c>
      <c r="C175" s="93">
        <v>18283677</v>
      </c>
      <c r="D175" s="93">
        <v>74740177</v>
      </c>
      <c r="E175" s="46">
        <f>F175-8364595.57</f>
        <v>3405153.5700000003</v>
      </c>
      <c r="F175" s="93">
        <v>11769749.140000001</v>
      </c>
      <c r="G175" s="46">
        <f t="shared" ref="G175:G204" si="30">(F175/$F$317)*100</f>
        <v>1.5939919345002773E-2</v>
      </c>
      <c r="H175" s="46">
        <f t="shared" si="26"/>
        <v>62970427.859999999</v>
      </c>
      <c r="I175" s="46">
        <f>J175-8027541.73</f>
        <v>2871332.3499999996</v>
      </c>
      <c r="J175" s="93">
        <v>10898874.08</v>
      </c>
      <c r="K175" s="46">
        <f t="shared" si="27"/>
        <v>1.6076785405073905E-2</v>
      </c>
      <c r="L175" s="55">
        <f t="shared" si="28"/>
        <v>63841302.920000002</v>
      </c>
    </row>
    <row r="176" spans="1:12" s="5" customFormat="1" ht="14.85" customHeight="1" x14ac:dyDescent="0.25">
      <c r="A176" s="43" t="s">
        <v>65</v>
      </c>
      <c r="B176" s="44" t="s">
        <v>66</v>
      </c>
      <c r="C176" s="93">
        <v>216060194</v>
      </c>
      <c r="D176" s="93">
        <v>216772757</v>
      </c>
      <c r="E176" s="46">
        <f>F176-94990693.96</f>
        <v>35045965.030000001</v>
      </c>
      <c r="F176" s="93">
        <v>130036658.98999999</v>
      </c>
      <c r="G176" s="46">
        <f t="shared" si="30"/>
        <v>0.17611028336617796</v>
      </c>
      <c r="H176" s="46">
        <f t="shared" si="26"/>
        <v>86736098.010000005</v>
      </c>
      <c r="I176" s="46">
        <f>J176-94956698.71</f>
        <v>35053642.010000005</v>
      </c>
      <c r="J176" s="93">
        <v>130010340.72</v>
      </c>
      <c r="K176" s="46">
        <f t="shared" si="27"/>
        <v>0.191776538829044</v>
      </c>
      <c r="L176" s="55">
        <f t="shared" si="28"/>
        <v>86762416.280000001</v>
      </c>
    </row>
    <row r="177" spans="1:15" s="5" customFormat="1" ht="14.85" customHeight="1" x14ac:dyDescent="0.25">
      <c r="A177" s="43" t="s">
        <v>136</v>
      </c>
      <c r="B177" s="44" t="s">
        <v>137</v>
      </c>
      <c r="C177" s="93">
        <v>1087437</v>
      </c>
      <c r="D177" s="93">
        <v>1087437</v>
      </c>
      <c r="E177" s="46">
        <f t="shared" si="29"/>
        <v>0</v>
      </c>
      <c r="F177" s="46">
        <v>0</v>
      </c>
      <c r="G177" s="46">
        <f t="shared" si="30"/>
        <v>0</v>
      </c>
      <c r="H177" s="46">
        <f t="shared" si="26"/>
        <v>1087437</v>
      </c>
      <c r="I177" s="46">
        <f>J177-0</f>
        <v>0</v>
      </c>
      <c r="J177" s="46">
        <v>0</v>
      </c>
      <c r="K177" s="46">
        <f t="shared" si="27"/>
        <v>0</v>
      </c>
      <c r="L177" s="55">
        <f t="shared" si="28"/>
        <v>1087437</v>
      </c>
    </row>
    <row r="178" spans="1:15" s="5" customFormat="1" ht="14.85" customHeight="1" x14ac:dyDescent="0.25">
      <c r="A178" s="43" t="s">
        <v>108</v>
      </c>
      <c r="B178" s="44" t="s">
        <v>109</v>
      </c>
      <c r="C178" s="46">
        <v>0</v>
      </c>
      <c r="D178" s="46">
        <v>0</v>
      </c>
      <c r="E178" s="46">
        <f t="shared" si="29"/>
        <v>0</v>
      </c>
      <c r="F178" s="46">
        <v>0</v>
      </c>
      <c r="G178" s="46">
        <f t="shared" si="30"/>
        <v>0</v>
      </c>
      <c r="H178" s="46">
        <f t="shared" si="26"/>
        <v>0</v>
      </c>
      <c r="I178" s="46">
        <f>J178-0</f>
        <v>0</v>
      </c>
      <c r="J178" s="46">
        <v>0</v>
      </c>
      <c r="K178" s="46">
        <f t="shared" si="27"/>
        <v>0</v>
      </c>
      <c r="L178" s="55">
        <f t="shared" si="28"/>
        <v>0</v>
      </c>
    </row>
    <row r="179" spans="1:15" s="5" customFormat="1" ht="14.85" customHeight="1" x14ac:dyDescent="0.25">
      <c r="A179" s="43" t="s">
        <v>171</v>
      </c>
      <c r="B179" s="44" t="s">
        <v>172</v>
      </c>
      <c r="C179" s="46">
        <v>0</v>
      </c>
      <c r="D179" s="46">
        <v>0</v>
      </c>
      <c r="E179" s="46">
        <f t="shared" si="29"/>
        <v>0</v>
      </c>
      <c r="F179" s="46">
        <v>0</v>
      </c>
      <c r="G179" s="46">
        <f t="shared" si="30"/>
        <v>0</v>
      </c>
      <c r="H179" s="46">
        <f t="shared" si="26"/>
        <v>0</v>
      </c>
      <c r="I179" s="46">
        <f>J179-0</f>
        <v>0</v>
      </c>
      <c r="J179" s="46">
        <v>0</v>
      </c>
      <c r="K179" s="46">
        <f t="shared" si="27"/>
        <v>0</v>
      </c>
      <c r="L179" s="55">
        <f t="shared" si="28"/>
        <v>0</v>
      </c>
    </row>
    <row r="180" spans="1:15" s="5" customFormat="1" ht="14.85" customHeight="1" x14ac:dyDescent="0.25">
      <c r="A180" s="43" t="s">
        <v>175</v>
      </c>
      <c r="B180" s="44" t="s">
        <v>181</v>
      </c>
      <c r="C180" s="46">
        <v>0</v>
      </c>
      <c r="D180" s="46">
        <v>0</v>
      </c>
      <c r="E180" s="46">
        <f t="shared" si="29"/>
        <v>0</v>
      </c>
      <c r="F180" s="46">
        <v>0</v>
      </c>
      <c r="G180" s="46">
        <f t="shared" si="30"/>
        <v>0</v>
      </c>
      <c r="H180" s="46">
        <f t="shared" si="26"/>
        <v>0</v>
      </c>
      <c r="I180" s="46">
        <f>J180-0</f>
        <v>0</v>
      </c>
      <c r="J180" s="46">
        <v>0</v>
      </c>
      <c r="K180" s="46">
        <f t="shared" si="27"/>
        <v>0</v>
      </c>
      <c r="L180" s="55">
        <f t="shared" si="28"/>
        <v>0</v>
      </c>
    </row>
    <row r="181" spans="1:15" s="5" customFormat="1" ht="14.85" customHeight="1" x14ac:dyDescent="0.25">
      <c r="A181" s="43" t="s">
        <v>75</v>
      </c>
      <c r="B181" s="54" t="s">
        <v>76</v>
      </c>
      <c r="C181" s="55">
        <v>0</v>
      </c>
      <c r="D181" s="55">
        <v>0</v>
      </c>
      <c r="E181" s="55">
        <f t="shared" si="29"/>
        <v>0</v>
      </c>
      <c r="F181" s="55">
        <v>0</v>
      </c>
      <c r="G181" s="46">
        <f t="shared" si="30"/>
        <v>0</v>
      </c>
      <c r="H181" s="55">
        <f t="shared" si="26"/>
        <v>0</v>
      </c>
      <c r="I181" s="55">
        <f>J181-0</f>
        <v>0</v>
      </c>
      <c r="J181" s="55">
        <v>0</v>
      </c>
      <c r="K181" s="46">
        <f t="shared" si="27"/>
        <v>0</v>
      </c>
      <c r="L181" s="55">
        <f t="shared" si="28"/>
        <v>0</v>
      </c>
    </row>
    <row r="182" spans="1:15" s="5" customFormat="1" ht="14.85" customHeight="1" x14ac:dyDescent="0.25">
      <c r="A182" s="43" t="s">
        <v>40</v>
      </c>
      <c r="B182" s="54" t="s">
        <v>41</v>
      </c>
      <c r="C182" s="93">
        <v>73869186</v>
      </c>
      <c r="D182" s="93">
        <v>78909569.079999998</v>
      </c>
      <c r="E182" s="55">
        <f>F182-21868979.63</f>
        <v>14279264.349999998</v>
      </c>
      <c r="F182" s="93">
        <v>36148243.979999997</v>
      </c>
      <c r="G182" s="55">
        <f t="shared" si="30"/>
        <v>4.8956021632308291E-2</v>
      </c>
      <c r="H182" s="55">
        <f t="shared" si="26"/>
        <v>42761325.100000001</v>
      </c>
      <c r="I182" s="55">
        <f>J182-16851597.59</f>
        <v>11524555.710000001</v>
      </c>
      <c r="J182" s="93">
        <v>28376153.300000001</v>
      </c>
      <c r="K182" s="55">
        <f t="shared" si="27"/>
        <v>4.1857289466507873E-2</v>
      </c>
      <c r="L182" s="55">
        <f t="shared" si="28"/>
        <v>50533415.780000001</v>
      </c>
    </row>
    <row r="183" spans="1:15" s="5" customFormat="1" ht="14.85" customHeight="1" x14ac:dyDescent="0.25">
      <c r="A183" s="40" t="s">
        <v>182</v>
      </c>
      <c r="B183" s="72" t="s">
        <v>183</v>
      </c>
      <c r="C183" s="42">
        <f>SUM(C184:C191)</f>
        <v>1611067257</v>
      </c>
      <c r="D183" s="42">
        <f>SUM(D184:D191)</f>
        <v>2089897955.4000001</v>
      </c>
      <c r="E183" s="42">
        <f>SUM(E184:E191)</f>
        <v>613418798.22000003</v>
      </c>
      <c r="F183" s="42">
        <f>SUM(F184:F191)</f>
        <v>1276951528.2</v>
      </c>
      <c r="G183" s="42">
        <f t="shared" si="30"/>
        <v>1.7293915209977053</v>
      </c>
      <c r="H183" s="42">
        <f t="shared" si="26"/>
        <v>812946427.20000005</v>
      </c>
      <c r="I183" s="42">
        <f>SUM(I184:I191)</f>
        <v>359328919.19999999</v>
      </c>
      <c r="J183" s="42">
        <f>SUM(J184:J191)</f>
        <v>835998152.75999999</v>
      </c>
      <c r="K183" s="42">
        <f t="shared" si="27"/>
        <v>1.233169848766682</v>
      </c>
      <c r="L183" s="59">
        <f t="shared" si="28"/>
        <v>1253899802.6400001</v>
      </c>
    </row>
    <row r="184" spans="1:15" s="5" customFormat="1" ht="14.85" customHeight="1" x14ac:dyDescent="0.25">
      <c r="A184" s="43" t="s">
        <v>30</v>
      </c>
      <c r="B184" s="44" t="s">
        <v>31</v>
      </c>
      <c r="C184" s="93">
        <v>576900143</v>
      </c>
      <c r="D184" s="93">
        <v>587613790.39999998</v>
      </c>
      <c r="E184" s="46">
        <f>F184-215611963.87</f>
        <v>94208262.980000019</v>
      </c>
      <c r="F184" s="93">
        <v>309820226.85000002</v>
      </c>
      <c r="G184" s="46">
        <f t="shared" si="30"/>
        <v>0.41959343132095528</v>
      </c>
      <c r="H184" s="46">
        <f t="shared" si="26"/>
        <v>277793563.54999995</v>
      </c>
      <c r="I184" s="46">
        <f>J184-130824557.83</f>
        <v>130367355.33</v>
      </c>
      <c r="J184" s="93">
        <v>261191913.16</v>
      </c>
      <c r="K184" s="46">
        <f t="shared" si="27"/>
        <v>0.38528074612033858</v>
      </c>
      <c r="L184" s="55">
        <f t="shared" si="28"/>
        <v>326421877.24000001</v>
      </c>
    </row>
    <row r="185" spans="1:15" s="5" customFormat="1" ht="14.85" customHeight="1" x14ac:dyDescent="0.25">
      <c r="A185" s="43" t="s">
        <v>32</v>
      </c>
      <c r="B185" s="44" t="s">
        <v>33</v>
      </c>
      <c r="C185" s="46">
        <v>0</v>
      </c>
      <c r="D185" s="46">
        <v>0</v>
      </c>
      <c r="E185" s="46">
        <f t="shared" ref="E185:E191" si="31">F185-0</f>
        <v>0</v>
      </c>
      <c r="F185" s="46">
        <v>0</v>
      </c>
      <c r="G185" s="46">
        <f t="shared" si="30"/>
        <v>0</v>
      </c>
      <c r="H185" s="46">
        <f t="shared" si="26"/>
        <v>0</v>
      </c>
      <c r="I185" s="46">
        <f t="shared" ref="I185:I191" si="32">J185-0</f>
        <v>0</v>
      </c>
      <c r="J185" s="46">
        <v>0</v>
      </c>
      <c r="K185" s="46">
        <f t="shared" si="27"/>
        <v>0</v>
      </c>
      <c r="L185" s="55">
        <f t="shared" si="28"/>
        <v>0</v>
      </c>
    </row>
    <row r="186" spans="1:15" s="5" customFormat="1" ht="14.85" customHeight="1" x14ac:dyDescent="0.25">
      <c r="A186" s="43" t="s">
        <v>67</v>
      </c>
      <c r="B186" s="44" t="s">
        <v>68</v>
      </c>
      <c r="C186" s="46">
        <v>0</v>
      </c>
      <c r="D186" s="46">
        <v>0</v>
      </c>
      <c r="E186" s="46">
        <f t="shared" si="31"/>
        <v>0</v>
      </c>
      <c r="F186" s="46">
        <v>0</v>
      </c>
      <c r="G186" s="46">
        <f t="shared" si="30"/>
        <v>0</v>
      </c>
      <c r="H186" s="46">
        <f t="shared" si="26"/>
        <v>0</v>
      </c>
      <c r="I186" s="46">
        <f t="shared" si="32"/>
        <v>0</v>
      </c>
      <c r="J186" s="46">
        <v>0</v>
      </c>
      <c r="K186" s="46">
        <f t="shared" si="27"/>
        <v>0</v>
      </c>
      <c r="L186" s="55">
        <f t="shared" si="28"/>
        <v>0</v>
      </c>
    </row>
    <row r="187" spans="1:15" s="5" customFormat="1" ht="14.85" customHeight="1" x14ac:dyDescent="0.25">
      <c r="A187" s="43" t="s">
        <v>34</v>
      </c>
      <c r="B187" s="44" t="s">
        <v>35</v>
      </c>
      <c r="C187" s="46">
        <v>0</v>
      </c>
      <c r="D187" s="46">
        <v>0</v>
      </c>
      <c r="E187" s="46">
        <f>F187-0</f>
        <v>0</v>
      </c>
      <c r="F187" s="46">
        <v>0</v>
      </c>
      <c r="G187" s="46">
        <f t="shared" si="30"/>
        <v>0</v>
      </c>
      <c r="H187" s="46">
        <f t="shared" si="26"/>
        <v>0</v>
      </c>
      <c r="I187" s="46">
        <f>J187-0</f>
        <v>0</v>
      </c>
      <c r="J187" s="46">
        <v>0</v>
      </c>
      <c r="K187" s="46">
        <f t="shared" si="27"/>
        <v>0</v>
      </c>
      <c r="L187" s="55">
        <f t="shared" si="28"/>
        <v>0</v>
      </c>
    </row>
    <row r="188" spans="1:15" s="5" customFormat="1" ht="14.85" customHeight="1" x14ac:dyDescent="0.25">
      <c r="A188" s="43" t="s">
        <v>77</v>
      </c>
      <c r="B188" s="44" t="s">
        <v>78</v>
      </c>
      <c r="C188" s="93">
        <v>1034167114</v>
      </c>
      <c r="D188" s="93">
        <v>1502284165</v>
      </c>
      <c r="E188" s="46">
        <f>F188-447920766.11</f>
        <v>519210535.24000001</v>
      </c>
      <c r="F188" s="93">
        <v>967131301.35000002</v>
      </c>
      <c r="G188" s="46">
        <f t="shared" si="30"/>
        <v>1.3097980896767498</v>
      </c>
      <c r="H188" s="46">
        <f t="shared" si="26"/>
        <v>535152863.64999998</v>
      </c>
      <c r="I188" s="46">
        <f>J188-345844675.73</f>
        <v>228961563.87</v>
      </c>
      <c r="J188" s="93">
        <v>574806239.60000002</v>
      </c>
      <c r="K188" s="46">
        <f t="shared" si="27"/>
        <v>0.84788910264634365</v>
      </c>
      <c r="L188" s="55">
        <f t="shared" si="28"/>
        <v>927477925.39999998</v>
      </c>
    </row>
    <row r="189" spans="1:15" s="5" customFormat="1" ht="14.85" customHeight="1" x14ac:dyDescent="0.25">
      <c r="A189" s="43" t="s">
        <v>184</v>
      </c>
      <c r="B189" s="44" t="s">
        <v>185</v>
      </c>
      <c r="C189" s="46">
        <v>0</v>
      </c>
      <c r="D189" s="46">
        <v>0</v>
      </c>
      <c r="E189" s="46">
        <f>F189-0</f>
        <v>0</v>
      </c>
      <c r="F189" s="46">
        <v>0</v>
      </c>
      <c r="G189" s="46">
        <f t="shared" si="30"/>
        <v>0</v>
      </c>
      <c r="H189" s="46">
        <f t="shared" si="26"/>
        <v>0</v>
      </c>
      <c r="I189" s="46">
        <f>J189-0</f>
        <v>0</v>
      </c>
      <c r="J189" s="46">
        <v>0</v>
      </c>
      <c r="K189" s="46">
        <f t="shared" si="27"/>
        <v>0</v>
      </c>
      <c r="L189" s="55">
        <f t="shared" si="28"/>
        <v>0</v>
      </c>
    </row>
    <row r="190" spans="1:15" s="5" customFormat="1" ht="14.85" customHeight="1" x14ac:dyDescent="0.25">
      <c r="A190" s="43" t="s">
        <v>186</v>
      </c>
      <c r="B190" s="44" t="s">
        <v>187</v>
      </c>
      <c r="C190" s="46">
        <v>0</v>
      </c>
      <c r="D190" s="46">
        <v>0</v>
      </c>
      <c r="E190" s="46">
        <f t="shared" si="31"/>
        <v>0</v>
      </c>
      <c r="F190" s="46">
        <v>0</v>
      </c>
      <c r="G190" s="46">
        <f t="shared" si="30"/>
        <v>0</v>
      </c>
      <c r="H190" s="46">
        <f t="shared" si="26"/>
        <v>0</v>
      </c>
      <c r="I190" s="46">
        <f t="shared" si="32"/>
        <v>0</v>
      </c>
      <c r="J190" s="46">
        <v>0</v>
      </c>
      <c r="K190" s="46">
        <f t="shared" si="27"/>
        <v>0</v>
      </c>
      <c r="L190" s="55">
        <f t="shared" si="28"/>
        <v>0</v>
      </c>
      <c r="M190" s="103"/>
      <c r="N190" s="103"/>
      <c r="O190" s="103"/>
    </row>
    <row r="191" spans="1:15" s="5" customFormat="1" ht="14.85" customHeight="1" x14ac:dyDescent="0.25">
      <c r="A191" s="43" t="s">
        <v>95</v>
      </c>
      <c r="B191" s="44" t="s">
        <v>96</v>
      </c>
      <c r="C191" s="46">
        <v>0</v>
      </c>
      <c r="D191" s="46">
        <v>0</v>
      </c>
      <c r="E191" s="46">
        <f t="shared" si="31"/>
        <v>0</v>
      </c>
      <c r="F191" s="46">
        <v>0</v>
      </c>
      <c r="G191" s="46">
        <f t="shared" si="30"/>
        <v>0</v>
      </c>
      <c r="H191" s="46">
        <f t="shared" si="26"/>
        <v>0</v>
      </c>
      <c r="I191" s="46">
        <f t="shared" si="32"/>
        <v>0</v>
      </c>
      <c r="J191" s="46">
        <v>0</v>
      </c>
      <c r="K191" s="46">
        <f t="shared" si="27"/>
        <v>0</v>
      </c>
      <c r="L191" s="55">
        <f t="shared" si="28"/>
        <v>0</v>
      </c>
      <c r="M191" s="94"/>
      <c r="N191" s="94"/>
      <c r="O191" s="94"/>
    </row>
    <row r="192" spans="1:15" s="5" customFormat="1" ht="14.85" customHeight="1" x14ac:dyDescent="0.25">
      <c r="A192" s="40" t="s">
        <v>188</v>
      </c>
      <c r="B192" s="72" t="s">
        <v>189</v>
      </c>
      <c r="C192" s="42">
        <f>SUM(C193:C197)</f>
        <v>510714104</v>
      </c>
      <c r="D192" s="42">
        <f>SUM(D193:D197)</f>
        <v>571312480.03999996</v>
      </c>
      <c r="E192" s="42">
        <f>SUM(E193:E197)</f>
        <v>78083204.329999983</v>
      </c>
      <c r="F192" s="42">
        <f>SUM(F193:F197)</f>
        <v>306616997.55000001</v>
      </c>
      <c r="G192" s="42">
        <f t="shared" si="30"/>
        <v>0.41525525757755549</v>
      </c>
      <c r="H192" s="42">
        <f t="shared" si="26"/>
        <v>264695482.48999995</v>
      </c>
      <c r="I192" s="42">
        <f>SUM(I193:I197)</f>
        <v>78265658.519999996</v>
      </c>
      <c r="J192" s="42">
        <f>SUM(J193:J197)</f>
        <v>245592783.13</v>
      </c>
      <c r="K192" s="42">
        <f t="shared" si="27"/>
        <v>0.36227067515728784</v>
      </c>
      <c r="L192" s="59">
        <f t="shared" si="28"/>
        <v>325719696.90999997</v>
      </c>
    </row>
    <row r="193" spans="1:15" s="5" customFormat="1" ht="14.85" customHeight="1" x14ac:dyDescent="0.25">
      <c r="A193" s="43" t="s">
        <v>30</v>
      </c>
      <c r="B193" s="44" t="s">
        <v>31</v>
      </c>
      <c r="C193" s="93">
        <v>126369780</v>
      </c>
      <c r="D193" s="93">
        <v>135869780</v>
      </c>
      <c r="E193" s="46">
        <f>F193-49167706.1</f>
        <v>22379796.359999992</v>
      </c>
      <c r="F193" s="93">
        <v>71547502.459999993</v>
      </c>
      <c r="G193" s="46">
        <f t="shared" si="30"/>
        <v>9.6897682778376307E-2</v>
      </c>
      <c r="H193" s="46">
        <f t="shared" si="26"/>
        <v>64322277.540000007</v>
      </c>
      <c r="I193" s="46">
        <f>J193-48543522.28</f>
        <v>16878853.420000002</v>
      </c>
      <c r="J193" s="93">
        <v>65422375.700000003</v>
      </c>
      <c r="K193" s="46">
        <f t="shared" si="27"/>
        <v>9.6503683508840171E-2</v>
      </c>
      <c r="L193" s="55">
        <f t="shared" si="28"/>
        <v>70447404.299999997</v>
      </c>
    </row>
    <row r="194" spans="1:15" s="5" customFormat="1" ht="14.85" customHeight="1" x14ac:dyDescent="0.25">
      <c r="A194" s="43" t="s">
        <v>32</v>
      </c>
      <c r="B194" s="44" t="s">
        <v>33</v>
      </c>
      <c r="C194" s="46">
        <v>0</v>
      </c>
      <c r="D194" s="46">
        <v>0</v>
      </c>
      <c r="E194" s="46">
        <f>F194-0</f>
        <v>0</v>
      </c>
      <c r="F194" s="46">
        <v>0</v>
      </c>
      <c r="G194" s="46">
        <f t="shared" si="30"/>
        <v>0</v>
      </c>
      <c r="H194" s="46">
        <f t="shared" si="26"/>
        <v>0</v>
      </c>
      <c r="I194" s="46">
        <f>J194-0</f>
        <v>0</v>
      </c>
      <c r="J194" s="46">
        <v>0</v>
      </c>
      <c r="K194" s="46">
        <f t="shared" si="27"/>
        <v>0</v>
      </c>
      <c r="L194" s="55">
        <f t="shared" si="28"/>
        <v>0</v>
      </c>
    </row>
    <row r="195" spans="1:15" s="5" customFormat="1" ht="14.85" customHeight="1" x14ac:dyDescent="0.25">
      <c r="A195" s="43" t="s">
        <v>116</v>
      </c>
      <c r="B195" s="44" t="s">
        <v>117</v>
      </c>
      <c r="C195" s="46">
        <v>0</v>
      </c>
      <c r="D195" s="46">
        <v>0</v>
      </c>
      <c r="E195" s="46">
        <f>F195-0</f>
        <v>0</v>
      </c>
      <c r="F195" s="46">
        <v>0</v>
      </c>
      <c r="G195" s="46">
        <f t="shared" si="30"/>
        <v>0</v>
      </c>
      <c r="H195" s="46">
        <f t="shared" si="26"/>
        <v>0</v>
      </c>
      <c r="I195" s="46">
        <f>J195-0</f>
        <v>0</v>
      </c>
      <c r="J195" s="46">
        <v>0</v>
      </c>
      <c r="K195" s="46">
        <f t="shared" si="27"/>
        <v>0</v>
      </c>
      <c r="L195" s="55">
        <f t="shared" si="28"/>
        <v>0</v>
      </c>
    </row>
    <row r="196" spans="1:15" s="5" customFormat="1" ht="14.85" customHeight="1" x14ac:dyDescent="0.25">
      <c r="A196" s="43" t="s">
        <v>77</v>
      </c>
      <c r="B196" s="44" t="s">
        <v>78</v>
      </c>
      <c r="C196" s="93">
        <v>122905747</v>
      </c>
      <c r="D196" s="93">
        <v>162536334.44</v>
      </c>
      <c r="E196" s="46">
        <f>F196-90289512.26</f>
        <v>25070284.140000001</v>
      </c>
      <c r="F196" s="46">
        <v>115359796.40000001</v>
      </c>
      <c r="G196" s="46">
        <f t="shared" si="30"/>
        <v>0.15623322369910267</v>
      </c>
      <c r="H196" s="46">
        <f t="shared" si="26"/>
        <v>47176538.039999992</v>
      </c>
      <c r="I196" s="46">
        <f>J196-68948988.94</f>
        <v>18636010.439999998</v>
      </c>
      <c r="J196" s="46">
        <v>87584999.379999995</v>
      </c>
      <c r="K196" s="46">
        <f t="shared" si="27"/>
        <v>0.12919547738602652</v>
      </c>
      <c r="L196" s="55">
        <f t="shared" si="28"/>
        <v>74951335.060000002</v>
      </c>
    </row>
    <row r="197" spans="1:15" s="5" customFormat="1" ht="14.85" customHeight="1" x14ac:dyDescent="0.25">
      <c r="A197" s="43" t="s">
        <v>81</v>
      </c>
      <c r="B197" s="44" t="s">
        <v>82</v>
      </c>
      <c r="C197" s="93">
        <v>261438577</v>
      </c>
      <c r="D197" s="93">
        <v>272906365.60000002</v>
      </c>
      <c r="E197" s="46">
        <f>F197-89076574.86</f>
        <v>30633123.829999998</v>
      </c>
      <c r="F197" s="93">
        <v>119709698.69</v>
      </c>
      <c r="G197" s="46">
        <f t="shared" si="30"/>
        <v>0.16212435110007653</v>
      </c>
      <c r="H197" s="46">
        <f t="shared" si="26"/>
        <v>153196666.91000003</v>
      </c>
      <c r="I197" s="46">
        <f>J197-49834613.39</f>
        <v>42750794.659999996</v>
      </c>
      <c r="J197" s="93">
        <v>92585408.049999997</v>
      </c>
      <c r="K197" s="46">
        <f t="shared" si="27"/>
        <v>0.13657151426242109</v>
      </c>
      <c r="L197" s="55">
        <f t="shared" si="28"/>
        <v>180320957.55000001</v>
      </c>
    </row>
    <row r="198" spans="1:15" s="5" customFormat="1" ht="14.85" customHeight="1" x14ac:dyDescent="0.25">
      <c r="A198" s="40" t="s">
        <v>190</v>
      </c>
      <c r="B198" s="73" t="s">
        <v>191</v>
      </c>
      <c r="C198" s="42">
        <f>SUM(C199:C204)</f>
        <v>459954372</v>
      </c>
      <c r="D198" s="42">
        <f>SUM(D199:D204)</f>
        <v>305350809.34000003</v>
      </c>
      <c r="E198" s="42">
        <f>SUM(E199:E204)</f>
        <v>48958075.640000001</v>
      </c>
      <c r="F198" s="42">
        <f>SUM(F199:F204)</f>
        <v>99271015.079999998</v>
      </c>
      <c r="G198" s="42">
        <f t="shared" si="30"/>
        <v>0.13444398473150071</v>
      </c>
      <c r="H198" s="42">
        <f t="shared" si="26"/>
        <v>206079794.26000005</v>
      </c>
      <c r="I198" s="42">
        <f>SUM(I201:I204)</f>
        <v>13680492.07</v>
      </c>
      <c r="J198" s="42">
        <f>SUM(J201:J204)</f>
        <v>31783779.900000002</v>
      </c>
      <c r="K198" s="42">
        <f t="shared" si="27"/>
        <v>4.6883834519391133E-2</v>
      </c>
      <c r="L198" s="59">
        <f t="shared" si="28"/>
        <v>273567029.44000006</v>
      </c>
    </row>
    <row r="199" spans="1:15" s="5" customFormat="1" ht="14.85" customHeight="1" x14ac:dyDescent="0.25">
      <c r="A199" s="43" t="s">
        <v>30</v>
      </c>
      <c r="B199" s="44" t="s">
        <v>31</v>
      </c>
      <c r="C199" s="93">
        <v>153273386</v>
      </c>
      <c r="D199" s="93">
        <v>11773386</v>
      </c>
      <c r="E199" s="42">
        <f>F199-0</f>
        <v>0</v>
      </c>
      <c r="F199" s="42">
        <v>0</v>
      </c>
      <c r="G199" s="42">
        <f t="shared" si="30"/>
        <v>0</v>
      </c>
      <c r="H199" s="42">
        <v>0</v>
      </c>
      <c r="I199" s="42">
        <v>0</v>
      </c>
      <c r="J199" s="42">
        <v>0</v>
      </c>
      <c r="K199" s="42"/>
      <c r="L199" s="59"/>
    </row>
    <row r="200" spans="1:15" s="5" customFormat="1" ht="14.85" customHeight="1" x14ac:dyDescent="0.25">
      <c r="A200" s="43" t="s">
        <v>67</v>
      </c>
      <c r="B200" s="44" t="s">
        <v>68</v>
      </c>
      <c r="C200" s="46">
        <v>0</v>
      </c>
      <c r="D200" s="46">
        <v>0</v>
      </c>
      <c r="E200" s="42">
        <f>F200-0</f>
        <v>0</v>
      </c>
      <c r="F200" s="42">
        <v>0</v>
      </c>
      <c r="G200" s="42">
        <f t="shared" si="30"/>
        <v>0</v>
      </c>
      <c r="H200" s="46">
        <f t="shared" si="26"/>
        <v>0</v>
      </c>
      <c r="I200" s="42">
        <f>J200-0</f>
        <v>0</v>
      </c>
      <c r="J200" s="42">
        <v>0</v>
      </c>
      <c r="K200" s="42">
        <f>(J200/$J$317)*100</f>
        <v>0</v>
      </c>
      <c r="L200" s="55">
        <f t="shared" si="28"/>
        <v>0</v>
      </c>
    </row>
    <row r="201" spans="1:15" s="5" customFormat="1" ht="14.85" customHeight="1" x14ac:dyDescent="0.25">
      <c r="A201" s="43" t="s">
        <v>83</v>
      </c>
      <c r="B201" s="44" t="s">
        <v>84</v>
      </c>
      <c r="C201" s="93">
        <v>295751986</v>
      </c>
      <c r="D201" s="93">
        <v>289468851.24000001</v>
      </c>
      <c r="E201" s="46">
        <f>F201-50312599.34</f>
        <v>48958075.640000001</v>
      </c>
      <c r="F201" s="93">
        <v>99270674.980000004</v>
      </c>
      <c r="G201" s="46">
        <f t="shared" si="30"/>
        <v>0.13444352412979166</v>
      </c>
      <c r="H201" s="46">
        <f t="shared" si="26"/>
        <v>190198176.25999999</v>
      </c>
      <c r="I201" s="46">
        <f>J201-18102947.73</f>
        <v>13680492.07</v>
      </c>
      <c r="J201" s="93">
        <v>31783439.800000001</v>
      </c>
      <c r="K201" s="46">
        <f>(J201/$J$317)*100</f>
        <v>4.688333284236687E-2</v>
      </c>
      <c r="L201" s="55">
        <f t="shared" si="28"/>
        <v>257685411.44</v>
      </c>
    </row>
    <row r="202" spans="1:15" s="5" customFormat="1" ht="14.85" customHeight="1" x14ac:dyDescent="0.25">
      <c r="A202" s="43" t="s">
        <v>85</v>
      </c>
      <c r="B202" s="44" t="s">
        <v>86</v>
      </c>
      <c r="C202" s="46">
        <v>0</v>
      </c>
      <c r="D202" s="46">
        <v>0</v>
      </c>
      <c r="E202" s="46">
        <f>F202-0</f>
        <v>0</v>
      </c>
      <c r="F202" s="46">
        <v>0</v>
      </c>
      <c r="G202" s="46">
        <f t="shared" si="30"/>
        <v>0</v>
      </c>
      <c r="H202" s="46">
        <f t="shared" si="26"/>
        <v>0</v>
      </c>
      <c r="I202" s="46">
        <f>J202-0</f>
        <v>0</v>
      </c>
      <c r="J202" s="46">
        <v>0</v>
      </c>
      <c r="K202" s="46">
        <f>(J202/$J$317)*100</f>
        <v>0</v>
      </c>
      <c r="L202" s="55">
        <f t="shared" si="28"/>
        <v>0</v>
      </c>
    </row>
    <row r="203" spans="1:15" s="5" customFormat="1" ht="14.85" customHeight="1" x14ac:dyDescent="0.25">
      <c r="A203" s="43" t="s">
        <v>192</v>
      </c>
      <c r="B203" s="44" t="s">
        <v>193</v>
      </c>
      <c r="C203" s="46">
        <v>0</v>
      </c>
      <c r="D203" s="46">
        <v>0</v>
      </c>
      <c r="E203" s="46">
        <f>F203-0</f>
        <v>0</v>
      </c>
      <c r="F203" s="46">
        <v>0</v>
      </c>
      <c r="G203" s="46">
        <f t="shared" si="30"/>
        <v>0</v>
      </c>
      <c r="H203" s="46">
        <f t="shared" si="26"/>
        <v>0</v>
      </c>
      <c r="I203" s="46">
        <f>J203-0</f>
        <v>0</v>
      </c>
      <c r="J203" s="46">
        <v>0</v>
      </c>
      <c r="K203" s="46">
        <f>(J203/$J$317)*100</f>
        <v>0</v>
      </c>
      <c r="L203" s="55">
        <f t="shared" si="28"/>
        <v>0</v>
      </c>
      <c r="O203" s="6"/>
    </row>
    <row r="204" spans="1:15" s="5" customFormat="1" ht="14.85" customHeight="1" x14ac:dyDescent="0.25">
      <c r="A204" s="43" t="s">
        <v>91</v>
      </c>
      <c r="B204" s="44" t="s">
        <v>92</v>
      </c>
      <c r="C204" s="93">
        <v>10929000</v>
      </c>
      <c r="D204" s="93">
        <v>4108572.1</v>
      </c>
      <c r="E204" s="46">
        <f>F204-340.1</f>
        <v>0</v>
      </c>
      <c r="F204" s="46">
        <v>340.1</v>
      </c>
      <c r="G204" s="46">
        <f t="shared" si="30"/>
        <v>4.6060170907223289E-7</v>
      </c>
      <c r="H204" s="46">
        <f t="shared" si="26"/>
        <v>4108232</v>
      </c>
      <c r="I204" s="46">
        <f>J204-340.1</f>
        <v>0</v>
      </c>
      <c r="J204" s="46">
        <v>340.1</v>
      </c>
      <c r="K204" s="46"/>
      <c r="L204" s="55">
        <f t="shared" si="28"/>
        <v>4108232</v>
      </c>
      <c r="O204" s="6"/>
    </row>
    <row r="205" spans="1:15" s="5" customFormat="1" ht="14.85" customHeight="1" x14ac:dyDescent="0.25">
      <c r="A205" s="40" t="s">
        <v>194</v>
      </c>
      <c r="B205" s="72" t="s">
        <v>195</v>
      </c>
      <c r="C205" s="42">
        <f>SUM(C206:C215)</f>
        <v>1171137411</v>
      </c>
      <c r="D205" s="42">
        <f>SUM(D206:D215)</f>
        <v>1377215737.8499999</v>
      </c>
      <c r="E205" s="42">
        <f>SUM(E206:E215)</f>
        <v>220347753.56999999</v>
      </c>
      <c r="F205" s="42">
        <f>SUM(F206:F215)</f>
        <v>704224854.02999997</v>
      </c>
      <c r="G205" s="42">
        <f t="shared" ref="G205:G236" si="33">(F205/$F$317)*100</f>
        <v>0.95374058023334818</v>
      </c>
      <c r="H205" s="42">
        <f t="shared" si="26"/>
        <v>672990883.81999993</v>
      </c>
      <c r="I205" s="42">
        <f>SUM(I206:I214)</f>
        <v>205763218.26000002</v>
      </c>
      <c r="J205" s="42">
        <f>SUM(J206:J214)</f>
        <v>570602830.00999999</v>
      </c>
      <c r="K205" s="42">
        <f t="shared" ref="K205:K236" si="34">(J205/$J$317)*100</f>
        <v>0.8416887086008642</v>
      </c>
      <c r="L205" s="59">
        <f t="shared" si="28"/>
        <v>806612907.83999991</v>
      </c>
      <c r="O205" s="7"/>
    </row>
    <row r="206" spans="1:15" s="5" customFormat="1" ht="14.85" customHeight="1" x14ac:dyDescent="0.25">
      <c r="A206" s="43" t="s">
        <v>30</v>
      </c>
      <c r="B206" s="44" t="s">
        <v>31</v>
      </c>
      <c r="C206" s="93">
        <v>225532005</v>
      </c>
      <c r="D206" s="93">
        <v>260672836.44</v>
      </c>
      <c r="E206" s="46">
        <f>F206-86294216.02</f>
        <v>28819823.939999998</v>
      </c>
      <c r="F206" s="93">
        <v>115114039.95999999</v>
      </c>
      <c r="G206" s="46">
        <f t="shared" si="33"/>
        <v>0.1559003926603508</v>
      </c>
      <c r="H206" s="46">
        <f t="shared" si="26"/>
        <v>145558796.48000002</v>
      </c>
      <c r="I206" s="46">
        <f>J206-79496353.17</f>
        <v>29425851.310000002</v>
      </c>
      <c r="J206" s="93">
        <v>108922204.48</v>
      </c>
      <c r="K206" s="46">
        <f t="shared" si="34"/>
        <v>0.16066970720268559</v>
      </c>
      <c r="L206" s="55">
        <f t="shared" si="28"/>
        <v>151750631.95999998</v>
      </c>
    </row>
    <row r="207" spans="1:15" s="5" customFormat="1" ht="14.85" customHeight="1" x14ac:dyDescent="0.25">
      <c r="A207" s="43" t="s">
        <v>34</v>
      </c>
      <c r="B207" s="44" t="s">
        <v>35</v>
      </c>
      <c r="C207" s="46">
        <v>0</v>
      </c>
      <c r="D207" s="46">
        <v>0</v>
      </c>
      <c r="E207" s="46">
        <f>F207-0</f>
        <v>0</v>
      </c>
      <c r="F207" s="46">
        <v>0</v>
      </c>
      <c r="G207" s="46">
        <f t="shared" si="33"/>
        <v>0</v>
      </c>
      <c r="H207" s="46">
        <f t="shared" si="26"/>
        <v>0</v>
      </c>
      <c r="I207" s="46">
        <f>J207-0</f>
        <v>0</v>
      </c>
      <c r="J207" s="46">
        <v>0</v>
      </c>
      <c r="K207" s="46">
        <f t="shared" si="34"/>
        <v>0</v>
      </c>
      <c r="L207" s="55">
        <f t="shared" si="28"/>
        <v>0</v>
      </c>
    </row>
    <row r="208" spans="1:15" s="5" customFormat="1" ht="14.85" customHeight="1" x14ac:dyDescent="0.25">
      <c r="A208" s="43" t="s">
        <v>79</v>
      </c>
      <c r="B208" s="44" t="s">
        <v>80</v>
      </c>
      <c r="C208" s="46">
        <v>0</v>
      </c>
      <c r="D208" s="46">
        <v>0</v>
      </c>
      <c r="E208" s="46">
        <f>F208-0</f>
        <v>0</v>
      </c>
      <c r="F208" s="46">
        <v>0</v>
      </c>
      <c r="G208" s="46">
        <f t="shared" si="33"/>
        <v>0</v>
      </c>
      <c r="H208" s="46">
        <f t="shared" si="26"/>
        <v>0</v>
      </c>
      <c r="I208" s="46">
        <f>J208-0</f>
        <v>0</v>
      </c>
      <c r="J208" s="46">
        <v>0</v>
      </c>
      <c r="K208" s="46">
        <f t="shared" si="34"/>
        <v>0</v>
      </c>
      <c r="L208" s="55">
        <f t="shared" si="28"/>
        <v>0</v>
      </c>
    </row>
    <row r="209" spans="1:12" s="5" customFormat="1" ht="14.85" customHeight="1" x14ac:dyDescent="0.25">
      <c r="A209" s="43" t="s">
        <v>85</v>
      </c>
      <c r="B209" s="44" t="s">
        <v>86</v>
      </c>
      <c r="C209" s="93">
        <v>136249813</v>
      </c>
      <c r="D209" s="93">
        <v>295245291.27999997</v>
      </c>
      <c r="E209" s="46">
        <f>F209-82520685.25</f>
        <v>36370159.819999993</v>
      </c>
      <c r="F209" s="93">
        <v>118890845.06999999</v>
      </c>
      <c r="G209" s="46">
        <f t="shared" si="33"/>
        <v>0.16101536733985311</v>
      </c>
      <c r="H209" s="46">
        <f t="shared" si="26"/>
        <v>176354446.20999998</v>
      </c>
      <c r="I209" s="46">
        <f>J209-58807866.54</f>
        <v>21769573.539999999</v>
      </c>
      <c r="J209" s="93">
        <v>80577440.079999998</v>
      </c>
      <c r="K209" s="46">
        <f t="shared" si="34"/>
        <v>0.11885871908856487</v>
      </c>
      <c r="L209" s="55">
        <f t="shared" si="28"/>
        <v>214667851.19999999</v>
      </c>
    </row>
    <row r="210" spans="1:12" s="5" customFormat="1" ht="14.85" customHeight="1" x14ac:dyDescent="0.25">
      <c r="A210" s="43" t="s">
        <v>42</v>
      </c>
      <c r="B210" s="44" t="s">
        <v>43</v>
      </c>
      <c r="C210" s="93">
        <v>36724642</v>
      </c>
      <c r="D210" s="93">
        <v>37675442</v>
      </c>
      <c r="E210" s="46">
        <f>F210-20641753.83</f>
        <v>5371629.6800000034</v>
      </c>
      <c r="F210" s="93">
        <v>26013383.510000002</v>
      </c>
      <c r="G210" s="46">
        <f t="shared" si="33"/>
        <v>3.5230252582938659E-2</v>
      </c>
      <c r="H210" s="46">
        <f t="shared" si="26"/>
        <v>11662058.489999998</v>
      </c>
      <c r="I210" s="46">
        <f>J210-16139898.23</f>
        <v>5295306.7599999979</v>
      </c>
      <c r="J210" s="93">
        <v>21435204.989999998</v>
      </c>
      <c r="K210" s="46">
        <f t="shared" si="34"/>
        <v>3.1618788161831786E-2</v>
      </c>
      <c r="L210" s="55">
        <f t="shared" si="28"/>
        <v>16240237.010000002</v>
      </c>
    </row>
    <row r="211" spans="1:12" s="5" customFormat="1" ht="14.85" customHeight="1" x14ac:dyDescent="0.25">
      <c r="A211" s="43" t="s">
        <v>196</v>
      </c>
      <c r="B211" s="44" t="s">
        <v>197</v>
      </c>
      <c r="C211" s="93">
        <v>627679603</v>
      </c>
      <c r="D211" s="93">
        <v>628536357.76999998</v>
      </c>
      <c r="E211" s="46">
        <f>F211-256253074.36</f>
        <v>120040568.26999998</v>
      </c>
      <c r="F211" s="93">
        <v>376293642.63</v>
      </c>
      <c r="G211" s="46">
        <f t="shared" si="33"/>
        <v>0.5096192146674331</v>
      </c>
      <c r="H211" s="46">
        <f t="shared" si="26"/>
        <v>252242715.13999999</v>
      </c>
      <c r="I211" s="46">
        <f>J211-181158386.4</f>
        <v>122778131.07000002</v>
      </c>
      <c r="J211" s="93">
        <v>303936517.47000003</v>
      </c>
      <c r="K211" s="46">
        <f t="shared" si="34"/>
        <v>0.44833274815949486</v>
      </c>
      <c r="L211" s="55">
        <f t="shared" si="28"/>
        <v>324599840.29999995</v>
      </c>
    </row>
    <row r="212" spans="1:12" s="5" customFormat="1" ht="14.85" customHeight="1" x14ac:dyDescent="0.25">
      <c r="A212" s="56" t="s">
        <v>192</v>
      </c>
      <c r="B212" s="44" t="s">
        <v>193</v>
      </c>
      <c r="C212" s="93">
        <v>106603389</v>
      </c>
      <c r="D212" s="93">
        <v>116737851.36</v>
      </c>
      <c r="E212" s="46">
        <f>F212-24514490.75</f>
        <v>19233076.100000001</v>
      </c>
      <c r="F212" s="93">
        <v>43747566.850000001</v>
      </c>
      <c r="G212" s="46">
        <f t="shared" si="33"/>
        <v>5.9247880208355648E-2</v>
      </c>
      <c r="H212" s="46">
        <f t="shared" si="26"/>
        <v>72990284.50999999</v>
      </c>
      <c r="I212" s="46">
        <f>J212-19111431.99</f>
        <v>18984389.41</v>
      </c>
      <c r="J212" s="46">
        <v>38095821.399999999</v>
      </c>
      <c r="K212" s="46">
        <f t="shared" si="34"/>
        <v>5.6194643683581492E-2</v>
      </c>
      <c r="L212" s="55">
        <f t="shared" si="28"/>
        <v>78642029.960000008</v>
      </c>
    </row>
    <row r="213" spans="1:12" s="5" customFormat="1" ht="14.85" customHeight="1" x14ac:dyDescent="0.25">
      <c r="A213" s="56" t="s">
        <v>44</v>
      </c>
      <c r="B213" s="44" t="s">
        <v>45</v>
      </c>
      <c r="C213" s="93">
        <v>17080000</v>
      </c>
      <c r="D213" s="93">
        <v>17080000</v>
      </c>
      <c r="E213" s="46">
        <f>F213-4162746.39</f>
        <v>6311882.8300000001</v>
      </c>
      <c r="F213" s="93">
        <v>10474629.220000001</v>
      </c>
      <c r="G213" s="46">
        <f t="shared" si="33"/>
        <v>1.4185922142399146E-2</v>
      </c>
      <c r="H213" s="46">
        <f t="shared" si="26"/>
        <v>6605370.7799999993</v>
      </c>
      <c r="I213" s="46">
        <f>J213-664672.56</f>
        <v>3291273.2399999998</v>
      </c>
      <c r="J213" s="93">
        <v>3955945.8</v>
      </c>
      <c r="K213" s="46">
        <f t="shared" si="34"/>
        <v>5.8353634727655651E-3</v>
      </c>
      <c r="L213" s="55">
        <f t="shared" si="28"/>
        <v>13124054.199999999</v>
      </c>
    </row>
    <row r="214" spans="1:12" s="5" customFormat="1" ht="14.85" customHeight="1" x14ac:dyDescent="0.25">
      <c r="A214" s="56" t="s">
        <v>89</v>
      </c>
      <c r="B214" s="44" t="s">
        <v>90</v>
      </c>
      <c r="C214" s="93">
        <v>21267959</v>
      </c>
      <c r="D214" s="93">
        <v>21267959</v>
      </c>
      <c r="E214" s="46">
        <f>F214-9490133.86</f>
        <v>4200612.93</v>
      </c>
      <c r="F214" s="93">
        <v>13690746.789999999</v>
      </c>
      <c r="G214" s="46">
        <f t="shared" si="33"/>
        <v>1.8541550632017598E-2</v>
      </c>
      <c r="H214" s="46">
        <f t="shared" si="26"/>
        <v>7577212.2100000009</v>
      </c>
      <c r="I214" s="46">
        <f>J214-9461002.86</f>
        <v>4218692.93</v>
      </c>
      <c r="J214" s="93">
        <v>13679695.789999999</v>
      </c>
      <c r="K214" s="46">
        <f t="shared" si="34"/>
        <v>2.0178738831940237E-2</v>
      </c>
      <c r="L214" s="55">
        <f t="shared" si="28"/>
        <v>7588263.2100000009</v>
      </c>
    </row>
    <row r="215" spans="1:12" s="5" customFormat="1" ht="14.85" customHeight="1" x14ac:dyDescent="0.25">
      <c r="A215" s="43" t="s">
        <v>198</v>
      </c>
      <c r="B215" s="44" t="s">
        <v>199</v>
      </c>
      <c r="C215" s="60">
        <v>0</v>
      </c>
      <c r="D215" s="46">
        <v>0</v>
      </c>
      <c r="E215" s="46">
        <f>F215-0</f>
        <v>0</v>
      </c>
      <c r="F215" s="46">
        <v>0</v>
      </c>
      <c r="G215" s="46">
        <f t="shared" si="33"/>
        <v>0</v>
      </c>
      <c r="H215" s="46">
        <f t="shared" si="26"/>
        <v>0</v>
      </c>
      <c r="I215" s="46">
        <f>J215-0</f>
        <v>0</v>
      </c>
      <c r="J215" s="46">
        <v>0</v>
      </c>
      <c r="K215" s="46">
        <f t="shared" si="34"/>
        <v>0</v>
      </c>
      <c r="L215" s="55">
        <f t="shared" si="28"/>
        <v>0</v>
      </c>
    </row>
    <row r="216" spans="1:12" ht="14.85" customHeight="1" x14ac:dyDescent="0.2">
      <c r="A216" s="40" t="s">
        <v>200</v>
      </c>
      <c r="B216" s="72" t="s">
        <v>201</v>
      </c>
      <c r="C216" s="42">
        <f>SUM(C217:C228)</f>
        <v>886561868</v>
      </c>
      <c r="D216" s="42">
        <f>SUM(D217:D228)</f>
        <v>975159111.29000008</v>
      </c>
      <c r="E216" s="42">
        <f>SUM(E217:E228)</f>
        <v>174506758.20999995</v>
      </c>
      <c r="F216" s="42">
        <f>SUM(F217:F228)</f>
        <v>559190670.85000002</v>
      </c>
      <c r="G216" s="42">
        <f t="shared" si="33"/>
        <v>0.75731896116071284</v>
      </c>
      <c r="H216" s="42">
        <f t="shared" si="26"/>
        <v>415968440.44000006</v>
      </c>
      <c r="I216" s="42">
        <f>SUM(I217:I228)</f>
        <v>150714129.09</v>
      </c>
      <c r="J216" s="42">
        <f>SUM(J217:J228)</f>
        <v>514365621.44</v>
      </c>
      <c r="K216" s="42">
        <f t="shared" si="34"/>
        <v>0.7587339439780334</v>
      </c>
      <c r="L216" s="59">
        <f t="shared" si="28"/>
        <v>460793489.85000008</v>
      </c>
    </row>
    <row r="217" spans="1:12" ht="14.85" customHeight="1" x14ac:dyDescent="0.25">
      <c r="A217" s="43" t="s">
        <v>30</v>
      </c>
      <c r="B217" s="44" t="s">
        <v>31</v>
      </c>
      <c r="C217" s="93">
        <v>177601141</v>
      </c>
      <c r="D217" s="93">
        <v>181156091.58000001</v>
      </c>
      <c r="E217" s="46">
        <f>F217-50938623.1</f>
        <v>22782389.639999993</v>
      </c>
      <c r="F217" s="93">
        <v>73721012.739999995</v>
      </c>
      <c r="G217" s="46">
        <f t="shared" si="33"/>
        <v>9.9841295097265068E-2</v>
      </c>
      <c r="H217" s="46">
        <f t="shared" si="26"/>
        <v>107435078.84000002</v>
      </c>
      <c r="I217" s="46">
        <f>J217-41427059.35</f>
        <v>18982634.979999997</v>
      </c>
      <c r="J217" s="93">
        <v>60409694.329999998</v>
      </c>
      <c r="K217" s="46">
        <f t="shared" si="34"/>
        <v>8.9109543334545946E-2</v>
      </c>
      <c r="L217" s="55">
        <f t="shared" si="28"/>
        <v>120746397.25000001</v>
      </c>
    </row>
    <row r="218" spans="1:12" ht="14.85" customHeight="1" x14ac:dyDescent="0.25">
      <c r="A218" s="43" t="s">
        <v>32</v>
      </c>
      <c r="B218" s="44" t="s">
        <v>33</v>
      </c>
      <c r="C218" s="93">
        <v>105191506</v>
      </c>
      <c r="D218" s="93">
        <v>105191506</v>
      </c>
      <c r="E218" s="46">
        <f>F218-29851114.32</f>
        <v>13787148.729999997</v>
      </c>
      <c r="F218" s="93">
        <v>43638263.049999997</v>
      </c>
      <c r="G218" s="46">
        <f t="shared" si="33"/>
        <v>5.9099848696776439E-2</v>
      </c>
      <c r="H218" s="46">
        <f t="shared" si="26"/>
        <v>61553242.950000003</v>
      </c>
      <c r="I218" s="46">
        <f>J218-23529971.71</f>
        <v>15163172.869999997</v>
      </c>
      <c r="J218" s="93">
        <v>38693144.579999998</v>
      </c>
      <c r="K218" s="46">
        <f t="shared" si="34"/>
        <v>5.7075747228025449E-2</v>
      </c>
      <c r="L218" s="55">
        <f t="shared" si="28"/>
        <v>66498361.420000002</v>
      </c>
    </row>
    <row r="219" spans="1:12" ht="14.85" customHeight="1" x14ac:dyDescent="0.25">
      <c r="A219" s="43" t="s">
        <v>67</v>
      </c>
      <c r="B219" s="44" t="s">
        <v>68</v>
      </c>
      <c r="C219" s="93">
        <v>3456173</v>
      </c>
      <c r="D219" s="93">
        <v>2872839.67</v>
      </c>
      <c r="E219" s="46">
        <f>F219-0</f>
        <v>0</v>
      </c>
      <c r="F219" s="46">
        <v>0</v>
      </c>
      <c r="G219" s="46">
        <f t="shared" si="33"/>
        <v>0</v>
      </c>
      <c r="H219" s="46">
        <f t="shared" si="26"/>
        <v>2872839.67</v>
      </c>
      <c r="I219" s="46">
        <v>0</v>
      </c>
      <c r="J219" s="46">
        <v>0</v>
      </c>
      <c r="K219" s="46">
        <f t="shared" si="34"/>
        <v>0</v>
      </c>
      <c r="L219" s="55">
        <f t="shared" si="28"/>
        <v>2872839.67</v>
      </c>
    </row>
    <row r="220" spans="1:12" ht="14.85" customHeight="1" x14ac:dyDescent="0.25">
      <c r="A220" s="43" t="s">
        <v>34</v>
      </c>
      <c r="B220" s="44" t="s">
        <v>35</v>
      </c>
      <c r="C220" s="93">
        <v>2200702</v>
      </c>
      <c r="D220" s="93">
        <v>2194029.14</v>
      </c>
      <c r="E220" s="46">
        <f>F220-177331.79</f>
        <v>16747.5</v>
      </c>
      <c r="F220" s="93">
        <v>194079.29</v>
      </c>
      <c r="G220" s="46">
        <f t="shared" si="33"/>
        <v>2.6284402431498235E-4</v>
      </c>
      <c r="H220" s="46">
        <f t="shared" si="26"/>
        <v>1999949.85</v>
      </c>
      <c r="I220" s="46">
        <f>J220-160857.29</f>
        <v>32949</v>
      </c>
      <c r="J220" s="93">
        <v>193806.29</v>
      </c>
      <c r="K220" s="46">
        <f t="shared" si="34"/>
        <v>2.8588110217743891E-4</v>
      </c>
      <c r="L220" s="55">
        <f t="shared" si="28"/>
        <v>2000222.85</v>
      </c>
    </row>
    <row r="221" spans="1:12" ht="14.85" customHeight="1" x14ac:dyDescent="0.25">
      <c r="A221" s="43" t="s">
        <v>104</v>
      </c>
      <c r="B221" s="44" t="s">
        <v>105</v>
      </c>
      <c r="C221" s="93">
        <v>5024510</v>
      </c>
      <c r="D221" s="93">
        <v>4326405</v>
      </c>
      <c r="E221" s="46">
        <f>F221-498105</f>
        <v>45010.680000000051</v>
      </c>
      <c r="F221" s="46">
        <v>543115.68000000005</v>
      </c>
      <c r="G221" s="46">
        <f t="shared" si="33"/>
        <v>7.3554839880014095E-4</v>
      </c>
      <c r="H221" s="46">
        <f t="shared" si="26"/>
        <v>3783289.32</v>
      </c>
      <c r="I221" s="46">
        <f t="shared" ref="I221:I226" si="35">J221-0</f>
        <v>42600</v>
      </c>
      <c r="J221" s="46">
        <v>42600</v>
      </c>
      <c r="K221" s="46">
        <f t="shared" si="34"/>
        <v>6.2838698128728936E-5</v>
      </c>
      <c r="L221" s="55">
        <f t="shared" si="28"/>
        <v>4283805</v>
      </c>
    </row>
    <row r="222" spans="1:12" ht="14.85" customHeight="1" x14ac:dyDescent="0.25">
      <c r="A222" s="43" t="s">
        <v>73</v>
      </c>
      <c r="B222" s="44" t="s">
        <v>74</v>
      </c>
      <c r="C222" s="93">
        <v>8568871</v>
      </c>
      <c r="D222" s="93">
        <v>8568871</v>
      </c>
      <c r="E222" s="46">
        <f t="shared" ref="E222:E228" si="36">F222-0</f>
        <v>0</v>
      </c>
      <c r="F222" s="46">
        <v>0</v>
      </c>
      <c r="G222" s="46">
        <f t="shared" si="33"/>
        <v>0</v>
      </c>
      <c r="H222" s="46">
        <f t="shared" si="26"/>
        <v>8568871</v>
      </c>
      <c r="I222" s="46">
        <f t="shared" si="35"/>
        <v>0</v>
      </c>
      <c r="J222" s="46">
        <v>0</v>
      </c>
      <c r="K222" s="46">
        <f t="shared" si="34"/>
        <v>0</v>
      </c>
      <c r="L222" s="55">
        <f t="shared" si="28"/>
        <v>8568871</v>
      </c>
    </row>
    <row r="223" spans="1:12" ht="14.85" customHeight="1" x14ac:dyDescent="0.25">
      <c r="A223" s="43" t="s">
        <v>167</v>
      </c>
      <c r="B223" s="44" t="s">
        <v>168</v>
      </c>
      <c r="C223" s="46">
        <v>0</v>
      </c>
      <c r="D223" s="46">
        <v>0</v>
      </c>
      <c r="E223" s="46">
        <f t="shared" si="36"/>
        <v>0</v>
      </c>
      <c r="F223" s="46">
        <v>0</v>
      </c>
      <c r="G223" s="46">
        <f t="shared" si="33"/>
        <v>0</v>
      </c>
      <c r="H223" s="46">
        <f t="shared" si="26"/>
        <v>0</v>
      </c>
      <c r="I223" s="46">
        <f t="shared" si="35"/>
        <v>0</v>
      </c>
      <c r="J223" s="46">
        <v>0</v>
      </c>
      <c r="K223" s="46">
        <f t="shared" si="34"/>
        <v>0</v>
      </c>
      <c r="L223" s="55">
        <f t="shared" si="28"/>
        <v>0</v>
      </c>
    </row>
    <row r="224" spans="1:12" ht="14.85" customHeight="1" x14ac:dyDescent="0.25">
      <c r="A224" s="43" t="s">
        <v>169</v>
      </c>
      <c r="B224" s="44" t="s">
        <v>170</v>
      </c>
      <c r="C224" s="46">
        <v>0</v>
      </c>
      <c r="D224" s="46">
        <v>0</v>
      </c>
      <c r="E224" s="46">
        <f t="shared" si="36"/>
        <v>0</v>
      </c>
      <c r="F224" s="46">
        <v>0</v>
      </c>
      <c r="G224" s="46">
        <f t="shared" si="33"/>
        <v>0</v>
      </c>
      <c r="H224" s="46">
        <f t="shared" si="26"/>
        <v>0</v>
      </c>
      <c r="I224" s="46">
        <f t="shared" si="35"/>
        <v>0</v>
      </c>
      <c r="J224" s="46">
        <v>0</v>
      </c>
      <c r="K224" s="46">
        <f t="shared" si="34"/>
        <v>0</v>
      </c>
      <c r="L224" s="55">
        <f t="shared" si="28"/>
        <v>0</v>
      </c>
    </row>
    <row r="225" spans="1:12" ht="14.85" customHeight="1" x14ac:dyDescent="0.25">
      <c r="A225" s="43" t="s">
        <v>87</v>
      </c>
      <c r="B225" s="44" t="s">
        <v>88</v>
      </c>
      <c r="C225" s="93">
        <v>260000</v>
      </c>
      <c r="D225" s="93">
        <v>215482.56</v>
      </c>
      <c r="E225" s="46">
        <f t="shared" si="36"/>
        <v>0</v>
      </c>
      <c r="F225" s="46">
        <v>0</v>
      </c>
      <c r="G225" s="46">
        <f t="shared" si="33"/>
        <v>0</v>
      </c>
      <c r="H225" s="46">
        <f t="shared" si="26"/>
        <v>215482.56</v>
      </c>
      <c r="I225" s="46">
        <f t="shared" si="35"/>
        <v>0</v>
      </c>
      <c r="J225" s="46">
        <v>0</v>
      </c>
      <c r="K225" s="46">
        <f t="shared" si="34"/>
        <v>0</v>
      </c>
      <c r="L225" s="55">
        <f t="shared" si="28"/>
        <v>215482.56</v>
      </c>
    </row>
    <row r="226" spans="1:12" ht="14.85" customHeight="1" x14ac:dyDescent="0.25">
      <c r="A226" s="43" t="s">
        <v>44</v>
      </c>
      <c r="B226" s="44" t="s">
        <v>45</v>
      </c>
      <c r="C226" s="46">
        <v>0</v>
      </c>
      <c r="D226" s="46">
        <v>0</v>
      </c>
      <c r="E226" s="46">
        <f t="shared" si="36"/>
        <v>0</v>
      </c>
      <c r="F226" s="46">
        <v>0</v>
      </c>
      <c r="G226" s="46">
        <f t="shared" si="33"/>
        <v>0</v>
      </c>
      <c r="H226" s="46">
        <f t="shared" si="26"/>
        <v>0</v>
      </c>
      <c r="I226" s="46">
        <f t="shared" si="35"/>
        <v>0</v>
      </c>
      <c r="J226" s="46">
        <v>0</v>
      </c>
      <c r="K226" s="46">
        <f t="shared" si="34"/>
        <v>0</v>
      </c>
      <c r="L226" s="55">
        <f t="shared" si="28"/>
        <v>0</v>
      </c>
    </row>
    <row r="227" spans="1:12" ht="14.85" customHeight="1" x14ac:dyDescent="0.25">
      <c r="A227" s="43" t="s">
        <v>89</v>
      </c>
      <c r="B227" s="44" t="s">
        <v>152</v>
      </c>
      <c r="C227" s="93">
        <v>584208965</v>
      </c>
      <c r="D227" s="93">
        <v>670583886.34000003</v>
      </c>
      <c r="E227" s="46">
        <f>F227-303218738.43</f>
        <v>137875461.65999997</v>
      </c>
      <c r="F227" s="46">
        <v>441094200.08999997</v>
      </c>
      <c r="G227" s="46">
        <f t="shared" si="33"/>
        <v>0.59737942494355611</v>
      </c>
      <c r="H227" s="46">
        <f t="shared" si="26"/>
        <v>229489686.25000006</v>
      </c>
      <c r="I227" s="46">
        <f>J227-298533604</f>
        <v>116492772.24000001</v>
      </c>
      <c r="J227" s="93">
        <v>415026376.24000001</v>
      </c>
      <c r="K227" s="46">
        <f t="shared" si="34"/>
        <v>0.61219993361515579</v>
      </c>
      <c r="L227" s="55">
        <f t="shared" si="28"/>
        <v>255557510.10000002</v>
      </c>
    </row>
    <row r="228" spans="1:12" ht="14.85" customHeight="1" x14ac:dyDescent="0.25">
      <c r="A228" s="43" t="s">
        <v>202</v>
      </c>
      <c r="B228" s="44" t="s">
        <v>203</v>
      </c>
      <c r="C228" s="93">
        <v>50000</v>
      </c>
      <c r="D228" s="93">
        <v>50000</v>
      </c>
      <c r="E228" s="46">
        <f t="shared" si="36"/>
        <v>0</v>
      </c>
      <c r="F228" s="46">
        <v>0</v>
      </c>
      <c r="G228" s="46">
        <f t="shared" si="33"/>
        <v>0</v>
      </c>
      <c r="H228" s="46">
        <f t="shared" si="26"/>
        <v>50000</v>
      </c>
      <c r="I228" s="46">
        <v>0</v>
      </c>
      <c r="J228" s="46">
        <v>0</v>
      </c>
      <c r="K228" s="46">
        <f t="shared" si="34"/>
        <v>0</v>
      </c>
      <c r="L228" s="55">
        <f t="shared" si="28"/>
        <v>50000</v>
      </c>
    </row>
    <row r="229" spans="1:12" ht="14.85" customHeight="1" x14ac:dyDescent="0.2">
      <c r="A229" s="40" t="s">
        <v>204</v>
      </c>
      <c r="B229" s="72" t="s">
        <v>205</v>
      </c>
      <c r="C229" s="42">
        <f>SUM(C230:C247)</f>
        <v>665168271</v>
      </c>
      <c r="D229" s="42">
        <f>SUM(D230:D247)</f>
        <v>735193795.99000001</v>
      </c>
      <c r="E229" s="42">
        <f>SUM(E230:E247)</f>
        <v>160624024.74000001</v>
      </c>
      <c r="F229" s="42">
        <f>SUM(F230:F247)</f>
        <v>431577019.25</v>
      </c>
      <c r="G229" s="42">
        <f t="shared" si="33"/>
        <v>0.58449018718862078</v>
      </c>
      <c r="H229" s="42">
        <f t="shared" si="26"/>
        <v>303616776.74000001</v>
      </c>
      <c r="I229" s="42">
        <f>SUM(I230:I247)</f>
        <v>136298263.50999999</v>
      </c>
      <c r="J229" s="42">
        <f>SUM(J230:J247)</f>
        <v>376429095.74000001</v>
      </c>
      <c r="K229" s="42">
        <f t="shared" si="34"/>
        <v>0.55526559422714228</v>
      </c>
      <c r="L229" s="59">
        <f t="shared" si="28"/>
        <v>358764700.25</v>
      </c>
    </row>
    <row r="230" spans="1:12" ht="14.85" customHeight="1" x14ac:dyDescent="0.25">
      <c r="A230" s="43" t="s">
        <v>30</v>
      </c>
      <c r="B230" s="44" t="s">
        <v>31</v>
      </c>
      <c r="C230" s="93">
        <v>435428719</v>
      </c>
      <c r="D230" s="93">
        <v>450567515.66000003</v>
      </c>
      <c r="E230" s="46">
        <f>F230-185919506.98</f>
        <v>71616896.26000002</v>
      </c>
      <c r="F230" s="93">
        <v>257536403.24000001</v>
      </c>
      <c r="G230" s="46">
        <f t="shared" si="33"/>
        <v>0.34878479118100475</v>
      </c>
      <c r="H230" s="46">
        <f t="shared" si="26"/>
        <v>193031112.42000002</v>
      </c>
      <c r="I230" s="46">
        <f>J230-176121820.64</f>
        <v>73041245.030000001</v>
      </c>
      <c r="J230" s="93">
        <v>249163065.66999999</v>
      </c>
      <c r="K230" s="46">
        <f t="shared" si="34"/>
        <v>0.36753715184192004</v>
      </c>
      <c r="L230" s="55">
        <f t="shared" si="28"/>
        <v>201404449.99000004</v>
      </c>
    </row>
    <row r="231" spans="1:12" ht="14.85" customHeight="1" x14ac:dyDescent="0.25">
      <c r="A231" s="43" t="s">
        <v>32</v>
      </c>
      <c r="B231" s="44" t="s">
        <v>33</v>
      </c>
      <c r="C231" s="93">
        <v>191779</v>
      </c>
      <c r="D231" s="93">
        <v>45880</v>
      </c>
      <c r="E231" s="46">
        <f t="shared" ref="E231:E236" si="37">F231-0</f>
        <v>0</v>
      </c>
      <c r="F231" s="46">
        <v>0</v>
      </c>
      <c r="G231" s="46">
        <f t="shared" si="33"/>
        <v>0</v>
      </c>
      <c r="H231" s="46">
        <f t="shared" si="26"/>
        <v>45880</v>
      </c>
      <c r="I231" s="46">
        <f>J231-0</f>
        <v>0</v>
      </c>
      <c r="J231" s="46">
        <v>0</v>
      </c>
      <c r="K231" s="46">
        <f t="shared" si="34"/>
        <v>0</v>
      </c>
      <c r="L231" s="55">
        <f t="shared" si="28"/>
        <v>45880</v>
      </c>
    </row>
    <row r="232" spans="1:12" ht="14.85" customHeight="1" x14ac:dyDescent="0.25">
      <c r="A232" s="43" t="s">
        <v>67</v>
      </c>
      <c r="B232" s="44" t="s">
        <v>68</v>
      </c>
      <c r="C232" s="46">
        <v>0</v>
      </c>
      <c r="D232" s="46">
        <v>0</v>
      </c>
      <c r="E232" s="46">
        <f t="shared" si="37"/>
        <v>0</v>
      </c>
      <c r="F232" s="46">
        <v>0</v>
      </c>
      <c r="G232" s="46">
        <f t="shared" si="33"/>
        <v>0</v>
      </c>
      <c r="H232" s="46">
        <f t="shared" si="26"/>
        <v>0</v>
      </c>
      <c r="I232" s="46">
        <f t="shared" ref="I232:I246" si="38">J232-0</f>
        <v>0</v>
      </c>
      <c r="J232" s="46">
        <v>0</v>
      </c>
      <c r="K232" s="46">
        <f t="shared" si="34"/>
        <v>0</v>
      </c>
      <c r="L232" s="55">
        <f t="shared" si="28"/>
        <v>0</v>
      </c>
    </row>
    <row r="233" spans="1:12" ht="14.85" customHeight="1" x14ac:dyDescent="0.25">
      <c r="A233" s="43" t="s">
        <v>34</v>
      </c>
      <c r="B233" s="44" t="s">
        <v>206</v>
      </c>
      <c r="C233" s="46">
        <v>0</v>
      </c>
      <c r="D233" s="46">
        <v>0</v>
      </c>
      <c r="E233" s="45">
        <f t="shared" si="37"/>
        <v>0</v>
      </c>
      <c r="F233" s="45">
        <v>0</v>
      </c>
      <c r="G233" s="46">
        <f t="shared" si="33"/>
        <v>0</v>
      </c>
      <c r="H233" s="46">
        <f t="shared" si="26"/>
        <v>0</v>
      </c>
      <c r="I233" s="46">
        <f t="shared" si="38"/>
        <v>0</v>
      </c>
      <c r="J233" s="46">
        <v>0</v>
      </c>
      <c r="K233" s="46">
        <f t="shared" si="34"/>
        <v>0</v>
      </c>
      <c r="L233" s="55">
        <f t="shared" si="28"/>
        <v>0</v>
      </c>
    </row>
    <row r="234" spans="1:12" ht="14.85" customHeight="1" x14ac:dyDescent="0.25">
      <c r="A234" s="43" t="s">
        <v>148</v>
      </c>
      <c r="B234" s="44" t="s">
        <v>149</v>
      </c>
      <c r="C234" s="45">
        <v>0</v>
      </c>
      <c r="D234" s="45">
        <v>0</v>
      </c>
      <c r="E234" s="45">
        <f t="shared" si="37"/>
        <v>0</v>
      </c>
      <c r="F234" s="45">
        <v>0</v>
      </c>
      <c r="G234" s="46">
        <f t="shared" si="33"/>
        <v>0</v>
      </c>
      <c r="H234" s="46">
        <f t="shared" si="26"/>
        <v>0</v>
      </c>
      <c r="I234" s="46">
        <f t="shared" si="38"/>
        <v>0</v>
      </c>
      <c r="J234" s="46">
        <v>0</v>
      </c>
      <c r="K234" s="46">
        <f t="shared" si="34"/>
        <v>0</v>
      </c>
      <c r="L234" s="55">
        <f t="shared" si="28"/>
        <v>0</v>
      </c>
    </row>
    <row r="235" spans="1:12" ht="14.85" customHeight="1" x14ac:dyDescent="0.25">
      <c r="A235" s="43" t="s">
        <v>118</v>
      </c>
      <c r="B235" s="44" t="s">
        <v>119</v>
      </c>
      <c r="C235" s="93">
        <v>100000</v>
      </c>
      <c r="D235" s="93">
        <v>100000</v>
      </c>
      <c r="E235" s="46">
        <f>F235-2087.15</f>
        <v>2568.7999999999997</v>
      </c>
      <c r="F235" s="46">
        <v>4655.95</v>
      </c>
      <c r="G235" s="46">
        <f t="shared" si="33"/>
        <v>6.3056116652598126E-6</v>
      </c>
      <c r="H235" s="46">
        <f t="shared" si="26"/>
        <v>95344.05</v>
      </c>
      <c r="I235" s="46">
        <f>J235-2087.15</f>
        <v>2568.7999999999997</v>
      </c>
      <c r="J235" s="46">
        <v>4655.95</v>
      </c>
      <c r="K235" s="46">
        <f t="shared" si="34"/>
        <v>6.8679304355036486E-6</v>
      </c>
      <c r="L235" s="55">
        <f t="shared" si="28"/>
        <v>95344.05</v>
      </c>
    </row>
    <row r="236" spans="1:12" ht="14.85" customHeight="1" x14ac:dyDescent="0.25">
      <c r="A236" s="43" t="s">
        <v>122</v>
      </c>
      <c r="B236" s="44" t="s">
        <v>123</v>
      </c>
      <c r="C236" s="46">
        <v>0</v>
      </c>
      <c r="D236" s="46">
        <v>0</v>
      </c>
      <c r="E236" s="46">
        <f t="shared" si="37"/>
        <v>0</v>
      </c>
      <c r="F236" s="46">
        <v>0</v>
      </c>
      <c r="G236" s="46">
        <f t="shared" si="33"/>
        <v>0</v>
      </c>
      <c r="H236" s="46">
        <f t="shared" si="26"/>
        <v>0</v>
      </c>
      <c r="I236" s="46">
        <f>J236-0</f>
        <v>0</v>
      </c>
      <c r="J236" s="46">
        <v>0</v>
      </c>
      <c r="K236" s="46">
        <f t="shared" si="34"/>
        <v>0</v>
      </c>
      <c r="L236" s="55">
        <f t="shared" si="28"/>
        <v>0</v>
      </c>
    </row>
    <row r="237" spans="1:12" ht="14.85" customHeight="1" x14ac:dyDescent="0.25">
      <c r="A237" s="43" t="s">
        <v>77</v>
      </c>
      <c r="B237" s="44" t="s">
        <v>78</v>
      </c>
      <c r="C237" s="45">
        <v>0</v>
      </c>
      <c r="D237" s="46">
        <v>0</v>
      </c>
      <c r="E237" s="45">
        <f t="shared" ref="E237:E246" si="39">F237-0</f>
        <v>0</v>
      </c>
      <c r="F237" s="45">
        <v>0</v>
      </c>
      <c r="G237" s="46">
        <f t="shared" ref="G237:G268" si="40">(F237/$F$317)*100</f>
        <v>0</v>
      </c>
      <c r="H237" s="45">
        <f t="shared" si="26"/>
        <v>0</v>
      </c>
      <c r="I237" s="46">
        <f t="shared" si="38"/>
        <v>0</v>
      </c>
      <c r="J237" s="45">
        <v>0</v>
      </c>
      <c r="K237" s="46">
        <f t="shared" ref="K237:K268" si="41">(J237/$J$317)*100</f>
        <v>0</v>
      </c>
      <c r="L237" s="55">
        <f t="shared" si="28"/>
        <v>0</v>
      </c>
    </row>
    <row r="238" spans="1:12" ht="14.85" customHeight="1" x14ac:dyDescent="0.25">
      <c r="A238" s="43" t="s">
        <v>87</v>
      </c>
      <c r="B238" s="44" t="s">
        <v>88</v>
      </c>
      <c r="C238" s="93">
        <v>20000</v>
      </c>
      <c r="D238" s="93">
        <v>3332</v>
      </c>
      <c r="E238" s="45">
        <f>F238-0</f>
        <v>0</v>
      </c>
      <c r="F238" s="45">
        <v>0</v>
      </c>
      <c r="G238" s="46">
        <f t="shared" si="40"/>
        <v>0</v>
      </c>
      <c r="H238" s="46">
        <f t="shared" si="26"/>
        <v>3332</v>
      </c>
      <c r="I238" s="46">
        <f>J238-0</f>
        <v>0</v>
      </c>
      <c r="J238" s="45">
        <v>0</v>
      </c>
      <c r="K238" s="46">
        <f t="shared" si="41"/>
        <v>0</v>
      </c>
      <c r="L238" s="55">
        <f t="shared" si="28"/>
        <v>3332</v>
      </c>
    </row>
    <row r="239" spans="1:12" ht="14.85" customHeight="1" x14ac:dyDescent="0.25">
      <c r="A239" s="43" t="s">
        <v>207</v>
      </c>
      <c r="B239" s="44" t="s">
        <v>208</v>
      </c>
      <c r="C239" s="45">
        <v>0</v>
      </c>
      <c r="D239" s="46">
        <v>0</v>
      </c>
      <c r="E239" s="45">
        <f t="shared" si="39"/>
        <v>0</v>
      </c>
      <c r="F239" s="45">
        <v>0</v>
      </c>
      <c r="G239" s="46">
        <f t="shared" si="40"/>
        <v>0</v>
      </c>
      <c r="H239" s="46">
        <f t="shared" si="26"/>
        <v>0</v>
      </c>
      <c r="I239" s="46">
        <f t="shared" si="38"/>
        <v>0</v>
      </c>
      <c r="J239" s="45">
        <v>0</v>
      </c>
      <c r="K239" s="46">
        <f t="shared" si="41"/>
        <v>0</v>
      </c>
      <c r="L239" s="55">
        <f t="shared" si="28"/>
        <v>0</v>
      </c>
    </row>
    <row r="240" spans="1:12" ht="14.85" customHeight="1" x14ac:dyDescent="0.25">
      <c r="A240" s="43" t="s">
        <v>209</v>
      </c>
      <c r="B240" s="44" t="s">
        <v>210</v>
      </c>
      <c r="C240" s="45">
        <v>0</v>
      </c>
      <c r="D240" s="46">
        <v>0</v>
      </c>
      <c r="E240" s="45">
        <f t="shared" si="39"/>
        <v>0</v>
      </c>
      <c r="F240" s="45">
        <v>0</v>
      </c>
      <c r="G240" s="46">
        <f t="shared" si="40"/>
        <v>0</v>
      </c>
      <c r="H240" s="46">
        <f t="shared" si="26"/>
        <v>0</v>
      </c>
      <c r="I240" s="46">
        <f t="shared" si="38"/>
        <v>0</v>
      </c>
      <c r="J240" s="45">
        <v>0</v>
      </c>
      <c r="K240" s="46">
        <f t="shared" si="41"/>
        <v>0</v>
      </c>
      <c r="L240" s="55">
        <f t="shared" si="28"/>
        <v>0</v>
      </c>
    </row>
    <row r="241" spans="1:13" ht="14.85" customHeight="1" x14ac:dyDescent="0.25">
      <c r="A241" s="43" t="s">
        <v>211</v>
      </c>
      <c r="B241" s="44" t="s">
        <v>212</v>
      </c>
      <c r="C241" s="45">
        <v>0</v>
      </c>
      <c r="D241" s="46">
        <v>0</v>
      </c>
      <c r="E241" s="45">
        <f t="shared" si="39"/>
        <v>0</v>
      </c>
      <c r="F241" s="45">
        <v>0</v>
      </c>
      <c r="G241" s="46">
        <f t="shared" si="40"/>
        <v>0</v>
      </c>
      <c r="H241" s="46">
        <f t="shared" si="26"/>
        <v>0</v>
      </c>
      <c r="I241" s="46">
        <f t="shared" si="38"/>
        <v>0</v>
      </c>
      <c r="J241" s="45">
        <v>0</v>
      </c>
      <c r="K241" s="46">
        <f t="shared" si="41"/>
        <v>0</v>
      </c>
      <c r="L241" s="55">
        <f t="shared" si="28"/>
        <v>0</v>
      </c>
      <c r="M241" s="95"/>
    </row>
    <row r="242" spans="1:13" ht="14.85" customHeight="1" x14ac:dyDescent="0.25">
      <c r="A242" s="43" t="s">
        <v>213</v>
      </c>
      <c r="B242" s="44" t="s">
        <v>214</v>
      </c>
      <c r="C242" s="93">
        <v>350000</v>
      </c>
      <c r="D242" s="93">
        <v>350000</v>
      </c>
      <c r="E242" s="45">
        <f>F242-0</f>
        <v>50943.3</v>
      </c>
      <c r="F242" s="45">
        <v>50943.3</v>
      </c>
      <c r="G242" s="46">
        <f t="shared" si="40"/>
        <v>6.899315214871944E-5</v>
      </c>
      <c r="H242" s="46">
        <f t="shared" si="26"/>
        <v>299056.7</v>
      </c>
      <c r="I242" s="46">
        <f>J242-0</f>
        <v>50943.3</v>
      </c>
      <c r="J242" s="45">
        <v>50943.3</v>
      </c>
      <c r="K242" s="46">
        <f t="shared" si="41"/>
        <v>7.5145789915053452E-5</v>
      </c>
      <c r="L242" s="55">
        <f t="shared" si="28"/>
        <v>299056.7</v>
      </c>
      <c r="M242" s="95"/>
    </row>
    <row r="243" spans="1:13" ht="14.85" customHeight="1" x14ac:dyDescent="0.25">
      <c r="A243" s="43" t="s">
        <v>215</v>
      </c>
      <c r="B243" s="44" t="s">
        <v>216</v>
      </c>
      <c r="C243" s="93">
        <v>20974539</v>
      </c>
      <c r="D243" s="93">
        <v>21530850</v>
      </c>
      <c r="E243" s="46">
        <f>F243-2242032.69</f>
        <v>1278188.42</v>
      </c>
      <c r="F243" s="93">
        <v>3520221.11</v>
      </c>
      <c r="G243" s="46">
        <f t="shared" si="40"/>
        <v>4.7674797400122093E-3</v>
      </c>
      <c r="H243" s="46">
        <f t="shared" ref="H243:H309" si="42">D243-F243</f>
        <v>18010628.890000001</v>
      </c>
      <c r="I243" s="46">
        <f>J243-831552.44</f>
        <v>2687472.12</v>
      </c>
      <c r="J243" s="45">
        <v>3519024.56</v>
      </c>
      <c r="K243" s="46">
        <f t="shared" si="41"/>
        <v>5.1908667143996043E-3</v>
      </c>
      <c r="L243" s="55">
        <f t="shared" ref="L243:L309" si="43">D243-J243</f>
        <v>18011825.440000001</v>
      </c>
      <c r="M243" s="95"/>
    </row>
    <row r="244" spans="1:13" ht="14.85" customHeight="1" x14ac:dyDescent="0.25">
      <c r="A244" s="43" t="s">
        <v>217</v>
      </c>
      <c r="B244" s="44" t="s">
        <v>218</v>
      </c>
      <c r="C244" s="93">
        <v>14586584</v>
      </c>
      <c r="D244" s="93">
        <v>18874795.199999999</v>
      </c>
      <c r="E244" s="46">
        <f>F244-1617358.52</f>
        <v>11643577.24</v>
      </c>
      <c r="F244" s="93">
        <v>13260935.76</v>
      </c>
      <c r="G244" s="46">
        <f t="shared" si="40"/>
        <v>1.7959452146289589E-2</v>
      </c>
      <c r="H244" s="46">
        <f t="shared" si="42"/>
        <v>5613859.4399999995</v>
      </c>
      <c r="I244" s="46">
        <f>J244-1384754.53</f>
        <v>7457294.2199999997</v>
      </c>
      <c r="J244" s="93">
        <v>8842048.75</v>
      </c>
      <c r="K244" s="46">
        <f t="shared" si="41"/>
        <v>1.3042789489219601E-2</v>
      </c>
      <c r="L244" s="47">
        <f t="shared" si="43"/>
        <v>10032746.449999999</v>
      </c>
      <c r="M244" s="95"/>
    </row>
    <row r="245" spans="1:13" ht="14.85" customHeight="1" x14ac:dyDescent="0.25">
      <c r="A245" s="43" t="s">
        <v>219</v>
      </c>
      <c r="B245" s="44" t="s">
        <v>220</v>
      </c>
      <c r="C245" s="93">
        <v>50071176</v>
      </c>
      <c r="D245" s="93">
        <v>50275949.130000003</v>
      </c>
      <c r="E245" s="46">
        <f>F245-17228592.58</f>
        <v>10328260.990000002</v>
      </c>
      <c r="F245" s="93">
        <v>27556853.57</v>
      </c>
      <c r="G245" s="46">
        <f t="shared" si="40"/>
        <v>3.7320593504837581E-2</v>
      </c>
      <c r="H245" s="46">
        <f t="shared" si="42"/>
        <v>22719095.560000002</v>
      </c>
      <c r="I245" s="46">
        <f>J245-16917142.77</f>
        <v>10358915.23</v>
      </c>
      <c r="J245" s="93">
        <v>27276058</v>
      </c>
      <c r="K245" s="46">
        <f t="shared" si="41"/>
        <v>4.0234553399147929E-2</v>
      </c>
      <c r="L245" s="47">
        <f t="shared" si="43"/>
        <v>22999891.130000003</v>
      </c>
      <c r="M245" s="95"/>
    </row>
    <row r="246" spans="1:13" ht="14.85" customHeight="1" x14ac:dyDescent="0.25">
      <c r="A246" s="43" t="s">
        <v>221</v>
      </c>
      <c r="B246" s="44" t="s">
        <v>222</v>
      </c>
      <c r="C246" s="45">
        <v>0</v>
      </c>
      <c r="D246" s="46">
        <v>0</v>
      </c>
      <c r="E246" s="45">
        <f t="shared" si="39"/>
        <v>0</v>
      </c>
      <c r="F246" s="45">
        <v>0</v>
      </c>
      <c r="G246" s="46">
        <f t="shared" si="40"/>
        <v>0</v>
      </c>
      <c r="H246" s="45">
        <f t="shared" si="42"/>
        <v>0</v>
      </c>
      <c r="I246" s="46">
        <f t="shared" si="38"/>
        <v>0</v>
      </c>
      <c r="J246" s="45">
        <v>0</v>
      </c>
      <c r="K246" s="46">
        <f t="shared" si="41"/>
        <v>0</v>
      </c>
      <c r="L246" s="47">
        <f t="shared" si="43"/>
        <v>0</v>
      </c>
      <c r="M246" s="95"/>
    </row>
    <row r="247" spans="1:13" ht="14.85" customHeight="1" x14ac:dyDescent="0.25">
      <c r="A247" s="43" t="s">
        <v>128</v>
      </c>
      <c r="B247" s="44" t="s">
        <v>129</v>
      </c>
      <c r="C247" s="93">
        <v>143445474</v>
      </c>
      <c r="D247" s="93">
        <v>193445474</v>
      </c>
      <c r="E247" s="46">
        <f>F247-63943416.59</f>
        <v>65703589.729999989</v>
      </c>
      <c r="F247" s="93">
        <v>129647006.31999999</v>
      </c>
      <c r="G247" s="46">
        <f t="shared" si="40"/>
        <v>0.17558257185266266</v>
      </c>
      <c r="H247" s="45">
        <f t="shared" si="42"/>
        <v>63798467.680000007</v>
      </c>
      <c r="I247" s="46">
        <f>J247-44873474.7</f>
        <v>42699824.810000002</v>
      </c>
      <c r="J247" s="93">
        <v>87573299.510000005</v>
      </c>
      <c r="K247" s="46">
        <f t="shared" si="41"/>
        <v>0.12917821906210458</v>
      </c>
      <c r="L247" s="47">
        <f t="shared" si="43"/>
        <v>105872174.48999999</v>
      </c>
      <c r="M247" s="95"/>
    </row>
    <row r="248" spans="1:13" ht="14.85" customHeight="1" x14ac:dyDescent="0.2">
      <c r="A248" s="40" t="s">
        <v>223</v>
      </c>
      <c r="B248" s="72" t="s">
        <v>224</v>
      </c>
      <c r="C248" s="42">
        <f>SUM(C249:C251)</f>
        <v>118316210</v>
      </c>
      <c r="D248" s="42">
        <f>SUM(D249:D251)</f>
        <v>120603795.38</v>
      </c>
      <c r="E248" s="42">
        <f>SUM(E249:E251)</f>
        <v>13330617.970000001</v>
      </c>
      <c r="F248" s="42">
        <f>SUM(F249:F251)</f>
        <v>48797837.600000001</v>
      </c>
      <c r="G248" s="42">
        <f t="shared" si="40"/>
        <v>6.608752542660766E-2</v>
      </c>
      <c r="H248" s="42">
        <f t="shared" si="42"/>
        <v>71805957.780000001</v>
      </c>
      <c r="I248" s="42">
        <f>SUM(I249:I251)</f>
        <v>13003046.199999999</v>
      </c>
      <c r="J248" s="42">
        <f>SUM(J249:J251)</f>
        <v>47385089.890000001</v>
      </c>
      <c r="K248" s="42">
        <f t="shared" si="41"/>
        <v>6.989712111268534E-2</v>
      </c>
      <c r="L248" s="59">
        <f t="shared" si="43"/>
        <v>73218705.489999995</v>
      </c>
      <c r="M248" s="95"/>
    </row>
    <row r="249" spans="1:13" ht="14.85" customHeight="1" x14ac:dyDescent="0.25">
      <c r="A249" s="43" t="s">
        <v>30</v>
      </c>
      <c r="B249" s="44" t="s">
        <v>31</v>
      </c>
      <c r="C249" s="93">
        <v>20786205</v>
      </c>
      <c r="D249" s="93">
        <v>20686205</v>
      </c>
      <c r="E249" s="46">
        <f>F249-10711803.12</f>
        <v>2729303.99</v>
      </c>
      <c r="F249" s="93">
        <v>13441107.109999999</v>
      </c>
      <c r="G249" s="46">
        <f t="shared" si="40"/>
        <v>1.8203460472475563E-2</v>
      </c>
      <c r="H249" s="46">
        <f t="shared" si="42"/>
        <v>7245097.8900000006</v>
      </c>
      <c r="I249" s="46">
        <f>J249-10192158.46</f>
        <v>2810151.9699999988</v>
      </c>
      <c r="J249" s="93">
        <v>13002310.43</v>
      </c>
      <c r="K249" s="46">
        <f t="shared" si="41"/>
        <v>1.917953662175572E-2</v>
      </c>
      <c r="L249" s="55">
        <f t="shared" si="43"/>
        <v>7683894.5700000003</v>
      </c>
    </row>
    <row r="250" spans="1:13" ht="14.85" customHeight="1" x14ac:dyDescent="0.25">
      <c r="A250" s="43" t="s">
        <v>81</v>
      </c>
      <c r="B250" s="44" t="s">
        <v>82</v>
      </c>
      <c r="C250" s="93">
        <v>46544104</v>
      </c>
      <c r="D250" s="93">
        <v>46544104</v>
      </c>
      <c r="E250" s="46">
        <f>F250-0</f>
        <v>0</v>
      </c>
      <c r="F250" s="93">
        <v>0</v>
      </c>
      <c r="G250" s="46">
        <f t="shared" si="40"/>
        <v>0</v>
      </c>
      <c r="H250" s="46">
        <f t="shared" si="42"/>
        <v>46544104</v>
      </c>
      <c r="I250" s="46">
        <f>J250-0</f>
        <v>0</v>
      </c>
      <c r="J250" s="93">
        <v>0</v>
      </c>
      <c r="K250" s="46">
        <f t="shared" si="41"/>
        <v>0</v>
      </c>
      <c r="L250" s="55">
        <f t="shared" si="43"/>
        <v>46544104</v>
      </c>
    </row>
    <row r="251" spans="1:13" ht="14.85" customHeight="1" x14ac:dyDescent="0.25">
      <c r="A251" s="43" t="s">
        <v>225</v>
      </c>
      <c r="B251" s="44" t="s">
        <v>226</v>
      </c>
      <c r="C251" s="93">
        <v>50985901</v>
      </c>
      <c r="D251" s="93">
        <v>53373486.380000003</v>
      </c>
      <c r="E251" s="46">
        <f>F251-24755416.51</f>
        <v>10601313.98</v>
      </c>
      <c r="F251" s="93">
        <v>35356730.490000002</v>
      </c>
      <c r="G251" s="46">
        <f t="shared" si="40"/>
        <v>4.788406495413209E-2</v>
      </c>
      <c r="H251" s="46">
        <f t="shared" si="42"/>
        <v>18016755.890000001</v>
      </c>
      <c r="I251" s="46">
        <f>J251-24189885.23</f>
        <v>10192894.23</v>
      </c>
      <c r="J251" s="93">
        <v>34382779.460000001</v>
      </c>
      <c r="K251" s="46">
        <f t="shared" si="41"/>
        <v>5.0717584490929619E-2</v>
      </c>
      <c r="L251" s="55">
        <f t="shared" si="43"/>
        <v>18990706.920000002</v>
      </c>
    </row>
    <row r="252" spans="1:13" ht="14.85" customHeight="1" x14ac:dyDescent="0.2">
      <c r="A252" s="40" t="s">
        <v>227</v>
      </c>
      <c r="B252" s="72" t="s">
        <v>228</v>
      </c>
      <c r="C252" s="42">
        <f>SUM(C253:C266)</f>
        <v>250006459</v>
      </c>
      <c r="D252" s="42">
        <f>SUM(D253:D266)</f>
        <v>276346812.26999998</v>
      </c>
      <c r="E252" s="42">
        <f>SUM(E253:E266)</f>
        <v>43635317.269999988</v>
      </c>
      <c r="F252" s="42">
        <f>SUM(F253:F266)</f>
        <v>108805770.7</v>
      </c>
      <c r="G252" s="42">
        <f t="shared" si="40"/>
        <v>0.14735702423211255</v>
      </c>
      <c r="H252" s="42">
        <f t="shared" si="42"/>
        <v>167541041.56999999</v>
      </c>
      <c r="I252" s="42">
        <f>SUM(I253:I266)</f>
        <v>37183536.869999997</v>
      </c>
      <c r="J252" s="42">
        <f>SUM(J253:J266)</f>
        <v>93098068.769999996</v>
      </c>
      <c r="K252" s="42">
        <f t="shared" si="41"/>
        <v>0.13732773332877174</v>
      </c>
      <c r="L252" s="59">
        <f t="shared" si="43"/>
        <v>183248743.5</v>
      </c>
    </row>
    <row r="253" spans="1:13" ht="14.85" customHeight="1" x14ac:dyDescent="0.25">
      <c r="A253" s="43" t="s">
        <v>30</v>
      </c>
      <c r="B253" s="44" t="s">
        <v>31</v>
      </c>
      <c r="C253" s="93">
        <v>122938544</v>
      </c>
      <c r="D253" s="93">
        <v>122768013.22</v>
      </c>
      <c r="E253" s="46">
        <f>F253-52563078.71</f>
        <v>20760218.139999993</v>
      </c>
      <c r="F253" s="93">
        <v>73323296.849999994</v>
      </c>
      <c r="G253" s="46">
        <f t="shared" si="40"/>
        <v>9.9302663463453886E-2</v>
      </c>
      <c r="H253" s="46">
        <f t="shared" si="42"/>
        <v>49444716.370000005</v>
      </c>
      <c r="I253" s="46">
        <f>J253-49631234.85</f>
        <v>19638803.18</v>
      </c>
      <c r="J253" s="93">
        <v>69270038.030000001</v>
      </c>
      <c r="K253" s="46">
        <f t="shared" si="41"/>
        <v>0.10217931946320993</v>
      </c>
      <c r="L253" s="55">
        <f t="shared" si="43"/>
        <v>53497975.189999998</v>
      </c>
    </row>
    <row r="254" spans="1:13" ht="14.85" customHeight="1" x14ac:dyDescent="0.25">
      <c r="A254" s="43" t="s">
        <v>63</v>
      </c>
      <c r="B254" s="44" t="s">
        <v>64</v>
      </c>
      <c r="C254" s="46">
        <v>0</v>
      </c>
      <c r="D254" s="46">
        <v>0</v>
      </c>
      <c r="E254" s="46">
        <f t="shared" ref="E254:E266" si="44">F254-0</f>
        <v>0</v>
      </c>
      <c r="F254" s="46">
        <v>0</v>
      </c>
      <c r="G254" s="46">
        <f t="shared" si="40"/>
        <v>0</v>
      </c>
      <c r="H254" s="46">
        <f t="shared" si="42"/>
        <v>0</v>
      </c>
      <c r="I254" s="46">
        <f>J254-0</f>
        <v>0</v>
      </c>
      <c r="J254" s="46">
        <v>0</v>
      </c>
      <c r="K254" s="46">
        <f t="shared" si="41"/>
        <v>0</v>
      </c>
      <c r="L254" s="55">
        <f t="shared" si="43"/>
        <v>0</v>
      </c>
      <c r="M254" s="95"/>
    </row>
    <row r="255" spans="1:13" ht="14.85" customHeight="1" x14ac:dyDescent="0.25">
      <c r="A255" s="43" t="s">
        <v>65</v>
      </c>
      <c r="B255" s="44" t="s">
        <v>66</v>
      </c>
      <c r="C255" s="93">
        <v>1020000</v>
      </c>
      <c r="D255" s="93">
        <v>1100000</v>
      </c>
      <c r="E255" s="46">
        <f>F255-2149.98</f>
        <v>0</v>
      </c>
      <c r="F255" s="46">
        <v>2149.98</v>
      </c>
      <c r="G255" s="46">
        <f t="shared" si="40"/>
        <v>2.9117449646313411E-6</v>
      </c>
      <c r="H255" s="46">
        <f t="shared" si="42"/>
        <v>1097850.02</v>
      </c>
      <c r="I255" s="46">
        <f>J255-0</f>
        <v>0</v>
      </c>
      <c r="J255" s="46">
        <v>0</v>
      </c>
      <c r="K255" s="46">
        <f t="shared" si="41"/>
        <v>0</v>
      </c>
      <c r="L255" s="55">
        <f t="shared" si="43"/>
        <v>1100000</v>
      </c>
      <c r="M255" s="95"/>
    </row>
    <row r="256" spans="1:13" ht="14.85" customHeight="1" x14ac:dyDescent="0.25">
      <c r="A256" s="43" t="s">
        <v>32</v>
      </c>
      <c r="B256" s="44" t="s">
        <v>33</v>
      </c>
      <c r="C256" s="46">
        <v>0</v>
      </c>
      <c r="D256" s="46">
        <v>0</v>
      </c>
      <c r="E256" s="46">
        <f t="shared" si="44"/>
        <v>0</v>
      </c>
      <c r="F256" s="46">
        <v>0</v>
      </c>
      <c r="G256" s="46">
        <f t="shared" si="40"/>
        <v>0</v>
      </c>
      <c r="H256" s="46">
        <f t="shared" si="42"/>
        <v>0</v>
      </c>
      <c r="I256" s="46">
        <f t="shared" ref="I256:I265" si="45">J256-0</f>
        <v>0</v>
      </c>
      <c r="J256" s="46">
        <v>0</v>
      </c>
      <c r="K256" s="46">
        <f t="shared" si="41"/>
        <v>0</v>
      </c>
      <c r="L256" s="55">
        <f t="shared" si="43"/>
        <v>0</v>
      </c>
      <c r="M256" s="95"/>
    </row>
    <row r="257" spans="1:13" ht="14.85" customHeight="1" x14ac:dyDescent="0.25">
      <c r="A257" s="43" t="s">
        <v>44</v>
      </c>
      <c r="B257" s="44" t="s">
        <v>45</v>
      </c>
      <c r="C257" s="46">
        <v>0</v>
      </c>
      <c r="D257" s="46">
        <v>0</v>
      </c>
      <c r="E257" s="46">
        <f t="shared" si="44"/>
        <v>0</v>
      </c>
      <c r="F257" s="46">
        <v>0</v>
      </c>
      <c r="G257" s="46">
        <f t="shared" si="40"/>
        <v>0</v>
      </c>
      <c r="H257" s="46">
        <f t="shared" si="42"/>
        <v>0</v>
      </c>
      <c r="I257" s="46">
        <f t="shared" si="45"/>
        <v>0</v>
      </c>
      <c r="J257" s="46">
        <v>0</v>
      </c>
      <c r="K257" s="46">
        <f t="shared" si="41"/>
        <v>0</v>
      </c>
      <c r="L257" s="55">
        <f t="shared" si="43"/>
        <v>0</v>
      </c>
      <c r="M257" s="95"/>
    </row>
    <row r="258" spans="1:13" ht="14.85" customHeight="1" x14ac:dyDescent="0.25">
      <c r="A258" s="43" t="s">
        <v>89</v>
      </c>
      <c r="B258" s="44" t="s">
        <v>152</v>
      </c>
      <c r="C258" s="46">
        <v>0</v>
      </c>
      <c r="D258" s="46">
        <v>0</v>
      </c>
      <c r="E258" s="46">
        <f t="shared" si="44"/>
        <v>0</v>
      </c>
      <c r="F258" s="46">
        <v>0</v>
      </c>
      <c r="G258" s="46">
        <f t="shared" si="40"/>
        <v>0</v>
      </c>
      <c r="H258" s="46">
        <f t="shared" si="42"/>
        <v>0</v>
      </c>
      <c r="I258" s="46">
        <f>J258-0</f>
        <v>0</v>
      </c>
      <c r="J258" s="46">
        <v>0</v>
      </c>
      <c r="K258" s="46">
        <f t="shared" si="41"/>
        <v>0</v>
      </c>
      <c r="L258" s="55">
        <f t="shared" si="43"/>
        <v>0</v>
      </c>
      <c r="M258" s="95"/>
    </row>
    <row r="259" spans="1:13" ht="14.85" customHeight="1" x14ac:dyDescent="0.25">
      <c r="A259" s="43" t="s">
        <v>91</v>
      </c>
      <c r="B259" s="44" t="s">
        <v>92</v>
      </c>
      <c r="C259" s="93">
        <v>4156603</v>
      </c>
      <c r="D259" s="93">
        <v>27587487.050000001</v>
      </c>
      <c r="E259" s="46">
        <f>F259-6684460.72</f>
        <v>11858.760000000708</v>
      </c>
      <c r="F259" s="93">
        <v>6696319.4800000004</v>
      </c>
      <c r="G259" s="46">
        <f t="shared" si="40"/>
        <v>9.0689097235568533E-3</v>
      </c>
      <c r="H259" s="46">
        <f t="shared" si="42"/>
        <v>20891167.57</v>
      </c>
      <c r="I259" s="46">
        <f>J259-784776.22</f>
        <v>1723281.36</v>
      </c>
      <c r="J259" s="93">
        <v>2508057.58</v>
      </c>
      <c r="K259" s="46">
        <f t="shared" si="41"/>
        <v>3.6996026563166761E-3</v>
      </c>
      <c r="L259" s="55">
        <f t="shared" si="43"/>
        <v>25079429.469999999</v>
      </c>
      <c r="M259" s="95"/>
    </row>
    <row r="260" spans="1:13" ht="14.85" customHeight="1" x14ac:dyDescent="0.25">
      <c r="A260" s="43" t="s">
        <v>229</v>
      </c>
      <c r="B260" s="44" t="s">
        <v>230</v>
      </c>
      <c r="C260" s="93">
        <v>23901</v>
      </c>
      <c r="D260" s="93">
        <v>23901</v>
      </c>
      <c r="E260" s="46">
        <f>F260-802.5</f>
        <v>6504</v>
      </c>
      <c r="F260" s="93">
        <v>7306.5</v>
      </c>
      <c r="G260" s="46">
        <f t="shared" si="40"/>
        <v>9.8952848789658026E-6</v>
      </c>
      <c r="H260" s="46">
        <f t="shared" si="42"/>
        <v>16594.5</v>
      </c>
      <c r="I260" s="46">
        <f>J260-802.5</f>
        <v>6504</v>
      </c>
      <c r="J260" s="93">
        <v>7306.5</v>
      </c>
      <c r="K260" s="46">
        <f t="shared" si="41"/>
        <v>1.0777721781163331E-5</v>
      </c>
      <c r="L260" s="55">
        <f t="shared" si="43"/>
        <v>16594.5</v>
      </c>
      <c r="M260" s="95"/>
    </row>
    <row r="261" spans="1:13" ht="14.85" customHeight="1" x14ac:dyDescent="0.25">
      <c r="A261" s="43" t="s">
        <v>231</v>
      </c>
      <c r="B261" s="44" t="s">
        <v>232</v>
      </c>
      <c r="C261" s="46">
        <v>0</v>
      </c>
      <c r="D261" s="46">
        <v>0</v>
      </c>
      <c r="E261" s="46">
        <f t="shared" si="44"/>
        <v>0</v>
      </c>
      <c r="F261" s="46">
        <v>0</v>
      </c>
      <c r="G261" s="46">
        <f t="shared" si="40"/>
        <v>0</v>
      </c>
      <c r="H261" s="46">
        <f t="shared" si="42"/>
        <v>0</v>
      </c>
      <c r="I261" s="46">
        <f>J261-0</f>
        <v>0</v>
      </c>
      <c r="J261" s="46">
        <v>0</v>
      </c>
      <c r="K261" s="46">
        <f t="shared" si="41"/>
        <v>0</v>
      </c>
      <c r="L261" s="55">
        <f t="shared" si="43"/>
        <v>0</v>
      </c>
      <c r="M261" s="95"/>
    </row>
    <row r="262" spans="1:13" ht="14.85" customHeight="1" x14ac:dyDescent="0.25">
      <c r="A262" s="43" t="s">
        <v>233</v>
      </c>
      <c r="B262" s="44" t="s">
        <v>234</v>
      </c>
      <c r="C262" s="93">
        <v>121850411</v>
      </c>
      <c r="D262" s="93">
        <v>124850411</v>
      </c>
      <c r="E262" s="46">
        <f>F262-5919961.52</f>
        <v>22851778</v>
      </c>
      <c r="F262" s="93">
        <v>28771739.52</v>
      </c>
      <c r="G262" s="46">
        <f t="shared" si="40"/>
        <v>3.8965928832381959E-2</v>
      </c>
      <c r="H262" s="46">
        <f t="shared" si="42"/>
        <v>96078671.480000004</v>
      </c>
      <c r="I262" s="46">
        <f>J262-5497718.33</f>
        <v>15812116.33</v>
      </c>
      <c r="J262" s="93">
        <v>21309834.66</v>
      </c>
      <c r="K262" s="46">
        <f t="shared" si="41"/>
        <v>3.1433856041616547E-2</v>
      </c>
      <c r="L262" s="55">
        <f t="shared" si="43"/>
        <v>103540576.34</v>
      </c>
      <c r="M262" s="95"/>
    </row>
    <row r="263" spans="1:13" ht="14.85" customHeight="1" x14ac:dyDescent="0.25">
      <c r="A263" s="43" t="s">
        <v>95</v>
      </c>
      <c r="B263" s="44" t="s">
        <v>96</v>
      </c>
      <c r="C263" s="46">
        <v>0</v>
      </c>
      <c r="D263" s="46">
        <v>0</v>
      </c>
      <c r="E263" s="46">
        <f t="shared" si="44"/>
        <v>0</v>
      </c>
      <c r="F263" s="46">
        <v>0</v>
      </c>
      <c r="G263" s="46">
        <f t="shared" si="40"/>
        <v>0</v>
      </c>
      <c r="H263" s="46">
        <f t="shared" si="42"/>
        <v>0</v>
      </c>
      <c r="I263" s="46">
        <f t="shared" si="45"/>
        <v>0</v>
      </c>
      <c r="J263" s="46">
        <v>0</v>
      </c>
      <c r="K263" s="46">
        <f t="shared" si="41"/>
        <v>0</v>
      </c>
      <c r="L263" s="55">
        <f t="shared" si="43"/>
        <v>0</v>
      </c>
      <c r="M263" s="95"/>
    </row>
    <row r="264" spans="1:13" ht="14.85" customHeight="1" x14ac:dyDescent="0.25">
      <c r="A264" s="43" t="s">
        <v>202</v>
      </c>
      <c r="B264" s="44" t="s">
        <v>203</v>
      </c>
      <c r="C264" s="46">
        <v>0</v>
      </c>
      <c r="D264" s="46">
        <v>0</v>
      </c>
      <c r="E264" s="46">
        <f t="shared" si="44"/>
        <v>0</v>
      </c>
      <c r="F264" s="46">
        <v>0</v>
      </c>
      <c r="G264" s="46">
        <f t="shared" si="40"/>
        <v>0</v>
      </c>
      <c r="H264" s="46">
        <f t="shared" si="42"/>
        <v>0</v>
      </c>
      <c r="I264" s="46">
        <f t="shared" si="45"/>
        <v>0</v>
      </c>
      <c r="J264" s="46">
        <v>0</v>
      </c>
      <c r="K264" s="46">
        <f t="shared" si="41"/>
        <v>0</v>
      </c>
      <c r="L264" s="55">
        <f t="shared" si="43"/>
        <v>0</v>
      </c>
    </row>
    <row r="265" spans="1:13" ht="14.85" customHeight="1" x14ac:dyDescent="0.25">
      <c r="A265" s="43" t="s">
        <v>235</v>
      </c>
      <c r="B265" s="44" t="s">
        <v>236</v>
      </c>
      <c r="C265" s="46">
        <v>0</v>
      </c>
      <c r="D265" s="46">
        <v>0</v>
      </c>
      <c r="E265" s="46">
        <f t="shared" si="44"/>
        <v>0</v>
      </c>
      <c r="F265" s="46">
        <v>0</v>
      </c>
      <c r="G265" s="46">
        <f t="shared" si="40"/>
        <v>0</v>
      </c>
      <c r="H265" s="46">
        <f t="shared" si="42"/>
        <v>0</v>
      </c>
      <c r="I265" s="46">
        <f t="shared" si="45"/>
        <v>0</v>
      </c>
      <c r="J265" s="46">
        <v>0</v>
      </c>
      <c r="K265" s="46">
        <f t="shared" si="41"/>
        <v>0</v>
      </c>
      <c r="L265" s="55">
        <f t="shared" si="43"/>
        <v>0</v>
      </c>
    </row>
    <row r="266" spans="1:13" ht="14.85" customHeight="1" x14ac:dyDescent="0.25">
      <c r="A266" s="43" t="s">
        <v>237</v>
      </c>
      <c r="B266" s="44" t="s">
        <v>238</v>
      </c>
      <c r="C266" s="93">
        <v>17000</v>
      </c>
      <c r="D266" s="93">
        <v>17000</v>
      </c>
      <c r="E266" s="63">
        <f t="shared" si="44"/>
        <v>4958.37</v>
      </c>
      <c r="F266" s="63">
        <v>4958.37</v>
      </c>
      <c r="G266" s="46">
        <f t="shared" si="40"/>
        <v>6.7151828762495942E-6</v>
      </c>
      <c r="H266" s="46">
        <f t="shared" si="42"/>
        <v>12041.630000000001</v>
      </c>
      <c r="I266" s="46">
        <f>J266-0</f>
        <v>2832</v>
      </c>
      <c r="J266" s="46">
        <v>2832</v>
      </c>
      <c r="K266" s="46">
        <f t="shared" si="41"/>
        <v>4.1774458474309941E-6</v>
      </c>
      <c r="L266" s="55">
        <f t="shared" si="43"/>
        <v>14168</v>
      </c>
    </row>
    <row r="267" spans="1:13" ht="14.85" customHeight="1" x14ac:dyDescent="0.2">
      <c r="A267" s="40" t="s">
        <v>239</v>
      </c>
      <c r="B267" s="72" t="s">
        <v>240</v>
      </c>
      <c r="C267" s="42">
        <f>SUM(C268:C277)</f>
        <v>772881764</v>
      </c>
      <c r="D267" s="42">
        <f>SUM(D268:D277)</f>
        <v>798352517.93000007</v>
      </c>
      <c r="E267" s="42">
        <f>SUM(E268:E277)</f>
        <v>52319919.840000004</v>
      </c>
      <c r="F267" s="42">
        <f>SUM(F268:F277)</f>
        <v>148794955.84</v>
      </c>
      <c r="G267" s="42">
        <f t="shared" si="40"/>
        <v>0.2015148808033855</v>
      </c>
      <c r="H267" s="42">
        <f t="shared" si="42"/>
        <v>649557562.09000003</v>
      </c>
      <c r="I267" s="42">
        <f>SUM(I268:I277)</f>
        <v>40085824.549999997</v>
      </c>
      <c r="J267" s="42">
        <f>SUM(J268:J277)</f>
        <v>117915086.56999999</v>
      </c>
      <c r="K267" s="42">
        <f t="shared" si="41"/>
        <v>0.1739349889623279</v>
      </c>
      <c r="L267" s="59">
        <f t="shared" si="43"/>
        <v>680437431.36000013</v>
      </c>
    </row>
    <row r="268" spans="1:13" ht="14.85" customHeight="1" x14ac:dyDescent="0.25">
      <c r="A268" s="43" t="s">
        <v>30</v>
      </c>
      <c r="B268" s="44" t="s">
        <v>31</v>
      </c>
      <c r="C268" s="93">
        <v>150377228</v>
      </c>
      <c r="D268" s="93">
        <v>172511255.83000001</v>
      </c>
      <c r="E268" s="46">
        <f>F268-58729686.95</f>
        <v>27529268.840000004</v>
      </c>
      <c r="F268" s="93">
        <v>86258955.790000007</v>
      </c>
      <c r="G268" s="46">
        <f t="shared" si="40"/>
        <v>0.11682158911984761</v>
      </c>
      <c r="H268" s="46">
        <f t="shared" si="42"/>
        <v>86252300.040000007</v>
      </c>
      <c r="I268" s="46">
        <f>J268-49810841.82</f>
        <v>15402559.799999997</v>
      </c>
      <c r="J268" s="93">
        <v>65213401.619999997</v>
      </c>
      <c r="K268" s="46">
        <f t="shared" si="41"/>
        <v>9.6195428599688784E-2</v>
      </c>
      <c r="L268" s="55">
        <f t="shared" si="43"/>
        <v>107297854.21000001</v>
      </c>
    </row>
    <row r="269" spans="1:13" ht="14.85" customHeight="1" x14ac:dyDescent="0.25">
      <c r="A269" s="43" t="s">
        <v>61</v>
      </c>
      <c r="B269" s="44" t="s">
        <v>62</v>
      </c>
      <c r="C269" s="93">
        <v>22000</v>
      </c>
      <c r="D269" s="93">
        <v>22000</v>
      </c>
      <c r="E269" s="46">
        <f t="shared" ref="E269:E274" si="46">F269-0</f>
        <v>0</v>
      </c>
      <c r="F269" s="46">
        <v>0</v>
      </c>
      <c r="G269" s="46">
        <f t="shared" ref="G269:G282" si="47">(F269/$F$317)*100</f>
        <v>0</v>
      </c>
      <c r="H269" s="46">
        <f t="shared" si="42"/>
        <v>22000</v>
      </c>
      <c r="I269" s="46">
        <f t="shared" ref="I269:I274" si="48">J269-0</f>
        <v>0</v>
      </c>
      <c r="J269" s="46">
        <v>0</v>
      </c>
      <c r="K269" s="46">
        <f t="shared" ref="K269:K282" si="49">(J269/$J$317)*100</f>
        <v>0</v>
      </c>
      <c r="L269" s="55">
        <f t="shared" si="43"/>
        <v>22000</v>
      </c>
    </row>
    <row r="270" spans="1:13" ht="14.85" customHeight="1" x14ac:dyDescent="0.25">
      <c r="A270" s="43" t="s">
        <v>108</v>
      </c>
      <c r="B270" s="44" t="s">
        <v>109</v>
      </c>
      <c r="C270" s="93">
        <v>515800</v>
      </c>
      <c r="D270" s="93">
        <v>515800</v>
      </c>
      <c r="E270" s="46">
        <f>F270-0</f>
        <v>0</v>
      </c>
      <c r="F270" s="46">
        <v>0</v>
      </c>
      <c r="G270" s="46">
        <f t="shared" si="47"/>
        <v>0</v>
      </c>
      <c r="H270" s="46">
        <f t="shared" si="42"/>
        <v>515800</v>
      </c>
      <c r="I270" s="46">
        <f>J270-0</f>
        <v>0</v>
      </c>
      <c r="J270" s="46">
        <v>0</v>
      </c>
      <c r="K270" s="46">
        <f t="shared" si="49"/>
        <v>0</v>
      </c>
      <c r="L270" s="55">
        <f t="shared" si="43"/>
        <v>515800</v>
      </c>
    </row>
    <row r="271" spans="1:13" ht="14.85" customHeight="1" x14ac:dyDescent="0.25">
      <c r="A271" s="43" t="s">
        <v>112</v>
      </c>
      <c r="B271" s="44" t="s">
        <v>113</v>
      </c>
      <c r="C271" s="93">
        <v>10755800</v>
      </c>
      <c r="D271" s="93">
        <v>14755800</v>
      </c>
      <c r="E271" s="46">
        <f>F271-2460058.66</f>
        <v>1163832.21</v>
      </c>
      <c r="F271" s="93">
        <v>3623890.87</v>
      </c>
      <c r="G271" s="46">
        <f t="shared" si="47"/>
        <v>4.907881000333022E-3</v>
      </c>
      <c r="H271" s="46">
        <f t="shared" si="42"/>
        <v>11131909.129999999</v>
      </c>
      <c r="I271" s="46">
        <f>J271-2460058.66</f>
        <v>1163832.21</v>
      </c>
      <c r="J271" s="93">
        <v>3623890.87</v>
      </c>
      <c r="K271" s="46">
        <f t="shared" si="49"/>
        <v>5.345553625149926E-3</v>
      </c>
      <c r="L271" s="55">
        <f t="shared" si="43"/>
        <v>11131909.129999999</v>
      </c>
    </row>
    <row r="272" spans="1:13" ht="14.85" customHeight="1" x14ac:dyDescent="0.25">
      <c r="A272" s="43" t="s">
        <v>40</v>
      </c>
      <c r="B272" s="44" t="s">
        <v>41</v>
      </c>
      <c r="C272" s="46">
        <v>0</v>
      </c>
      <c r="D272" s="46">
        <v>0</v>
      </c>
      <c r="E272" s="46">
        <f t="shared" si="46"/>
        <v>0</v>
      </c>
      <c r="F272" s="46">
        <v>0</v>
      </c>
      <c r="G272" s="46">
        <f t="shared" si="47"/>
        <v>0</v>
      </c>
      <c r="H272" s="46">
        <f t="shared" si="42"/>
        <v>0</v>
      </c>
      <c r="I272" s="46">
        <f t="shared" si="48"/>
        <v>0</v>
      </c>
      <c r="J272" s="46">
        <v>0</v>
      </c>
      <c r="K272" s="46">
        <f t="shared" si="49"/>
        <v>0</v>
      </c>
      <c r="L272" s="55">
        <f t="shared" si="43"/>
        <v>0</v>
      </c>
    </row>
    <row r="273" spans="1:12" ht="14.85" customHeight="1" x14ac:dyDescent="0.25">
      <c r="A273" s="43" t="s">
        <v>233</v>
      </c>
      <c r="B273" s="44" t="s">
        <v>234</v>
      </c>
      <c r="C273" s="93">
        <v>16020000</v>
      </c>
      <c r="D273" s="93">
        <v>16204579</v>
      </c>
      <c r="E273" s="46">
        <f>F273-8773903.11</f>
        <v>3521510.4400000013</v>
      </c>
      <c r="F273" s="93">
        <v>12295413.550000001</v>
      </c>
      <c r="G273" s="46">
        <f t="shared" si="47"/>
        <v>1.6651833269273421E-2</v>
      </c>
      <c r="H273" s="46">
        <f t="shared" si="42"/>
        <v>3909165.4499999993</v>
      </c>
      <c r="I273" s="46">
        <f>J273-4915052.62</f>
        <v>3580905.6399999997</v>
      </c>
      <c r="J273" s="93">
        <v>8495958.2599999998</v>
      </c>
      <c r="K273" s="46">
        <f t="shared" si="49"/>
        <v>1.2532275972169509E-2</v>
      </c>
      <c r="L273" s="55">
        <f t="shared" si="43"/>
        <v>7708620.7400000002</v>
      </c>
    </row>
    <row r="274" spans="1:12" ht="14.85" customHeight="1" x14ac:dyDescent="0.25">
      <c r="A274" s="43" t="s">
        <v>221</v>
      </c>
      <c r="B274" s="44" t="s">
        <v>222</v>
      </c>
      <c r="C274" s="46">
        <v>0</v>
      </c>
      <c r="D274" s="46">
        <v>0</v>
      </c>
      <c r="E274" s="46">
        <f t="shared" si="46"/>
        <v>0</v>
      </c>
      <c r="F274" s="46">
        <v>0</v>
      </c>
      <c r="G274" s="46">
        <f t="shared" si="47"/>
        <v>0</v>
      </c>
      <c r="H274" s="46">
        <f t="shared" si="42"/>
        <v>0</v>
      </c>
      <c r="I274" s="46">
        <f t="shared" si="48"/>
        <v>0</v>
      </c>
      <c r="J274" s="46">
        <v>0</v>
      </c>
      <c r="K274" s="46">
        <f t="shared" si="49"/>
        <v>0</v>
      </c>
      <c r="L274" s="55">
        <f t="shared" si="43"/>
        <v>0</v>
      </c>
    </row>
    <row r="275" spans="1:12" ht="14.85" customHeight="1" x14ac:dyDescent="0.25">
      <c r="A275" s="43" t="s">
        <v>241</v>
      </c>
      <c r="B275" s="44" t="s">
        <v>242</v>
      </c>
      <c r="C275" s="93">
        <v>1010000</v>
      </c>
      <c r="D275" s="93">
        <v>1010000</v>
      </c>
      <c r="E275" s="46">
        <f>F275-2541.6</f>
        <v>2483.6</v>
      </c>
      <c r="F275" s="46">
        <v>5025.2</v>
      </c>
      <c r="G275" s="46">
        <f t="shared" si="47"/>
        <v>6.805691586091691E-6</v>
      </c>
      <c r="H275" s="46">
        <f t="shared" si="42"/>
        <v>1004974.8</v>
      </c>
      <c r="I275" s="46">
        <f>J275-2541.6</f>
        <v>2483.6</v>
      </c>
      <c r="J275" s="46">
        <v>5025.2</v>
      </c>
      <c r="K275" s="46">
        <f t="shared" si="49"/>
        <v>7.4126062402931595E-6</v>
      </c>
      <c r="L275" s="55">
        <f t="shared" si="43"/>
        <v>1004974.8</v>
      </c>
    </row>
    <row r="276" spans="1:12" ht="14.85" customHeight="1" x14ac:dyDescent="0.25">
      <c r="A276" s="43" t="s">
        <v>93</v>
      </c>
      <c r="B276" s="44" t="s">
        <v>94</v>
      </c>
      <c r="C276" s="93">
        <v>409194138</v>
      </c>
      <c r="D276" s="93">
        <v>406194138</v>
      </c>
      <c r="E276" s="46">
        <f>F276-0</f>
        <v>900</v>
      </c>
      <c r="F276" s="46">
        <v>900</v>
      </c>
      <c r="G276" s="46">
        <f t="shared" si="47"/>
        <v>1.2188813236254324E-6</v>
      </c>
      <c r="H276" s="46">
        <f t="shared" si="42"/>
        <v>406193238</v>
      </c>
      <c r="I276" s="46">
        <f>J276-0</f>
        <v>900</v>
      </c>
      <c r="J276" s="46">
        <v>900</v>
      </c>
      <c r="K276" s="46">
        <f t="shared" si="49"/>
        <v>1.3275781294801887E-6</v>
      </c>
      <c r="L276" s="55">
        <f t="shared" si="43"/>
        <v>406193238</v>
      </c>
    </row>
    <row r="277" spans="1:12" ht="14.85" customHeight="1" x14ac:dyDescent="0.25">
      <c r="A277" s="43" t="s">
        <v>95</v>
      </c>
      <c r="B277" s="44" t="s">
        <v>96</v>
      </c>
      <c r="C277" s="93">
        <v>184986798</v>
      </c>
      <c r="D277" s="93">
        <v>187138945.09999999</v>
      </c>
      <c r="E277" s="46">
        <f>F277-26508845.68</f>
        <v>20101924.75</v>
      </c>
      <c r="F277" s="93">
        <v>46610770.43</v>
      </c>
      <c r="G277" s="46">
        <f t="shared" si="47"/>
        <v>6.3125552841021726E-2</v>
      </c>
      <c r="H277" s="46">
        <f t="shared" si="42"/>
        <v>140528174.66999999</v>
      </c>
      <c r="I277" s="46">
        <f>J277-20640767.32</f>
        <v>19935143.299999997</v>
      </c>
      <c r="J277" s="93">
        <v>40575910.619999997</v>
      </c>
      <c r="K277" s="46">
        <f t="shared" si="49"/>
        <v>5.9852990580949915E-2</v>
      </c>
      <c r="L277" s="55">
        <f t="shared" si="43"/>
        <v>146563034.47999999</v>
      </c>
    </row>
    <row r="278" spans="1:12" ht="14.85" customHeight="1" x14ac:dyDescent="0.2">
      <c r="A278" s="40" t="s">
        <v>243</v>
      </c>
      <c r="B278" s="72" t="s">
        <v>244</v>
      </c>
      <c r="C278" s="42">
        <f>SUM(C279:C281)</f>
        <v>0</v>
      </c>
      <c r="D278" s="42">
        <f>SUM(D279:D281)</f>
        <v>0</v>
      </c>
      <c r="E278" s="42">
        <f>SUM(E279:E281)</f>
        <v>0</v>
      </c>
      <c r="F278" s="42">
        <f>SUM(F279:F281)</f>
        <v>0</v>
      </c>
      <c r="G278" s="42">
        <f t="shared" si="47"/>
        <v>0</v>
      </c>
      <c r="H278" s="42">
        <f t="shared" si="42"/>
        <v>0</v>
      </c>
      <c r="I278" s="42">
        <f>SUM(I279:I281)</f>
        <v>0</v>
      </c>
      <c r="J278" s="42">
        <f>SUM(J279:J281)</f>
        <v>0</v>
      </c>
      <c r="K278" s="42">
        <f t="shared" si="49"/>
        <v>0</v>
      </c>
      <c r="L278" s="59">
        <f t="shared" si="43"/>
        <v>0</v>
      </c>
    </row>
    <row r="279" spans="1:12" ht="14.85" customHeight="1" x14ac:dyDescent="0.25">
      <c r="A279" s="43" t="s">
        <v>30</v>
      </c>
      <c r="B279" s="44" t="s">
        <v>31</v>
      </c>
      <c r="C279" s="46">
        <v>0</v>
      </c>
      <c r="D279" s="46">
        <v>0</v>
      </c>
      <c r="E279" s="46">
        <f>F279-0</f>
        <v>0</v>
      </c>
      <c r="F279" s="46">
        <v>0</v>
      </c>
      <c r="G279" s="46">
        <f t="shared" si="47"/>
        <v>0</v>
      </c>
      <c r="H279" s="46">
        <f t="shared" si="42"/>
        <v>0</v>
      </c>
      <c r="I279" s="46">
        <f>J279-0</f>
        <v>0</v>
      </c>
      <c r="J279" s="46">
        <v>0</v>
      </c>
      <c r="K279" s="46">
        <f t="shared" si="49"/>
        <v>0</v>
      </c>
      <c r="L279" s="55">
        <f t="shared" si="43"/>
        <v>0</v>
      </c>
    </row>
    <row r="280" spans="1:12" ht="14.85" customHeight="1" x14ac:dyDescent="0.25">
      <c r="A280" s="43" t="s">
        <v>36</v>
      </c>
      <c r="B280" s="44" t="s">
        <v>37</v>
      </c>
      <c r="C280" s="46">
        <v>0</v>
      </c>
      <c r="D280" s="46">
        <v>0</v>
      </c>
      <c r="E280" s="46">
        <f>F280-0</f>
        <v>0</v>
      </c>
      <c r="F280" s="46">
        <v>0</v>
      </c>
      <c r="G280" s="46">
        <f t="shared" si="47"/>
        <v>0</v>
      </c>
      <c r="H280" s="46">
        <f t="shared" si="42"/>
        <v>0</v>
      </c>
      <c r="I280" s="46">
        <f>J280-0</f>
        <v>0</v>
      </c>
      <c r="J280" s="46">
        <v>0</v>
      </c>
      <c r="K280" s="46">
        <f t="shared" si="49"/>
        <v>0</v>
      </c>
      <c r="L280" s="55">
        <f t="shared" si="43"/>
        <v>0</v>
      </c>
    </row>
    <row r="281" spans="1:12" ht="14.85" customHeight="1" x14ac:dyDescent="0.25">
      <c r="A281" s="43" t="s">
        <v>38</v>
      </c>
      <c r="B281" s="44" t="s">
        <v>39</v>
      </c>
      <c r="C281" s="46">
        <v>0</v>
      </c>
      <c r="D281" s="46">
        <v>0</v>
      </c>
      <c r="E281" s="46">
        <f>F281-0</f>
        <v>0</v>
      </c>
      <c r="F281" s="46">
        <v>0</v>
      </c>
      <c r="G281" s="46">
        <f t="shared" si="47"/>
        <v>0</v>
      </c>
      <c r="H281" s="46">
        <f t="shared" si="42"/>
        <v>0</v>
      </c>
      <c r="I281" s="46">
        <f>J281-0</f>
        <v>0</v>
      </c>
      <c r="J281" s="46">
        <v>0</v>
      </c>
      <c r="K281" s="46">
        <f t="shared" si="49"/>
        <v>0</v>
      </c>
      <c r="L281" s="55">
        <f t="shared" si="43"/>
        <v>0</v>
      </c>
    </row>
    <row r="282" spans="1:12" ht="14.85" customHeight="1" x14ac:dyDescent="0.2">
      <c r="A282" s="40" t="s">
        <v>245</v>
      </c>
      <c r="B282" s="72" t="s">
        <v>246</v>
      </c>
      <c r="C282" s="42">
        <f>SUM(C283:C286)</f>
        <v>24572254</v>
      </c>
      <c r="D282" s="42">
        <f>SUM(D283:D286)</f>
        <v>26382283.899999999</v>
      </c>
      <c r="E282" s="42">
        <f>SUM(E283:E286)</f>
        <v>2714608.9999999991</v>
      </c>
      <c r="F282" s="42">
        <f>SUM(F283:F286)</f>
        <v>11804123.039999999</v>
      </c>
      <c r="G282" s="42">
        <f t="shared" si="47"/>
        <v>1.5986472350258515E-2</v>
      </c>
      <c r="H282" s="42">
        <f t="shared" si="42"/>
        <v>14578160.859999999</v>
      </c>
      <c r="I282" s="42">
        <f>SUM(I283:I286)</f>
        <v>2892638.55</v>
      </c>
      <c r="J282" s="42">
        <f>SUM(J283:J286)</f>
        <v>10798748.33</v>
      </c>
      <c r="K282" s="42">
        <f t="shared" si="49"/>
        <v>1.5929091231854126E-2</v>
      </c>
      <c r="L282" s="59">
        <f t="shared" si="43"/>
        <v>15583535.569999998</v>
      </c>
    </row>
    <row r="283" spans="1:12" ht="14.85" customHeight="1" x14ac:dyDescent="0.25">
      <c r="A283" s="43" t="s">
        <v>30</v>
      </c>
      <c r="B283" s="44" t="s">
        <v>31</v>
      </c>
      <c r="C283" s="93">
        <v>16446254</v>
      </c>
      <c r="D283" s="93">
        <v>16435856</v>
      </c>
      <c r="E283" s="46">
        <f>F283-8089514.04</f>
        <v>2714608.9999999991</v>
      </c>
      <c r="F283" s="93">
        <v>10804123.039999999</v>
      </c>
      <c r="G283" s="46">
        <f t="shared" ref="G283:G309" si="50">(F283/$F$317)*100</f>
        <v>1.4632159768452477E-2</v>
      </c>
      <c r="H283" s="46">
        <f t="shared" si="42"/>
        <v>5631732.9600000009</v>
      </c>
      <c r="I283" s="46">
        <f>J283-6906109.78</f>
        <v>2892638.55</v>
      </c>
      <c r="J283" s="93">
        <v>9798748.3300000001</v>
      </c>
      <c r="K283" s="46">
        <f>(J283/$J$317)*100</f>
        <v>1.4454004421320582E-2</v>
      </c>
      <c r="L283" s="55">
        <f t="shared" si="43"/>
        <v>6637107.6699999999</v>
      </c>
    </row>
    <row r="284" spans="1:12" ht="14.85" customHeight="1" x14ac:dyDescent="0.25">
      <c r="A284" s="43" t="s">
        <v>32</v>
      </c>
      <c r="B284" s="44" t="s">
        <v>33</v>
      </c>
      <c r="C284" s="93">
        <v>5102000</v>
      </c>
      <c r="D284" s="93">
        <v>5102000</v>
      </c>
      <c r="E284" s="46">
        <f>F284-0</f>
        <v>0</v>
      </c>
      <c r="F284" s="46">
        <v>0</v>
      </c>
      <c r="G284" s="46">
        <f t="shared" si="50"/>
        <v>0</v>
      </c>
      <c r="H284" s="46">
        <f t="shared" si="42"/>
        <v>5102000</v>
      </c>
      <c r="I284" s="46">
        <f>J284-0</f>
        <v>0</v>
      </c>
      <c r="J284" s="46">
        <v>0</v>
      </c>
      <c r="K284" s="46">
        <f>(J284/$J$317)*100</f>
        <v>0</v>
      </c>
      <c r="L284" s="55">
        <f t="shared" si="43"/>
        <v>5102000</v>
      </c>
    </row>
    <row r="285" spans="1:12" ht="14.85" customHeight="1" x14ac:dyDescent="0.25">
      <c r="A285" s="43" t="s">
        <v>91</v>
      </c>
      <c r="B285" s="44" t="s">
        <v>92</v>
      </c>
      <c r="C285" s="93">
        <v>12000</v>
      </c>
      <c r="D285" s="93">
        <v>2865747.9</v>
      </c>
      <c r="E285" s="46">
        <f>F285-1000000</f>
        <v>0</v>
      </c>
      <c r="F285" s="46">
        <v>1000000</v>
      </c>
      <c r="G285" s="46">
        <f t="shared" si="50"/>
        <v>1.354312581806036E-3</v>
      </c>
      <c r="H285" s="46">
        <f t="shared" si="42"/>
        <v>1865747.9</v>
      </c>
      <c r="I285" s="46">
        <f>J285-1000000</f>
        <v>0</v>
      </c>
      <c r="J285" s="46">
        <v>1000000</v>
      </c>
      <c r="K285" s="46">
        <f>(J285/$J$317)*100</f>
        <v>1.4750868105335431E-3</v>
      </c>
      <c r="L285" s="55">
        <f t="shared" si="43"/>
        <v>1865747.9</v>
      </c>
    </row>
    <row r="286" spans="1:12" ht="14.85" customHeight="1" x14ac:dyDescent="0.25">
      <c r="A286" s="43" t="s">
        <v>202</v>
      </c>
      <c r="B286" s="44" t="s">
        <v>203</v>
      </c>
      <c r="C286" s="93">
        <v>3012000</v>
      </c>
      <c r="D286" s="93">
        <v>1978680</v>
      </c>
      <c r="E286" s="46">
        <f>F286-0</f>
        <v>0</v>
      </c>
      <c r="F286" s="46">
        <v>0</v>
      </c>
      <c r="G286" s="46">
        <f t="shared" si="50"/>
        <v>0</v>
      </c>
      <c r="H286" s="46">
        <f t="shared" si="42"/>
        <v>1978680</v>
      </c>
      <c r="I286" s="46">
        <f>J286-0</f>
        <v>0</v>
      </c>
      <c r="J286" s="46">
        <v>0</v>
      </c>
      <c r="K286" s="46">
        <f>(J286/$J$317)*100</f>
        <v>0</v>
      </c>
      <c r="L286" s="55">
        <f t="shared" si="43"/>
        <v>1978680</v>
      </c>
    </row>
    <row r="287" spans="1:12" ht="14.85" customHeight="1" x14ac:dyDescent="0.2">
      <c r="A287" s="40" t="s">
        <v>247</v>
      </c>
      <c r="B287" s="72" t="s">
        <v>248</v>
      </c>
      <c r="C287" s="42">
        <f>SUM(C288:C299)</f>
        <v>2686384670</v>
      </c>
      <c r="D287" s="42">
        <f>SUM(D288:D299)</f>
        <v>3160517039.3099999</v>
      </c>
      <c r="E287" s="42">
        <f>SUM(E288:E299)</f>
        <v>598180577.93000007</v>
      </c>
      <c r="F287" s="42">
        <f>SUM(F288:F299)</f>
        <v>1637704724.3</v>
      </c>
      <c r="G287" s="42">
        <f t="shared" si="50"/>
        <v>2.2179641134026751</v>
      </c>
      <c r="H287" s="42">
        <f t="shared" si="42"/>
        <v>1522812315.01</v>
      </c>
      <c r="I287" s="42">
        <f>SUM(I288:I299)</f>
        <v>468330916.80000007</v>
      </c>
      <c r="J287" s="42">
        <f>SUM(J288:J299)</f>
        <v>1396047391.5400002</v>
      </c>
      <c r="K287" s="42">
        <f t="shared" ref="K287:K309" si="51">(J287/$J$317)*100</f>
        <v>2.0592910941404114</v>
      </c>
      <c r="L287" s="59">
        <f t="shared" si="43"/>
        <v>1764469647.7699997</v>
      </c>
    </row>
    <row r="288" spans="1:12" ht="14.85" customHeight="1" x14ac:dyDescent="0.25">
      <c r="A288" s="43" t="s">
        <v>30</v>
      </c>
      <c r="B288" s="44" t="s">
        <v>31</v>
      </c>
      <c r="C288" s="93">
        <v>954096066</v>
      </c>
      <c r="D288" s="93">
        <v>960288422.30999994</v>
      </c>
      <c r="E288" s="46">
        <f>F288-325408139.95</f>
        <v>167126127.73000002</v>
      </c>
      <c r="F288" s="93">
        <v>492534267.68000001</v>
      </c>
      <c r="G288" s="46">
        <f t="shared" si="50"/>
        <v>0.66704535568964607</v>
      </c>
      <c r="H288" s="46">
        <f t="shared" si="42"/>
        <v>467754154.62999994</v>
      </c>
      <c r="I288" s="46">
        <f>J288-314598438.19</f>
        <v>104547153.48000002</v>
      </c>
      <c r="J288" s="93">
        <v>419145591.67000002</v>
      </c>
      <c r="K288" s="46">
        <f t="shared" si="51"/>
        <v>0.61827613396569514</v>
      </c>
      <c r="L288" s="55">
        <f t="shared" si="43"/>
        <v>541142830.63999987</v>
      </c>
    </row>
    <row r="289" spans="1:12" ht="14.85" customHeight="1" x14ac:dyDescent="0.25">
      <c r="A289" s="43" t="s">
        <v>34</v>
      </c>
      <c r="B289" s="44" t="s">
        <v>35</v>
      </c>
      <c r="C289" s="46">
        <v>0</v>
      </c>
      <c r="D289" s="46">
        <v>0</v>
      </c>
      <c r="E289" s="46">
        <f t="shared" ref="E289:E298" si="52">F289-0</f>
        <v>0</v>
      </c>
      <c r="F289" s="46">
        <v>0</v>
      </c>
      <c r="G289" s="46">
        <f t="shared" si="50"/>
        <v>0</v>
      </c>
      <c r="H289" s="46">
        <f t="shared" si="42"/>
        <v>0</v>
      </c>
      <c r="I289" s="46">
        <f>J289-0</f>
        <v>0</v>
      </c>
      <c r="J289" s="46">
        <v>0</v>
      </c>
      <c r="K289" s="46">
        <f t="shared" si="51"/>
        <v>0</v>
      </c>
      <c r="L289" s="55">
        <f t="shared" si="43"/>
        <v>0</v>
      </c>
    </row>
    <row r="290" spans="1:12" ht="14.85" customHeight="1" x14ac:dyDescent="0.25">
      <c r="A290" s="43" t="s">
        <v>71</v>
      </c>
      <c r="B290" s="44" t="s">
        <v>72</v>
      </c>
      <c r="C290" s="46">
        <v>0</v>
      </c>
      <c r="D290" s="46">
        <v>0</v>
      </c>
      <c r="E290" s="46">
        <f t="shared" si="52"/>
        <v>0</v>
      </c>
      <c r="F290" s="46">
        <v>0</v>
      </c>
      <c r="G290" s="46">
        <f t="shared" si="50"/>
        <v>0</v>
      </c>
      <c r="H290" s="46">
        <f t="shared" si="42"/>
        <v>0</v>
      </c>
      <c r="I290" s="46">
        <f t="shared" ref="I290:I294" si="53">J290-0</f>
        <v>0</v>
      </c>
      <c r="J290" s="46">
        <v>0</v>
      </c>
      <c r="K290" s="46">
        <f t="shared" si="51"/>
        <v>0</v>
      </c>
      <c r="L290" s="55">
        <f t="shared" si="43"/>
        <v>0</v>
      </c>
    </row>
    <row r="291" spans="1:12" ht="14.85" customHeight="1" x14ac:dyDescent="0.25">
      <c r="A291" s="43" t="s">
        <v>112</v>
      </c>
      <c r="B291" s="44" t="s">
        <v>113</v>
      </c>
      <c r="C291" s="46">
        <v>0</v>
      </c>
      <c r="D291" s="46">
        <v>0</v>
      </c>
      <c r="E291" s="46">
        <f t="shared" si="52"/>
        <v>0</v>
      </c>
      <c r="F291" s="46">
        <v>0</v>
      </c>
      <c r="G291" s="46">
        <f t="shared" si="50"/>
        <v>0</v>
      </c>
      <c r="H291" s="46">
        <f t="shared" si="42"/>
        <v>0</v>
      </c>
      <c r="I291" s="46">
        <f>J291-0</f>
        <v>0</v>
      </c>
      <c r="J291" s="46">
        <v>0</v>
      </c>
      <c r="K291" s="46">
        <f t="shared" si="51"/>
        <v>0</v>
      </c>
      <c r="L291" s="55">
        <f t="shared" si="43"/>
        <v>0</v>
      </c>
    </row>
    <row r="292" spans="1:12" ht="14.85" customHeight="1" x14ac:dyDescent="0.25">
      <c r="A292" s="43" t="s">
        <v>77</v>
      </c>
      <c r="B292" s="44" t="s">
        <v>78</v>
      </c>
      <c r="C292" s="93">
        <v>8753421</v>
      </c>
      <c r="D292" s="93">
        <v>132215115.03</v>
      </c>
      <c r="E292" s="46">
        <f>F292-24749590</f>
        <v>41520021.990000002</v>
      </c>
      <c r="F292" s="46">
        <v>66269611.990000002</v>
      </c>
      <c r="G292" s="46">
        <f t="shared" si="50"/>
        <v>8.974976930946113E-2</v>
      </c>
      <c r="H292" s="46">
        <f t="shared" si="42"/>
        <v>65945503.039999999</v>
      </c>
      <c r="I292" s="46">
        <f>J292-6446842.65</f>
        <v>28806951.990000002</v>
      </c>
      <c r="J292" s="46">
        <v>35253794.640000001</v>
      </c>
      <c r="K292" s="46">
        <f t="shared" si="51"/>
        <v>5.2002407494722118E-2</v>
      </c>
      <c r="L292" s="55">
        <f t="shared" si="43"/>
        <v>96961320.390000001</v>
      </c>
    </row>
    <row r="293" spans="1:12" ht="14.85" customHeight="1" x14ac:dyDescent="0.25">
      <c r="A293" s="43" t="s">
        <v>79</v>
      </c>
      <c r="B293" s="44" t="s">
        <v>80</v>
      </c>
      <c r="C293" s="93">
        <v>952725752</v>
      </c>
      <c r="D293" s="93">
        <v>1198182186.9200001</v>
      </c>
      <c r="E293" s="46">
        <f>F293-391263000.15</f>
        <v>244858174.95000005</v>
      </c>
      <c r="F293" s="93">
        <v>636121175.10000002</v>
      </c>
      <c r="G293" s="46">
        <f t="shared" si="50"/>
        <v>0.8615069109911706</v>
      </c>
      <c r="H293" s="46">
        <f t="shared" si="42"/>
        <v>562061011.82000005</v>
      </c>
      <c r="I293" s="46">
        <f>J293-386728003.59</f>
        <v>233298913.74000007</v>
      </c>
      <c r="J293" s="93">
        <v>620026917.33000004</v>
      </c>
      <c r="K293" s="46">
        <f t="shared" si="51"/>
        <v>0.91459352792925452</v>
      </c>
      <c r="L293" s="55">
        <f t="shared" si="43"/>
        <v>578155269.59000003</v>
      </c>
    </row>
    <row r="294" spans="1:12" ht="14.85" customHeight="1" x14ac:dyDescent="0.25">
      <c r="A294" s="43" t="s">
        <v>196</v>
      </c>
      <c r="B294" s="44" t="s">
        <v>197</v>
      </c>
      <c r="C294" s="46">
        <v>0</v>
      </c>
      <c r="D294" s="46">
        <v>0</v>
      </c>
      <c r="E294" s="46">
        <f t="shared" si="52"/>
        <v>0</v>
      </c>
      <c r="F294" s="46">
        <v>0</v>
      </c>
      <c r="G294" s="46">
        <f t="shared" si="50"/>
        <v>0</v>
      </c>
      <c r="H294" s="46">
        <f t="shared" si="42"/>
        <v>0</v>
      </c>
      <c r="I294" s="46">
        <f t="shared" si="53"/>
        <v>0</v>
      </c>
      <c r="J294" s="46">
        <v>0</v>
      </c>
      <c r="K294" s="46">
        <f t="shared" si="51"/>
        <v>0</v>
      </c>
      <c r="L294" s="55">
        <f t="shared" si="43"/>
        <v>0</v>
      </c>
    </row>
    <row r="295" spans="1:12" ht="14.85" customHeight="1" x14ac:dyDescent="0.25">
      <c r="A295" s="43" t="s">
        <v>126</v>
      </c>
      <c r="B295" s="44" t="s">
        <v>127</v>
      </c>
      <c r="C295" s="93">
        <v>7831766</v>
      </c>
      <c r="D295" s="93">
        <v>7063003</v>
      </c>
      <c r="E295" s="46">
        <f>F295-440577.69</f>
        <v>0</v>
      </c>
      <c r="F295" s="46">
        <v>440577.69</v>
      </c>
      <c r="G295" s="46">
        <f t="shared" si="50"/>
        <v>5.9667990883003935E-4</v>
      </c>
      <c r="H295" s="46">
        <f t="shared" si="42"/>
        <v>6622425.3099999996</v>
      </c>
      <c r="I295" s="46">
        <f>J295-440577.69</f>
        <v>0</v>
      </c>
      <c r="J295" s="46">
        <v>440577.69</v>
      </c>
      <c r="K295" s="46">
        <f t="shared" si="51"/>
        <v>6.4989033953433606E-4</v>
      </c>
      <c r="L295" s="55">
        <f t="shared" si="43"/>
        <v>6622425.3099999996</v>
      </c>
    </row>
    <row r="296" spans="1:12" ht="14.85" customHeight="1" x14ac:dyDescent="0.25">
      <c r="A296" s="43" t="s">
        <v>128</v>
      </c>
      <c r="B296" s="44" t="s">
        <v>129</v>
      </c>
      <c r="C296" s="93">
        <v>665415617</v>
      </c>
      <c r="D296" s="93">
        <v>805028100.40999997</v>
      </c>
      <c r="E296" s="46">
        <f>F296-294090611.98</f>
        <v>138493118.5</v>
      </c>
      <c r="F296" s="93">
        <v>432583730.48000002</v>
      </c>
      <c r="G296" s="46">
        <f t="shared" si="50"/>
        <v>0.58585358887365524</v>
      </c>
      <c r="H296" s="46">
        <f t="shared" si="42"/>
        <v>372444369.92999995</v>
      </c>
      <c r="I296" s="46">
        <f>J296-215932432.59</f>
        <v>100664293.84</v>
      </c>
      <c r="J296" s="46">
        <v>316596726.43000001</v>
      </c>
      <c r="K296" s="46">
        <f t="shared" si="51"/>
        <v>0.4670076554149894</v>
      </c>
      <c r="L296" s="55">
        <f t="shared" si="43"/>
        <v>488431373.97999996</v>
      </c>
    </row>
    <row r="297" spans="1:12" ht="14.85" customHeight="1" x14ac:dyDescent="0.25">
      <c r="A297" s="43" t="s">
        <v>97</v>
      </c>
      <c r="B297" s="44" t="s">
        <v>98</v>
      </c>
      <c r="C297" s="93">
        <v>83082828</v>
      </c>
      <c r="D297" s="93">
        <v>35051591</v>
      </c>
      <c r="E297" s="46">
        <f t="shared" si="52"/>
        <v>0</v>
      </c>
      <c r="F297" s="46">
        <v>0</v>
      </c>
      <c r="G297" s="46">
        <f t="shared" si="50"/>
        <v>0</v>
      </c>
      <c r="H297" s="46">
        <f t="shared" si="42"/>
        <v>35051591</v>
      </c>
      <c r="I297" s="46">
        <f>J297-0</f>
        <v>0</v>
      </c>
      <c r="J297" s="46">
        <v>0</v>
      </c>
      <c r="K297" s="46">
        <f t="shared" si="51"/>
        <v>0</v>
      </c>
      <c r="L297" s="55">
        <f t="shared" si="43"/>
        <v>35051591</v>
      </c>
    </row>
    <row r="298" spans="1:12" ht="14.85" customHeight="1" x14ac:dyDescent="0.25">
      <c r="A298" s="43" t="s">
        <v>130</v>
      </c>
      <c r="B298" s="44" t="s">
        <v>131</v>
      </c>
      <c r="C298" s="46">
        <v>0</v>
      </c>
      <c r="D298" s="46">
        <v>0</v>
      </c>
      <c r="E298" s="46">
        <f t="shared" si="52"/>
        <v>0</v>
      </c>
      <c r="F298" s="46">
        <v>0</v>
      </c>
      <c r="G298" s="46">
        <f t="shared" si="50"/>
        <v>0</v>
      </c>
      <c r="H298" s="46">
        <f t="shared" si="42"/>
        <v>0</v>
      </c>
      <c r="I298" s="46">
        <f>J298-0</f>
        <v>0</v>
      </c>
      <c r="J298" s="46">
        <v>0</v>
      </c>
      <c r="K298" s="46">
        <f t="shared" si="51"/>
        <v>0</v>
      </c>
      <c r="L298" s="55">
        <f t="shared" si="43"/>
        <v>0</v>
      </c>
    </row>
    <row r="299" spans="1:12" ht="14.85" customHeight="1" x14ac:dyDescent="0.25">
      <c r="A299" s="43" t="s">
        <v>198</v>
      </c>
      <c r="B299" s="44" t="s">
        <v>199</v>
      </c>
      <c r="C299" s="93">
        <v>14479220</v>
      </c>
      <c r="D299" s="93">
        <v>22688620.640000001</v>
      </c>
      <c r="E299" s="46">
        <f>F299-3572226.6</f>
        <v>6183134.7599999998</v>
      </c>
      <c r="F299" s="93">
        <v>9755361.3599999994</v>
      </c>
      <c r="G299" s="46">
        <f t="shared" si="50"/>
        <v>1.3211808629912442E-2</v>
      </c>
      <c r="H299" s="46">
        <f t="shared" si="42"/>
        <v>12933259.280000001</v>
      </c>
      <c r="I299" s="46">
        <f>J299-3570180.03</f>
        <v>1013603.7500000005</v>
      </c>
      <c r="J299" s="93">
        <v>4583783.78</v>
      </c>
      <c r="K299" s="46">
        <f t="shared" si="51"/>
        <v>6.7614789962155879E-3</v>
      </c>
      <c r="L299" s="55">
        <f t="shared" si="43"/>
        <v>18104836.859999999</v>
      </c>
    </row>
    <row r="300" spans="1:12" ht="14.85" customHeight="1" x14ac:dyDescent="0.2">
      <c r="A300" s="40" t="s">
        <v>249</v>
      </c>
      <c r="B300" s="72" t="s">
        <v>250</v>
      </c>
      <c r="C300" s="42">
        <f>SUM(C301:C305)</f>
        <v>82244547</v>
      </c>
      <c r="D300" s="42">
        <f>SUM(D301:D305)</f>
        <v>148982243.81</v>
      </c>
      <c r="E300" s="42">
        <f>SUM(E301:E305)</f>
        <v>7615514.429999996</v>
      </c>
      <c r="F300" s="42">
        <f>SUM(F301:F305)</f>
        <v>73587751.849999994</v>
      </c>
      <c r="G300" s="42">
        <f t="shared" si="50"/>
        <v>9.9660818197275389E-2</v>
      </c>
      <c r="H300" s="42">
        <f t="shared" si="42"/>
        <v>75394491.960000008</v>
      </c>
      <c r="I300" s="42">
        <f>SUM(I301:I305)</f>
        <v>10790892.680000003</v>
      </c>
      <c r="J300" s="42">
        <f>SUM(J301:J305)</f>
        <v>67399321.829999998</v>
      </c>
      <c r="K300" s="42">
        <f t="shared" si="51"/>
        <v>9.9419850670338497E-2</v>
      </c>
      <c r="L300" s="59">
        <f t="shared" si="43"/>
        <v>81582921.980000004</v>
      </c>
    </row>
    <row r="301" spans="1:12" ht="14.85" customHeight="1" x14ac:dyDescent="0.25">
      <c r="A301" s="43" t="s">
        <v>30</v>
      </c>
      <c r="B301" s="44" t="s">
        <v>31</v>
      </c>
      <c r="C301" s="93">
        <v>36029945</v>
      </c>
      <c r="D301" s="93">
        <v>39111196.520000003</v>
      </c>
      <c r="E301" s="46">
        <f>F301-17156485.89</f>
        <v>6101047.5500000007</v>
      </c>
      <c r="F301" s="93">
        <v>23257533.440000001</v>
      </c>
      <c r="G301" s="46">
        <f t="shared" si="50"/>
        <v>3.1497970159566617E-2</v>
      </c>
      <c r="H301" s="46">
        <f t="shared" si="42"/>
        <v>15853663.080000002</v>
      </c>
      <c r="I301" s="46">
        <f>J301-16090343.79</f>
        <v>5938610.1900000013</v>
      </c>
      <c r="J301" s="93">
        <v>22028953.98</v>
      </c>
      <c r="K301" s="46">
        <f t="shared" si="51"/>
        <v>3.2494619465748401E-2</v>
      </c>
      <c r="L301" s="55">
        <f t="shared" si="43"/>
        <v>17082242.540000003</v>
      </c>
    </row>
    <row r="302" spans="1:12" ht="14.85" customHeight="1" x14ac:dyDescent="0.25">
      <c r="A302" s="43" t="s">
        <v>40</v>
      </c>
      <c r="B302" s="44" t="s">
        <v>41</v>
      </c>
      <c r="C302" s="46">
        <v>0</v>
      </c>
      <c r="D302" s="46">
        <v>0</v>
      </c>
      <c r="E302" s="46">
        <f>F302-0</f>
        <v>0</v>
      </c>
      <c r="F302" s="46">
        <v>0</v>
      </c>
      <c r="G302" s="46">
        <f t="shared" si="50"/>
        <v>0</v>
      </c>
      <c r="H302" s="46">
        <f t="shared" si="42"/>
        <v>0</v>
      </c>
      <c r="I302" s="46">
        <f>J302-0</f>
        <v>0</v>
      </c>
      <c r="J302" s="46">
        <v>0</v>
      </c>
      <c r="K302" s="46">
        <f t="shared" si="51"/>
        <v>0</v>
      </c>
      <c r="L302" s="55">
        <f t="shared" si="43"/>
        <v>0</v>
      </c>
    </row>
    <row r="303" spans="1:12" ht="14.85" customHeight="1" x14ac:dyDescent="0.25">
      <c r="A303" s="43" t="s">
        <v>251</v>
      </c>
      <c r="B303" s="44" t="s">
        <v>252</v>
      </c>
      <c r="C303" s="93">
        <v>10000000</v>
      </c>
      <c r="D303" s="93">
        <v>5170120</v>
      </c>
      <c r="E303" s="46">
        <f>F303-4388740</f>
        <v>717460</v>
      </c>
      <c r="F303" s="93">
        <v>5106200</v>
      </c>
      <c r="G303" s="46">
        <f t="shared" si="50"/>
        <v>6.9153909052179809E-3</v>
      </c>
      <c r="H303" s="46">
        <f t="shared" si="42"/>
        <v>63920</v>
      </c>
      <c r="I303" s="46">
        <f>J303-4388740</f>
        <v>717460</v>
      </c>
      <c r="J303" s="93">
        <v>5106200</v>
      </c>
      <c r="K303" s="46">
        <f t="shared" si="51"/>
        <v>7.532088271946377E-3</v>
      </c>
      <c r="L303" s="55">
        <f t="shared" si="43"/>
        <v>63920</v>
      </c>
    </row>
    <row r="304" spans="1:12" ht="14.85" customHeight="1" x14ac:dyDescent="0.25">
      <c r="A304" s="43" t="s">
        <v>132</v>
      </c>
      <c r="B304" s="44" t="s">
        <v>133</v>
      </c>
      <c r="C304" s="93">
        <v>36124602</v>
      </c>
      <c r="D304" s="93">
        <v>104610927.29000001</v>
      </c>
      <c r="E304" s="46">
        <f>F304-44427011.53</f>
        <v>797006.87999999523</v>
      </c>
      <c r="F304" s="93">
        <v>45224018.409999996</v>
      </c>
      <c r="G304" s="46">
        <f t="shared" si="50"/>
        <v>6.1247457132490794E-2</v>
      </c>
      <c r="H304" s="46">
        <f t="shared" si="42"/>
        <v>59386908.88000001</v>
      </c>
      <c r="I304" s="46">
        <f>J304-36129345.36</f>
        <v>4134822.4900000021</v>
      </c>
      <c r="J304" s="93">
        <v>40264167.850000001</v>
      </c>
      <c r="K304" s="46">
        <f t="shared" si="51"/>
        <v>5.9393142932643729E-2</v>
      </c>
      <c r="L304" s="55">
        <f t="shared" si="43"/>
        <v>64346759.440000005</v>
      </c>
    </row>
    <row r="305" spans="1:12" ht="14.85" customHeight="1" x14ac:dyDescent="0.25">
      <c r="A305" s="43" t="s">
        <v>99</v>
      </c>
      <c r="B305" s="44" t="s">
        <v>100</v>
      </c>
      <c r="C305" s="93">
        <v>90000</v>
      </c>
      <c r="D305" s="93">
        <v>90000</v>
      </c>
      <c r="E305" s="46">
        <f>F305-0</f>
        <v>0</v>
      </c>
      <c r="F305" s="46">
        <v>0</v>
      </c>
      <c r="G305" s="46">
        <f t="shared" si="50"/>
        <v>0</v>
      </c>
      <c r="H305" s="46">
        <f t="shared" si="42"/>
        <v>90000</v>
      </c>
      <c r="I305" s="46">
        <f>J305-0</f>
        <v>0</v>
      </c>
      <c r="J305" s="46">
        <v>0</v>
      </c>
      <c r="K305" s="46">
        <f t="shared" si="51"/>
        <v>0</v>
      </c>
      <c r="L305" s="55">
        <f t="shared" si="43"/>
        <v>90000</v>
      </c>
    </row>
    <row r="306" spans="1:12" ht="14.85" customHeight="1" x14ac:dyDescent="0.2">
      <c r="A306" s="40" t="s">
        <v>253</v>
      </c>
      <c r="B306" s="72" t="s">
        <v>254</v>
      </c>
      <c r="C306" s="42">
        <f>SUM(C307:C311)</f>
        <v>9547354542</v>
      </c>
      <c r="D306" s="42">
        <f>SUM(D307:D311)</f>
        <v>10616429382.08</v>
      </c>
      <c r="E306" s="42">
        <f>SUM(E307:E311)</f>
        <v>1159630194.6799998</v>
      </c>
      <c r="F306" s="42">
        <f>SUM(F307:F311)</f>
        <v>6041216733.8800011</v>
      </c>
      <c r="G306" s="42">
        <f t="shared" si="50"/>
        <v>8.1816958321108526</v>
      </c>
      <c r="H306" s="42">
        <f t="shared" si="42"/>
        <v>4575212648.1999989</v>
      </c>
      <c r="I306" s="42">
        <f>SUM(I307:I311)</f>
        <v>1159630194.6799998</v>
      </c>
      <c r="J306" s="42">
        <f>SUM(J307:J311)</f>
        <v>6041216733.8800011</v>
      </c>
      <c r="K306" s="42">
        <f t="shared" si="51"/>
        <v>8.9113191237209186</v>
      </c>
      <c r="L306" s="59">
        <f t="shared" si="43"/>
        <v>4575212648.1999989</v>
      </c>
    </row>
    <row r="307" spans="1:12" ht="14.85" customHeight="1" x14ac:dyDescent="0.25">
      <c r="A307" s="43" t="s">
        <v>61</v>
      </c>
      <c r="B307" s="44" t="s">
        <v>62</v>
      </c>
      <c r="C307" s="93">
        <v>390906958</v>
      </c>
      <c r="D307" s="93">
        <v>595883096</v>
      </c>
      <c r="E307" s="46">
        <f>F307-77401888.84</f>
        <v>3768788.1799999923</v>
      </c>
      <c r="F307" s="93">
        <v>81170677.019999996</v>
      </c>
      <c r="G307" s="46">
        <f t="shared" si="50"/>
        <v>0.10993046916190008</v>
      </c>
      <c r="H307" s="46">
        <f t="shared" si="42"/>
        <v>514712418.98000002</v>
      </c>
      <c r="I307" s="46">
        <f>J307-77401888.84</f>
        <v>3768788.1799999923</v>
      </c>
      <c r="J307" s="93">
        <v>81170677.019999996</v>
      </c>
      <c r="K307" s="46">
        <f t="shared" si="51"/>
        <v>0.11973379507428014</v>
      </c>
      <c r="L307" s="55">
        <f t="shared" si="43"/>
        <v>514712418.98000002</v>
      </c>
    </row>
    <row r="308" spans="1:12" ht="14.85" customHeight="1" x14ac:dyDescent="0.25">
      <c r="A308" s="43" t="s">
        <v>255</v>
      </c>
      <c r="B308" s="44" t="s">
        <v>256</v>
      </c>
      <c r="C308" s="93">
        <v>5954741508</v>
      </c>
      <c r="D308" s="93">
        <v>7128889096.5699997</v>
      </c>
      <c r="E308" s="46">
        <f>F308-3703770951.34</f>
        <v>785476910.88000011</v>
      </c>
      <c r="F308" s="93">
        <v>4489247862.2200003</v>
      </c>
      <c r="G308" s="46">
        <f t="shared" si="50"/>
        <v>6.0798448626503969</v>
      </c>
      <c r="H308" s="46">
        <f t="shared" si="42"/>
        <v>2639641234.3499994</v>
      </c>
      <c r="I308" s="46">
        <f>J308-3703770951.34</f>
        <v>785476910.88000011</v>
      </c>
      <c r="J308" s="93">
        <v>4489247862.2200003</v>
      </c>
      <c r="K308" s="46">
        <f t="shared" si="51"/>
        <v>6.6220303107766263</v>
      </c>
      <c r="L308" s="55">
        <f t="shared" si="43"/>
        <v>2639641234.3499994</v>
      </c>
    </row>
    <row r="309" spans="1:12" ht="14.85" customHeight="1" x14ac:dyDescent="0.25">
      <c r="A309" s="43" t="s">
        <v>257</v>
      </c>
      <c r="B309" s="44" t="s">
        <v>258</v>
      </c>
      <c r="C309" s="93">
        <v>222819000</v>
      </c>
      <c r="D309" s="93">
        <v>344618000</v>
      </c>
      <c r="E309" s="46">
        <f>F309-180118277.07</f>
        <v>55738215.520000011</v>
      </c>
      <c r="F309" s="93">
        <v>235856492.59</v>
      </c>
      <c r="G309" s="46">
        <f t="shared" si="50"/>
        <v>0.31942341541527908</v>
      </c>
      <c r="H309" s="46">
        <f t="shared" si="42"/>
        <v>108761507.41</v>
      </c>
      <c r="I309" s="46">
        <f>J309-180118277.07</f>
        <v>55738215.520000011</v>
      </c>
      <c r="J309" s="93">
        <v>235856492.59</v>
      </c>
      <c r="K309" s="46">
        <f t="shared" si="51"/>
        <v>0.34790880139821134</v>
      </c>
      <c r="L309" s="55">
        <f t="shared" si="43"/>
        <v>108761507.41</v>
      </c>
    </row>
    <row r="310" spans="1:12" ht="14.85" customHeight="1" x14ac:dyDescent="0.25">
      <c r="A310" s="43" t="s">
        <v>259</v>
      </c>
      <c r="B310" s="44" t="s">
        <v>260</v>
      </c>
      <c r="C310" s="93">
        <v>60000</v>
      </c>
      <c r="D310" s="93">
        <v>60000</v>
      </c>
      <c r="E310" s="46">
        <f>F310-0</f>
        <v>0</v>
      </c>
      <c r="F310" s="46">
        <v>0</v>
      </c>
      <c r="G310" s="46">
        <f>(F310/$F$317)*100</f>
        <v>0</v>
      </c>
      <c r="H310" s="46">
        <f t="shared" ref="H310:H315" si="54">D310-F310</f>
        <v>60000</v>
      </c>
      <c r="I310" s="46">
        <f>J310-0</f>
        <v>0</v>
      </c>
      <c r="J310" s="46">
        <v>0</v>
      </c>
      <c r="K310" s="46">
        <f t="shared" ref="K310:K316" si="55">(J310/$J$317)*100</f>
        <v>0</v>
      </c>
      <c r="L310" s="55">
        <f t="shared" ref="L310:L315" si="56">D310-J310</f>
        <v>60000</v>
      </c>
    </row>
    <row r="311" spans="1:12" ht="14.85" customHeight="1" x14ac:dyDescent="0.25">
      <c r="A311" s="43" t="s">
        <v>261</v>
      </c>
      <c r="B311" s="44" t="s">
        <v>262</v>
      </c>
      <c r="C311" s="93">
        <v>2978827076</v>
      </c>
      <c r="D311" s="93">
        <v>2546979189.5100002</v>
      </c>
      <c r="E311" s="46">
        <f>F311-920295421.95</f>
        <v>314646280.0999999</v>
      </c>
      <c r="F311" s="93">
        <v>1234941702.05</v>
      </c>
      <c r="G311" s="46">
        <f>(F311/$F$317)*100</f>
        <v>1.6724970848832759</v>
      </c>
      <c r="H311" s="46">
        <f t="shared" si="54"/>
        <v>1312037487.4600003</v>
      </c>
      <c r="I311" s="46">
        <f>J311-920295421.95</f>
        <v>314646280.0999999</v>
      </c>
      <c r="J311" s="93">
        <v>1234941702.05</v>
      </c>
      <c r="K311" s="46">
        <f t="shared" si="55"/>
        <v>1.8216462164717995</v>
      </c>
      <c r="L311" s="55">
        <f t="shared" si="56"/>
        <v>1312037487.4600003</v>
      </c>
    </row>
    <row r="312" spans="1:12" ht="14.85" customHeight="1" x14ac:dyDescent="0.25">
      <c r="A312" s="40" t="s">
        <v>263</v>
      </c>
      <c r="B312" s="72" t="s">
        <v>264</v>
      </c>
      <c r="C312" s="42">
        <f>SUM(C313:C315)</f>
        <v>838670378</v>
      </c>
      <c r="D312" s="59">
        <f>SUM(D313:D315)</f>
        <v>828056276.57000005</v>
      </c>
      <c r="E312" s="79"/>
      <c r="F312" s="79"/>
      <c r="G312" s="79"/>
      <c r="H312" s="42">
        <f t="shared" si="54"/>
        <v>828056276.57000005</v>
      </c>
      <c r="I312" s="79"/>
      <c r="J312" s="79"/>
      <c r="K312" s="79"/>
      <c r="L312" s="59">
        <f t="shared" si="56"/>
        <v>828056276.57000005</v>
      </c>
    </row>
    <row r="313" spans="1:12" ht="14.85" customHeight="1" x14ac:dyDescent="0.25">
      <c r="A313" s="43" t="s">
        <v>30</v>
      </c>
      <c r="B313" s="54" t="s">
        <v>31</v>
      </c>
      <c r="C313" s="93">
        <v>234458545</v>
      </c>
      <c r="D313" s="93">
        <v>234458545</v>
      </c>
      <c r="E313" s="79"/>
      <c r="F313" s="79"/>
      <c r="G313" s="79"/>
      <c r="H313" s="46">
        <f t="shared" si="54"/>
        <v>234458545</v>
      </c>
      <c r="I313" s="79"/>
      <c r="J313" s="79"/>
      <c r="K313" s="79"/>
      <c r="L313" s="55">
        <f t="shared" si="56"/>
        <v>234458545</v>
      </c>
    </row>
    <row r="314" spans="1:12" ht="14.85" customHeight="1" x14ac:dyDescent="0.25">
      <c r="A314" s="43" t="s">
        <v>265</v>
      </c>
      <c r="B314" s="54" t="s">
        <v>266</v>
      </c>
      <c r="C314" s="93">
        <v>601711833</v>
      </c>
      <c r="D314" s="93">
        <v>591097731.57000005</v>
      </c>
      <c r="E314" s="79"/>
      <c r="F314" s="79"/>
      <c r="G314" s="79"/>
      <c r="H314" s="46">
        <f t="shared" si="54"/>
        <v>591097731.57000005</v>
      </c>
      <c r="I314" s="79"/>
      <c r="J314" s="79"/>
      <c r="K314" s="79"/>
      <c r="L314" s="55">
        <f t="shared" si="56"/>
        <v>591097731.57000005</v>
      </c>
    </row>
    <row r="315" spans="1:12" ht="14.85" customHeight="1" x14ac:dyDescent="0.25">
      <c r="A315" s="43" t="s">
        <v>267</v>
      </c>
      <c r="B315" s="44" t="s">
        <v>268</v>
      </c>
      <c r="C315" s="93">
        <v>2500000</v>
      </c>
      <c r="D315" s="93">
        <v>2500000</v>
      </c>
      <c r="E315" s="79"/>
      <c r="F315" s="79"/>
      <c r="G315" s="79"/>
      <c r="H315" s="46">
        <f t="shared" si="54"/>
        <v>2500000</v>
      </c>
      <c r="I315" s="79"/>
      <c r="J315" s="79"/>
      <c r="K315" s="79"/>
      <c r="L315" s="55">
        <f t="shared" si="56"/>
        <v>2500000</v>
      </c>
    </row>
    <row r="316" spans="1:12" ht="14.85" customHeight="1" x14ac:dyDescent="0.2">
      <c r="A316" s="40"/>
      <c r="B316" s="72" t="s">
        <v>269</v>
      </c>
      <c r="C316" s="42">
        <f>C333</f>
        <v>7534120647</v>
      </c>
      <c r="D316" s="42">
        <f>D333</f>
        <v>8270517029.8299999</v>
      </c>
      <c r="E316" s="42">
        <f>E333</f>
        <v>1351664289.1600003</v>
      </c>
      <c r="F316" s="42">
        <f>F333</f>
        <v>5278144533.9300013</v>
      </c>
      <c r="G316" s="42">
        <f>(F316/$F$317)*100</f>
        <v>7.148257550892156</v>
      </c>
      <c r="H316" s="42">
        <f>D316-F316</f>
        <v>2992372495.8999987</v>
      </c>
      <c r="I316" s="42">
        <f>I333</f>
        <v>1180251823.5999997</v>
      </c>
      <c r="J316" s="42">
        <f>J333</f>
        <v>4913934790.4000006</v>
      </c>
      <c r="K316" s="42">
        <f t="shared" si="55"/>
        <v>7.248480397140951</v>
      </c>
      <c r="L316" s="59">
        <f>D316-J316</f>
        <v>3356582239.4299994</v>
      </c>
    </row>
    <row r="317" spans="1:12" ht="14.85" customHeight="1" x14ac:dyDescent="0.2">
      <c r="A317" s="106" t="s">
        <v>270</v>
      </c>
      <c r="B317" s="107"/>
      <c r="C317" s="61">
        <f>C13+C316</f>
        <v>113140610181</v>
      </c>
      <c r="D317" s="61">
        <f t="shared" ref="D317:L317" si="57">D13+D316</f>
        <v>126319228680.50999</v>
      </c>
      <c r="E317" s="61">
        <f t="shared" si="57"/>
        <v>19324342428.009998</v>
      </c>
      <c r="F317" s="61">
        <f t="shared" si="57"/>
        <v>73838197579.650009</v>
      </c>
      <c r="G317" s="61">
        <f t="shared" si="57"/>
        <v>99.999999999999986</v>
      </c>
      <c r="H317" s="61">
        <f t="shared" si="57"/>
        <v>52481031100.859993</v>
      </c>
      <c r="I317" s="61">
        <f t="shared" si="57"/>
        <v>18368694552.27</v>
      </c>
      <c r="J317" s="61">
        <f t="shared" si="57"/>
        <v>67792620262.010017</v>
      </c>
      <c r="K317" s="61">
        <f t="shared" si="57"/>
        <v>100</v>
      </c>
      <c r="L317" s="62">
        <f t="shared" si="57"/>
        <v>58526608418.499977</v>
      </c>
    </row>
    <row r="318" spans="1:12" ht="15" x14ac:dyDescent="0.25">
      <c r="A318" s="50"/>
      <c r="B318" s="50"/>
      <c r="C318" s="64"/>
      <c r="D318" s="64"/>
      <c r="E318" s="64"/>
      <c r="F318" s="64"/>
      <c r="G318" s="64"/>
      <c r="H318" s="64"/>
      <c r="I318" s="64"/>
      <c r="J318" s="64"/>
      <c r="K318" s="64"/>
      <c r="L318" s="53" t="s">
        <v>271</v>
      </c>
    </row>
    <row r="319" spans="1:12" ht="15" x14ac:dyDescent="0.25">
      <c r="A319" s="50"/>
      <c r="B319" s="50"/>
      <c r="C319" s="64"/>
      <c r="D319" s="64"/>
      <c r="E319" s="64"/>
      <c r="F319" s="64"/>
      <c r="G319" s="64"/>
      <c r="H319" s="64"/>
      <c r="I319" s="64"/>
      <c r="J319" s="64"/>
      <c r="K319" s="64"/>
      <c r="L319" s="64"/>
    </row>
    <row r="320" spans="1:12" ht="15" x14ac:dyDescent="0.25">
      <c r="A320" s="29"/>
      <c r="B320" s="30"/>
      <c r="C320" s="65"/>
      <c r="D320" s="65"/>
      <c r="E320" s="65"/>
      <c r="F320" s="65"/>
      <c r="G320" s="65"/>
      <c r="H320" s="65"/>
      <c r="I320" s="65"/>
      <c r="J320" s="65"/>
      <c r="K320" s="65"/>
      <c r="L320" s="65"/>
    </row>
    <row r="321" spans="1:12" ht="15.75" x14ac:dyDescent="0.25">
      <c r="A321" s="29"/>
      <c r="B321" s="30"/>
      <c r="C321" s="31"/>
      <c r="D321" s="31"/>
      <c r="E321" s="31"/>
      <c r="F321" s="32"/>
      <c r="G321" s="33"/>
      <c r="H321" s="32"/>
      <c r="I321" s="32"/>
      <c r="J321" s="32"/>
      <c r="K321" s="33"/>
      <c r="L321" s="32"/>
    </row>
    <row r="322" spans="1:12" ht="15.75" x14ac:dyDescent="0.25">
      <c r="A322" s="26"/>
      <c r="B322" s="22"/>
      <c r="C322" s="27"/>
      <c r="D322" s="27"/>
      <c r="E322" s="27"/>
      <c r="F322" s="27"/>
      <c r="G322" s="28"/>
      <c r="H322" s="27"/>
      <c r="I322" s="27"/>
      <c r="J322" s="27"/>
      <c r="K322" s="28"/>
      <c r="L322" s="21" t="s">
        <v>178</v>
      </c>
    </row>
    <row r="323" spans="1:12" ht="15.75" x14ac:dyDescent="0.25">
      <c r="A323" s="98" t="s">
        <v>0</v>
      </c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</row>
    <row r="324" spans="1:12" ht="15.75" x14ac:dyDescent="0.25">
      <c r="A324" s="98" t="s">
        <v>1</v>
      </c>
      <c r="B324" s="98"/>
      <c r="C324" s="98"/>
      <c r="D324" s="98"/>
      <c r="E324" s="98"/>
      <c r="F324" s="98"/>
      <c r="G324" s="98"/>
      <c r="H324" s="98"/>
      <c r="I324" s="98"/>
      <c r="J324" s="98"/>
      <c r="K324" s="98"/>
      <c r="L324" s="98"/>
    </row>
    <row r="325" spans="1:12" ht="15.75" x14ac:dyDescent="0.25">
      <c r="A325" s="108" t="s">
        <v>2</v>
      </c>
      <c r="B325" s="108"/>
      <c r="C325" s="108"/>
      <c r="D325" s="108"/>
      <c r="E325" s="108"/>
      <c r="F325" s="108"/>
      <c r="G325" s="108"/>
      <c r="H325" s="108"/>
      <c r="I325" s="108"/>
      <c r="J325" s="108"/>
      <c r="K325" s="108"/>
      <c r="L325" s="108"/>
    </row>
    <row r="326" spans="1:12" ht="15.75" x14ac:dyDescent="0.25">
      <c r="A326" s="98" t="s">
        <v>3</v>
      </c>
      <c r="B326" s="98"/>
      <c r="C326" s="98"/>
      <c r="D326" s="98"/>
      <c r="E326" s="98"/>
      <c r="F326" s="98"/>
      <c r="G326" s="98"/>
      <c r="H326" s="98"/>
      <c r="I326" s="98"/>
      <c r="J326" s="98"/>
      <c r="K326" s="98"/>
      <c r="L326" s="98"/>
    </row>
    <row r="327" spans="1:12" ht="15.75" x14ac:dyDescent="0.25">
      <c r="A327" s="98" t="str">
        <f>A167</f>
        <v>JANEIRO A AGOSTO  2024/BIMESTRE JULHO - AGOSTO</v>
      </c>
      <c r="B327" s="98"/>
      <c r="C327" s="98"/>
      <c r="D327" s="98"/>
      <c r="E327" s="98"/>
      <c r="F327" s="98"/>
      <c r="G327" s="98"/>
      <c r="H327" s="98"/>
      <c r="I327" s="98"/>
      <c r="J327" s="98"/>
      <c r="K327" s="98"/>
      <c r="L327" s="98"/>
    </row>
    <row r="328" spans="1:12" ht="15.75" x14ac:dyDescent="0.25">
      <c r="A328" s="26"/>
      <c r="B328" s="26"/>
      <c r="C328" s="35"/>
      <c r="D328" s="26"/>
      <c r="E328" s="26"/>
      <c r="F328" s="26"/>
      <c r="G328" s="26"/>
      <c r="H328" s="26"/>
      <c r="I328" s="26"/>
      <c r="J328" s="26"/>
      <c r="K328" s="26"/>
      <c r="L328" s="21" t="str">
        <f>L168</f>
        <v>Emissão: 20/09/2024</v>
      </c>
    </row>
    <row r="329" spans="1:12" ht="15.75" x14ac:dyDescent="0.25">
      <c r="A329" s="23" t="s">
        <v>4</v>
      </c>
      <c r="B329" s="22"/>
      <c r="C329" s="22"/>
      <c r="D329" s="22"/>
      <c r="E329" s="22"/>
      <c r="F329" s="24"/>
      <c r="G329" s="24"/>
      <c r="H329" s="24"/>
      <c r="I329" s="22"/>
      <c r="J329" s="22"/>
      <c r="K329" s="21"/>
      <c r="L329" s="25">
        <v>1</v>
      </c>
    </row>
    <row r="330" spans="1:12" ht="13.5" customHeight="1" x14ac:dyDescent="0.25">
      <c r="A330" s="8"/>
      <c r="B330" s="9"/>
      <c r="C330" s="10" t="s">
        <v>5</v>
      </c>
      <c r="D330" s="10" t="s">
        <v>5</v>
      </c>
      <c r="E330" s="99" t="s">
        <v>6</v>
      </c>
      <c r="F330" s="100"/>
      <c r="G330" s="101"/>
      <c r="H330" s="10" t="s">
        <v>7</v>
      </c>
      <c r="I330" s="99" t="s">
        <v>8</v>
      </c>
      <c r="J330" s="100"/>
      <c r="K330" s="101"/>
      <c r="L330" s="11" t="s">
        <v>7</v>
      </c>
    </row>
    <row r="331" spans="1:12" ht="14.25" customHeight="1" x14ac:dyDescent="0.2">
      <c r="A331" s="12" t="s">
        <v>9</v>
      </c>
      <c r="B331" s="13" t="s">
        <v>272</v>
      </c>
      <c r="C331" s="13" t="s">
        <v>11</v>
      </c>
      <c r="D331" s="13" t="s">
        <v>12</v>
      </c>
      <c r="E331" s="13" t="s">
        <v>13</v>
      </c>
      <c r="F331" s="13" t="s">
        <v>14</v>
      </c>
      <c r="G331" s="13" t="s">
        <v>15</v>
      </c>
      <c r="H331" s="14"/>
      <c r="I331" s="13" t="s">
        <v>13</v>
      </c>
      <c r="J331" s="13" t="s">
        <v>14</v>
      </c>
      <c r="K331" s="13" t="s">
        <v>15</v>
      </c>
      <c r="L331" s="15"/>
    </row>
    <row r="332" spans="1:12" ht="13.5" customHeight="1" x14ac:dyDescent="0.25">
      <c r="A332" s="16"/>
      <c r="B332" s="17"/>
      <c r="C332" s="17"/>
      <c r="D332" s="18" t="s">
        <v>16</v>
      </c>
      <c r="E332" s="18"/>
      <c r="F332" s="18" t="s">
        <v>17</v>
      </c>
      <c r="G332" s="18" t="s">
        <v>273</v>
      </c>
      <c r="H332" s="19" t="s">
        <v>19</v>
      </c>
      <c r="I332" s="18"/>
      <c r="J332" s="18" t="s">
        <v>20</v>
      </c>
      <c r="K332" s="18" t="s">
        <v>274</v>
      </c>
      <c r="L332" s="20" t="s">
        <v>22</v>
      </c>
    </row>
    <row r="333" spans="1:12" ht="14.85" customHeight="1" x14ac:dyDescent="0.2">
      <c r="A333" s="40"/>
      <c r="B333" s="80" t="s">
        <v>269</v>
      </c>
      <c r="C333" s="81">
        <f>C334+C339+C342+C348+C356+C362+C366+C368+C372+C375+C383+C386+C399+C390+C393+C395+C397+C408+C413+C415+C418+C421+C424+C428+C431</f>
        <v>7534120647</v>
      </c>
      <c r="D333" s="81">
        <f>D334+D339+D342+D348+D356+D362+D366+D368+D372+D375+D383+D386+D390+D393+D395+D397+D399+D408+D413+D415+D418+D424+D428+D431+D421</f>
        <v>8270517029.8299999</v>
      </c>
      <c r="E333" s="81">
        <f>E334+E339+E342+E348+E356+E362+E366+E368+E372+E375+E383+E386+E390+E393+E395+E397+E399+E408+E413+E415+E418+E424+E428+E431</f>
        <v>1351664289.1600003</v>
      </c>
      <c r="F333" s="81">
        <f>F334+F339+F342+F348+F356+F362+F366+F368+F372+F375+F383+F386+F390+F393+F395+F397+F399+F408+F413+F415+F418+F424+F428+F431+F421</f>
        <v>5278144533.9300013</v>
      </c>
      <c r="G333" s="82">
        <f t="shared" ref="G333:G397" si="58">(F333/$F$317)*100</f>
        <v>7.148257550892156</v>
      </c>
      <c r="H333" s="81">
        <f>D333-F333</f>
        <v>2992372495.8999987</v>
      </c>
      <c r="I333" s="81">
        <f>I334+I339+I342+I348+I356+I362+I366+I368+I372+I375+I383+I386+I390+I393+I395+I397+I399+I408+I413+I415+I418+I424+I428+I431+I421</f>
        <v>1180251823.5999997</v>
      </c>
      <c r="J333" s="81">
        <f>J334+J339+J342+J348+J356+J362+J366+J368+J372+J375+J383+J386+J390+J393+J395+J397+J399+J408+J413+J415+J418+J424+J428+J431+J421</f>
        <v>4913934790.4000006</v>
      </c>
      <c r="K333" s="81">
        <f t="shared" ref="K333:K397" si="59">(J333/$J$317)*100</f>
        <v>7.248480397140951</v>
      </c>
      <c r="L333" s="82">
        <f>D333-J333</f>
        <v>3356582239.4299994</v>
      </c>
    </row>
    <row r="334" spans="1:12" ht="14.85" customHeight="1" x14ac:dyDescent="0.2">
      <c r="A334" s="40" t="s">
        <v>24</v>
      </c>
      <c r="B334" s="83" t="s">
        <v>25</v>
      </c>
      <c r="C334" s="42">
        <f>SUM(C335:C338)</f>
        <v>178044735</v>
      </c>
      <c r="D334" s="42">
        <f>SUM(D335:D338)</f>
        <v>213438753</v>
      </c>
      <c r="E334" s="42">
        <f>SUM(E335:E338)</f>
        <v>45774939.090000004</v>
      </c>
      <c r="F334" s="42">
        <f>SUM(F335:F338)</f>
        <v>135246406.93000001</v>
      </c>
      <c r="G334" s="82">
        <f t="shared" si="58"/>
        <v>0.18316591054935807</v>
      </c>
      <c r="H334" s="42">
        <f t="shared" ref="H334:H398" si="60">D334-F334</f>
        <v>78192346.069999993</v>
      </c>
      <c r="I334" s="42">
        <f>SUM(I335:I338)</f>
        <v>22338947.159999996</v>
      </c>
      <c r="J334" s="42">
        <f>SUM(J335:J338)</f>
        <v>84995835.909999996</v>
      </c>
      <c r="K334" s="42">
        <f t="shared" si="59"/>
        <v>0.12537623650111426</v>
      </c>
      <c r="L334" s="82">
        <f t="shared" ref="L334:L398" si="61">D334-J334</f>
        <v>128442917.09</v>
      </c>
    </row>
    <row r="335" spans="1:12" ht="14.85" customHeight="1" x14ac:dyDescent="0.25">
      <c r="A335" s="43" t="s">
        <v>26</v>
      </c>
      <c r="B335" s="54" t="s">
        <v>27</v>
      </c>
      <c r="C335" s="46">
        <v>0</v>
      </c>
      <c r="D335" s="46">
        <v>0</v>
      </c>
      <c r="E335" s="46">
        <f>F335-0</f>
        <v>0</v>
      </c>
      <c r="F335" s="46">
        <v>0</v>
      </c>
      <c r="G335" s="52">
        <f t="shared" si="58"/>
        <v>0</v>
      </c>
      <c r="H335" s="42">
        <f t="shared" si="60"/>
        <v>0</v>
      </c>
      <c r="I335" s="46">
        <f>J335-0</f>
        <v>0</v>
      </c>
      <c r="J335" s="46">
        <v>0</v>
      </c>
      <c r="K335" s="46">
        <f t="shared" si="59"/>
        <v>0</v>
      </c>
      <c r="L335" s="52">
        <f t="shared" si="61"/>
        <v>0</v>
      </c>
    </row>
    <row r="336" spans="1:12" ht="14.85" customHeight="1" x14ac:dyDescent="0.25">
      <c r="A336" s="43" t="s">
        <v>30</v>
      </c>
      <c r="B336" s="54" t="s">
        <v>31</v>
      </c>
      <c r="C336" s="96">
        <v>177739199</v>
      </c>
      <c r="D336" s="96">
        <v>213043998</v>
      </c>
      <c r="E336" s="46">
        <f>F336-89467267.84</f>
        <v>45774939.090000004</v>
      </c>
      <c r="F336" s="97">
        <v>135242206.93000001</v>
      </c>
      <c r="G336" s="52">
        <f t="shared" si="58"/>
        <v>0.18316022243651447</v>
      </c>
      <c r="H336" s="46">
        <f t="shared" si="60"/>
        <v>77801791.069999993</v>
      </c>
      <c r="I336" s="46">
        <f>J336-62656888.75</f>
        <v>22334747.159999996</v>
      </c>
      <c r="J336" s="96">
        <v>84991635.909999996</v>
      </c>
      <c r="K336" s="46">
        <f t="shared" si="59"/>
        <v>0.12537004113651004</v>
      </c>
      <c r="L336" s="52">
        <f t="shared" si="61"/>
        <v>128052362.09</v>
      </c>
    </row>
    <row r="337" spans="1:15" ht="14.85" customHeight="1" x14ac:dyDescent="0.25">
      <c r="A337" s="43" t="s">
        <v>32</v>
      </c>
      <c r="B337" s="54" t="s">
        <v>33</v>
      </c>
      <c r="C337" s="96">
        <v>300000</v>
      </c>
      <c r="D337" s="96">
        <v>389219</v>
      </c>
      <c r="E337" s="46">
        <f>F337-0</f>
        <v>0</v>
      </c>
      <c r="F337" s="46">
        <v>0</v>
      </c>
      <c r="G337" s="52">
        <f t="shared" si="58"/>
        <v>0</v>
      </c>
      <c r="H337" s="46">
        <f t="shared" si="60"/>
        <v>389219</v>
      </c>
      <c r="I337" s="46">
        <f>J337-0</f>
        <v>0</v>
      </c>
      <c r="J337" s="46">
        <v>0</v>
      </c>
      <c r="K337" s="46">
        <f t="shared" si="59"/>
        <v>0</v>
      </c>
      <c r="L337" s="52">
        <f t="shared" si="61"/>
        <v>389219</v>
      </c>
    </row>
    <row r="338" spans="1:15" ht="14.85" customHeight="1" x14ac:dyDescent="0.25">
      <c r="A338" s="66" t="s">
        <v>34</v>
      </c>
      <c r="B338" s="84" t="s">
        <v>35</v>
      </c>
      <c r="C338" s="96">
        <v>5536</v>
      </c>
      <c r="D338" s="96">
        <v>5536</v>
      </c>
      <c r="E338" s="46">
        <f>F338-4200</f>
        <v>0</v>
      </c>
      <c r="F338" s="46">
        <v>4200</v>
      </c>
      <c r="G338" s="52">
        <f t="shared" si="58"/>
        <v>5.6881128435853505E-6</v>
      </c>
      <c r="H338" s="46">
        <f t="shared" si="60"/>
        <v>1336</v>
      </c>
      <c r="I338" s="46">
        <f>J338-0</f>
        <v>4200</v>
      </c>
      <c r="J338" s="46">
        <v>4200</v>
      </c>
      <c r="K338" s="46">
        <f t="shared" si="59"/>
        <v>6.1953646042408809E-6</v>
      </c>
      <c r="L338" s="52">
        <f t="shared" si="61"/>
        <v>1336</v>
      </c>
    </row>
    <row r="339" spans="1:15" ht="14.85" customHeight="1" x14ac:dyDescent="0.2">
      <c r="A339" s="40" t="s">
        <v>46</v>
      </c>
      <c r="B339" s="80" t="s">
        <v>47</v>
      </c>
      <c r="C339" s="42">
        <f>SUM(C340:C341)</f>
        <v>765100000</v>
      </c>
      <c r="D339" s="42">
        <f>SUM(D340:D341)</f>
        <v>765100000</v>
      </c>
      <c r="E339" s="42">
        <f>SUM(E340:E341)</f>
        <v>115271820.75000001</v>
      </c>
      <c r="F339" s="42">
        <f>SUM(F340:F341)</f>
        <v>466510058.81999999</v>
      </c>
      <c r="G339" s="82">
        <f t="shared" si="58"/>
        <v>0.63180044219899989</v>
      </c>
      <c r="H339" s="42">
        <f t="shared" si="60"/>
        <v>298589941.18000001</v>
      </c>
      <c r="I339" s="42">
        <f>SUM(I340:I341)</f>
        <v>115295916.99000001</v>
      </c>
      <c r="J339" s="42">
        <f>SUM(J340:J341)</f>
        <v>466510058.81999999</v>
      </c>
      <c r="K339" s="42">
        <f t="shared" si="59"/>
        <v>0.68814283474660931</v>
      </c>
      <c r="L339" s="82">
        <f t="shared" si="61"/>
        <v>298589941.18000001</v>
      </c>
    </row>
    <row r="340" spans="1:15" ht="14.85" customHeight="1" x14ac:dyDescent="0.25">
      <c r="A340" s="43" t="s">
        <v>48</v>
      </c>
      <c r="B340" s="54" t="s">
        <v>49</v>
      </c>
      <c r="C340" s="93">
        <v>100000</v>
      </c>
      <c r="D340" s="93">
        <v>100000</v>
      </c>
      <c r="E340" s="46">
        <f>F340-96192.48</f>
        <v>-96.239999999990687</v>
      </c>
      <c r="F340" s="97">
        <v>96096.24</v>
      </c>
      <c r="G340" s="52">
        <f t="shared" si="58"/>
        <v>1.3014434689625248E-4</v>
      </c>
      <c r="H340" s="46">
        <f t="shared" si="60"/>
        <v>3903.7599999999948</v>
      </c>
      <c r="I340" s="46">
        <f>J340-72096.24</f>
        <v>24000</v>
      </c>
      <c r="J340" s="93">
        <v>96096.24</v>
      </c>
      <c r="K340" s="46">
        <f t="shared" si="59"/>
        <v>1.4175029616586587E-4</v>
      </c>
      <c r="L340" s="52">
        <f t="shared" si="61"/>
        <v>3903.7599999999948</v>
      </c>
    </row>
    <row r="341" spans="1:15" ht="14.85" customHeight="1" x14ac:dyDescent="0.25">
      <c r="A341" s="43" t="s">
        <v>30</v>
      </c>
      <c r="B341" s="54" t="s">
        <v>31</v>
      </c>
      <c r="C341" s="93">
        <v>765000000</v>
      </c>
      <c r="D341" s="93">
        <v>765000000</v>
      </c>
      <c r="E341" s="46">
        <f>F341-351142045.59</f>
        <v>115271916.99000001</v>
      </c>
      <c r="F341" s="97">
        <v>466413962.57999998</v>
      </c>
      <c r="G341" s="52">
        <f t="shared" si="58"/>
        <v>0.6316702978521036</v>
      </c>
      <c r="H341" s="46">
        <f t="shared" si="60"/>
        <v>298586037.42000002</v>
      </c>
      <c r="I341" s="46">
        <f>J341-351142045.59</f>
        <v>115271916.99000001</v>
      </c>
      <c r="J341" s="93">
        <v>466413962.57999998</v>
      </c>
      <c r="K341" s="46">
        <f t="shared" si="59"/>
        <v>0.6880010844504435</v>
      </c>
      <c r="L341" s="52">
        <f t="shared" si="61"/>
        <v>298586037.42000002</v>
      </c>
    </row>
    <row r="342" spans="1:15" ht="14.85" customHeight="1" x14ac:dyDescent="0.2">
      <c r="A342" s="40" t="s">
        <v>50</v>
      </c>
      <c r="B342" s="83" t="s">
        <v>51</v>
      </c>
      <c r="C342" s="42">
        <f>SUM(C343:C347)</f>
        <v>507919527</v>
      </c>
      <c r="D342" s="42">
        <f>SUM(D343:D347)</f>
        <v>573103792</v>
      </c>
      <c r="E342" s="42">
        <f>SUM(E343:E347)</f>
        <v>28749437.649999976</v>
      </c>
      <c r="F342" s="42">
        <f>SUM(F343:F347)</f>
        <v>468617723.31</v>
      </c>
      <c r="G342" s="82">
        <f t="shared" si="58"/>
        <v>0.63465487873603266</v>
      </c>
      <c r="H342" s="42">
        <f t="shared" si="60"/>
        <v>104486068.69</v>
      </c>
      <c r="I342" s="42">
        <f>SUM(I343+I344+I345+I347+I346)</f>
        <v>95298966.370000005</v>
      </c>
      <c r="J342" s="42">
        <f>SUM(J343:J347)</f>
        <v>381968408.28000003</v>
      </c>
      <c r="K342" s="42">
        <f t="shared" si="59"/>
        <v>0.56343656109431939</v>
      </c>
      <c r="L342" s="82">
        <f t="shared" si="61"/>
        <v>191135383.71999997</v>
      </c>
    </row>
    <row r="343" spans="1:15" ht="14.85" customHeight="1" x14ac:dyDescent="0.25">
      <c r="A343" s="43" t="s">
        <v>52</v>
      </c>
      <c r="B343" s="54" t="s">
        <v>53</v>
      </c>
      <c r="C343" s="42">
        <v>0</v>
      </c>
      <c r="D343" s="46">
        <v>0</v>
      </c>
      <c r="E343" s="46">
        <f>F343-0</f>
        <v>0</v>
      </c>
      <c r="F343" s="46">
        <v>0</v>
      </c>
      <c r="G343" s="82">
        <f t="shared" si="58"/>
        <v>0</v>
      </c>
      <c r="H343" s="42">
        <f t="shared" si="60"/>
        <v>0</v>
      </c>
      <c r="I343" s="42">
        <f>J343-0</f>
        <v>0</v>
      </c>
      <c r="J343" s="42">
        <v>0</v>
      </c>
      <c r="K343" s="42">
        <f t="shared" si="59"/>
        <v>0</v>
      </c>
      <c r="L343" s="82">
        <f t="shared" si="61"/>
        <v>0</v>
      </c>
    </row>
    <row r="344" spans="1:15" ht="14.85" customHeight="1" x14ac:dyDescent="0.25">
      <c r="A344" s="43" t="s">
        <v>54</v>
      </c>
      <c r="B344" s="54" t="s">
        <v>55</v>
      </c>
      <c r="C344" s="46">
        <v>0</v>
      </c>
      <c r="D344" s="46">
        <v>0</v>
      </c>
      <c r="E344" s="46">
        <f>F344-0</f>
        <v>0</v>
      </c>
      <c r="F344" s="46">
        <v>0</v>
      </c>
      <c r="G344" s="52">
        <f t="shared" si="58"/>
        <v>0</v>
      </c>
      <c r="H344" s="46">
        <f t="shared" si="60"/>
        <v>0</v>
      </c>
      <c r="I344" s="46">
        <f>J344-0</f>
        <v>0</v>
      </c>
      <c r="J344" s="46">
        <v>0</v>
      </c>
      <c r="K344" s="46">
        <f t="shared" si="59"/>
        <v>0</v>
      </c>
      <c r="L344" s="52">
        <f t="shared" si="61"/>
        <v>0</v>
      </c>
    </row>
    <row r="345" spans="1:15" ht="14.85" customHeight="1" x14ac:dyDescent="0.25">
      <c r="A345" s="43" t="s">
        <v>30</v>
      </c>
      <c r="B345" s="54" t="s">
        <v>31</v>
      </c>
      <c r="C345" s="93">
        <v>507449527</v>
      </c>
      <c r="D345" s="93">
        <v>571913792</v>
      </c>
      <c r="E345" s="46">
        <f>F345-439595047.94</f>
        <v>28749437.649999976</v>
      </c>
      <c r="F345" s="97">
        <v>468344485.58999997</v>
      </c>
      <c r="G345" s="52">
        <f t="shared" si="58"/>
        <v>0.63428482945401266</v>
      </c>
      <c r="H345" s="46">
        <f t="shared" si="60"/>
        <v>103569306.41000003</v>
      </c>
      <c r="I345" s="46">
        <f>J345-286551111.86</f>
        <v>95251049.680000007</v>
      </c>
      <c r="J345" s="93">
        <v>381802161.54000002</v>
      </c>
      <c r="K345" s="46">
        <f t="shared" si="59"/>
        <v>0.5631913327208512</v>
      </c>
      <c r="L345" s="52">
        <f t="shared" si="61"/>
        <v>190111630.45999998</v>
      </c>
    </row>
    <row r="346" spans="1:15" ht="14.85" customHeight="1" x14ac:dyDescent="0.25">
      <c r="A346" s="43" t="s">
        <v>32</v>
      </c>
      <c r="B346" s="54" t="s">
        <v>33</v>
      </c>
      <c r="C346" s="93">
        <v>250000</v>
      </c>
      <c r="D346" s="93">
        <v>850000</v>
      </c>
      <c r="E346" s="46">
        <f>F346-230157.72</f>
        <v>0</v>
      </c>
      <c r="F346" s="97">
        <v>230157.72</v>
      </c>
      <c r="G346" s="52">
        <f t="shared" si="58"/>
        <v>3.1170549599579073E-4</v>
      </c>
      <c r="H346" s="46">
        <f t="shared" si="60"/>
        <v>619842.28</v>
      </c>
      <c r="I346" s="46">
        <f>J346-92482.05</f>
        <v>40736.689999999988</v>
      </c>
      <c r="J346" s="93">
        <v>133218.74</v>
      </c>
      <c r="K346" s="46">
        <f t="shared" si="59"/>
        <v>1.9650920628989731E-4</v>
      </c>
      <c r="L346" s="52">
        <f t="shared" si="61"/>
        <v>716781.26</v>
      </c>
    </row>
    <row r="347" spans="1:15" ht="14.85" customHeight="1" x14ac:dyDescent="0.25">
      <c r="A347" s="43" t="s">
        <v>34</v>
      </c>
      <c r="B347" s="54" t="s">
        <v>206</v>
      </c>
      <c r="C347" s="93">
        <v>220000</v>
      </c>
      <c r="D347" s="93">
        <v>340000</v>
      </c>
      <c r="E347" s="46">
        <f>F347-43080</f>
        <v>0</v>
      </c>
      <c r="F347" s="97">
        <v>43080</v>
      </c>
      <c r="G347" s="52">
        <f t="shared" si="58"/>
        <v>5.8343786024204031E-5</v>
      </c>
      <c r="H347" s="46">
        <f t="shared" si="60"/>
        <v>296920</v>
      </c>
      <c r="I347" s="46">
        <f>J347-25848</f>
        <v>7180</v>
      </c>
      <c r="J347" s="93">
        <v>33028</v>
      </c>
      <c r="K347" s="46">
        <f t="shared" si="59"/>
        <v>4.8719167178301861E-5</v>
      </c>
      <c r="L347" s="52">
        <f t="shared" si="61"/>
        <v>306972</v>
      </c>
    </row>
    <row r="348" spans="1:15" ht="14.85" customHeight="1" x14ac:dyDescent="0.2">
      <c r="A348" s="40" t="s">
        <v>57</v>
      </c>
      <c r="B348" s="83" t="s">
        <v>58</v>
      </c>
      <c r="C348" s="42">
        <f>SUM(C349:C355)</f>
        <v>201992642</v>
      </c>
      <c r="D348" s="42">
        <f>SUM(D349:D355)</f>
        <v>161429342.96000001</v>
      </c>
      <c r="E348" s="42">
        <f>SUM(E349:E355)</f>
        <v>30054519.520000011</v>
      </c>
      <c r="F348" s="42">
        <f>SUM(F349:F355)</f>
        <v>117007454.01000001</v>
      </c>
      <c r="G348" s="82">
        <f t="shared" si="58"/>
        <v>0.15846466713083412</v>
      </c>
      <c r="H348" s="42">
        <f t="shared" si="60"/>
        <v>44421888.950000003</v>
      </c>
      <c r="I348" s="42">
        <f>SUM(I349:I355)</f>
        <v>28373472.359999992</v>
      </c>
      <c r="J348" s="42">
        <f>SUM(J349:J355)</f>
        <v>111542769.94</v>
      </c>
      <c r="K348" s="42">
        <f t="shared" si="59"/>
        <v>0.16453526874887137</v>
      </c>
      <c r="L348" s="82">
        <f t="shared" si="61"/>
        <v>49886573.020000011</v>
      </c>
    </row>
    <row r="349" spans="1:15" ht="14.85" customHeight="1" x14ac:dyDescent="0.25">
      <c r="A349" s="43" t="s">
        <v>30</v>
      </c>
      <c r="B349" s="54" t="s">
        <v>31</v>
      </c>
      <c r="C349" s="93">
        <v>201904642</v>
      </c>
      <c r="D349" s="93">
        <v>161315176.93000001</v>
      </c>
      <c r="E349" s="46">
        <f>F349-86912108.46</f>
        <v>30054519.520000011</v>
      </c>
      <c r="F349" s="97">
        <v>116966627.98</v>
      </c>
      <c r="G349" s="52">
        <f t="shared" si="58"/>
        <v>0.15840937592473991</v>
      </c>
      <c r="H349" s="46">
        <f t="shared" si="60"/>
        <v>44348548.950000003</v>
      </c>
      <c r="I349" s="46">
        <f>J349-83151495.53</f>
        <v>28366351.539999992</v>
      </c>
      <c r="J349" s="93">
        <v>111517847.06999999</v>
      </c>
      <c r="K349" s="46">
        <f t="shared" si="59"/>
        <v>0.16449850535205371</v>
      </c>
      <c r="L349" s="52">
        <f t="shared" si="61"/>
        <v>49797329.860000014</v>
      </c>
    </row>
    <row r="350" spans="1:15" ht="14.85" customHeight="1" x14ac:dyDescent="0.25">
      <c r="A350" s="43" t="s">
        <v>61</v>
      </c>
      <c r="B350" s="54" t="s">
        <v>62</v>
      </c>
      <c r="C350" s="46">
        <v>0</v>
      </c>
      <c r="D350" s="46">
        <v>0</v>
      </c>
      <c r="E350" s="46">
        <f t="shared" ref="E350:E355" si="62">F350-0</f>
        <v>0</v>
      </c>
      <c r="F350" s="46">
        <v>0</v>
      </c>
      <c r="G350" s="52">
        <f t="shared" si="58"/>
        <v>0</v>
      </c>
      <c r="H350" s="46">
        <f t="shared" si="60"/>
        <v>0</v>
      </c>
      <c r="I350" s="46">
        <f t="shared" ref="I350:I355" si="63">J350-0</f>
        <v>0</v>
      </c>
      <c r="J350" s="46">
        <v>0</v>
      </c>
      <c r="K350" s="46">
        <f t="shared" si="59"/>
        <v>0</v>
      </c>
      <c r="L350" s="52">
        <f t="shared" si="61"/>
        <v>0</v>
      </c>
    </row>
    <row r="351" spans="1:15" ht="14.85" customHeight="1" x14ac:dyDescent="0.25">
      <c r="A351" s="43" t="s">
        <v>63</v>
      </c>
      <c r="B351" s="54" t="s">
        <v>64</v>
      </c>
      <c r="C351" s="46">
        <v>0</v>
      </c>
      <c r="D351" s="46">
        <v>0</v>
      </c>
      <c r="E351" s="46">
        <f t="shared" si="62"/>
        <v>0</v>
      </c>
      <c r="F351" s="46">
        <v>0</v>
      </c>
      <c r="G351" s="52">
        <f t="shared" si="58"/>
        <v>0</v>
      </c>
      <c r="H351" s="46">
        <f t="shared" si="60"/>
        <v>0</v>
      </c>
      <c r="I351" s="46">
        <f t="shared" si="63"/>
        <v>0</v>
      </c>
      <c r="J351" s="46">
        <v>0</v>
      </c>
      <c r="K351" s="46">
        <f t="shared" si="59"/>
        <v>0</v>
      </c>
      <c r="L351" s="52">
        <f t="shared" si="61"/>
        <v>0</v>
      </c>
      <c r="N351" s="102"/>
      <c r="O351" s="102"/>
    </row>
    <row r="352" spans="1:15" ht="14.85" customHeight="1" x14ac:dyDescent="0.25">
      <c r="A352" s="43" t="s">
        <v>65</v>
      </c>
      <c r="B352" s="54" t="s">
        <v>66</v>
      </c>
      <c r="C352" s="93">
        <v>88000</v>
      </c>
      <c r="D352" s="93">
        <v>114166.03</v>
      </c>
      <c r="E352" s="46">
        <f>F352-40826.03</f>
        <v>0</v>
      </c>
      <c r="F352" s="97">
        <v>40826.03</v>
      </c>
      <c r="G352" s="52">
        <f t="shared" si="58"/>
        <v>5.5291206094190673E-5</v>
      </c>
      <c r="H352" s="46">
        <f t="shared" si="60"/>
        <v>73340</v>
      </c>
      <c r="I352" s="46">
        <f>J352-17802.05</f>
        <v>7120.82</v>
      </c>
      <c r="J352" s="46">
        <v>24922.87</v>
      </c>
      <c r="K352" s="46">
        <f t="shared" si="59"/>
        <v>3.676339681764212E-5</v>
      </c>
      <c r="L352" s="52">
        <f t="shared" si="61"/>
        <v>89243.16</v>
      </c>
      <c r="N352" s="71"/>
      <c r="O352" s="71"/>
    </row>
    <row r="353" spans="1:12" ht="14.85" customHeight="1" x14ac:dyDescent="0.25">
      <c r="A353" s="43" t="s">
        <v>71</v>
      </c>
      <c r="B353" s="54" t="s">
        <v>72</v>
      </c>
      <c r="C353" s="46">
        <v>0</v>
      </c>
      <c r="D353" s="46">
        <v>0</v>
      </c>
      <c r="E353" s="46">
        <f t="shared" si="62"/>
        <v>0</v>
      </c>
      <c r="F353" s="46">
        <v>0</v>
      </c>
      <c r="G353" s="52">
        <f t="shared" si="58"/>
        <v>0</v>
      </c>
      <c r="H353" s="46">
        <f t="shared" si="60"/>
        <v>0</v>
      </c>
      <c r="I353" s="46">
        <f t="shared" si="63"/>
        <v>0</v>
      </c>
      <c r="J353" s="46">
        <v>0</v>
      </c>
      <c r="K353" s="46">
        <f t="shared" si="59"/>
        <v>0</v>
      </c>
      <c r="L353" s="52">
        <f t="shared" si="61"/>
        <v>0</v>
      </c>
    </row>
    <row r="354" spans="1:12" ht="14.85" customHeight="1" x14ac:dyDescent="0.25">
      <c r="A354" s="43" t="s">
        <v>87</v>
      </c>
      <c r="B354" s="54" t="s">
        <v>88</v>
      </c>
      <c r="C354" s="46">
        <v>0</v>
      </c>
      <c r="D354" s="46">
        <v>0</v>
      </c>
      <c r="E354" s="46">
        <f t="shared" si="62"/>
        <v>0</v>
      </c>
      <c r="F354" s="46">
        <v>0</v>
      </c>
      <c r="G354" s="52">
        <f t="shared" si="58"/>
        <v>0</v>
      </c>
      <c r="H354" s="46">
        <f t="shared" si="60"/>
        <v>0</v>
      </c>
      <c r="I354" s="46">
        <f t="shared" si="63"/>
        <v>0</v>
      </c>
      <c r="J354" s="46">
        <v>0</v>
      </c>
      <c r="K354" s="46">
        <f t="shared" si="59"/>
        <v>0</v>
      </c>
      <c r="L354" s="52">
        <f t="shared" si="61"/>
        <v>0</v>
      </c>
    </row>
    <row r="355" spans="1:12" ht="14.85" customHeight="1" x14ac:dyDescent="0.25">
      <c r="A355" s="43" t="s">
        <v>89</v>
      </c>
      <c r="B355" s="54" t="s">
        <v>90</v>
      </c>
      <c r="C355" s="46">
        <v>0</v>
      </c>
      <c r="D355" s="46">
        <v>0</v>
      </c>
      <c r="E355" s="46">
        <f t="shared" si="62"/>
        <v>0</v>
      </c>
      <c r="F355" s="46">
        <v>0</v>
      </c>
      <c r="G355" s="52">
        <f t="shared" si="58"/>
        <v>0</v>
      </c>
      <c r="H355" s="46">
        <f t="shared" si="60"/>
        <v>0</v>
      </c>
      <c r="I355" s="46">
        <f t="shared" si="63"/>
        <v>0</v>
      </c>
      <c r="J355" s="46">
        <v>0</v>
      </c>
      <c r="K355" s="46">
        <f t="shared" si="59"/>
        <v>0</v>
      </c>
      <c r="L355" s="52">
        <f t="shared" si="61"/>
        <v>0</v>
      </c>
    </row>
    <row r="356" spans="1:12" ht="14.85" customHeight="1" x14ac:dyDescent="0.2">
      <c r="A356" s="40" t="s">
        <v>101</v>
      </c>
      <c r="B356" s="83" t="s">
        <v>102</v>
      </c>
      <c r="C356" s="42">
        <f>SUM(C357:C361)</f>
        <v>1177249392</v>
      </c>
      <c r="D356" s="42">
        <f>SUM(D357:D361)</f>
        <v>978927475.83000004</v>
      </c>
      <c r="E356" s="42">
        <f>SUM(E357:E361)</f>
        <v>105666717.48999998</v>
      </c>
      <c r="F356" s="42">
        <f>SUM(F357:F361)</f>
        <v>445321751.11000001</v>
      </c>
      <c r="G356" s="82">
        <f t="shared" si="58"/>
        <v>0.60310485048016904</v>
      </c>
      <c r="H356" s="42">
        <f t="shared" si="60"/>
        <v>533605724.72000003</v>
      </c>
      <c r="I356" s="42">
        <f>SUM(I357:I361)</f>
        <v>105329373.40999998</v>
      </c>
      <c r="J356" s="42">
        <f>SUM(J357:J361)</f>
        <v>442098872.49000001</v>
      </c>
      <c r="K356" s="42">
        <f t="shared" si="59"/>
        <v>0.65213421576174968</v>
      </c>
      <c r="L356" s="82">
        <f t="shared" si="61"/>
        <v>536828603.34000003</v>
      </c>
    </row>
    <row r="357" spans="1:12" ht="14.85" customHeight="1" x14ac:dyDescent="0.25">
      <c r="A357" s="43" t="s">
        <v>30</v>
      </c>
      <c r="B357" s="54" t="s">
        <v>31</v>
      </c>
      <c r="C357" s="93">
        <v>1018474601</v>
      </c>
      <c r="D357" s="93">
        <v>946768684.83000004</v>
      </c>
      <c r="E357" s="46">
        <f>F357-339160487.22</f>
        <v>105221408.13999999</v>
      </c>
      <c r="F357" s="97">
        <v>444381895.36000001</v>
      </c>
      <c r="G357" s="52">
        <f t="shared" si="58"/>
        <v>0.60183199201286131</v>
      </c>
      <c r="H357" s="46">
        <f t="shared" si="60"/>
        <v>502386789.47000003</v>
      </c>
      <c r="I357" s="46">
        <f>J357-336383888.6</f>
        <v>105026277.51999998</v>
      </c>
      <c r="J357" s="93">
        <v>441410166.12</v>
      </c>
      <c r="K357" s="46">
        <f t="shared" si="59"/>
        <v>0.6511183140790322</v>
      </c>
      <c r="L357" s="52">
        <f t="shared" si="61"/>
        <v>505358518.71000004</v>
      </c>
    </row>
    <row r="358" spans="1:12" ht="14.85" customHeight="1" x14ac:dyDescent="0.25">
      <c r="A358" s="43" t="s">
        <v>65</v>
      </c>
      <c r="B358" s="54" t="s">
        <v>66</v>
      </c>
      <c r="C358" s="93">
        <v>158774791</v>
      </c>
      <c r="D358" s="93">
        <v>32158791</v>
      </c>
      <c r="E358" s="46">
        <f>F358-494546.4</f>
        <v>445309.35</v>
      </c>
      <c r="F358" s="97">
        <v>939855.75</v>
      </c>
      <c r="G358" s="52">
        <f t="shared" si="58"/>
        <v>1.2728584673077482E-3</v>
      </c>
      <c r="H358" s="46">
        <f t="shared" si="60"/>
        <v>31218935.25</v>
      </c>
      <c r="I358" s="46">
        <f>J358-385610.48</f>
        <v>303095.89</v>
      </c>
      <c r="J358" s="46">
        <v>688706.37</v>
      </c>
      <c r="K358" s="46">
        <f t="shared" si="59"/>
        <v>1.0159016827174343E-3</v>
      </c>
      <c r="L358" s="52">
        <f t="shared" si="61"/>
        <v>31470084.629999999</v>
      </c>
    </row>
    <row r="359" spans="1:12" ht="14.85" customHeight="1" x14ac:dyDescent="0.25">
      <c r="A359" s="43" t="s">
        <v>34</v>
      </c>
      <c r="B359" s="54" t="s">
        <v>35</v>
      </c>
      <c r="C359" s="46">
        <v>0</v>
      </c>
      <c r="D359" s="46">
        <v>0</v>
      </c>
      <c r="E359" s="46">
        <f>F359-0</f>
        <v>0</v>
      </c>
      <c r="F359" s="46">
        <v>0</v>
      </c>
      <c r="G359" s="52">
        <f t="shared" si="58"/>
        <v>0</v>
      </c>
      <c r="H359" s="46">
        <f t="shared" si="60"/>
        <v>0</v>
      </c>
      <c r="I359" s="46">
        <f>J359-0</f>
        <v>0</v>
      </c>
      <c r="J359" s="46">
        <v>0</v>
      </c>
      <c r="K359" s="46">
        <f t="shared" si="59"/>
        <v>0</v>
      </c>
      <c r="L359" s="52">
        <f t="shared" si="61"/>
        <v>0</v>
      </c>
    </row>
    <row r="360" spans="1:12" ht="14.85" customHeight="1" x14ac:dyDescent="0.25">
      <c r="A360" s="43" t="s">
        <v>104</v>
      </c>
      <c r="B360" s="54" t="s">
        <v>105</v>
      </c>
      <c r="C360" s="46">
        <v>0</v>
      </c>
      <c r="D360" s="46">
        <v>0</v>
      </c>
      <c r="E360" s="46">
        <f>F360-0</f>
        <v>0</v>
      </c>
      <c r="F360" s="46">
        <v>0</v>
      </c>
      <c r="G360" s="52">
        <f t="shared" si="58"/>
        <v>0</v>
      </c>
      <c r="H360" s="46">
        <f t="shared" si="60"/>
        <v>0</v>
      </c>
      <c r="I360" s="46">
        <f>J360-0</f>
        <v>0</v>
      </c>
      <c r="J360" s="46">
        <v>0</v>
      </c>
      <c r="K360" s="46">
        <f t="shared" si="59"/>
        <v>0</v>
      </c>
      <c r="L360" s="52">
        <f t="shared" si="61"/>
        <v>0</v>
      </c>
    </row>
    <row r="361" spans="1:12" ht="14.85" customHeight="1" x14ac:dyDescent="0.25">
      <c r="A361" s="43" t="s">
        <v>106</v>
      </c>
      <c r="B361" s="54" t="s">
        <v>107</v>
      </c>
      <c r="C361" s="46">
        <v>0</v>
      </c>
      <c r="D361" s="46">
        <v>0</v>
      </c>
      <c r="E361" s="46">
        <f>F361-0</f>
        <v>0</v>
      </c>
      <c r="F361" s="46">
        <v>0</v>
      </c>
      <c r="G361" s="52">
        <f t="shared" si="58"/>
        <v>0</v>
      </c>
      <c r="H361" s="46">
        <f t="shared" si="60"/>
        <v>0</v>
      </c>
      <c r="I361" s="46">
        <f>J361-0</f>
        <v>0</v>
      </c>
      <c r="J361" s="46">
        <v>0</v>
      </c>
      <c r="K361" s="46">
        <f t="shared" si="59"/>
        <v>0</v>
      </c>
      <c r="L361" s="52">
        <f t="shared" si="61"/>
        <v>0</v>
      </c>
    </row>
    <row r="362" spans="1:12" ht="14.85" customHeight="1" x14ac:dyDescent="0.2">
      <c r="A362" s="40" t="s">
        <v>134</v>
      </c>
      <c r="B362" s="83" t="s">
        <v>135</v>
      </c>
      <c r="C362" s="42">
        <f>SUM(C363:C365)</f>
        <v>2768515</v>
      </c>
      <c r="D362" s="42">
        <f>SUM(D363:D365)</f>
        <v>6542454.5499999998</v>
      </c>
      <c r="E362" s="42">
        <f>SUM(E363:E365)</f>
        <v>1292136.0599999998</v>
      </c>
      <c r="F362" s="42">
        <f>SUM(F363:F365)</f>
        <v>4327850.3099999996</v>
      </c>
      <c r="G362" s="82">
        <f t="shared" si="58"/>
        <v>5.8612621270061529E-3</v>
      </c>
      <c r="H362" s="42">
        <f t="shared" si="60"/>
        <v>2214604.2400000002</v>
      </c>
      <c r="I362" s="42">
        <f>SUM(I363:I365)</f>
        <v>984800.9500000003</v>
      </c>
      <c r="J362" s="42">
        <f>SUM(J363:J365)</f>
        <v>3856124.9400000004</v>
      </c>
      <c r="K362" s="42">
        <f t="shared" si="59"/>
        <v>5.6881190387634501E-3</v>
      </c>
      <c r="L362" s="82">
        <f t="shared" si="61"/>
        <v>2686329.6099999994</v>
      </c>
    </row>
    <row r="363" spans="1:12" ht="14.85" customHeight="1" x14ac:dyDescent="0.25">
      <c r="A363" s="43" t="s">
        <v>30</v>
      </c>
      <c r="B363" s="54" t="s">
        <v>31</v>
      </c>
      <c r="C363" s="93">
        <v>2238515</v>
      </c>
      <c r="D363" s="93">
        <v>6012454.5499999998</v>
      </c>
      <c r="E363" s="46">
        <f>F363-2856007.72</f>
        <v>1216812.9499999997</v>
      </c>
      <c r="F363" s="97">
        <v>4072820.67</v>
      </c>
      <c r="G363" s="52">
        <f t="shared" si="58"/>
        <v>5.5158722768206894E-3</v>
      </c>
      <c r="H363" s="46">
        <f t="shared" si="60"/>
        <v>1939633.88</v>
      </c>
      <c r="I363" s="46">
        <f>J363-2744676.96</f>
        <v>880521.28000000026</v>
      </c>
      <c r="J363" s="93">
        <v>3625198.24</v>
      </c>
      <c r="K363" s="46">
        <f t="shared" si="59"/>
        <v>5.3474821093934142E-3</v>
      </c>
      <c r="L363" s="52">
        <f t="shared" si="61"/>
        <v>2387256.3099999996</v>
      </c>
    </row>
    <row r="364" spans="1:12" ht="14.85" customHeight="1" x14ac:dyDescent="0.25">
      <c r="A364" s="43" t="s">
        <v>110</v>
      </c>
      <c r="B364" s="54" t="s">
        <v>111</v>
      </c>
      <c r="C364" s="93">
        <v>530000</v>
      </c>
      <c r="D364" s="93">
        <v>530000</v>
      </c>
      <c r="E364" s="46">
        <f>F364-179706.53</f>
        <v>75323.110000000015</v>
      </c>
      <c r="F364" s="97">
        <v>255029.64</v>
      </c>
      <c r="G364" s="52">
        <f t="shared" si="58"/>
        <v>3.4538985018546395E-4</v>
      </c>
      <c r="H364" s="46">
        <f t="shared" si="60"/>
        <v>274970.36</v>
      </c>
      <c r="I364" s="46">
        <f>J364-126647.03</f>
        <v>104279.67000000001</v>
      </c>
      <c r="J364" s="93">
        <v>230926.7</v>
      </c>
      <c r="K364" s="46">
        <f t="shared" si="59"/>
        <v>3.4063692937003634E-4</v>
      </c>
      <c r="L364" s="52">
        <f t="shared" si="61"/>
        <v>299073.3</v>
      </c>
    </row>
    <row r="365" spans="1:12" ht="14.85" customHeight="1" x14ac:dyDescent="0.25">
      <c r="A365" s="43" t="s">
        <v>112</v>
      </c>
      <c r="B365" s="54" t="s">
        <v>275</v>
      </c>
      <c r="C365" s="46">
        <v>0</v>
      </c>
      <c r="D365" s="46">
        <v>0</v>
      </c>
      <c r="E365" s="46">
        <f>F365-0</f>
        <v>0</v>
      </c>
      <c r="F365" s="46">
        <v>0</v>
      </c>
      <c r="G365" s="52">
        <f t="shared" si="58"/>
        <v>0</v>
      </c>
      <c r="H365" s="46">
        <f t="shared" si="60"/>
        <v>0</v>
      </c>
      <c r="I365" s="46">
        <f>J365-0</f>
        <v>0</v>
      </c>
      <c r="J365" s="46">
        <v>0</v>
      </c>
      <c r="K365" s="46">
        <f t="shared" si="59"/>
        <v>0</v>
      </c>
      <c r="L365" s="52">
        <f t="shared" si="61"/>
        <v>0</v>
      </c>
    </row>
    <row r="366" spans="1:12" ht="14.85" customHeight="1" x14ac:dyDescent="0.2">
      <c r="A366" s="40" t="s">
        <v>140</v>
      </c>
      <c r="B366" s="83" t="s">
        <v>141</v>
      </c>
      <c r="C366" s="42">
        <f>C367</f>
        <v>1116306000</v>
      </c>
      <c r="D366" s="42">
        <f>D367</f>
        <v>1489513732.9400001</v>
      </c>
      <c r="E366" s="42">
        <f>E367</f>
        <v>125210062.28999999</v>
      </c>
      <c r="F366" s="42">
        <f>F367</f>
        <v>271212847.07999998</v>
      </c>
      <c r="G366" s="82">
        <f t="shared" si="58"/>
        <v>0.36730697114788041</v>
      </c>
      <c r="H366" s="42">
        <f t="shared" si="60"/>
        <v>1218300885.8600001</v>
      </c>
      <c r="I366" s="42">
        <f>I367</f>
        <v>125123189.38</v>
      </c>
      <c r="J366" s="42">
        <f>J367</f>
        <v>271125974.13999999</v>
      </c>
      <c r="K366" s="42">
        <f t="shared" si="59"/>
        <v>0.39993434844697245</v>
      </c>
      <c r="L366" s="82">
        <f t="shared" si="61"/>
        <v>1218387758.8000002</v>
      </c>
    </row>
    <row r="367" spans="1:12" ht="14.85" customHeight="1" x14ac:dyDescent="0.25">
      <c r="A367" s="43" t="s">
        <v>30</v>
      </c>
      <c r="B367" s="54" t="s">
        <v>31</v>
      </c>
      <c r="C367" s="93">
        <v>1116306000</v>
      </c>
      <c r="D367" s="93">
        <v>1489513732.9400001</v>
      </c>
      <c r="E367" s="46">
        <f>F367-146002784.79</f>
        <v>125210062.28999999</v>
      </c>
      <c r="F367" s="97">
        <v>271212847.07999998</v>
      </c>
      <c r="G367" s="52">
        <f t="shared" si="58"/>
        <v>0.36730697114788041</v>
      </c>
      <c r="H367" s="46">
        <f t="shared" si="60"/>
        <v>1218300885.8600001</v>
      </c>
      <c r="I367" s="46">
        <f>J367-146002784.76</f>
        <v>125123189.38</v>
      </c>
      <c r="J367" s="93">
        <v>271125974.13999999</v>
      </c>
      <c r="K367" s="46">
        <f t="shared" si="59"/>
        <v>0.39993434844697245</v>
      </c>
      <c r="L367" s="52">
        <f t="shared" si="61"/>
        <v>1218387758.8000002</v>
      </c>
    </row>
    <row r="368" spans="1:12" ht="14.85" customHeight="1" x14ac:dyDescent="0.2">
      <c r="A368" s="40" t="s">
        <v>146</v>
      </c>
      <c r="B368" s="83" t="s">
        <v>147</v>
      </c>
      <c r="C368" s="42">
        <f>SUM(C369:C371)</f>
        <v>2558381013</v>
      </c>
      <c r="D368" s="42">
        <f>SUM(D369:D371)</f>
        <v>2567829861.8899999</v>
      </c>
      <c r="E368" s="42">
        <f>SUM(E369:E371)</f>
        <v>647422810.1900003</v>
      </c>
      <c r="F368" s="42">
        <f>SUM(F369:F371)</f>
        <v>2349271790.27</v>
      </c>
      <c r="G368" s="82">
        <f t="shared" si="58"/>
        <v>3.1816483436446519</v>
      </c>
      <c r="H368" s="42">
        <f t="shared" si="60"/>
        <v>218558071.61999989</v>
      </c>
      <c r="I368" s="42">
        <f>SUM(I369:I371)</f>
        <v>435807726.19000006</v>
      </c>
      <c r="J368" s="42">
        <f>SUM(J369:J371)</f>
        <v>2137569453.26</v>
      </c>
      <c r="K368" s="42">
        <f t="shared" si="59"/>
        <v>3.1531005071032228</v>
      </c>
      <c r="L368" s="82">
        <f t="shared" si="61"/>
        <v>430260408.62999988</v>
      </c>
    </row>
    <row r="369" spans="1:12" ht="14.85" customHeight="1" x14ac:dyDescent="0.25">
      <c r="A369" s="43" t="s">
        <v>30</v>
      </c>
      <c r="B369" s="54" t="s">
        <v>31</v>
      </c>
      <c r="C369" s="93">
        <v>90361245</v>
      </c>
      <c r="D369" s="93">
        <v>90668195</v>
      </c>
      <c r="E369" s="46">
        <f>F369-56477217.72</f>
        <v>20277926.75</v>
      </c>
      <c r="F369" s="97">
        <v>76755144.469999999</v>
      </c>
      <c r="G369" s="52">
        <f t="shared" si="58"/>
        <v>0.10395045787406099</v>
      </c>
      <c r="H369" s="46">
        <f t="shared" si="60"/>
        <v>13913050.530000001</v>
      </c>
      <c r="I369" s="46">
        <f>J369-56419817.71</f>
        <v>19377926.749999993</v>
      </c>
      <c r="J369" s="93">
        <v>75797744.459999993</v>
      </c>
      <c r="K369" s="46">
        <f t="shared" si="59"/>
        <v>0.11180825312113792</v>
      </c>
      <c r="L369" s="52">
        <f t="shared" si="61"/>
        <v>14870450.540000007</v>
      </c>
    </row>
    <row r="370" spans="1:12" ht="14.85" customHeight="1" x14ac:dyDescent="0.25">
      <c r="A370" s="43" t="s">
        <v>116</v>
      </c>
      <c r="B370" s="54" t="s">
        <v>117</v>
      </c>
      <c r="C370" s="93">
        <v>2468019768</v>
      </c>
      <c r="D370" s="93">
        <v>2477061666.8899999</v>
      </c>
      <c r="E370" s="46">
        <f>F370-1645341909.36</f>
        <v>627144883.4400003</v>
      </c>
      <c r="F370" s="97">
        <v>2272486792.8000002</v>
      </c>
      <c r="G370" s="52">
        <f t="shared" si="58"/>
        <v>3.0776574554770866</v>
      </c>
      <c r="H370" s="46">
        <f t="shared" si="60"/>
        <v>204574874.08999968</v>
      </c>
      <c r="I370" s="46">
        <f>J370-1645341909.36</f>
        <v>416429799.44000006</v>
      </c>
      <c r="J370" s="93">
        <v>2061771708.8</v>
      </c>
      <c r="K370" s="46">
        <f t="shared" si="59"/>
        <v>3.0412922539820846</v>
      </c>
      <c r="L370" s="52">
        <f t="shared" si="61"/>
        <v>415289958.08999991</v>
      </c>
    </row>
    <row r="371" spans="1:12" ht="14.85" customHeight="1" x14ac:dyDescent="0.25">
      <c r="A371" s="43" t="s">
        <v>150</v>
      </c>
      <c r="B371" s="54" t="s">
        <v>151</v>
      </c>
      <c r="C371" s="46">
        <v>0</v>
      </c>
      <c r="D371" s="46">
        <v>100000</v>
      </c>
      <c r="E371" s="46">
        <f>F371-29853</f>
        <v>0</v>
      </c>
      <c r="F371" s="46">
        <v>29853</v>
      </c>
      <c r="G371" s="52">
        <f t="shared" si="58"/>
        <v>4.0430293504655595E-5</v>
      </c>
      <c r="H371" s="46">
        <f t="shared" si="60"/>
        <v>70147</v>
      </c>
      <c r="I371" s="46">
        <f>J371-0</f>
        <v>0</v>
      </c>
      <c r="J371" s="46">
        <v>0</v>
      </c>
      <c r="K371" s="46">
        <f t="shared" si="59"/>
        <v>0</v>
      </c>
      <c r="L371" s="52">
        <f t="shared" si="61"/>
        <v>100000</v>
      </c>
    </row>
    <row r="372" spans="1:12" ht="14.85" customHeight="1" x14ac:dyDescent="0.2">
      <c r="A372" s="40" t="s">
        <v>153</v>
      </c>
      <c r="B372" s="83" t="s">
        <v>154</v>
      </c>
      <c r="C372" s="42">
        <f>C373+C374</f>
        <v>1201495</v>
      </c>
      <c r="D372" s="42">
        <f>D373+D374</f>
        <v>1516495</v>
      </c>
      <c r="E372" s="42">
        <f>E373+E374</f>
        <v>573352.47</v>
      </c>
      <c r="F372" s="42">
        <f>F373+F374</f>
        <v>944209.23</v>
      </c>
      <c r="G372" s="82">
        <f t="shared" si="58"/>
        <v>1.2787544400463893E-3</v>
      </c>
      <c r="H372" s="42">
        <f t="shared" si="60"/>
        <v>572285.77</v>
      </c>
      <c r="I372" s="42">
        <f>I373+I374</f>
        <v>315287.27</v>
      </c>
      <c r="J372" s="42">
        <f>J373+J374</f>
        <v>645299.03</v>
      </c>
      <c r="K372" s="42">
        <f t="shared" si="59"/>
        <v>9.5187208800308917E-4</v>
      </c>
      <c r="L372" s="82">
        <f t="shared" si="61"/>
        <v>871195.97</v>
      </c>
    </row>
    <row r="373" spans="1:12" ht="14.85" customHeight="1" x14ac:dyDescent="0.25">
      <c r="A373" s="43" t="s">
        <v>30</v>
      </c>
      <c r="B373" s="54" t="s">
        <v>31</v>
      </c>
      <c r="C373" s="93">
        <v>1201495</v>
      </c>
      <c r="D373" s="93">
        <v>1516495</v>
      </c>
      <c r="E373" s="46">
        <f>F373-370856.76</f>
        <v>573352.47</v>
      </c>
      <c r="F373" s="97">
        <v>944209.23</v>
      </c>
      <c r="G373" s="52">
        <f t="shared" si="58"/>
        <v>1.2787544400463893E-3</v>
      </c>
      <c r="H373" s="46">
        <f t="shared" si="60"/>
        <v>572285.77</v>
      </c>
      <c r="I373" s="46">
        <f>J373-330011.76</f>
        <v>315287.27</v>
      </c>
      <c r="J373" s="93">
        <v>645299.03</v>
      </c>
      <c r="K373" s="46">
        <f t="shared" si="59"/>
        <v>9.5187208800308917E-4</v>
      </c>
      <c r="L373" s="52">
        <f t="shared" si="61"/>
        <v>871195.97</v>
      </c>
    </row>
    <row r="374" spans="1:12" ht="14.85" customHeight="1" x14ac:dyDescent="0.25">
      <c r="A374" s="43" t="s">
        <v>157</v>
      </c>
      <c r="B374" s="54" t="s">
        <v>158</v>
      </c>
      <c r="C374" s="46">
        <v>0</v>
      </c>
      <c r="D374" s="46">
        <v>0</v>
      </c>
      <c r="E374" s="46">
        <f>F374-0</f>
        <v>0</v>
      </c>
      <c r="F374" s="46">
        <v>0</v>
      </c>
      <c r="G374" s="52">
        <f t="shared" si="58"/>
        <v>0</v>
      </c>
      <c r="H374" s="46">
        <f t="shared" si="60"/>
        <v>0</v>
      </c>
      <c r="I374" s="46">
        <f>J374-0</f>
        <v>0</v>
      </c>
      <c r="J374" s="46">
        <v>0</v>
      </c>
      <c r="K374" s="46">
        <f t="shared" si="59"/>
        <v>0</v>
      </c>
      <c r="L374" s="52">
        <f t="shared" si="61"/>
        <v>0</v>
      </c>
    </row>
    <row r="375" spans="1:12" ht="14.85" customHeight="1" x14ac:dyDescent="0.2">
      <c r="A375" s="40" t="s">
        <v>159</v>
      </c>
      <c r="B375" s="83" t="s">
        <v>160</v>
      </c>
      <c r="C375" s="42">
        <f>SUM(C376:C382)</f>
        <v>438248733</v>
      </c>
      <c r="D375" s="42">
        <f>SUM(D376:D382)</f>
        <v>884906332.83000004</v>
      </c>
      <c r="E375" s="42">
        <f>SUM(E376:E382)</f>
        <v>176714444.05999997</v>
      </c>
      <c r="F375" s="42">
        <f>SUM(F376:F382)</f>
        <v>701908071.67999995</v>
      </c>
      <c r="G375" s="82">
        <f t="shared" si="58"/>
        <v>0.95060293274743701</v>
      </c>
      <c r="H375" s="42">
        <f t="shared" si="60"/>
        <v>182998261.1500001</v>
      </c>
      <c r="I375" s="42">
        <f>SUM(I376:I382)</f>
        <v>176298024.07999995</v>
      </c>
      <c r="J375" s="42">
        <f>SUM(J376:J382)</f>
        <v>697131151.69999993</v>
      </c>
      <c r="K375" s="42">
        <f t="shared" si="59"/>
        <v>1.0283289670847284</v>
      </c>
      <c r="L375" s="82">
        <f t="shared" si="61"/>
        <v>187775181.13000011</v>
      </c>
    </row>
    <row r="376" spans="1:12" ht="14.85" customHeight="1" x14ac:dyDescent="0.25">
      <c r="A376" s="43" t="s">
        <v>30</v>
      </c>
      <c r="B376" s="54" t="s">
        <v>31</v>
      </c>
      <c r="C376" s="93">
        <v>414034309</v>
      </c>
      <c r="D376" s="93">
        <v>490867970.85000002</v>
      </c>
      <c r="E376" s="46">
        <f>F376-304905869.36</f>
        <v>63800579.709999979</v>
      </c>
      <c r="F376" s="97">
        <v>368706449.06999999</v>
      </c>
      <c r="G376" s="52">
        <f t="shared" si="58"/>
        <v>0.49934378296852744</v>
      </c>
      <c r="H376" s="46">
        <f t="shared" si="60"/>
        <v>122161521.78000003</v>
      </c>
      <c r="I376" s="46">
        <f>J376-300545369.36</f>
        <v>63384159.729999959</v>
      </c>
      <c r="J376" s="93">
        <v>363929529.08999997</v>
      </c>
      <c r="K376" s="46">
        <f t="shared" si="59"/>
        <v>0.53682764832434238</v>
      </c>
      <c r="L376" s="52">
        <f t="shared" si="61"/>
        <v>126938441.76000005</v>
      </c>
    </row>
    <row r="377" spans="1:12" ht="14.85" customHeight="1" x14ac:dyDescent="0.25">
      <c r="A377" s="43" t="s">
        <v>34</v>
      </c>
      <c r="B377" s="54" t="s">
        <v>35</v>
      </c>
      <c r="C377" s="46">
        <v>0</v>
      </c>
      <c r="D377" s="46">
        <v>0</v>
      </c>
      <c r="E377" s="46">
        <f t="shared" ref="E377:E382" si="64">F377-0</f>
        <v>0</v>
      </c>
      <c r="F377" s="46">
        <v>0</v>
      </c>
      <c r="G377" s="52">
        <f t="shared" si="58"/>
        <v>0</v>
      </c>
      <c r="H377" s="46">
        <f t="shared" si="60"/>
        <v>0</v>
      </c>
      <c r="I377" s="46">
        <f t="shared" ref="I377:I382" si="65">J377-0</f>
        <v>0</v>
      </c>
      <c r="J377" s="46">
        <v>0</v>
      </c>
      <c r="K377" s="46">
        <f t="shared" si="59"/>
        <v>0</v>
      </c>
      <c r="L377" s="52">
        <f t="shared" si="61"/>
        <v>0</v>
      </c>
    </row>
    <row r="378" spans="1:12" ht="14.85" customHeight="1" x14ac:dyDescent="0.25">
      <c r="A378" s="43" t="s">
        <v>110</v>
      </c>
      <c r="B378" s="54" t="s">
        <v>111</v>
      </c>
      <c r="C378" s="46">
        <v>0</v>
      </c>
      <c r="D378" s="46">
        <v>0</v>
      </c>
      <c r="E378" s="46">
        <f t="shared" si="64"/>
        <v>0</v>
      </c>
      <c r="F378" s="46">
        <v>0</v>
      </c>
      <c r="G378" s="52">
        <f t="shared" si="58"/>
        <v>0</v>
      </c>
      <c r="H378" s="46">
        <f t="shared" si="60"/>
        <v>0</v>
      </c>
      <c r="I378" s="46">
        <f t="shared" si="65"/>
        <v>0</v>
      </c>
      <c r="J378" s="46">
        <v>0</v>
      </c>
      <c r="K378" s="46">
        <f t="shared" si="59"/>
        <v>0</v>
      </c>
      <c r="L378" s="52">
        <f t="shared" si="61"/>
        <v>0</v>
      </c>
    </row>
    <row r="379" spans="1:12" ht="14.85" customHeight="1" x14ac:dyDescent="0.25">
      <c r="A379" s="43" t="s">
        <v>161</v>
      </c>
      <c r="B379" s="54" t="s">
        <v>162</v>
      </c>
      <c r="C379" s="93">
        <v>23954424</v>
      </c>
      <c r="D379" s="93">
        <v>111579424</v>
      </c>
      <c r="E379" s="46">
        <f>F379-70329424</f>
        <v>33277094.319999993</v>
      </c>
      <c r="F379" s="97">
        <v>103606518.31999999</v>
      </c>
      <c r="G379" s="52">
        <f t="shared" si="58"/>
        <v>0.14031561131789355</v>
      </c>
      <c r="H379" s="46">
        <f t="shared" si="60"/>
        <v>7972905.6800000072</v>
      </c>
      <c r="I379" s="46">
        <f>J379-70329424</f>
        <v>33277094.319999993</v>
      </c>
      <c r="J379" s="93">
        <v>103606518.31999999</v>
      </c>
      <c r="K379" s="46">
        <f t="shared" si="59"/>
        <v>0.15282860865913389</v>
      </c>
      <c r="L379" s="52">
        <f t="shared" si="61"/>
        <v>7972905.6800000072</v>
      </c>
    </row>
    <row r="380" spans="1:12" ht="14.85" customHeight="1" x14ac:dyDescent="0.25">
      <c r="A380" s="43" t="s">
        <v>163</v>
      </c>
      <c r="B380" s="54" t="s">
        <v>164</v>
      </c>
      <c r="C380" s="93">
        <v>0</v>
      </c>
      <c r="D380" s="93">
        <v>282198937.98000002</v>
      </c>
      <c r="E380" s="46">
        <f>F380-149958334.26</f>
        <v>79636670.030000001</v>
      </c>
      <c r="F380" s="97">
        <v>229595004.28999999</v>
      </c>
      <c r="G380" s="52">
        <f t="shared" si="58"/>
        <v>0.31094340302975776</v>
      </c>
      <c r="H380" s="46">
        <f t="shared" si="60"/>
        <v>52603933.690000027</v>
      </c>
      <c r="I380" s="46">
        <f>J380-149958334.26</f>
        <v>79636670.030000001</v>
      </c>
      <c r="J380" s="93">
        <v>229595004.28999999</v>
      </c>
      <c r="K380" s="46">
        <f t="shared" si="59"/>
        <v>0.33867256259257122</v>
      </c>
      <c r="L380" s="52">
        <f t="shared" si="61"/>
        <v>52603933.690000027</v>
      </c>
    </row>
    <row r="381" spans="1:12" ht="14.85" customHeight="1" x14ac:dyDescent="0.25">
      <c r="A381" s="43" t="s">
        <v>167</v>
      </c>
      <c r="B381" s="54" t="s">
        <v>168</v>
      </c>
      <c r="C381" s="93">
        <v>260000</v>
      </c>
      <c r="D381" s="93">
        <v>260000</v>
      </c>
      <c r="E381" s="46">
        <f t="shared" si="64"/>
        <v>100</v>
      </c>
      <c r="F381" s="46">
        <v>100</v>
      </c>
      <c r="G381" s="52">
        <f t="shared" si="58"/>
        <v>1.354312581806036E-7</v>
      </c>
      <c r="H381" s="46">
        <f t="shared" si="60"/>
        <v>259900</v>
      </c>
      <c r="I381" s="46">
        <f t="shared" si="65"/>
        <v>100</v>
      </c>
      <c r="J381" s="46">
        <v>100</v>
      </c>
      <c r="K381" s="46">
        <f t="shared" si="59"/>
        <v>1.475086810533543E-7</v>
      </c>
      <c r="L381" s="52">
        <f t="shared" si="61"/>
        <v>259900</v>
      </c>
    </row>
    <row r="382" spans="1:12" ht="14.85" customHeight="1" x14ac:dyDescent="0.25">
      <c r="A382" s="43" t="s">
        <v>171</v>
      </c>
      <c r="B382" s="54" t="s">
        <v>172</v>
      </c>
      <c r="C382" s="46">
        <v>0</v>
      </c>
      <c r="D382" s="46">
        <v>0</v>
      </c>
      <c r="E382" s="46">
        <f t="shared" si="64"/>
        <v>0</v>
      </c>
      <c r="F382" s="46">
        <v>0</v>
      </c>
      <c r="G382" s="52">
        <f t="shared" si="58"/>
        <v>0</v>
      </c>
      <c r="H382" s="46">
        <f t="shared" si="60"/>
        <v>0</v>
      </c>
      <c r="I382" s="46">
        <f t="shared" si="65"/>
        <v>0</v>
      </c>
      <c r="J382" s="46">
        <v>0</v>
      </c>
      <c r="K382" s="46">
        <f t="shared" si="59"/>
        <v>0</v>
      </c>
      <c r="L382" s="52">
        <f t="shared" si="61"/>
        <v>0</v>
      </c>
    </row>
    <row r="383" spans="1:12" ht="14.85" customHeight="1" x14ac:dyDescent="0.2">
      <c r="A383" s="40" t="s">
        <v>173</v>
      </c>
      <c r="B383" s="83" t="s">
        <v>174</v>
      </c>
      <c r="C383" s="42">
        <f>SUM(C384:C385)</f>
        <v>9252443</v>
      </c>
      <c r="D383" s="42">
        <f>SUM(D384:D385)</f>
        <v>9256919.7799999993</v>
      </c>
      <c r="E383" s="42">
        <f>SUM(E384:E385)</f>
        <v>1777914.2599999998</v>
      </c>
      <c r="F383" s="42">
        <f>SUM(F384:F385)</f>
        <v>6497428.6200000001</v>
      </c>
      <c r="G383" s="82">
        <f t="shared" si="58"/>
        <v>8.7995493294526286E-3</v>
      </c>
      <c r="H383" s="42">
        <f t="shared" si="60"/>
        <v>2759491.1599999992</v>
      </c>
      <c r="I383" s="42">
        <f>SUM(I384:I385)</f>
        <v>1735830.6399999997</v>
      </c>
      <c r="J383" s="42">
        <f>SUM(J384:J385)</f>
        <v>6448065.4299999997</v>
      </c>
      <c r="K383" s="42">
        <f t="shared" si="59"/>
        <v>9.5114562692502989E-3</v>
      </c>
      <c r="L383" s="82">
        <f t="shared" si="61"/>
        <v>2808854.3499999996</v>
      </c>
    </row>
    <row r="384" spans="1:12" ht="14.85" customHeight="1" x14ac:dyDescent="0.25">
      <c r="A384" s="43" t="s">
        <v>30</v>
      </c>
      <c r="B384" s="54" t="s">
        <v>31</v>
      </c>
      <c r="C384" s="93">
        <v>9252443</v>
      </c>
      <c r="D384" s="93">
        <v>9256919.7799999993</v>
      </c>
      <c r="E384" s="46">
        <f>F384-4719514.36</f>
        <v>1777914.2599999998</v>
      </c>
      <c r="F384" s="97">
        <v>6497428.6200000001</v>
      </c>
      <c r="G384" s="52">
        <f t="shared" si="58"/>
        <v>8.7995493294526286E-3</v>
      </c>
      <c r="H384" s="46">
        <f t="shared" si="60"/>
        <v>2759491.1599999992</v>
      </c>
      <c r="I384" s="46">
        <f>J384-4712234.79</f>
        <v>1735830.6399999997</v>
      </c>
      <c r="J384" s="46">
        <v>6448065.4299999997</v>
      </c>
      <c r="K384" s="46">
        <f t="shared" si="59"/>
        <v>9.5114562692502989E-3</v>
      </c>
      <c r="L384" s="52">
        <f t="shared" si="61"/>
        <v>2808854.3499999996</v>
      </c>
    </row>
    <row r="385" spans="1:12" ht="14.85" customHeight="1" x14ac:dyDescent="0.25">
      <c r="A385" s="43" t="s">
        <v>38</v>
      </c>
      <c r="B385" s="54" t="s">
        <v>39</v>
      </c>
      <c r="C385" s="46">
        <v>0</v>
      </c>
      <c r="D385" s="46">
        <v>0</v>
      </c>
      <c r="E385" s="46">
        <f>F385-0</f>
        <v>0</v>
      </c>
      <c r="F385" s="46">
        <v>0</v>
      </c>
      <c r="G385" s="52">
        <f t="shared" si="58"/>
        <v>0</v>
      </c>
      <c r="H385" s="46">
        <f t="shared" si="60"/>
        <v>0</v>
      </c>
      <c r="I385" s="46">
        <f>J385-0</f>
        <v>0</v>
      </c>
      <c r="J385" s="46">
        <v>0</v>
      </c>
      <c r="K385" s="46">
        <f t="shared" si="59"/>
        <v>0</v>
      </c>
      <c r="L385" s="52">
        <f t="shared" si="61"/>
        <v>0</v>
      </c>
    </row>
    <row r="386" spans="1:12" ht="14.85" customHeight="1" x14ac:dyDescent="0.2">
      <c r="A386" s="40" t="s">
        <v>179</v>
      </c>
      <c r="B386" s="83" t="s">
        <v>180</v>
      </c>
      <c r="C386" s="42">
        <f>SUM(C387:C389)</f>
        <v>1755313</v>
      </c>
      <c r="D386" s="42">
        <f>SUM(D387:D389)</f>
        <v>1577163</v>
      </c>
      <c r="E386" s="42">
        <f>SUM(E387:E389)</f>
        <v>386845.16999999993</v>
      </c>
      <c r="F386" s="42">
        <f>SUM(F387:F389)</f>
        <v>1120269.29</v>
      </c>
      <c r="G386" s="82">
        <f t="shared" si="58"/>
        <v>1.5171947944579147E-3</v>
      </c>
      <c r="H386" s="42">
        <f t="shared" si="60"/>
        <v>456893.70999999996</v>
      </c>
      <c r="I386" s="42">
        <f>SUM(I387:I389)</f>
        <v>257865.17000000004</v>
      </c>
      <c r="J386" s="42">
        <f>SUM(J387:J389)</f>
        <v>969823.71000000008</v>
      </c>
      <c r="K386" s="42">
        <f t="shared" si="59"/>
        <v>1.4305741631637078E-3</v>
      </c>
      <c r="L386" s="82">
        <f t="shared" si="61"/>
        <v>607339.28999999992</v>
      </c>
    </row>
    <row r="387" spans="1:12" ht="14.85" customHeight="1" x14ac:dyDescent="0.25">
      <c r="A387" s="43" t="s">
        <v>30</v>
      </c>
      <c r="B387" s="54" t="s">
        <v>31</v>
      </c>
      <c r="C387" s="93">
        <v>1755313</v>
      </c>
      <c r="D387" s="93">
        <v>1401813</v>
      </c>
      <c r="E387" s="46">
        <f>F387-703940.16</f>
        <v>241006.67999999993</v>
      </c>
      <c r="F387" s="97">
        <v>944946.84</v>
      </c>
      <c r="G387" s="52">
        <f t="shared" si="58"/>
        <v>1.279753394549855E-3</v>
      </c>
      <c r="H387" s="46">
        <f t="shared" si="60"/>
        <v>456866.16000000003</v>
      </c>
      <c r="I387" s="46">
        <f>J387-688741.47</f>
        <v>233736.56000000006</v>
      </c>
      <c r="J387" s="93">
        <v>922478.03</v>
      </c>
      <c r="K387" s="46">
        <f t="shared" si="59"/>
        <v>1.3607351750599662E-3</v>
      </c>
      <c r="L387" s="52">
        <f t="shared" si="61"/>
        <v>479334.97</v>
      </c>
    </row>
    <row r="388" spans="1:12" ht="14.85" customHeight="1" x14ac:dyDescent="0.25">
      <c r="A388" s="43" t="s">
        <v>40</v>
      </c>
      <c r="B388" s="44" t="s">
        <v>41</v>
      </c>
      <c r="C388" s="97">
        <v>0</v>
      </c>
      <c r="D388" s="93">
        <v>175350</v>
      </c>
      <c r="E388" s="46">
        <f>F388-29483.96</f>
        <v>145838.49000000002</v>
      </c>
      <c r="F388" s="46">
        <v>175322.45</v>
      </c>
      <c r="G388" s="52">
        <f t="shared" si="58"/>
        <v>2.3744139990805965E-4</v>
      </c>
      <c r="H388" s="46">
        <f t="shared" si="60"/>
        <v>27.549999999988358</v>
      </c>
      <c r="I388" s="46">
        <f>J388-23217.07</f>
        <v>24128.61</v>
      </c>
      <c r="J388" s="46">
        <v>47345.68</v>
      </c>
      <c r="K388" s="46">
        <f t="shared" si="59"/>
        <v>6.983898810374175E-5</v>
      </c>
      <c r="L388" s="52">
        <f t="shared" si="61"/>
        <v>128004.32</v>
      </c>
    </row>
    <row r="389" spans="1:12" ht="14.85" customHeight="1" x14ac:dyDescent="0.25">
      <c r="A389" s="43" t="s">
        <v>65</v>
      </c>
      <c r="B389" s="54" t="s">
        <v>66</v>
      </c>
      <c r="C389" s="46">
        <v>0</v>
      </c>
      <c r="D389" s="46">
        <v>0</v>
      </c>
      <c r="E389" s="46">
        <f>F389-0</f>
        <v>0</v>
      </c>
      <c r="F389" s="46">
        <v>0</v>
      </c>
      <c r="G389" s="52">
        <f t="shared" si="58"/>
        <v>0</v>
      </c>
      <c r="H389" s="46">
        <f t="shared" si="60"/>
        <v>0</v>
      </c>
      <c r="I389" s="46">
        <f>J389-0</f>
        <v>0</v>
      </c>
      <c r="J389" s="46">
        <v>0</v>
      </c>
      <c r="K389" s="46">
        <f t="shared" si="59"/>
        <v>0</v>
      </c>
      <c r="L389" s="52">
        <f t="shared" si="61"/>
        <v>0</v>
      </c>
    </row>
    <row r="390" spans="1:12" ht="14.85" customHeight="1" x14ac:dyDescent="0.2">
      <c r="A390" s="40" t="s">
        <v>182</v>
      </c>
      <c r="B390" s="83" t="s">
        <v>183</v>
      </c>
      <c r="C390" s="42">
        <f>C391+C392</f>
        <v>1089835</v>
      </c>
      <c r="D390" s="42">
        <f>D391+D392</f>
        <v>1110923</v>
      </c>
      <c r="E390" s="42">
        <f>E391+E392</f>
        <v>195459.59000000003</v>
      </c>
      <c r="F390" s="42">
        <f>F391+F392</f>
        <v>644771.05000000005</v>
      </c>
      <c r="G390" s="82">
        <f t="shared" si="58"/>
        <v>8.7322154539928865E-4</v>
      </c>
      <c r="H390" s="42">
        <f t="shared" si="60"/>
        <v>466151.94999999995</v>
      </c>
      <c r="I390" s="42">
        <f>I391+I392</f>
        <v>199413.59000000003</v>
      </c>
      <c r="J390" s="42">
        <f>J391+J392</f>
        <v>643453.05000000005</v>
      </c>
      <c r="K390" s="42">
        <f t="shared" si="59"/>
        <v>9.4914910725258045E-4</v>
      </c>
      <c r="L390" s="82">
        <f t="shared" si="61"/>
        <v>467469.94999999995</v>
      </c>
    </row>
    <row r="391" spans="1:12" ht="14.85" customHeight="1" x14ac:dyDescent="0.25">
      <c r="A391" s="56" t="s">
        <v>30</v>
      </c>
      <c r="B391" s="50" t="s">
        <v>31</v>
      </c>
      <c r="C391" s="93">
        <v>1089835</v>
      </c>
      <c r="D391" s="93">
        <v>1110923</v>
      </c>
      <c r="E391" s="46">
        <f>F391-449311.46</f>
        <v>195459.59000000003</v>
      </c>
      <c r="F391" s="97">
        <v>644771.05000000005</v>
      </c>
      <c r="G391" s="52">
        <f t="shared" si="58"/>
        <v>8.7322154539928865E-4</v>
      </c>
      <c r="H391" s="46">
        <f t="shared" si="60"/>
        <v>466151.94999999995</v>
      </c>
      <c r="I391" s="46">
        <f>J391-444039.46</f>
        <v>199413.59000000003</v>
      </c>
      <c r="J391" s="46">
        <v>643453.05000000005</v>
      </c>
      <c r="K391" s="46">
        <f t="shared" si="59"/>
        <v>9.4914910725258045E-4</v>
      </c>
      <c r="L391" s="52">
        <f t="shared" si="61"/>
        <v>467469.94999999995</v>
      </c>
    </row>
    <row r="392" spans="1:12" ht="14.85" customHeight="1" x14ac:dyDescent="0.25">
      <c r="A392" s="56" t="s">
        <v>77</v>
      </c>
      <c r="B392" s="50" t="s">
        <v>78</v>
      </c>
      <c r="C392" s="46">
        <v>0</v>
      </c>
      <c r="D392" s="46">
        <v>0</v>
      </c>
      <c r="E392" s="46">
        <f>F392-0</f>
        <v>0</v>
      </c>
      <c r="F392" s="46">
        <v>0</v>
      </c>
      <c r="G392" s="52">
        <f t="shared" si="58"/>
        <v>0</v>
      </c>
      <c r="H392" s="46">
        <f t="shared" si="60"/>
        <v>0</v>
      </c>
      <c r="I392" s="46">
        <f>J392-0</f>
        <v>0</v>
      </c>
      <c r="J392" s="46">
        <v>0</v>
      </c>
      <c r="K392" s="46">
        <f t="shared" si="59"/>
        <v>0</v>
      </c>
      <c r="L392" s="52">
        <f t="shared" si="61"/>
        <v>0</v>
      </c>
    </row>
    <row r="393" spans="1:12" ht="14.85" customHeight="1" x14ac:dyDescent="0.2">
      <c r="A393" s="85" t="s">
        <v>188</v>
      </c>
      <c r="B393" s="86" t="s">
        <v>189</v>
      </c>
      <c r="C393" s="42">
        <f>C394</f>
        <v>419822</v>
      </c>
      <c r="D393" s="42">
        <f>D394</f>
        <v>419822</v>
      </c>
      <c r="E393" s="42">
        <f>E394</f>
        <v>76822.909999999989</v>
      </c>
      <c r="F393" s="42">
        <f>F394</f>
        <v>192688.27</v>
      </c>
      <c r="G393" s="82">
        <f t="shared" si="58"/>
        <v>2.6096014842743849E-4</v>
      </c>
      <c r="H393" s="42">
        <f t="shared" si="60"/>
        <v>227133.73</v>
      </c>
      <c r="I393" s="42">
        <f>I394</f>
        <v>76822.909999999989</v>
      </c>
      <c r="J393" s="42">
        <f>J394</f>
        <v>192688.27</v>
      </c>
      <c r="K393" s="42">
        <f t="shared" si="59"/>
        <v>2.8423192562152617E-4</v>
      </c>
      <c r="L393" s="82">
        <f t="shared" si="61"/>
        <v>227133.73</v>
      </c>
    </row>
    <row r="394" spans="1:12" ht="14.85" customHeight="1" x14ac:dyDescent="0.25">
      <c r="A394" s="56" t="s">
        <v>30</v>
      </c>
      <c r="B394" s="50" t="s">
        <v>31</v>
      </c>
      <c r="C394" s="93">
        <v>419822</v>
      </c>
      <c r="D394" s="93">
        <v>419822</v>
      </c>
      <c r="E394" s="46">
        <f>F394-115865.36</f>
        <v>76822.909999999989</v>
      </c>
      <c r="F394" s="97">
        <v>192688.27</v>
      </c>
      <c r="G394" s="52">
        <f t="shared" si="58"/>
        <v>2.6096014842743849E-4</v>
      </c>
      <c r="H394" s="46">
        <f t="shared" si="60"/>
        <v>227133.73</v>
      </c>
      <c r="I394" s="46">
        <f>J394-115865.36</f>
        <v>76822.909999999989</v>
      </c>
      <c r="J394" s="46">
        <v>192688.27</v>
      </c>
      <c r="K394" s="46">
        <f t="shared" si="59"/>
        <v>2.8423192562152617E-4</v>
      </c>
      <c r="L394" s="52">
        <f t="shared" si="61"/>
        <v>227133.73</v>
      </c>
    </row>
    <row r="395" spans="1:12" ht="14.85" customHeight="1" x14ac:dyDescent="0.2">
      <c r="A395" s="40" t="s">
        <v>190</v>
      </c>
      <c r="B395" s="72" t="s">
        <v>191</v>
      </c>
      <c r="C395" s="42">
        <f>C396</f>
        <v>200000</v>
      </c>
      <c r="D395" s="42">
        <f>D396</f>
        <v>200000</v>
      </c>
      <c r="E395" s="42">
        <f>E396</f>
        <v>0</v>
      </c>
      <c r="F395" s="42">
        <f>F396</f>
        <v>0</v>
      </c>
      <c r="G395" s="82">
        <f t="shared" si="58"/>
        <v>0</v>
      </c>
      <c r="H395" s="42">
        <f t="shared" si="60"/>
        <v>200000</v>
      </c>
      <c r="I395" s="42">
        <f>I396</f>
        <v>0</v>
      </c>
      <c r="J395" s="42">
        <f>J396</f>
        <v>0</v>
      </c>
      <c r="K395" s="42">
        <f t="shared" si="59"/>
        <v>0</v>
      </c>
      <c r="L395" s="82">
        <f t="shared" si="61"/>
        <v>200000</v>
      </c>
    </row>
    <row r="396" spans="1:12" ht="14.85" customHeight="1" x14ac:dyDescent="0.25">
      <c r="A396" s="56" t="s">
        <v>91</v>
      </c>
      <c r="B396" s="50" t="s">
        <v>92</v>
      </c>
      <c r="C396" s="93">
        <v>200000</v>
      </c>
      <c r="D396" s="93">
        <v>200000</v>
      </c>
      <c r="E396" s="46">
        <f>F396-0</f>
        <v>0</v>
      </c>
      <c r="F396" s="46">
        <v>0</v>
      </c>
      <c r="G396" s="52">
        <f t="shared" si="58"/>
        <v>0</v>
      </c>
      <c r="H396" s="46">
        <f t="shared" si="60"/>
        <v>200000</v>
      </c>
      <c r="I396" s="46">
        <f>J396-0</f>
        <v>0</v>
      </c>
      <c r="J396" s="46">
        <v>0</v>
      </c>
      <c r="K396" s="46">
        <f t="shared" si="59"/>
        <v>0</v>
      </c>
      <c r="L396" s="52">
        <f t="shared" si="61"/>
        <v>200000</v>
      </c>
    </row>
    <row r="397" spans="1:12" ht="14.85" customHeight="1" x14ac:dyDescent="0.2">
      <c r="A397" s="85" t="s">
        <v>194</v>
      </c>
      <c r="B397" s="86" t="s">
        <v>195</v>
      </c>
      <c r="C397" s="42">
        <f>C398</f>
        <v>17230000</v>
      </c>
      <c r="D397" s="42">
        <f>D398</f>
        <v>16975803.620000001</v>
      </c>
      <c r="E397" s="42">
        <f>E398</f>
        <v>2072289.7699999996</v>
      </c>
      <c r="F397" s="42">
        <f>F398</f>
        <v>8113390.2199999997</v>
      </c>
      <c r="G397" s="82">
        <f t="shared" si="58"/>
        <v>1.0988066456048041E-2</v>
      </c>
      <c r="H397" s="42">
        <f t="shared" si="60"/>
        <v>8862413.4000000022</v>
      </c>
      <c r="I397" s="42">
        <f>I398</f>
        <v>2081011.37</v>
      </c>
      <c r="J397" s="42">
        <f>J398</f>
        <v>8049973.9199999999</v>
      </c>
      <c r="K397" s="42">
        <f t="shared" si="59"/>
        <v>1.1874410354531002E-2</v>
      </c>
      <c r="L397" s="82">
        <f t="shared" si="61"/>
        <v>8925829.7000000011</v>
      </c>
    </row>
    <row r="398" spans="1:12" ht="14.85" customHeight="1" x14ac:dyDescent="0.25">
      <c r="A398" s="56" t="s">
        <v>30</v>
      </c>
      <c r="B398" s="50" t="s">
        <v>31</v>
      </c>
      <c r="C398" s="93">
        <v>17230000</v>
      </c>
      <c r="D398" s="93">
        <v>16975803.620000001</v>
      </c>
      <c r="E398" s="46">
        <f>F398-6041100.45</f>
        <v>2072289.7699999996</v>
      </c>
      <c r="F398" s="97">
        <v>8113390.2199999997</v>
      </c>
      <c r="G398" s="52">
        <f t="shared" ref="G398:G433" si="66">(F398/$F$317)*100</f>
        <v>1.0988066456048041E-2</v>
      </c>
      <c r="H398" s="46">
        <f t="shared" si="60"/>
        <v>8862413.4000000022</v>
      </c>
      <c r="I398" s="46">
        <f>J398-5968962.55</f>
        <v>2081011.37</v>
      </c>
      <c r="J398" s="93">
        <v>8049973.9199999999</v>
      </c>
      <c r="K398" s="46">
        <f t="shared" ref="K398:K433" si="67">(J398/$J$317)*100</f>
        <v>1.1874410354531002E-2</v>
      </c>
      <c r="L398" s="52">
        <f t="shared" si="61"/>
        <v>8925829.7000000011</v>
      </c>
    </row>
    <row r="399" spans="1:12" ht="14.85" customHeight="1" x14ac:dyDescent="0.2">
      <c r="A399" s="85" t="s">
        <v>200</v>
      </c>
      <c r="B399" s="86" t="s">
        <v>201</v>
      </c>
      <c r="C399" s="42">
        <f>SUM(C400:C407)</f>
        <v>8150037</v>
      </c>
      <c r="D399" s="42">
        <f>SUM(D400:D407)</f>
        <v>29442038.329999998</v>
      </c>
      <c r="E399" s="42">
        <f>SUM(E400:E407)</f>
        <v>1171585.3300000005</v>
      </c>
      <c r="F399" s="42">
        <f>SUM(F400:F407)</f>
        <v>24587289.560000002</v>
      </c>
      <c r="G399" s="82">
        <f t="shared" si="66"/>
        <v>3.3298875603616197E-2</v>
      </c>
      <c r="H399" s="42">
        <f t="shared" ref="H399:H434" si="68">D399-F399</f>
        <v>4854748.7699999958</v>
      </c>
      <c r="I399" s="42">
        <f>SUM(I400:I407)</f>
        <v>1112378.8400000003</v>
      </c>
      <c r="J399" s="42">
        <f>SUM(J400:J407)</f>
        <v>24445286.32</v>
      </c>
      <c r="K399" s="42">
        <f t="shared" si="67"/>
        <v>3.6058919430348051E-2</v>
      </c>
      <c r="L399" s="82">
        <f t="shared" ref="L399:L434" si="69">D399-J399</f>
        <v>4996752.0099999979</v>
      </c>
    </row>
    <row r="400" spans="1:12" ht="14.85" customHeight="1" x14ac:dyDescent="0.25">
      <c r="A400" s="56" t="s">
        <v>30</v>
      </c>
      <c r="B400" s="50" t="s">
        <v>31</v>
      </c>
      <c r="C400" s="93">
        <v>8150037</v>
      </c>
      <c r="D400" s="93">
        <v>8160600</v>
      </c>
      <c r="E400" s="46">
        <f>F400-3397849.78</f>
        <v>1171585.3300000005</v>
      </c>
      <c r="F400" s="97">
        <v>4569435.1100000003</v>
      </c>
      <c r="G400" s="52">
        <f t="shared" si="66"/>
        <v>6.1884434612192486E-3</v>
      </c>
      <c r="H400" s="46">
        <f t="shared" si="68"/>
        <v>3591164.8899999997</v>
      </c>
      <c r="I400" s="46">
        <f>J400-3332907.48</f>
        <v>1112378.8400000003</v>
      </c>
      <c r="J400" s="93">
        <v>4445286.32</v>
      </c>
      <c r="K400" s="46">
        <f t="shared" si="67"/>
        <v>6.5571832196771917E-3</v>
      </c>
      <c r="L400" s="52">
        <f t="shared" si="69"/>
        <v>3715313.6799999997</v>
      </c>
    </row>
    <row r="401" spans="1:12" ht="14.85" customHeight="1" x14ac:dyDescent="0.25">
      <c r="A401" s="56" t="s">
        <v>32</v>
      </c>
      <c r="B401" s="50" t="s">
        <v>33</v>
      </c>
      <c r="C401" s="46">
        <v>0</v>
      </c>
      <c r="D401" s="46">
        <v>0</v>
      </c>
      <c r="E401" s="46">
        <v>0</v>
      </c>
      <c r="F401" s="46">
        <v>0</v>
      </c>
      <c r="G401" s="82">
        <f t="shared" si="66"/>
        <v>0</v>
      </c>
      <c r="H401" s="46">
        <f t="shared" si="68"/>
        <v>0</v>
      </c>
      <c r="I401" s="46">
        <f t="shared" ref="I401:I406" si="70">J401-0</f>
        <v>0</v>
      </c>
      <c r="J401" s="46">
        <v>0</v>
      </c>
      <c r="K401" s="46">
        <f t="shared" si="67"/>
        <v>0</v>
      </c>
      <c r="L401" s="52">
        <f t="shared" si="69"/>
        <v>0</v>
      </c>
    </row>
    <row r="402" spans="1:12" ht="14.85" customHeight="1" x14ac:dyDescent="0.25">
      <c r="A402" s="56" t="s">
        <v>67</v>
      </c>
      <c r="B402" s="50" t="s">
        <v>68</v>
      </c>
      <c r="C402" s="46">
        <v>0</v>
      </c>
      <c r="D402" s="46">
        <v>583333.32999999996</v>
      </c>
      <c r="E402" s="63">
        <f>F402-17854.45</f>
        <v>0</v>
      </c>
      <c r="F402" s="46">
        <v>17854.45</v>
      </c>
      <c r="G402" s="82">
        <f t="shared" si="66"/>
        <v>2.4180506276226782E-5</v>
      </c>
      <c r="H402" s="46">
        <f t="shared" si="68"/>
        <v>565478.88</v>
      </c>
      <c r="I402" s="46">
        <f t="shared" si="70"/>
        <v>0</v>
      </c>
      <c r="J402" s="46">
        <v>0</v>
      </c>
      <c r="K402" s="46"/>
      <c r="L402" s="52">
        <f t="shared" si="69"/>
        <v>583333.32999999996</v>
      </c>
    </row>
    <row r="403" spans="1:12" ht="14.85" customHeight="1" x14ac:dyDescent="0.25">
      <c r="A403" s="56" t="s">
        <v>87</v>
      </c>
      <c r="B403" s="50" t="s">
        <v>88</v>
      </c>
      <c r="C403" s="46">
        <v>0</v>
      </c>
      <c r="D403" s="46">
        <v>0</v>
      </c>
      <c r="E403" s="46">
        <f>F403-0</f>
        <v>0</v>
      </c>
      <c r="F403" s="46">
        <v>0</v>
      </c>
      <c r="G403" s="82">
        <f t="shared" si="66"/>
        <v>0</v>
      </c>
      <c r="H403" s="46">
        <f t="shared" si="68"/>
        <v>0</v>
      </c>
      <c r="I403" s="46">
        <f t="shared" si="70"/>
        <v>0</v>
      </c>
      <c r="J403" s="46">
        <v>0</v>
      </c>
      <c r="K403" s="46">
        <f t="shared" si="67"/>
        <v>0</v>
      </c>
      <c r="L403" s="52">
        <f t="shared" si="69"/>
        <v>0</v>
      </c>
    </row>
    <row r="404" spans="1:12" ht="14.85" customHeight="1" x14ac:dyDescent="0.25">
      <c r="A404" s="56" t="s">
        <v>89</v>
      </c>
      <c r="B404" s="50" t="s">
        <v>90</v>
      </c>
      <c r="C404" s="46">
        <v>0</v>
      </c>
      <c r="D404" s="46">
        <v>0</v>
      </c>
      <c r="E404" s="46">
        <f>F404-0</f>
        <v>0</v>
      </c>
      <c r="F404" s="46">
        <v>0</v>
      </c>
      <c r="G404" s="82">
        <f t="shared" si="66"/>
        <v>0</v>
      </c>
      <c r="H404" s="46">
        <f t="shared" si="68"/>
        <v>0</v>
      </c>
      <c r="I404" s="46">
        <f t="shared" si="70"/>
        <v>0</v>
      </c>
      <c r="J404" s="46">
        <v>0</v>
      </c>
      <c r="K404" s="46">
        <f t="shared" si="67"/>
        <v>0</v>
      </c>
      <c r="L404" s="52">
        <f t="shared" si="69"/>
        <v>0</v>
      </c>
    </row>
    <row r="405" spans="1:12" ht="14.85" customHeight="1" x14ac:dyDescent="0.25">
      <c r="A405" s="56" t="s">
        <v>67</v>
      </c>
      <c r="B405" s="50" t="s">
        <v>68</v>
      </c>
      <c r="C405" s="46">
        <v>0</v>
      </c>
      <c r="D405" s="46">
        <v>0</v>
      </c>
      <c r="E405" s="46">
        <v>0</v>
      </c>
      <c r="F405" s="46">
        <v>0</v>
      </c>
      <c r="G405" s="82">
        <f t="shared" si="66"/>
        <v>0</v>
      </c>
      <c r="H405" s="46">
        <f t="shared" si="68"/>
        <v>0</v>
      </c>
      <c r="I405" s="46">
        <f t="shared" si="70"/>
        <v>0</v>
      </c>
      <c r="J405" s="46">
        <v>0</v>
      </c>
      <c r="K405" s="46">
        <f t="shared" si="67"/>
        <v>0</v>
      </c>
      <c r="L405" s="52">
        <f t="shared" si="69"/>
        <v>0</v>
      </c>
    </row>
    <row r="406" spans="1:12" ht="14.85" customHeight="1" x14ac:dyDescent="0.25">
      <c r="A406" s="56" t="s">
        <v>104</v>
      </c>
      <c r="B406" s="50" t="s">
        <v>105</v>
      </c>
      <c r="C406" s="46">
        <v>0</v>
      </c>
      <c r="D406" s="46">
        <v>698105</v>
      </c>
      <c r="E406" s="46">
        <f>F406-0</f>
        <v>0</v>
      </c>
      <c r="F406" s="46">
        <v>0</v>
      </c>
      <c r="G406" s="82">
        <f t="shared" si="66"/>
        <v>0</v>
      </c>
      <c r="H406" s="46">
        <f t="shared" si="68"/>
        <v>698105</v>
      </c>
      <c r="I406" s="46">
        <f t="shared" si="70"/>
        <v>0</v>
      </c>
      <c r="J406" s="46">
        <v>0</v>
      </c>
      <c r="K406" s="46">
        <f t="shared" si="67"/>
        <v>0</v>
      </c>
      <c r="L406" s="52">
        <f t="shared" si="69"/>
        <v>698105</v>
      </c>
    </row>
    <row r="407" spans="1:12" ht="14.85" customHeight="1" x14ac:dyDescent="0.25">
      <c r="A407" s="56" t="s">
        <v>89</v>
      </c>
      <c r="B407" s="50" t="s">
        <v>90</v>
      </c>
      <c r="C407" s="46">
        <v>0</v>
      </c>
      <c r="D407" s="46">
        <v>20000000</v>
      </c>
      <c r="E407" s="46">
        <f>F407-20000000</f>
        <v>0</v>
      </c>
      <c r="F407" s="46">
        <v>20000000</v>
      </c>
      <c r="G407" s="82">
        <f t="shared" si="66"/>
        <v>2.7086251636120717E-2</v>
      </c>
      <c r="H407" s="46">
        <f t="shared" si="68"/>
        <v>0</v>
      </c>
      <c r="I407" s="46">
        <f>J407-20000000</f>
        <v>0</v>
      </c>
      <c r="J407" s="46">
        <v>20000000</v>
      </c>
      <c r="K407" s="46">
        <f t="shared" si="67"/>
        <v>2.9501736210670863E-2</v>
      </c>
      <c r="L407" s="52">
        <f t="shared" si="69"/>
        <v>0</v>
      </c>
    </row>
    <row r="408" spans="1:12" ht="14.85" customHeight="1" x14ac:dyDescent="0.2">
      <c r="A408" s="85" t="s">
        <v>204</v>
      </c>
      <c r="B408" s="86" t="s">
        <v>205</v>
      </c>
      <c r="C408" s="42">
        <f>SUM(C409:C412)</f>
        <v>7552038</v>
      </c>
      <c r="D408" s="42">
        <f>SUM(D409:D412)</f>
        <v>7817452.25</v>
      </c>
      <c r="E408" s="42">
        <f>SUM(E409:E412)</f>
        <v>936019.48999999976</v>
      </c>
      <c r="F408" s="42">
        <f>SUM(F409:F412)</f>
        <v>3907393.78</v>
      </c>
      <c r="G408" s="82">
        <f t="shared" si="66"/>
        <v>5.2918325583246459E-3</v>
      </c>
      <c r="H408" s="42">
        <f t="shared" si="68"/>
        <v>3910058.47</v>
      </c>
      <c r="I408" s="42">
        <f>SUM(I409:I412)</f>
        <v>1321616.7899999998</v>
      </c>
      <c r="J408" s="42">
        <f>SUM(J409:J412)</f>
        <v>3875074.53</v>
      </c>
      <c r="K408" s="42">
        <f t="shared" si="67"/>
        <v>5.7160713290374679E-3</v>
      </c>
      <c r="L408" s="82">
        <f t="shared" si="69"/>
        <v>3942377.72</v>
      </c>
    </row>
    <row r="409" spans="1:12" ht="14.85" customHeight="1" x14ac:dyDescent="0.25">
      <c r="A409" s="43" t="s">
        <v>30</v>
      </c>
      <c r="B409" s="44" t="s">
        <v>31</v>
      </c>
      <c r="C409" s="93">
        <v>7552038</v>
      </c>
      <c r="D409" s="93">
        <v>7713708.25</v>
      </c>
      <c r="E409" s="46">
        <f>F409-2893574.29</f>
        <v>936019.48999999976</v>
      </c>
      <c r="F409" s="97">
        <v>3829593.78</v>
      </c>
      <c r="G409" s="52">
        <f t="shared" si="66"/>
        <v>5.1864670394601358E-3</v>
      </c>
      <c r="H409" s="46">
        <f t="shared" si="68"/>
        <v>3884114.47</v>
      </c>
      <c r="I409" s="46">
        <f>J409-2495169.77</f>
        <v>1303369.3999999999</v>
      </c>
      <c r="J409" s="93">
        <v>3798539.17</v>
      </c>
      <c r="K409" s="46">
        <f t="shared" si="67"/>
        <v>5.6031750289620317E-3</v>
      </c>
      <c r="L409" s="52">
        <f t="shared" si="69"/>
        <v>3915169.08</v>
      </c>
    </row>
    <row r="410" spans="1:12" ht="14.85" customHeight="1" x14ac:dyDescent="0.25">
      <c r="A410" s="43" t="s">
        <v>87</v>
      </c>
      <c r="B410" s="44" t="s">
        <v>88</v>
      </c>
      <c r="C410" s="46">
        <v>0</v>
      </c>
      <c r="D410" s="46">
        <v>0</v>
      </c>
      <c r="E410" s="46">
        <f>F410-0</f>
        <v>0</v>
      </c>
      <c r="F410" s="46">
        <v>0</v>
      </c>
      <c r="G410" s="52">
        <f t="shared" si="66"/>
        <v>0</v>
      </c>
      <c r="H410" s="46">
        <f t="shared" si="68"/>
        <v>0</v>
      </c>
      <c r="I410" s="46">
        <f>J410-0</f>
        <v>0</v>
      </c>
      <c r="J410" s="46">
        <v>0</v>
      </c>
      <c r="K410" s="46">
        <f t="shared" si="67"/>
        <v>0</v>
      </c>
      <c r="L410" s="52">
        <f t="shared" si="69"/>
        <v>0</v>
      </c>
    </row>
    <row r="411" spans="1:12" ht="14.85" customHeight="1" x14ac:dyDescent="0.25">
      <c r="A411" s="43" t="s">
        <v>217</v>
      </c>
      <c r="B411" s="44" t="s">
        <v>218</v>
      </c>
      <c r="C411" s="46">
        <v>0</v>
      </c>
      <c r="D411" s="46">
        <v>0</v>
      </c>
      <c r="E411" s="46">
        <f>F411-0</f>
        <v>0</v>
      </c>
      <c r="F411" s="46">
        <v>0</v>
      </c>
      <c r="G411" s="52">
        <f t="shared" si="66"/>
        <v>0</v>
      </c>
      <c r="H411" s="46">
        <f t="shared" si="68"/>
        <v>0</v>
      </c>
      <c r="I411" s="46">
        <f>J411-0</f>
        <v>0</v>
      </c>
      <c r="J411" s="46">
        <v>0</v>
      </c>
      <c r="K411" s="46">
        <f t="shared" si="67"/>
        <v>0</v>
      </c>
      <c r="L411" s="52">
        <f t="shared" si="69"/>
        <v>0</v>
      </c>
    </row>
    <row r="412" spans="1:12" ht="14.85" customHeight="1" x14ac:dyDescent="0.25">
      <c r="A412" s="43" t="s">
        <v>219</v>
      </c>
      <c r="B412" s="44" t="s">
        <v>220</v>
      </c>
      <c r="C412" s="46">
        <v>0</v>
      </c>
      <c r="D412" s="93">
        <v>103744</v>
      </c>
      <c r="E412" s="46">
        <f>F412-77800</f>
        <v>0</v>
      </c>
      <c r="F412" s="46">
        <v>77800</v>
      </c>
      <c r="G412" s="52">
        <f t="shared" si="66"/>
        <v>1.0536551886450959E-4</v>
      </c>
      <c r="H412" s="46">
        <f t="shared" si="68"/>
        <v>25944</v>
      </c>
      <c r="I412" s="46">
        <f>J412-58287.97</f>
        <v>18247.39</v>
      </c>
      <c r="J412" s="46">
        <v>76535.360000000001</v>
      </c>
      <c r="K412" s="46">
        <f t="shared" si="67"/>
        <v>1.1289630007543652E-4</v>
      </c>
      <c r="L412" s="52">
        <f t="shared" si="69"/>
        <v>27208.639999999999</v>
      </c>
    </row>
    <row r="413" spans="1:12" ht="14.85" customHeight="1" x14ac:dyDescent="0.2">
      <c r="A413" s="85" t="s">
        <v>223</v>
      </c>
      <c r="B413" s="86" t="s">
        <v>224</v>
      </c>
      <c r="C413" s="42">
        <f>C414</f>
        <v>1398258</v>
      </c>
      <c r="D413" s="42">
        <f>D414</f>
        <v>1498258</v>
      </c>
      <c r="E413" s="42">
        <f>E414</f>
        <v>281807.15999999992</v>
      </c>
      <c r="F413" s="42">
        <f>F414</f>
        <v>1201202.8799999999</v>
      </c>
      <c r="G413" s="82">
        <f t="shared" si="66"/>
        <v>1.6268041736856457E-3</v>
      </c>
      <c r="H413" s="42">
        <f t="shared" si="68"/>
        <v>297055.12000000011</v>
      </c>
      <c r="I413" s="42">
        <f>I414</f>
        <v>292099.5199999999</v>
      </c>
      <c r="J413" s="42">
        <f>J414</f>
        <v>1152519.8799999999</v>
      </c>
      <c r="K413" s="42">
        <f t="shared" si="67"/>
        <v>1.7000668738657017E-3</v>
      </c>
      <c r="L413" s="82">
        <f t="shared" si="69"/>
        <v>345738.12000000011</v>
      </c>
    </row>
    <row r="414" spans="1:12" ht="14.85" customHeight="1" x14ac:dyDescent="0.25">
      <c r="A414" s="56" t="s">
        <v>30</v>
      </c>
      <c r="B414" s="50" t="s">
        <v>31</v>
      </c>
      <c r="C414" s="93">
        <v>1398258</v>
      </c>
      <c r="D414" s="93">
        <v>1498258</v>
      </c>
      <c r="E414" s="46">
        <f>F414-919395.72</f>
        <v>281807.15999999992</v>
      </c>
      <c r="F414" s="97">
        <v>1201202.8799999999</v>
      </c>
      <c r="G414" s="52">
        <f t="shared" si="66"/>
        <v>1.6268041736856457E-3</v>
      </c>
      <c r="H414" s="46">
        <f t="shared" si="68"/>
        <v>297055.12000000011</v>
      </c>
      <c r="I414" s="46">
        <f>J414-860420.36</f>
        <v>292099.5199999999</v>
      </c>
      <c r="J414" s="93">
        <v>1152519.8799999999</v>
      </c>
      <c r="K414" s="46">
        <f t="shared" si="67"/>
        <v>1.7000668738657017E-3</v>
      </c>
      <c r="L414" s="52">
        <f t="shared" si="69"/>
        <v>345738.12000000011</v>
      </c>
    </row>
    <row r="415" spans="1:12" ht="14.85" customHeight="1" x14ac:dyDescent="0.2">
      <c r="A415" s="85" t="s">
        <v>227</v>
      </c>
      <c r="B415" s="86" t="s">
        <v>228</v>
      </c>
      <c r="C415" s="42">
        <f>C416+C417</f>
        <v>4701465</v>
      </c>
      <c r="D415" s="42">
        <f>D416+D417</f>
        <v>4565818.55</v>
      </c>
      <c r="E415" s="42">
        <f>E416+E417</f>
        <v>710277.7200000002</v>
      </c>
      <c r="F415" s="42">
        <f>F416+F417</f>
        <v>2903916.14</v>
      </c>
      <c r="G415" s="82">
        <f t="shared" si="66"/>
        <v>3.9328101649116183E-3</v>
      </c>
      <c r="H415" s="42">
        <f t="shared" si="68"/>
        <v>1661902.4099999997</v>
      </c>
      <c r="I415" s="42">
        <f>I416+I417</f>
        <v>725413.08999999985</v>
      </c>
      <c r="J415" s="42">
        <f>J416+J417</f>
        <v>2862904.48</v>
      </c>
      <c r="K415" s="42">
        <f t="shared" si="67"/>
        <v>4.2230326382653918E-3</v>
      </c>
      <c r="L415" s="82">
        <f t="shared" si="69"/>
        <v>1702914.0699999998</v>
      </c>
    </row>
    <row r="416" spans="1:12" ht="14.85" customHeight="1" x14ac:dyDescent="0.25">
      <c r="A416" s="56" t="s">
        <v>30</v>
      </c>
      <c r="B416" s="50" t="s">
        <v>31</v>
      </c>
      <c r="C416" s="93">
        <v>4701465</v>
      </c>
      <c r="D416" s="93">
        <v>4565818.55</v>
      </c>
      <c r="E416" s="46">
        <f>F416-2193638.42</f>
        <v>710277.7200000002</v>
      </c>
      <c r="F416" s="97">
        <v>2903916.14</v>
      </c>
      <c r="G416" s="52">
        <f t="shared" si="66"/>
        <v>3.9328101649116183E-3</v>
      </c>
      <c r="H416" s="46">
        <f t="shared" si="68"/>
        <v>1661902.4099999997</v>
      </c>
      <c r="I416" s="46">
        <f>J416-2137491.39</f>
        <v>725413.08999999985</v>
      </c>
      <c r="J416" s="93">
        <v>2862904.48</v>
      </c>
      <c r="K416" s="46">
        <f t="shared" si="67"/>
        <v>4.2230326382653918E-3</v>
      </c>
      <c r="L416" s="52">
        <f t="shared" si="69"/>
        <v>1702914.0699999998</v>
      </c>
    </row>
    <row r="417" spans="1:12" ht="14.85" customHeight="1" x14ac:dyDescent="0.25">
      <c r="A417" s="56" t="s">
        <v>32</v>
      </c>
      <c r="B417" s="50" t="s">
        <v>33</v>
      </c>
      <c r="C417" s="46">
        <v>0</v>
      </c>
      <c r="D417" s="46">
        <v>0</v>
      </c>
      <c r="E417" s="46">
        <f>F417-0</f>
        <v>0</v>
      </c>
      <c r="F417" s="46">
        <v>0</v>
      </c>
      <c r="G417" s="52">
        <f t="shared" si="66"/>
        <v>0</v>
      </c>
      <c r="H417" s="46">
        <f t="shared" si="68"/>
        <v>0</v>
      </c>
      <c r="I417" s="46">
        <f>J417-0</f>
        <v>0</v>
      </c>
      <c r="J417" s="46">
        <v>0</v>
      </c>
      <c r="K417" s="46">
        <f t="shared" si="67"/>
        <v>0</v>
      </c>
      <c r="L417" s="52">
        <f t="shared" si="69"/>
        <v>0</v>
      </c>
    </row>
    <row r="418" spans="1:12" ht="14.85" customHeight="1" x14ac:dyDescent="0.2">
      <c r="A418" s="85" t="s">
        <v>239</v>
      </c>
      <c r="B418" s="86" t="s">
        <v>240</v>
      </c>
      <c r="C418" s="42">
        <f>SUM(C419:C420)</f>
        <v>6883130</v>
      </c>
      <c r="D418" s="42">
        <f>SUM(D419:D420)</f>
        <v>7549130</v>
      </c>
      <c r="E418" s="42">
        <f>SUM(E419:E420)</f>
        <v>871118.54999999981</v>
      </c>
      <c r="F418" s="42">
        <f>SUM(F419:F420)</f>
        <v>3359003.3</v>
      </c>
      <c r="G418" s="82">
        <f t="shared" si="66"/>
        <v>4.5491404315179942E-3</v>
      </c>
      <c r="H418" s="42">
        <f t="shared" si="68"/>
        <v>4190126.7</v>
      </c>
      <c r="I418" s="42">
        <f>SUM(I419:I420)</f>
        <v>876842.03000000026</v>
      </c>
      <c r="J418" s="42">
        <f>SUM(J419:J420)</f>
        <v>3085796.68</v>
      </c>
      <c r="K418" s="42">
        <f t="shared" si="67"/>
        <v>4.5518179826561957E-3</v>
      </c>
      <c r="L418" s="82">
        <f t="shared" si="69"/>
        <v>4463333.32</v>
      </c>
    </row>
    <row r="419" spans="1:12" ht="14.85" customHeight="1" x14ac:dyDescent="0.25">
      <c r="A419" s="56" t="s">
        <v>30</v>
      </c>
      <c r="B419" s="50" t="s">
        <v>31</v>
      </c>
      <c r="C419" s="93">
        <v>6883130</v>
      </c>
      <c r="D419" s="93">
        <v>7549130</v>
      </c>
      <c r="E419" s="46">
        <f>F419-2487884.75</f>
        <v>871118.54999999981</v>
      </c>
      <c r="F419" s="97">
        <v>3359003.3</v>
      </c>
      <c r="G419" s="52">
        <f t="shared" si="66"/>
        <v>4.5491404315179942E-3</v>
      </c>
      <c r="H419" s="46">
        <f t="shared" si="68"/>
        <v>4190126.7</v>
      </c>
      <c r="I419" s="46">
        <f>J419-2208954.65</f>
        <v>876842.03000000026</v>
      </c>
      <c r="J419" s="93">
        <v>3085796.68</v>
      </c>
      <c r="K419" s="46">
        <f t="shared" si="67"/>
        <v>4.5518179826561957E-3</v>
      </c>
      <c r="L419" s="52">
        <f t="shared" si="69"/>
        <v>4463333.32</v>
      </c>
    </row>
    <row r="420" spans="1:12" ht="14.85" customHeight="1" x14ac:dyDescent="0.25">
      <c r="A420" s="56" t="s">
        <v>95</v>
      </c>
      <c r="B420" s="50" t="s">
        <v>96</v>
      </c>
      <c r="C420" s="46">
        <v>0</v>
      </c>
      <c r="D420" s="46">
        <v>0</v>
      </c>
      <c r="E420" s="46">
        <f>F420-0</f>
        <v>0</v>
      </c>
      <c r="F420" s="46">
        <v>0</v>
      </c>
      <c r="G420" s="52">
        <f t="shared" si="66"/>
        <v>0</v>
      </c>
      <c r="H420" s="46">
        <f t="shared" si="68"/>
        <v>0</v>
      </c>
      <c r="I420" s="46">
        <f>J420-0</f>
        <v>0</v>
      </c>
      <c r="J420" s="46">
        <v>0</v>
      </c>
      <c r="K420" s="46">
        <f t="shared" si="67"/>
        <v>0</v>
      </c>
      <c r="L420" s="52">
        <f t="shared" si="69"/>
        <v>0</v>
      </c>
    </row>
    <row r="421" spans="1:12" ht="14.85" customHeight="1" x14ac:dyDescent="0.25">
      <c r="A421" s="85" t="s">
        <v>245</v>
      </c>
      <c r="B421" s="87" t="s">
        <v>246</v>
      </c>
      <c r="C421" s="42">
        <f>SUM(C422:C423)</f>
        <v>454064</v>
      </c>
      <c r="D421" s="42">
        <f>SUM(D422:D423)</f>
        <v>454064</v>
      </c>
      <c r="E421" s="42">
        <f>SUM(E422:E423)</f>
        <v>0</v>
      </c>
      <c r="F421" s="42">
        <f>SUM(F422:F423)</f>
        <v>0</v>
      </c>
      <c r="G421" s="52">
        <f t="shared" si="66"/>
        <v>0</v>
      </c>
      <c r="H421" s="42">
        <f t="shared" si="68"/>
        <v>454064</v>
      </c>
      <c r="I421" s="42">
        <f>E421-G421</f>
        <v>0</v>
      </c>
      <c r="J421" s="42">
        <f>SUM(J422:J423)</f>
        <v>0</v>
      </c>
      <c r="K421" s="46">
        <f>(J421/$J$317)*100</f>
        <v>0</v>
      </c>
      <c r="L421" s="82">
        <f t="shared" si="69"/>
        <v>454064</v>
      </c>
    </row>
    <row r="422" spans="1:12" ht="14.85" customHeight="1" x14ac:dyDescent="0.25">
      <c r="A422" s="56" t="s">
        <v>30</v>
      </c>
      <c r="B422" s="50" t="s">
        <v>31</v>
      </c>
      <c r="C422" s="93">
        <v>154064</v>
      </c>
      <c r="D422" s="93">
        <v>154064</v>
      </c>
      <c r="E422" s="46">
        <f>F422-0</f>
        <v>0</v>
      </c>
      <c r="F422" s="46">
        <v>0</v>
      </c>
      <c r="G422" s="52">
        <f t="shared" si="66"/>
        <v>0</v>
      </c>
      <c r="H422" s="46">
        <f t="shared" si="68"/>
        <v>154064</v>
      </c>
      <c r="I422" s="46">
        <f>J422-0</f>
        <v>0</v>
      </c>
      <c r="J422" s="46">
        <v>0</v>
      </c>
      <c r="K422" s="46">
        <f>(J422/$J$317)*100</f>
        <v>0</v>
      </c>
      <c r="L422" s="52">
        <f t="shared" si="69"/>
        <v>154064</v>
      </c>
    </row>
    <row r="423" spans="1:12" ht="14.85" customHeight="1" x14ac:dyDescent="0.25">
      <c r="A423" s="56" t="s">
        <v>32</v>
      </c>
      <c r="B423" s="50" t="s">
        <v>33</v>
      </c>
      <c r="C423" s="93">
        <v>300000</v>
      </c>
      <c r="D423" s="93">
        <v>300000</v>
      </c>
      <c r="E423" s="46">
        <f>F423-0</f>
        <v>0</v>
      </c>
      <c r="F423" s="46">
        <v>0</v>
      </c>
      <c r="G423" s="52">
        <f t="shared" si="66"/>
        <v>0</v>
      </c>
      <c r="H423" s="46">
        <f t="shared" si="68"/>
        <v>300000</v>
      </c>
      <c r="I423" s="46">
        <f>J423-0</f>
        <v>0</v>
      </c>
      <c r="J423" s="46">
        <v>0</v>
      </c>
      <c r="K423" s="46">
        <f>(J423/$J$317)*100</f>
        <v>0</v>
      </c>
      <c r="L423" s="52">
        <f t="shared" si="69"/>
        <v>300000</v>
      </c>
    </row>
    <row r="424" spans="1:12" ht="14.85" customHeight="1" x14ac:dyDescent="0.2">
      <c r="A424" s="85" t="s">
        <v>247</v>
      </c>
      <c r="B424" s="86" t="s">
        <v>248</v>
      </c>
      <c r="C424" s="42">
        <f>SUM(C425:C427)</f>
        <v>13847824</v>
      </c>
      <c r="D424" s="42">
        <f>SUM(D425:D427)</f>
        <v>13180940</v>
      </c>
      <c r="E424" s="42">
        <f>SUM(E425:E427)</f>
        <v>1238309.2499999995</v>
      </c>
      <c r="F424" s="42">
        <f>SUM(F425:F427)</f>
        <v>5300335.18</v>
      </c>
      <c r="G424" s="82">
        <f t="shared" si="66"/>
        <v>7.1783106220631599E-3</v>
      </c>
      <c r="H424" s="42">
        <f t="shared" si="68"/>
        <v>7880604.8200000003</v>
      </c>
      <c r="I424" s="42">
        <f>SUM(I425:I427)</f>
        <v>1184020.5299999998</v>
      </c>
      <c r="J424" s="42">
        <f>SUM(J425:J427)</f>
        <v>4997965.0599999996</v>
      </c>
      <c r="K424" s="42">
        <f t="shared" si="67"/>
        <v>7.3724323395134876E-3</v>
      </c>
      <c r="L424" s="82">
        <f t="shared" si="69"/>
        <v>8182974.9400000004</v>
      </c>
    </row>
    <row r="425" spans="1:12" ht="14.85" customHeight="1" x14ac:dyDescent="0.25">
      <c r="A425" s="56" t="s">
        <v>30</v>
      </c>
      <c r="B425" s="50" t="s">
        <v>31</v>
      </c>
      <c r="C425" s="93">
        <v>13847824</v>
      </c>
      <c r="D425" s="93">
        <v>13180940</v>
      </c>
      <c r="E425" s="46">
        <f>F425-4062025.93</f>
        <v>1238309.2499999995</v>
      </c>
      <c r="F425" s="97">
        <v>5300335.18</v>
      </c>
      <c r="G425" s="52">
        <f t="shared" si="66"/>
        <v>7.1783106220631599E-3</v>
      </c>
      <c r="H425" s="46">
        <f t="shared" si="68"/>
        <v>7880604.8200000003</v>
      </c>
      <c r="I425" s="46">
        <f>J425-3813944.53</f>
        <v>1184020.5299999998</v>
      </c>
      <c r="J425" s="93">
        <v>4997965.0599999996</v>
      </c>
      <c r="K425" s="46">
        <f t="shared" si="67"/>
        <v>7.3724323395134876E-3</v>
      </c>
      <c r="L425" s="52">
        <f t="shared" si="69"/>
        <v>8182974.9400000004</v>
      </c>
    </row>
    <row r="426" spans="1:12" ht="14.85" customHeight="1" x14ac:dyDescent="0.25">
      <c r="A426" s="56" t="s">
        <v>112</v>
      </c>
      <c r="B426" s="50" t="s">
        <v>113</v>
      </c>
      <c r="C426" s="46">
        <v>0</v>
      </c>
      <c r="D426" s="46">
        <v>0</v>
      </c>
      <c r="E426" s="46">
        <f>F426-0</f>
        <v>0</v>
      </c>
      <c r="F426" s="46">
        <v>0</v>
      </c>
      <c r="G426" s="82">
        <f t="shared" si="66"/>
        <v>0</v>
      </c>
      <c r="H426" s="46">
        <f t="shared" si="68"/>
        <v>0</v>
      </c>
      <c r="I426" s="46">
        <f>J426-0</f>
        <v>0</v>
      </c>
      <c r="J426" s="46">
        <v>0</v>
      </c>
      <c r="K426" s="46">
        <f t="shared" si="67"/>
        <v>0</v>
      </c>
      <c r="L426" s="52">
        <f t="shared" si="69"/>
        <v>0</v>
      </c>
    </row>
    <row r="427" spans="1:12" ht="14.85" customHeight="1" x14ac:dyDescent="0.25">
      <c r="A427" s="56" t="s">
        <v>79</v>
      </c>
      <c r="B427" s="44" t="s">
        <v>80</v>
      </c>
      <c r="C427" s="46">
        <v>0</v>
      </c>
      <c r="D427" s="46">
        <v>0</v>
      </c>
      <c r="E427" s="46">
        <f>F427-0</f>
        <v>0</v>
      </c>
      <c r="F427" s="46">
        <v>0</v>
      </c>
      <c r="G427" s="82">
        <f t="shared" si="66"/>
        <v>0</v>
      </c>
      <c r="H427" s="46">
        <f t="shared" si="68"/>
        <v>0</v>
      </c>
      <c r="I427" s="46">
        <f>J427-0</f>
        <v>0</v>
      </c>
      <c r="J427" s="46">
        <v>0</v>
      </c>
      <c r="K427" s="46">
        <f t="shared" si="67"/>
        <v>0</v>
      </c>
      <c r="L427" s="52">
        <f t="shared" si="69"/>
        <v>0</v>
      </c>
    </row>
    <row r="428" spans="1:12" ht="14.85" customHeight="1" x14ac:dyDescent="0.2">
      <c r="A428" s="85" t="s">
        <v>249</v>
      </c>
      <c r="B428" s="86" t="s">
        <v>250</v>
      </c>
      <c r="C428" s="42">
        <f>SUM(C429:C430)</f>
        <v>3974366</v>
      </c>
      <c r="D428" s="42">
        <f>SUM(D429:D430)</f>
        <v>4160456.3</v>
      </c>
      <c r="E428" s="42">
        <f>SUM(E429:E430)</f>
        <v>189294.31999999995</v>
      </c>
      <c r="F428" s="42">
        <f>SUM(F429:F430)</f>
        <v>1056204.48</v>
      </c>
      <c r="G428" s="82">
        <f t="shared" si="66"/>
        <v>1.4304310162239018E-3</v>
      </c>
      <c r="H428" s="42">
        <f t="shared" si="68"/>
        <v>3104251.82</v>
      </c>
      <c r="I428" s="42">
        <f>SUM(I429:I430)</f>
        <v>196498.89000000004</v>
      </c>
      <c r="J428" s="42">
        <f>SUM(J429:J430)</f>
        <v>874812.15</v>
      </c>
      <c r="K428" s="42">
        <f t="shared" si="67"/>
        <v>1.2904238641594915E-3</v>
      </c>
      <c r="L428" s="82">
        <f t="shared" si="69"/>
        <v>3285644.15</v>
      </c>
    </row>
    <row r="429" spans="1:12" ht="14.85" customHeight="1" x14ac:dyDescent="0.25">
      <c r="A429" s="56" t="s">
        <v>30</v>
      </c>
      <c r="B429" s="50" t="s">
        <v>31</v>
      </c>
      <c r="C429" s="93">
        <v>1474366</v>
      </c>
      <c r="D429" s="93">
        <v>1660456.3</v>
      </c>
      <c r="E429" s="46">
        <f>F429-616910.16</f>
        <v>189294.31999999995</v>
      </c>
      <c r="F429" s="97">
        <v>806204.48</v>
      </c>
      <c r="G429" s="52">
        <f t="shared" si="66"/>
        <v>1.0918528707723925E-3</v>
      </c>
      <c r="H429" s="46">
        <f t="shared" si="68"/>
        <v>854251.82000000007</v>
      </c>
      <c r="I429" s="46">
        <f>J429-564719.86</f>
        <v>171153.18000000005</v>
      </c>
      <c r="J429" s="93">
        <v>735873.04</v>
      </c>
      <c r="K429" s="46">
        <f t="shared" si="67"/>
        <v>1.0854766155312225E-3</v>
      </c>
      <c r="L429" s="52">
        <f t="shared" si="69"/>
        <v>924583.26</v>
      </c>
    </row>
    <row r="430" spans="1:12" ht="14.85" customHeight="1" x14ac:dyDescent="0.25">
      <c r="A430" s="56" t="s">
        <v>132</v>
      </c>
      <c r="B430" s="50" t="s">
        <v>133</v>
      </c>
      <c r="C430" s="93">
        <v>2500000</v>
      </c>
      <c r="D430" s="93">
        <v>2500000</v>
      </c>
      <c r="E430" s="46">
        <f>F430-250000</f>
        <v>0</v>
      </c>
      <c r="F430" s="97">
        <v>250000</v>
      </c>
      <c r="G430" s="52">
        <f t="shared" si="66"/>
        <v>3.3857814545150899E-4</v>
      </c>
      <c r="H430" s="46">
        <f t="shared" si="68"/>
        <v>2250000</v>
      </c>
      <c r="I430" s="46">
        <f>J430-113593.4</f>
        <v>25345.709999999992</v>
      </c>
      <c r="J430" s="93">
        <v>138939.10999999999</v>
      </c>
      <c r="K430" s="46">
        <f t="shared" si="67"/>
        <v>2.049472486282691E-4</v>
      </c>
      <c r="L430" s="52">
        <f t="shared" si="69"/>
        <v>2361060.89</v>
      </c>
    </row>
    <row r="431" spans="1:12" ht="14.85" customHeight="1" x14ac:dyDescent="0.2">
      <c r="A431" s="85" t="s">
        <v>253</v>
      </c>
      <c r="B431" s="86" t="s">
        <v>254</v>
      </c>
      <c r="C431" s="42">
        <f>SUM(C432:C433)</f>
        <v>510000000</v>
      </c>
      <c r="D431" s="42">
        <f>SUM(D432:D433)</f>
        <v>530000000</v>
      </c>
      <c r="E431" s="42">
        <f>SUM(E432:E433)</f>
        <v>65026306.069999993</v>
      </c>
      <c r="F431" s="42">
        <f>SUM(F432:F433)</f>
        <v>258892478.41</v>
      </c>
      <c r="G431" s="82">
        <f t="shared" si="66"/>
        <v>0.35062134084561053</v>
      </c>
      <c r="H431" s="42">
        <f t="shared" si="68"/>
        <v>271107521.59000003</v>
      </c>
      <c r="I431" s="42">
        <f>SUM(I432:I433)</f>
        <v>65026306.069999993</v>
      </c>
      <c r="J431" s="42">
        <f>SUM(J432:J433)</f>
        <v>258892478.41</v>
      </c>
      <c r="K431" s="42">
        <f t="shared" si="67"/>
        <v>0.38188888024893108</v>
      </c>
      <c r="L431" s="82">
        <f t="shared" si="69"/>
        <v>271107521.59000003</v>
      </c>
    </row>
    <row r="432" spans="1:12" ht="14.85" customHeight="1" x14ac:dyDescent="0.25">
      <c r="A432" s="56" t="s">
        <v>61</v>
      </c>
      <c r="B432" s="50" t="s">
        <v>62</v>
      </c>
      <c r="C432" s="93">
        <v>510000000</v>
      </c>
      <c r="D432" s="93">
        <v>530000000</v>
      </c>
      <c r="E432" s="46">
        <f>F432-193866172.34</f>
        <v>65026306.069999993</v>
      </c>
      <c r="F432" s="97">
        <v>258892478.41</v>
      </c>
      <c r="G432" s="52">
        <f t="shared" si="66"/>
        <v>0.35062134084561053</v>
      </c>
      <c r="H432" s="46">
        <f t="shared" si="68"/>
        <v>271107521.59000003</v>
      </c>
      <c r="I432" s="46">
        <f>J432-193866172.34</f>
        <v>65026306.069999993</v>
      </c>
      <c r="J432" s="93">
        <v>258892478.41</v>
      </c>
      <c r="K432" s="46">
        <f t="shared" si="67"/>
        <v>0.38188888024893108</v>
      </c>
      <c r="L432" s="52">
        <f t="shared" si="69"/>
        <v>271107521.59000003</v>
      </c>
    </row>
    <row r="433" spans="1:13" ht="14.85" customHeight="1" x14ac:dyDescent="0.25">
      <c r="A433" s="43" t="s">
        <v>261</v>
      </c>
      <c r="B433" s="44" t="s">
        <v>262</v>
      </c>
      <c r="C433" s="46">
        <v>0</v>
      </c>
      <c r="D433" s="46">
        <v>0</v>
      </c>
      <c r="E433" s="46">
        <f>F433-0</f>
        <v>0</v>
      </c>
      <c r="F433" s="46">
        <v>0</v>
      </c>
      <c r="G433" s="52">
        <f t="shared" si="66"/>
        <v>0</v>
      </c>
      <c r="H433" s="46">
        <f t="shared" si="68"/>
        <v>0</v>
      </c>
      <c r="I433" s="46">
        <f>J433-0</f>
        <v>0</v>
      </c>
      <c r="J433" s="46">
        <v>0</v>
      </c>
      <c r="K433" s="46">
        <f t="shared" si="67"/>
        <v>0</v>
      </c>
      <c r="L433" s="52">
        <f t="shared" si="69"/>
        <v>0</v>
      </c>
    </row>
    <row r="434" spans="1:13" ht="14.85" customHeight="1" x14ac:dyDescent="0.25">
      <c r="A434" s="88" t="s">
        <v>263</v>
      </c>
      <c r="B434" s="89" t="s">
        <v>264</v>
      </c>
      <c r="C434" s="90">
        <v>0</v>
      </c>
      <c r="D434" s="90">
        <v>0</v>
      </c>
      <c r="E434" s="91"/>
      <c r="F434" s="91"/>
      <c r="G434" s="91"/>
      <c r="H434" s="90">
        <f t="shared" si="68"/>
        <v>0</v>
      </c>
      <c r="I434" s="91"/>
      <c r="J434" s="91"/>
      <c r="K434" s="91"/>
      <c r="L434" s="92">
        <f t="shared" si="69"/>
        <v>0</v>
      </c>
    </row>
    <row r="435" spans="1:13" ht="15.75" x14ac:dyDescent="0.25">
      <c r="A435" s="39" t="s">
        <v>276</v>
      </c>
      <c r="B435" s="22"/>
      <c r="C435" s="22"/>
      <c r="D435" s="22"/>
      <c r="E435" s="22"/>
      <c r="F435" s="36"/>
      <c r="G435" s="33"/>
      <c r="H435" s="22"/>
      <c r="I435" s="22"/>
      <c r="J435" s="22"/>
      <c r="K435" s="22"/>
      <c r="L435" s="57" t="s">
        <v>277</v>
      </c>
    </row>
    <row r="436" spans="1:13" ht="15.75" x14ac:dyDescent="0.25">
      <c r="A436" s="39" t="s">
        <v>278</v>
      </c>
      <c r="B436" s="22"/>
      <c r="C436" s="22"/>
      <c r="D436" s="22"/>
      <c r="E436" s="22"/>
      <c r="F436" s="22"/>
      <c r="G436" s="22"/>
      <c r="H436" s="22"/>
      <c r="I436" s="36"/>
      <c r="J436" s="22"/>
      <c r="K436" s="22"/>
      <c r="L436" s="22"/>
    </row>
    <row r="437" spans="1:13" ht="15.75" x14ac:dyDescent="0.25">
      <c r="A437" s="39" t="s">
        <v>279</v>
      </c>
      <c r="B437" s="22"/>
      <c r="C437" s="22"/>
      <c r="D437" s="22"/>
      <c r="E437" s="22"/>
      <c r="F437" s="22"/>
      <c r="G437" s="22"/>
      <c r="H437" s="22"/>
      <c r="I437" s="22"/>
      <c r="J437" s="36"/>
      <c r="K437" s="22"/>
      <c r="L437" s="22"/>
    </row>
    <row r="438" spans="1:13" ht="15.75" x14ac:dyDescent="0.25">
      <c r="A438" s="39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</row>
    <row r="439" spans="1:13" ht="15.75" x14ac:dyDescent="0.25">
      <c r="A439" s="39"/>
      <c r="B439" s="22"/>
      <c r="C439" s="70"/>
      <c r="D439" s="70"/>
      <c r="E439" s="70"/>
      <c r="F439" s="70"/>
      <c r="G439" s="70"/>
      <c r="H439" s="70"/>
      <c r="I439" s="70"/>
      <c r="J439" s="70"/>
      <c r="K439" s="70"/>
      <c r="L439" s="70"/>
    </row>
    <row r="440" spans="1:13" ht="15.75" x14ac:dyDescent="0.25">
      <c r="A440" s="39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</row>
    <row r="441" spans="1:13" ht="15.75" x14ac:dyDescent="0.25">
      <c r="A441" s="39"/>
      <c r="B441" s="22"/>
      <c r="C441" s="70"/>
      <c r="D441" s="70"/>
      <c r="E441" s="70"/>
      <c r="F441" s="70"/>
      <c r="G441" s="70"/>
      <c r="H441" s="70"/>
      <c r="I441" s="70"/>
      <c r="J441" s="70"/>
      <c r="K441" s="70"/>
      <c r="L441" s="70"/>
    </row>
    <row r="442" spans="1:13" ht="15.75" x14ac:dyDescent="0.25">
      <c r="A442" s="39"/>
      <c r="B442" s="22"/>
      <c r="C442" s="70"/>
      <c r="D442" s="70"/>
      <c r="E442" s="70"/>
      <c r="F442" s="70"/>
      <c r="G442" s="70"/>
      <c r="H442" s="70"/>
      <c r="I442" s="70"/>
      <c r="J442" s="70"/>
      <c r="K442" s="70"/>
      <c r="L442" s="70"/>
    </row>
    <row r="443" spans="1:13" ht="15.75" x14ac:dyDescent="0.25">
      <c r="A443" s="39"/>
      <c r="B443" s="22"/>
      <c r="C443" s="70"/>
      <c r="D443" s="70"/>
      <c r="E443" s="70"/>
      <c r="F443" s="70"/>
      <c r="G443" s="70"/>
      <c r="H443" s="70"/>
      <c r="I443" s="70"/>
      <c r="J443" s="70"/>
      <c r="K443" s="70"/>
      <c r="L443" s="70"/>
    </row>
    <row r="444" spans="1:13" ht="15.75" x14ac:dyDescent="0.25">
      <c r="A444" s="39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</row>
    <row r="445" spans="1:13" ht="15.75" x14ac:dyDescent="0.25">
      <c r="A445" s="26"/>
      <c r="B445" s="22"/>
      <c r="C445" s="22"/>
      <c r="D445" s="22"/>
      <c r="E445" s="36"/>
      <c r="F445" s="22"/>
      <c r="G445" s="22"/>
      <c r="H445" s="22"/>
      <c r="I445" s="36"/>
      <c r="J445" s="22"/>
      <c r="K445" s="22"/>
      <c r="L445" s="22"/>
      <c r="M445" s="95"/>
    </row>
    <row r="446" spans="1:13" x14ac:dyDescent="0.2">
      <c r="A446" s="34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95"/>
    </row>
    <row r="447" spans="1:13" x14ac:dyDescent="0.2">
      <c r="A447" s="34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95"/>
    </row>
    <row r="448" spans="1:13" ht="15.75" x14ac:dyDescent="0.25">
      <c r="A448" s="105" t="s">
        <v>280</v>
      </c>
      <c r="B448" s="105"/>
      <c r="C448" s="98" t="s">
        <v>281</v>
      </c>
      <c r="D448" s="98"/>
      <c r="E448" s="98"/>
      <c r="F448" s="98"/>
      <c r="G448" s="98"/>
      <c r="H448" s="98"/>
      <c r="I448" s="98" t="s">
        <v>282</v>
      </c>
      <c r="J448" s="98"/>
      <c r="K448" s="98"/>
      <c r="L448" s="98"/>
      <c r="M448" s="95"/>
    </row>
    <row r="449" spans="1:13" ht="15.75" x14ac:dyDescent="0.25">
      <c r="A449" s="105" t="s">
        <v>283</v>
      </c>
      <c r="B449" s="105"/>
      <c r="C449" s="98" t="s">
        <v>284</v>
      </c>
      <c r="D449" s="98"/>
      <c r="E449" s="98"/>
      <c r="F449" s="98"/>
      <c r="G449" s="98"/>
      <c r="H449" s="98"/>
      <c r="I449" s="104" t="s">
        <v>285</v>
      </c>
      <c r="J449" s="104"/>
      <c r="K449" s="104"/>
      <c r="L449" s="104"/>
      <c r="M449" s="95"/>
    </row>
    <row r="450" spans="1:13" ht="15.75" x14ac:dyDescent="0.25">
      <c r="A450" s="105" t="s">
        <v>286</v>
      </c>
      <c r="B450" s="105"/>
      <c r="C450" s="98" t="s">
        <v>287</v>
      </c>
      <c r="D450" s="98"/>
      <c r="E450" s="98"/>
      <c r="F450" s="98"/>
      <c r="G450" s="98"/>
      <c r="H450" s="98"/>
      <c r="I450" s="98" t="s">
        <v>288</v>
      </c>
      <c r="J450" s="98"/>
      <c r="K450" s="98"/>
      <c r="L450" s="98"/>
      <c r="M450" s="95"/>
    </row>
    <row r="451" spans="1:13" x14ac:dyDescent="0.2">
      <c r="A451" s="34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95"/>
    </row>
    <row r="452" spans="1:13" x14ac:dyDescent="0.2">
      <c r="A452" s="34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95"/>
    </row>
    <row r="453" spans="1:13" x14ac:dyDescent="0.2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</row>
    <row r="454" spans="1:13" x14ac:dyDescent="0.2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</row>
    <row r="455" spans="1:13" x14ac:dyDescent="0.2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</row>
    <row r="456" spans="1:13" ht="15" x14ac:dyDescent="0.25">
      <c r="A456" s="38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</row>
    <row r="457" spans="1:13" x14ac:dyDescent="0.2">
      <c r="A457" s="34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</row>
    <row r="458" spans="1:13" x14ac:dyDescent="0.2">
      <c r="A458" s="34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</row>
    <row r="459" spans="1:13" x14ac:dyDescent="0.2">
      <c r="A459" s="34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</row>
    <row r="460" spans="1:13" x14ac:dyDescent="0.2">
      <c r="A460" s="34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</row>
    <row r="461" spans="1:13" x14ac:dyDescent="0.2">
      <c r="A461" s="34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</row>
    <row r="462" spans="1:13" x14ac:dyDescent="0.2">
      <c r="A462" s="34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</row>
    <row r="463" spans="1:13" x14ac:dyDescent="0.2">
      <c r="A463" s="34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</row>
    <row r="464" spans="1:13" x14ac:dyDescent="0.2">
      <c r="A464" s="34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</row>
    <row r="465" spans="1:12" x14ac:dyDescent="0.2">
      <c r="A465" s="34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</row>
    <row r="466" spans="1:12" x14ac:dyDescent="0.2">
      <c r="A466" s="34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</row>
    <row r="467" spans="1:12" x14ac:dyDescent="0.2">
      <c r="A467" s="34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</row>
    <row r="468" spans="1:12" x14ac:dyDescent="0.2">
      <c r="A468" s="34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</row>
    <row r="469" spans="1:12" x14ac:dyDescent="0.2">
      <c r="A469" s="34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</row>
    <row r="470" spans="1:12" x14ac:dyDescent="0.2">
      <c r="A470" s="34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</row>
    <row r="471" spans="1:12" x14ac:dyDescent="0.2">
      <c r="A471" s="34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</row>
    <row r="472" spans="1:12" x14ac:dyDescent="0.2">
      <c r="A472" s="34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</row>
    <row r="473" spans="1:12" x14ac:dyDescent="0.2">
      <c r="A473" s="34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</row>
    <row r="474" spans="1:12" x14ac:dyDescent="0.2">
      <c r="A474" s="34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</row>
    <row r="475" spans="1:12" x14ac:dyDescent="0.2">
      <c r="A475" s="34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</row>
    <row r="476" spans="1:12" x14ac:dyDescent="0.2">
      <c r="A476" s="34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</row>
    <row r="477" spans="1:12" x14ac:dyDescent="0.2">
      <c r="A477" s="34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</row>
    <row r="478" spans="1:12" x14ac:dyDescent="0.2">
      <c r="A478" s="34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</row>
    <row r="479" spans="1:12" x14ac:dyDescent="0.2">
      <c r="A479" s="34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</row>
    <row r="480" spans="1:12" x14ac:dyDescent="0.2">
      <c r="A480" s="34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</row>
    <row r="481" spans="1:12" x14ac:dyDescent="0.2">
      <c r="A481" s="34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</row>
    <row r="482" spans="1:12" x14ac:dyDescent="0.2">
      <c r="A482" s="34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</row>
    <row r="483" spans="1:12" x14ac:dyDescent="0.2">
      <c r="A483" s="34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</row>
    <row r="484" spans="1:12" x14ac:dyDescent="0.2">
      <c r="A484" s="34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</row>
    <row r="485" spans="1:12" x14ac:dyDescent="0.2">
      <c r="A485" s="34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</row>
    <row r="486" spans="1:12" x14ac:dyDescent="0.2">
      <c r="A486" s="34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</row>
    <row r="487" spans="1:12" x14ac:dyDescent="0.2">
      <c r="A487" s="34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</row>
    <row r="488" spans="1:12" x14ac:dyDescent="0.2">
      <c r="A488" s="34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</row>
    <row r="489" spans="1:12" x14ac:dyDescent="0.2">
      <c r="A489" s="34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</row>
    <row r="490" spans="1:12" x14ac:dyDescent="0.2">
      <c r="A490" s="34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</row>
    <row r="491" spans="1:12" x14ac:dyDescent="0.2">
      <c r="A491" s="34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</row>
    <row r="492" spans="1:12" x14ac:dyDescent="0.2">
      <c r="A492" s="34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</row>
    <row r="493" spans="1:12" x14ac:dyDescent="0.2">
      <c r="A493" s="34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</row>
    <row r="494" spans="1:12" x14ac:dyDescent="0.2">
      <c r="A494" s="34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</row>
    <row r="495" spans="1:12" x14ac:dyDescent="0.2">
      <c r="A495" s="34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</row>
    <row r="496" spans="1:12" x14ac:dyDescent="0.2">
      <c r="A496" s="34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</row>
    <row r="497" spans="1:12" x14ac:dyDescent="0.2">
      <c r="A497" s="34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</row>
    <row r="498" spans="1:12" x14ac:dyDescent="0.2">
      <c r="A498" s="34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</row>
  </sheetData>
  <mergeCells count="33">
    <mergeCell ref="E10:G10"/>
    <mergeCell ref="I10:K10"/>
    <mergeCell ref="A327:L327"/>
    <mergeCell ref="A163:L163"/>
    <mergeCell ref="A164:L164"/>
    <mergeCell ref="A165:L165"/>
    <mergeCell ref="A166:L166"/>
    <mergeCell ref="A167:L167"/>
    <mergeCell ref="A3:L3"/>
    <mergeCell ref="A4:L4"/>
    <mergeCell ref="A5:L5"/>
    <mergeCell ref="A6:L6"/>
    <mergeCell ref="A7:L7"/>
    <mergeCell ref="A450:B450"/>
    <mergeCell ref="C450:H450"/>
    <mergeCell ref="I450:L450"/>
    <mergeCell ref="A317:B317"/>
    <mergeCell ref="E330:G330"/>
    <mergeCell ref="I330:K330"/>
    <mergeCell ref="A323:L323"/>
    <mergeCell ref="A324:L324"/>
    <mergeCell ref="A325:L325"/>
    <mergeCell ref="A326:L326"/>
    <mergeCell ref="A448:B448"/>
    <mergeCell ref="C448:H448"/>
    <mergeCell ref="A449:B449"/>
    <mergeCell ref="C449:H449"/>
    <mergeCell ref="I448:L448"/>
    <mergeCell ref="E170:G170"/>
    <mergeCell ref="N351:O351"/>
    <mergeCell ref="M190:O190"/>
    <mergeCell ref="I449:L449"/>
    <mergeCell ref="I170:K170"/>
  </mergeCells>
  <printOptions horizontalCentered="1" verticalCentered="1"/>
  <pageMargins left="0.23622047244094491" right="0.23622047244094491" top="0" bottom="0" header="0" footer="0"/>
  <pageSetup paperSize="9" scale="34" fitToHeight="0" orientation="portrait" r:id="rId1"/>
  <rowBreaks count="2" manualBreakCount="2">
    <brk id="158" max="11" man="1"/>
    <brk id="318" max="11" man="1"/>
  </rowBreaks>
  <ignoredErrors>
    <ignoredError sqref="J278 J343 I335 C431:D431 J431 F431 J198" formulaRange="1"/>
    <ignoredError sqref="E25 E317 E29:F29 E35:F35 E108:F108 E153:F153 E248:F248 E287:F287 E362:F362 E366:F366 E368:F368 F397 J397 I368:J368 I366:J366 I362:J362 I356:J356 H317:J317 I248:J248 I101 I105 I108:J108 I153:J153 I112 I246 I120 E205 I87 E410 E408 I205 I287:J287 I232:I234 I274 I278 I290 E278:E282 I408 I410 I413:J413 E413:F413 E120 E216 I395:I397 E183:F183 I183:J183 E229:F229 I229 E393:F393 I393:J393 E390:F390 E389 I392 E392 I389:I390 E395:E397 E224 E200:F200 I192:J192 E190:F192 I224 I62:I63 I306:J306 I300:J300 E306:F306 E300:F300 E302 E294 I57 E194:E195 I194:I195 I200 E274 E305 I305 E343:E344 E342:F342 E356:F356 E339:F339 F343 E354 I350:I351 J35 I51:I53 I29:J29 I24:I25 I35:I36 E236:E237 I302 E44 I47 E78:E80 E85:E87 E96:E97 E226 I354 E263:F265 I267:J267 I269:I270 I272 E269:E270 E272 I256:I258 E257:E258 E47 E350:E351 E51:E53 E62:E63 E89:E91 I44 E415 E57:E58 E101 I216 E252:F252 I252 E337 E348 I348 I415 E418 I418 I190:I191 I294 I236:I237 I261 E126 E152 E123 I203 E424 I424 I420:I421 E420:E421 E426:E428 I426:I428 I431 E60 E73 E93 G122:H122 E128:E130 G127:H127 G131:H131 E147 G140:H146 G150:H151 I263:I266 E372 E375 E383 I386 I383 I375 I372 E333 I282 I342 G125:H125 I403:I404 E403:E404 G126:I126 G123:I123 G128:I130 K122:K123 G152:I152 G147:I147 K150:K152 K125:K147 E132 G132:I132 G188:H188 I401 E75 E134:E135 E137 E139 G134:I135 G133:H133 G137:I137 G136:H136 G139:I139 G138:H138 E267:F267 E266" formula="1"/>
    <ignoredError sqref="A14:A20 A21:B21 A33:B33 A97:B97 A129:B129 A139:B139 B194 A207:B207 A208:A214 A215:B215 A231:B231 A274:B274 A275:A280 A294:B294 A364:B364 M364:IV364 A153:A157 A223:A230 A281:B282 A232:A273 A287:A293 A295:A316 A434 A353:A363 A334:A351 A22:A32 A56:A96 A125:A128 A130:A138 A34:A54 A150:A151 A98:A123 A220 A216:A218 A140:A147 A408:A432 A389:A395 A173:A206 A365:A387 A403:A404 A397:A401" numberStoredAsText="1"/>
    <ignoredError sqref="G317 K317" evalError="1" formula="1"/>
    <ignoredError sqref="G333 K333 K13" evalError="1"/>
    <ignoredError sqref="J205 J339 I339 I343 I344 I337 E431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fcc7d6-e1dc-4701-b230-8bbb8f498e6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4BBF854C49E478CC09B3E53C2FE20" ma:contentTypeVersion="11" ma:contentTypeDescription="Create a new document." ma:contentTypeScope="" ma:versionID="c2dba938204f6fac244edf89fd8cf108">
  <xsd:schema xmlns:xsd="http://www.w3.org/2001/XMLSchema" xmlns:xs="http://www.w3.org/2001/XMLSchema" xmlns:p="http://schemas.microsoft.com/office/2006/metadata/properties" xmlns:ns2="ebfcc7d6-e1dc-4701-b230-8bbb8f498e60" targetNamespace="http://schemas.microsoft.com/office/2006/metadata/properties" ma:root="true" ma:fieldsID="2fac4ea395ebad90bac8a733c88960ca" ns2:_="">
    <xsd:import namespace="ebfcc7d6-e1dc-4701-b230-8bbb8f498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cc7d6-e1dc-4701-b230-8bbb8f498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f008325-463b-45ed-9e9b-5388e118c1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D4B545-DE12-4DEF-8288-D5823A37CCEB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ebfcc7d6-e1dc-4701-b230-8bbb8f498e6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0AA4AC-03BB-4968-9742-2190DBF4E083}"/>
</file>

<file path=customXml/itemProps3.xml><?xml version="1.0" encoding="utf-8"?>
<ds:datastoreItem xmlns:ds="http://schemas.openxmlformats.org/officeDocument/2006/customXml" ds:itemID="{1C918A38-DC03-4CBA-ACD2-129A1875E6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 - 4º BIM</vt:lpstr>
      <vt:lpstr>'Anexo II - 4º BIM'!Area_de_impressao</vt:lpstr>
    </vt:vector>
  </TitlesOfParts>
  <Manager/>
  <Company>sefcon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Dcpacheco</dc:creator>
  <cp:keywords/>
  <dc:description/>
  <cp:lastModifiedBy>Yago Barros Barbosa</cp:lastModifiedBy>
  <cp:revision/>
  <cp:lastPrinted>2024-09-19T17:52:02Z</cp:lastPrinted>
  <dcterms:created xsi:type="dcterms:W3CDTF">2005-03-08T15:13:02Z</dcterms:created>
  <dcterms:modified xsi:type="dcterms:W3CDTF">2024-09-30T16:13:51Z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0x010100C874BBF854C49E478CC09B3E53C2FE20</vt:lpwstr>
  </property>
  <property fmtid="{D5CDD505-2E9C-101B-9397-08002B2CF9AE}" pid="3" name="MediaServiceImageTags">
    <vt:lpwstr/>
  </property>
</Properties>
</file>