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05" windowWidth="7680" windowHeight="5265" activeTab="0"/>
  </bookViews>
  <sheets>
    <sheet name="Anexo II - 2º BIM" sheetId="1" r:id="rId1"/>
  </sheets>
  <definedNames>
    <definedName name="_xlnm.Print_Area" localSheetId="0">'Anexo II - 2º BIM'!$A$1:$L$481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<sst xmlns="http://schemas.openxmlformats.org/spreadsheetml/2006/main" count="879" uniqueCount="291">
  <si>
    <t>RELATÓRIO RESUMIDO DA EXECUÇÃO ORÇAMENTÁRIA</t>
  </si>
  <si>
    <t>DEMONSTRATIVO DA EXECUÇÃO DAS DESPESAS POR FUNÇÃO/SUBFUNÇÃO</t>
  </si>
  <si>
    <t>ORÇAMENTOS FISCAL E DA SEGURIDADE SOCIAL</t>
  </si>
  <si>
    <t>DOTAÇÃO</t>
  </si>
  <si>
    <t>DESPESAS EMPENHADAS</t>
  </si>
  <si>
    <t>DESPESAS LIQUIDADAS</t>
  </si>
  <si>
    <t>FUNÇÃO/SUBFUNÇÃO</t>
  </si>
  <si>
    <t>INICIAL</t>
  </si>
  <si>
    <t>ATUALIZADA</t>
  </si>
  <si>
    <t>No Bimestre</t>
  </si>
  <si>
    <t>Até o Bimestre</t>
  </si>
  <si>
    <t>%</t>
  </si>
  <si>
    <t>(a)</t>
  </si>
  <si>
    <t>(b)</t>
  </si>
  <si>
    <t>GOVERNO DO ESTADO DO RIO DE JANEIRO</t>
  </si>
  <si>
    <t>DESPESAS (EXCETO INTRA-ORÇAMENTÁRIAS) (I)</t>
  </si>
  <si>
    <t>DESPESAS (INTRA-ORÇAMENTÁRIAS) (II)</t>
  </si>
  <si>
    <t>(b/total b)</t>
  </si>
  <si>
    <t>SALDO</t>
  </si>
  <si>
    <t>(c) = (a - b)</t>
  </si>
  <si>
    <t>(d)</t>
  </si>
  <si>
    <t>(d/total d)</t>
  </si>
  <si>
    <t>(e) = (a - d)</t>
  </si>
  <si>
    <t>COD</t>
  </si>
  <si>
    <t>Legislativa</t>
  </si>
  <si>
    <t>01</t>
  </si>
  <si>
    <t>031</t>
  </si>
  <si>
    <t>032</t>
  </si>
  <si>
    <t>122</t>
  </si>
  <si>
    <t>128</t>
  </si>
  <si>
    <t>542</t>
  </si>
  <si>
    <t>Ação Legislativa</t>
  </si>
  <si>
    <t>Controle Externo</t>
  </si>
  <si>
    <t>Administração Geral</t>
  </si>
  <si>
    <t>Formação de Recursos Humanos</t>
  </si>
  <si>
    <t>Controle Ambiental</t>
  </si>
  <si>
    <t>02</t>
  </si>
  <si>
    <t>Judiciária</t>
  </si>
  <si>
    <t>061</t>
  </si>
  <si>
    <t>123</t>
  </si>
  <si>
    <t>Ação Judiciária</t>
  </si>
  <si>
    <t>Administração Financeira</t>
  </si>
  <si>
    <t>03</t>
  </si>
  <si>
    <t>Essencial à Justiça</t>
  </si>
  <si>
    <t>091</t>
  </si>
  <si>
    <t>Defesa da Ordem Jurídica</t>
  </si>
  <si>
    <t>04</t>
  </si>
  <si>
    <t>Administração</t>
  </si>
  <si>
    <t>121</t>
  </si>
  <si>
    <t>125</t>
  </si>
  <si>
    <t>126</t>
  </si>
  <si>
    <t>127</t>
  </si>
  <si>
    <t>241</t>
  </si>
  <si>
    <t>422</t>
  </si>
  <si>
    <t>694</t>
  </si>
  <si>
    <t>Planejamento e Orçamento</t>
  </si>
  <si>
    <t>Normatização e Fiscalização</t>
  </si>
  <si>
    <t>Tecnologia da Informação</t>
  </si>
  <si>
    <t>Ordenamento Territorial</t>
  </si>
  <si>
    <t>Assistência ao Idoso</t>
  </si>
  <si>
    <t>Direitos Individuais, Coletivos e Difusos</t>
  </si>
  <si>
    <t>Serviços Financeiros</t>
  </si>
  <si>
    <t>Segurança Pública</t>
  </si>
  <si>
    <t>06</t>
  </si>
  <si>
    <t>181</t>
  </si>
  <si>
    <t>182</t>
  </si>
  <si>
    <t>183</t>
  </si>
  <si>
    <t>302</t>
  </si>
  <si>
    <t>306</t>
  </si>
  <si>
    <t>421</t>
  </si>
  <si>
    <t>781</t>
  </si>
  <si>
    <t>782</t>
  </si>
  <si>
    <t>Policiamento</t>
  </si>
  <si>
    <t>Defesa Civil</t>
  </si>
  <si>
    <t>Informação e Inteligência</t>
  </si>
  <si>
    <t>Assistência Hospitalar e Ambulatorial</t>
  </si>
  <si>
    <t>Alimentação e Nutrição</t>
  </si>
  <si>
    <t>Custódia e Reintegração Social</t>
  </si>
  <si>
    <t>Transporte Aéreo</t>
  </si>
  <si>
    <t>Transporte Rodoviário</t>
  </si>
  <si>
    <t>Assistência Social</t>
  </si>
  <si>
    <t>08</t>
  </si>
  <si>
    <t>243</t>
  </si>
  <si>
    <t>244</t>
  </si>
  <si>
    <t>Assistência à Criança e ao Adolescente</t>
  </si>
  <si>
    <t>Assistência Comunitária</t>
  </si>
  <si>
    <t>Previdência Social</t>
  </si>
  <si>
    <t>09</t>
  </si>
  <si>
    <t>272</t>
  </si>
  <si>
    <t>Previdência do Regime Estatutário</t>
  </si>
  <si>
    <t>10</t>
  </si>
  <si>
    <t>Saúde</t>
  </si>
  <si>
    <t>301</t>
  </si>
  <si>
    <t>303</t>
  </si>
  <si>
    <t>304</t>
  </si>
  <si>
    <t>305</t>
  </si>
  <si>
    <t>571</t>
  </si>
  <si>
    <t>573</t>
  </si>
  <si>
    <t>Atenção Básica</t>
  </si>
  <si>
    <t>Suporte Profilático e Terapêutico</t>
  </si>
  <si>
    <t>Vigilância Sanitária</t>
  </si>
  <si>
    <t>Vigilância Epidemiológica</t>
  </si>
  <si>
    <t>Desenvolvimento Científico</t>
  </si>
  <si>
    <t>Trabalho</t>
  </si>
  <si>
    <t>11</t>
  </si>
  <si>
    <t>333</t>
  </si>
  <si>
    <t>334</t>
  </si>
  <si>
    <t>Empregabilidade</t>
  </si>
  <si>
    <t>Fomento ao Trabalho</t>
  </si>
  <si>
    <t>12</t>
  </si>
  <si>
    <t>Educação</t>
  </si>
  <si>
    <t>361</t>
  </si>
  <si>
    <t>362</t>
  </si>
  <si>
    <t>363</t>
  </si>
  <si>
    <t>364</t>
  </si>
  <si>
    <t>366</t>
  </si>
  <si>
    <t>367</t>
  </si>
  <si>
    <t>392</t>
  </si>
  <si>
    <t>Ensino Fundamental</t>
  </si>
  <si>
    <t>Ensino Médio</t>
  </si>
  <si>
    <t>Ensino Profissional</t>
  </si>
  <si>
    <t>Ensino Superior</t>
  </si>
  <si>
    <t>Educação de Jovens e Adultos</t>
  </si>
  <si>
    <t>Educação Especial</t>
  </si>
  <si>
    <t>Difusão Cultural</t>
  </si>
  <si>
    <t>13</t>
  </si>
  <si>
    <t>Cultura</t>
  </si>
  <si>
    <t>391</t>
  </si>
  <si>
    <t>Patrimônio Histór, Artístico e Arqueológico</t>
  </si>
  <si>
    <t>14</t>
  </si>
  <si>
    <t>Direitos da Cidadania</t>
  </si>
  <si>
    <t>242</t>
  </si>
  <si>
    <t>Assistência ao Portador de Deficiência</t>
  </si>
  <si>
    <t>15</t>
  </si>
  <si>
    <t>Urbanismo</t>
  </si>
  <si>
    <t>451</t>
  </si>
  <si>
    <t>Infraestrutura Urbana</t>
  </si>
  <si>
    <t>Habitação</t>
  </si>
  <si>
    <t>16</t>
  </si>
  <si>
    <t>482</t>
  </si>
  <si>
    <t>Habitação Urbana</t>
  </si>
  <si>
    <t>17</t>
  </si>
  <si>
    <t>Saneamento</t>
  </si>
  <si>
    <t>512</t>
  </si>
  <si>
    <t>Saneamento Básico Urbano</t>
  </si>
  <si>
    <t>543</t>
  </si>
  <si>
    <t>Recuperação de Áreas Degradadas</t>
  </si>
  <si>
    <t>544</t>
  </si>
  <si>
    <t>Recursos Hídricos</t>
  </si>
  <si>
    <t>18</t>
  </si>
  <si>
    <t>Gestão Ambiental</t>
  </si>
  <si>
    <t>453</t>
  </si>
  <si>
    <t>Transportes Coletivos Urbanos</t>
  </si>
  <si>
    <t>541</t>
  </si>
  <si>
    <t>Preservação e Conservação Ambiental</t>
  </si>
  <si>
    <t>601</t>
  </si>
  <si>
    <t>Promoção da Produção Vegetal</t>
  </si>
  <si>
    <t>Continuação</t>
  </si>
  <si>
    <t>19</t>
  </si>
  <si>
    <t>Ciência e Tecnologia</t>
  </si>
  <si>
    <t>572</t>
  </si>
  <si>
    <t>Desenvolvimento Tecnológico e Engenharia</t>
  </si>
  <si>
    <t>20</t>
  </si>
  <si>
    <t>Agricultura</t>
  </si>
  <si>
    <t>131</t>
  </si>
  <si>
    <t>Comunicação Social</t>
  </si>
  <si>
    <t>602</t>
  </si>
  <si>
    <t>Promoção da Produção Animal</t>
  </si>
  <si>
    <t>604</t>
  </si>
  <si>
    <t>Defesa Sanitária Animal</t>
  </si>
  <si>
    <t>605</t>
  </si>
  <si>
    <t>Abastecimento</t>
  </si>
  <si>
    <t>606</t>
  </si>
  <si>
    <t>Extensão Rural</t>
  </si>
  <si>
    <t>Organização Agrária</t>
  </si>
  <si>
    <t>21</t>
  </si>
  <si>
    <t>631</t>
  </si>
  <si>
    <t>Reforma Agrária</t>
  </si>
  <si>
    <t>22</t>
  </si>
  <si>
    <t>Indústria</t>
  </si>
  <si>
    <t>661</t>
  </si>
  <si>
    <t>Promoção Industrial</t>
  </si>
  <si>
    <t>663</t>
  </si>
  <si>
    <t>Mineração</t>
  </si>
  <si>
    <t>665</t>
  </si>
  <si>
    <t>695</t>
  </si>
  <si>
    <t>Turismo</t>
  </si>
  <si>
    <t>751</t>
  </si>
  <si>
    <t>Conservação de Energia</t>
  </si>
  <si>
    <t>23</t>
  </si>
  <si>
    <t>Comércio e Serviços</t>
  </si>
  <si>
    <t>691</t>
  </si>
  <si>
    <t>Promoção Comercial</t>
  </si>
  <si>
    <t>24</t>
  </si>
  <si>
    <t>Comunicações</t>
  </si>
  <si>
    <t>26</t>
  </si>
  <si>
    <t>Transporte</t>
  </si>
  <si>
    <t>783</t>
  </si>
  <si>
    <t>Transporte Ferroviário</t>
  </si>
  <si>
    <t>784</t>
  </si>
  <si>
    <t>Transporte Hidroviário</t>
  </si>
  <si>
    <t>785</t>
  </si>
  <si>
    <t>Transportes Especiais</t>
  </si>
  <si>
    <t>27</t>
  </si>
  <si>
    <t>Desporto e Lazer</t>
  </si>
  <si>
    <t>811</t>
  </si>
  <si>
    <t>Desporto de Rendimento</t>
  </si>
  <si>
    <t>812</t>
  </si>
  <si>
    <t>Desporto Comunitário</t>
  </si>
  <si>
    <t>813</t>
  </si>
  <si>
    <t>Lazer</t>
  </si>
  <si>
    <t>28</t>
  </si>
  <si>
    <t>Encargos Especiais</t>
  </si>
  <si>
    <t>841</t>
  </si>
  <si>
    <t>Refinanciamento da Dívida Interna</t>
  </si>
  <si>
    <t>843</t>
  </si>
  <si>
    <t>Serviço da Dívida Interna</t>
  </si>
  <si>
    <t>844</t>
  </si>
  <si>
    <t>Serviço da Dívida Externa</t>
  </si>
  <si>
    <t>846</t>
  </si>
  <si>
    <t>Outros Encargos Especiais</t>
  </si>
  <si>
    <t>99</t>
  </si>
  <si>
    <t>Reserva de Contingência</t>
  </si>
  <si>
    <t>999</t>
  </si>
  <si>
    <t>Reserva de Contingência do RPPS</t>
  </si>
  <si>
    <t>TOTAL (III) = (I) + (II)</t>
  </si>
  <si>
    <t>Continua (2/3)</t>
  </si>
  <si>
    <t>(3/3)</t>
  </si>
  <si>
    <t>Continua (1/3)</t>
  </si>
  <si>
    <t>092</t>
  </si>
  <si>
    <t>Representação Judicial e Extrajudicial</t>
  </si>
  <si>
    <t>Controle Interno</t>
  </si>
  <si>
    <t>124</t>
  </si>
  <si>
    <t>129</t>
  </si>
  <si>
    <t>Administração de Receitas</t>
  </si>
  <si>
    <t>Administração de Concessões</t>
  </si>
  <si>
    <t>130</t>
  </si>
  <si>
    <t>Difusão do Conhecimento Científico e Tecnológico</t>
  </si>
  <si>
    <t>332</t>
  </si>
  <si>
    <t>Relações de Trabalho</t>
  </si>
  <si>
    <t>RREO - Anexo 2 (LRF, Art 52, inciso II, alínea "c")</t>
  </si>
  <si>
    <t>Difusão do Conhecimento Científ e Tecnológ</t>
  </si>
  <si>
    <t>331</t>
  </si>
  <si>
    <t>Proteção e Benefícios ao Trabalhador</t>
  </si>
  <si>
    <t>692</t>
  </si>
  <si>
    <t>Comercialização</t>
  </si>
  <si>
    <t>997</t>
  </si>
  <si>
    <t>Reserva do Regime Próprio de Previdência do Servidor - RPPS</t>
  </si>
  <si>
    <t xml:space="preserve">     Contador - CRC-RJ-097281/O-6</t>
  </si>
  <si>
    <t xml:space="preserve">Contador - CRC-RJ-079208/O-8 </t>
  </si>
  <si>
    <t>Normalização e Qualidade</t>
  </si>
  <si>
    <t>368</t>
  </si>
  <si>
    <t>Educação Básica</t>
  </si>
  <si>
    <t>752</t>
  </si>
  <si>
    <t>Energia Elétrica</t>
  </si>
  <si>
    <t>Renato Ferreira Costa</t>
  </si>
  <si>
    <t>Coordenador - ID: 4.284.985-3</t>
  </si>
  <si>
    <t>Ronald Marcio G. Rodrigues</t>
  </si>
  <si>
    <t>Superintendente - ID: 1.943.584-3</t>
  </si>
  <si>
    <t>FONTE: Siafe-Rio - Secretaria de Estado de Fazenda.</t>
  </si>
  <si>
    <t>Obs.:  1 - Excluídas a Imprensa Oficial, a CEDAE e a AGERIO por não se enquadrarem no conceito de Empresa Dependente.</t>
  </si>
  <si>
    <t>481</t>
  </si>
  <si>
    <t>Habitação Rural</t>
  </si>
  <si>
    <t xml:space="preserve"> Formação de Recursos Humanos</t>
  </si>
  <si>
    <t xml:space="preserve"> Assistência Comunitária</t>
  </si>
  <si>
    <t>FUNÇÃO/SUBFUNÇÃO - INTRA-ORÇAMENTÁRIAS</t>
  </si>
  <si>
    <t>(b/III b)</t>
  </si>
  <si>
    <t>(d/III d)</t>
  </si>
  <si>
    <t xml:space="preserve"> Tecnologia da Informação</t>
  </si>
  <si>
    <t>Patrimônio Histórico, Artístico e Arqueológico</t>
  </si>
  <si>
    <t>608</t>
  </si>
  <si>
    <t>609</t>
  </si>
  <si>
    <t>Promoção da Produção Agropecuária</t>
  </si>
  <si>
    <t>Defesa Agropecuária</t>
  </si>
  <si>
    <t>693</t>
  </si>
  <si>
    <t>Comércio Exterior</t>
  </si>
  <si>
    <t>753</t>
  </si>
  <si>
    <t>Petróleo</t>
  </si>
  <si>
    <t>25</t>
  </si>
  <si>
    <t>Energia</t>
  </si>
  <si>
    <t>Yasmim da Costa Monteiro</t>
  </si>
  <si>
    <t>Subsecretária de Contabilidade Geral - ID: 4.461.243-5</t>
  </si>
  <si>
    <t>Contadora - CRC-RJ-114428/O-0</t>
  </si>
  <si>
    <t>Ação judiciária</t>
  </si>
  <si>
    <t>273</t>
  </si>
  <si>
    <t>Previdência Complementar</t>
  </si>
  <si>
    <t>452</t>
  </si>
  <si>
    <t>Serviços Urbanos</t>
  </si>
  <si>
    <t xml:space="preserve">          2 - Imprensa Oficial, CEDAE e AGERIO não constam nos Orçamentos Fiscal e da Seguridade Social no exercício de 2024.</t>
  </si>
  <si>
    <t>Emissão: 22/05/2024</t>
  </si>
  <si>
    <t>JANEIRO A ABRIL 2024/BIMESTRE MARÇO - ABRIL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</si>
</sst>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</numFmts>
  <fonts count="47">
    <font>
      <sz val="10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rgb="FF000000"/>
        <bgColor rgb="FFFFFFFF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4" fontId="2" fillId="0" borderId="0" xfId="63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172" fontId="4" fillId="34" borderId="0" xfId="0" applyNumberFormat="1" applyFont="1" applyFill="1" applyAlignment="1">
      <alignment/>
    </xf>
    <xf numFmtId="167" fontId="4" fillId="34" borderId="0" xfId="0" applyNumberFormat="1" applyFont="1" applyFill="1" applyAlignment="1">
      <alignment horizontal="right"/>
    </xf>
    <xf numFmtId="49" fontId="4" fillId="34" borderId="0" xfId="0" applyNumberFormat="1" applyFont="1" applyFill="1" applyBorder="1" applyAlignment="1">
      <alignment horizontal="center"/>
    </xf>
    <xf numFmtId="174" fontId="4" fillId="34" borderId="0" xfId="63" applyNumberFormat="1" applyFont="1" applyFill="1" applyBorder="1" applyAlignment="1">
      <alignment/>
    </xf>
    <xf numFmtId="171" fontId="4" fillId="34" borderId="0" xfId="63" applyFont="1" applyFill="1" applyBorder="1" applyAlignment="1">
      <alignment/>
    </xf>
    <xf numFmtId="49" fontId="2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174" fontId="5" fillId="34" borderId="0" xfId="63" applyNumberFormat="1" applyFont="1" applyFill="1" applyBorder="1" applyAlignment="1">
      <alignment/>
    </xf>
    <xf numFmtId="171" fontId="5" fillId="34" borderId="0" xfId="63" applyFont="1" applyFill="1" applyBorder="1" applyAlignment="1">
      <alignment/>
    </xf>
    <xf numFmtId="49" fontId="1" fillId="34" borderId="0" xfId="0" applyNumberFormat="1" applyFont="1" applyFill="1" applyAlignment="1">
      <alignment horizontal="center"/>
    </xf>
    <xf numFmtId="171" fontId="4" fillId="34" borderId="0" xfId="63" applyFont="1" applyFill="1" applyAlignment="1">
      <alignment horizontal="center"/>
    </xf>
    <xf numFmtId="174" fontId="4" fillId="34" borderId="0" xfId="0" applyNumberFormat="1" applyFont="1" applyFill="1" applyBorder="1" applyAlignment="1">
      <alignment/>
    </xf>
    <xf numFmtId="174" fontId="4" fillId="34" borderId="0" xfId="0" applyNumberFormat="1" applyFont="1" applyFill="1" applyAlignment="1">
      <alignment horizontal="right"/>
    </xf>
    <xf numFmtId="49" fontId="2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left"/>
    </xf>
    <xf numFmtId="174" fontId="4" fillId="34" borderId="0" xfId="0" applyNumberFormat="1" applyFont="1" applyFill="1" applyAlignment="1">
      <alignment/>
    </xf>
    <xf numFmtId="49" fontId="6" fillId="34" borderId="0" xfId="0" applyNumberFormat="1" applyFont="1" applyFill="1" applyAlignment="1">
      <alignment horizontal="center"/>
    </xf>
    <xf numFmtId="0" fontId="6" fillId="34" borderId="11" xfId="0" applyFont="1" applyFill="1" applyBorder="1" applyAlignment="1">
      <alignment/>
    </xf>
    <xf numFmtId="171" fontId="6" fillId="34" borderId="14" xfId="63" applyFont="1" applyFill="1" applyBorder="1" applyAlignment="1">
      <alignment/>
    </xf>
    <xf numFmtId="49" fontId="7" fillId="34" borderId="0" xfId="0" applyNumberFormat="1" applyFont="1" applyFill="1" applyAlignment="1">
      <alignment horizontal="center"/>
    </xf>
    <xf numFmtId="0" fontId="7" fillId="34" borderId="14" xfId="0" applyFont="1" applyFill="1" applyBorder="1" applyAlignment="1">
      <alignment/>
    </xf>
    <xf numFmtId="174" fontId="7" fillId="34" borderId="14" xfId="63" applyNumberFormat="1" applyFont="1" applyFill="1" applyBorder="1" applyAlignment="1">
      <alignment/>
    </xf>
    <xf numFmtId="171" fontId="7" fillId="34" borderId="14" xfId="63" applyFont="1" applyFill="1" applyBorder="1" applyAlignment="1">
      <alignment/>
    </xf>
    <xf numFmtId="174" fontId="7" fillId="34" borderId="15" xfId="63" applyNumberFormat="1" applyFont="1" applyFill="1" applyBorder="1" applyAlignment="1">
      <alignment/>
    </xf>
    <xf numFmtId="49" fontId="7" fillId="34" borderId="19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174" fontId="7" fillId="34" borderId="0" xfId="63" applyNumberFormat="1" applyFont="1" applyFill="1" applyBorder="1" applyAlignment="1">
      <alignment/>
    </xf>
    <xf numFmtId="171" fontId="7" fillId="34" borderId="0" xfId="63" applyFont="1" applyFill="1" applyBorder="1" applyAlignment="1">
      <alignment/>
    </xf>
    <xf numFmtId="174" fontId="7" fillId="34" borderId="0" xfId="63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/>
    </xf>
    <xf numFmtId="171" fontId="7" fillId="34" borderId="15" xfId="63" applyFont="1" applyFill="1" applyBorder="1" applyAlignment="1">
      <alignment/>
    </xf>
    <xf numFmtId="49" fontId="7" fillId="34" borderId="13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171" fontId="6" fillId="34" borderId="14" xfId="63" applyNumberFormat="1" applyFont="1" applyFill="1" applyBorder="1" applyAlignment="1">
      <alignment/>
    </xf>
    <xf numFmtId="171" fontId="7" fillId="34" borderId="14" xfId="63" applyNumberFormat="1" applyFont="1" applyFill="1" applyBorder="1" applyAlignment="1">
      <alignment/>
    </xf>
    <xf numFmtId="171" fontId="7" fillId="34" borderId="17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/>
    </xf>
    <xf numFmtId="171" fontId="7" fillId="34" borderId="15" xfId="63" applyNumberFormat="1" applyFont="1" applyFill="1" applyBorder="1" applyAlignment="1">
      <alignment/>
    </xf>
    <xf numFmtId="0" fontId="2" fillId="0" borderId="0" xfId="0" applyFont="1" applyFill="1" applyAlignment="1">
      <alignment/>
    </xf>
    <xf numFmtId="171" fontId="7" fillId="34" borderId="13" xfId="63" applyNumberFormat="1" applyFont="1" applyFill="1" applyBorder="1" applyAlignment="1">
      <alignment/>
    </xf>
    <xf numFmtId="171" fontId="6" fillId="34" borderId="20" xfId="63" applyNumberFormat="1" applyFont="1" applyFill="1" applyBorder="1" applyAlignment="1">
      <alignment/>
    </xf>
    <xf numFmtId="171" fontId="6" fillId="34" borderId="21" xfId="63" applyNumberFormat="1" applyFont="1" applyFill="1" applyBorder="1" applyAlignment="1">
      <alignment/>
    </xf>
    <xf numFmtId="171" fontId="7" fillId="0" borderId="14" xfId="63" applyNumberFormat="1" applyFont="1" applyFill="1" applyBorder="1" applyAlignment="1">
      <alignment/>
    </xf>
    <xf numFmtId="43" fontId="7" fillId="34" borderId="0" xfId="0" applyNumberFormat="1" applyFont="1" applyFill="1" applyAlignment="1">
      <alignment/>
    </xf>
    <xf numFmtId="43" fontId="3" fillId="34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3" fontId="4" fillId="34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4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49" fontId="4" fillId="34" borderId="0" xfId="0" applyNumberFormat="1" applyFont="1" applyFill="1" applyAlignment="1">
      <alignment horizontal="center"/>
    </xf>
    <xf numFmtId="171" fontId="6" fillId="34" borderId="14" xfId="63" applyNumberFormat="1" applyFont="1" applyFill="1" applyBorder="1" applyAlignment="1">
      <alignment/>
    </xf>
    <xf numFmtId="171" fontId="6" fillId="34" borderId="14" xfId="63" applyFont="1" applyFill="1" applyBorder="1" applyAlignment="1">
      <alignment horizontal="center"/>
    </xf>
    <xf numFmtId="171" fontId="6" fillId="34" borderId="14" xfId="63" applyNumberFormat="1" applyFont="1" applyFill="1" applyBorder="1" applyAlignment="1">
      <alignment horizontal="center"/>
    </xf>
    <xf numFmtId="171" fontId="6" fillId="34" borderId="15" xfId="63" applyNumberFormat="1" applyFont="1" applyFill="1" applyBorder="1" applyAlignment="1">
      <alignment horizontal="center"/>
    </xf>
    <xf numFmtId="171" fontId="7" fillId="34" borderId="14" xfId="63" applyFont="1" applyFill="1" applyBorder="1" applyAlignment="1">
      <alignment horizontal="center"/>
    </xf>
    <xf numFmtId="171" fontId="7" fillId="34" borderId="0" xfId="63" applyNumberFormat="1" applyFont="1" applyFill="1" applyBorder="1" applyAlignment="1">
      <alignment/>
    </xf>
    <xf numFmtId="171" fontId="7" fillId="34" borderId="17" xfId="63" applyFont="1" applyFill="1" applyBorder="1" applyAlignment="1">
      <alignment/>
    </xf>
    <xf numFmtId="171" fontId="7" fillId="34" borderId="18" xfId="63" applyNumberFormat="1" applyFont="1" applyFill="1" applyBorder="1" applyAlignment="1">
      <alignment/>
    </xf>
    <xf numFmtId="171" fontId="7" fillId="35" borderId="14" xfId="63" applyFont="1" applyFill="1" applyBorder="1" applyAlignment="1">
      <alignment/>
    </xf>
    <xf numFmtId="0" fontId="6" fillId="34" borderId="15" xfId="0" applyFont="1" applyFill="1" applyBorder="1" applyAlignment="1">
      <alignment/>
    </xf>
    <xf numFmtId="171" fontId="6" fillId="34" borderId="11" xfId="63" applyNumberFormat="1" applyFont="1" applyFill="1" applyBorder="1" applyAlignment="1">
      <alignment/>
    </xf>
    <xf numFmtId="171" fontId="6" fillId="34" borderId="0" xfId="63" applyFont="1" applyFill="1" applyBorder="1" applyAlignment="1">
      <alignment/>
    </xf>
    <xf numFmtId="171" fontId="6" fillId="34" borderId="11" xfId="63" applyFont="1" applyFill="1" applyBorder="1" applyAlignment="1">
      <alignment/>
    </xf>
    <xf numFmtId="171" fontId="6" fillId="34" borderId="0" xfId="63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6" fillId="34" borderId="0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9" fontId="6" fillId="34" borderId="19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171" fontId="6" fillId="34" borderId="17" xfId="63" applyNumberFormat="1" applyFont="1" applyFill="1" applyBorder="1" applyAlignment="1">
      <alignment/>
    </xf>
    <xf numFmtId="171" fontId="7" fillId="35" borderId="17" xfId="63" applyFont="1" applyFill="1" applyBorder="1" applyAlignment="1">
      <alignment/>
    </xf>
    <xf numFmtId="171" fontId="6" fillId="34" borderId="18" xfId="63" applyNumberFormat="1" applyFont="1" applyFill="1" applyBorder="1" applyAlignment="1">
      <alignment/>
    </xf>
    <xf numFmtId="4" fontId="7" fillId="36" borderId="22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4" fontId="7" fillId="34" borderId="22" xfId="0" applyNumberFormat="1" applyFont="1" applyFill="1" applyBorder="1" applyAlignment="1">
      <alignment horizontal="right" vertical="top" wrapText="1"/>
    </xf>
    <xf numFmtId="4" fontId="7" fillId="34" borderId="14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49" fontId="6" fillId="34" borderId="23" xfId="0" applyNumberFormat="1" applyFont="1" applyFill="1" applyBorder="1" applyAlignment="1">
      <alignment horizontal="left"/>
    </xf>
    <xf numFmtId="49" fontId="6" fillId="34" borderId="24" xfId="0" applyNumberFormat="1" applyFont="1" applyFill="1" applyBorder="1" applyAlignment="1">
      <alignment horizontal="left"/>
    </xf>
    <xf numFmtId="0" fontId="4" fillId="34" borderId="0" xfId="49" applyFont="1" applyFill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4 2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0</xdr:row>
      <xdr:rowOff>47625</xdr:rowOff>
    </xdr:from>
    <xdr:to>
      <xdr:col>4</xdr:col>
      <xdr:colOff>1323975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47625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158</xdr:row>
      <xdr:rowOff>152400</xdr:rowOff>
    </xdr:from>
    <xdr:to>
      <xdr:col>4</xdr:col>
      <xdr:colOff>1266825</xdr:colOff>
      <xdr:row>161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291465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318</xdr:row>
      <xdr:rowOff>161925</xdr:rowOff>
    </xdr:from>
    <xdr:to>
      <xdr:col>4</xdr:col>
      <xdr:colOff>1200150</xdr:colOff>
      <xdr:row>321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58302525"/>
          <a:ext cx="676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62.28125" style="2" customWidth="1"/>
    <col min="3" max="3" width="31.7109375" style="2" bestFit="1" customWidth="1"/>
    <col min="4" max="4" width="31.00390625" style="2" bestFit="1" customWidth="1"/>
    <col min="5" max="5" width="22.8515625" style="2" customWidth="1"/>
    <col min="6" max="6" width="29.28125" style="2" bestFit="1" customWidth="1"/>
    <col min="7" max="7" width="11.140625" style="2" customWidth="1"/>
    <col min="8" max="8" width="23.140625" style="2" customWidth="1"/>
    <col min="9" max="9" width="22.8515625" style="2" customWidth="1"/>
    <col min="10" max="10" width="21.7109375" style="2" customWidth="1"/>
    <col min="11" max="11" width="10.421875" style="2" customWidth="1"/>
    <col min="12" max="12" width="21.28125" style="2" customWidth="1"/>
    <col min="13" max="13" width="9.140625" style="3" customWidth="1"/>
    <col min="14" max="14" width="9.140625" style="2" customWidth="1"/>
    <col min="15" max="15" width="8.421875" style="2" customWidth="1"/>
    <col min="16" max="16" width="14.8515625" style="2" bestFit="1" customWidth="1"/>
    <col min="17" max="17" width="13.421875" style="2" bestFit="1" customWidth="1"/>
    <col min="18" max="18" width="9.28125" style="2" bestFit="1" customWidth="1"/>
    <col min="19" max="16384" width="9.140625" style="2" customWidth="1"/>
  </cols>
  <sheetData>
    <row r="1" spans="1:12" ht="15.75">
      <c r="A1" s="8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7.75" customHeight="1">
      <c r="A2" s="8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3" s="5" customFormat="1" ht="16.5" customHeight="1">
      <c r="A3" s="118" t="s">
        <v>14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4"/>
    </row>
    <row r="4" spans="1:13" s="5" customFormat="1" ht="15.75">
      <c r="A4" s="118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4"/>
    </row>
    <row r="5" spans="1:13" s="5" customFormat="1" ht="15.75">
      <c r="A5" s="119" t="s"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6"/>
    </row>
    <row r="6" spans="1:13" s="5" customFormat="1" ht="15.75">
      <c r="A6" s="118" t="s">
        <v>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4"/>
    </row>
    <row r="7" spans="1:13" s="5" customFormat="1" ht="15.75">
      <c r="A7" s="118" t="s">
        <v>290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4"/>
    </row>
    <row r="8" spans="1:12" ht="15.75">
      <c r="A8" s="80"/>
      <c r="B8" s="85"/>
      <c r="C8" s="39"/>
      <c r="D8" s="39"/>
      <c r="E8" s="39"/>
      <c r="F8" s="39"/>
      <c r="G8" s="39"/>
      <c r="H8" s="39"/>
      <c r="I8" s="39"/>
      <c r="J8" s="39"/>
      <c r="K8" s="85"/>
      <c r="L8" s="24" t="s">
        <v>289</v>
      </c>
    </row>
    <row r="9" spans="1:13" s="7" customFormat="1" ht="15.75">
      <c r="A9" s="26" t="s">
        <v>240</v>
      </c>
      <c r="B9" s="25"/>
      <c r="C9" s="40"/>
      <c r="D9" s="40"/>
      <c r="E9" s="40"/>
      <c r="F9" s="40"/>
      <c r="G9" s="40"/>
      <c r="H9" s="40"/>
      <c r="I9" s="40"/>
      <c r="J9" s="40"/>
      <c r="K9" s="41"/>
      <c r="L9" s="29">
        <v>1</v>
      </c>
      <c r="M9" s="8"/>
    </row>
    <row r="10" spans="1:13" s="7" customFormat="1" ht="15.75">
      <c r="A10" s="11"/>
      <c r="B10" s="12"/>
      <c r="C10" s="13" t="s">
        <v>3</v>
      </c>
      <c r="D10" s="13" t="s">
        <v>3</v>
      </c>
      <c r="E10" s="120" t="s">
        <v>4</v>
      </c>
      <c r="F10" s="121"/>
      <c r="G10" s="122"/>
      <c r="H10" s="13" t="s">
        <v>18</v>
      </c>
      <c r="I10" s="120" t="s">
        <v>5</v>
      </c>
      <c r="J10" s="121"/>
      <c r="K10" s="121"/>
      <c r="L10" s="14" t="s">
        <v>18</v>
      </c>
      <c r="M10" s="8"/>
    </row>
    <row r="11" spans="1:13" s="7" customFormat="1" ht="15.75">
      <c r="A11" s="15" t="s">
        <v>23</v>
      </c>
      <c r="B11" s="16" t="s">
        <v>6</v>
      </c>
      <c r="C11" s="16" t="s">
        <v>7</v>
      </c>
      <c r="D11" s="16" t="s">
        <v>8</v>
      </c>
      <c r="E11" s="16" t="s">
        <v>9</v>
      </c>
      <c r="F11" s="16" t="s">
        <v>10</v>
      </c>
      <c r="G11" s="16" t="s">
        <v>11</v>
      </c>
      <c r="H11" s="17"/>
      <c r="I11" s="16" t="s">
        <v>9</v>
      </c>
      <c r="J11" s="16" t="s">
        <v>10</v>
      </c>
      <c r="K11" s="16" t="s">
        <v>11</v>
      </c>
      <c r="L11" s="18"/>
      <c r="M11" s="8"/>
    </row>
    <row r="12" spans="1:13" s="7" customFormat="1" ht="15.75">
      <c r="A12" s="19"/>
      <c r="B12" s="20"/>
      <c r="C12" s="20"/>
      <c r="D12" s="21" t="s">
        <v>12</v>
      </c>
      <c r="E12" s="21"/>
      <c r="F12" s="21" t="s">
        <v>13</v>
      </c>
      <c r="G12" s="21" t="s">
        <v>17</v>
      </c>
      <c r="H12" s="22" t="s">
        <v>19</v>
      </c>
      <c r="I12" s="21"/>
      <c r="J12" s="21" t="s">
        <v>20</v>
      </c>
      <c r="K12" s="21" t="s">
        <v>21</v>
      </c>
      <c r="L12" s="23" t="s">
        <v>22</v>
      </c>
      <c r="M12" s="8"/>
    </row>
    <row r="13" spans="1:13" s="7" customFormat="1" ht="14.25" customHeight="1">
      <c r="A13" s="45"/>
      <c r="B13" s="46" t="s">
        <v>15</v>
      </c>
      <c r="C13" s="86">
        <f>C14+C25+C29+C35+C63+C87+C101+C108+C120+C130+C153+C173+C183+C192+C198+C205+C216+C229+C248+C252+C267+C278+C282+C287+C300+C306+C312</f>
        <v>105606489534</v>
      </c>
      <c r="D13" s="86">
        <f>D14+D25+D29+D35+D63+D87+D101+D108+D120+D130+D153+D173+D183+D192+D198+D205+D216+D229+D248+D252+D267+D278+D282+D287+D300+D306+D312</f>
        <v>107077682411.70999</v>
      </c>
      <c r="E13" s="86">
        <f>E14+E25+E29+E35+E63+E87+E101+E108+E120+E130+E153+E173+E183+E192+E198+E205+E216+E229+E248+E252+E267+E278+E282+E287+E300+E306+E312</f>
        <v>16722527731.769997</v>
      </c>
      <c r="F13" s="86">
        <f>F14+F25+F29+F35+F63+F87+F101+F108+F120+F130+F153+F173+F183+F192+F198+F205+F216+F229+F248+F252+F267+F278+F282+F287+F300+F306+F312</f>
        <v>33862801625.14999</v>
      </c>
      <c r="G13" s="87">
        <f aca="true" t="shared" si="0" ref="G13:G44">(F13/$F$317)*100</f>
        <v>92.28689972482779</v>
      </c>
      <c r="H13" s="88">
        <f>D13-F13</f>
        <v>73214880786.56</v>
      </c>
      <c r="I13" s="88">
        <f>I14+I25+I29+I35+I63+I87+I101+I108+I120+I130+I153+I173+I183+I192+I198+I205+I216+I229+I248+I252+I267+I278+I282+I287+I300+I306+I312</f>
        <v>15530154232.040003</v>
      </c>
      <c r="J13" s="88">
        <f>J14+J25+J29+J35+J63+J87+J101+J108+J120+J130+J153+J173+J183+J192+J198+J205+J216+J229+J248+J252+J267+J278+J282+J287+J300+J306+J312</f>
        <v>28358707283.690002</v>
      </c>
      <c r="K13" s="87">
        <f aca="true" t="shared" si="1" ref="K13:K44">(J13/$J$317)*100</f>
        <v>92.19715582497766</v>
      </c>
      <c r="L13" s="89">
        <f>D13-J13</f>
        <v>78718975128.01999</v>
      </c>
      <c r="M13" s="8"/>
    </row>
    <row r="14" spans="1:13" s="7" customFormat="1" ht="14.25" customHeight="1">
      <c r="A14" s="45" t="s">
        <v>25</v>
      </c>
      <c r="B14" s="83" t="s">
        <v>24</v>
      </c>
      <c r="C14" s="65">
        <f>SUM(C15:C24)</f>
        <v>2686383323</v>
      </c>
      <c r="D14" s="65">
        <f>SUM(D15:D24)</f>
        <v>2650989305</v>
      </c>
      <c r="E14" s="65">
        <f>SUM(E15:E24)</f>
        <v>654319117.5899999</v>
      </c>
      <c r="F14" s="65">
        <f>SUM(F15:F24)</f>
        <v>1406553434.9099998</v>
      </c>
      <c r="G14" s="87">
        <f t="shared" si="0"/>
        <v>3.833305266411969</v>
      </c>
      <c r="H14" s="65">
        <f aca="true" t="shared" si="2" ref="H14:H78">D14-F14</f>
        <v>1244435870.0900002</v>
      </c>
      <c r="I14" s="65">
        <f>SUM(I15:I24)</f>
        <v>279468031.56000006</v>
      </c>
      <c r="J14" s="65">
        <f>SUM(J15:J24)</f>
        <v>559846139.07</v>
      </c>
      <c r="K14" s="47">
        <f t="shared" si="1"/>
        <v>1.8201189922198973</v>
      </c>
      <c r="L14" s="68">
        <f aca="true" t="shared" si="3" ref="L14:L78">D14-J14</f>
        <v>2091143165.9299998</v>
      </c>
      <c r="M14" s="8"/>
    </row>
    <row r="15" spans="1:13" s="7" customFormat="1" ht="14.25" customHeight="1">
      <c r="A15" s="48" t="s">
        <v>26</v>
      </c>
      <c r="B15" s="49" t="s">
        <v>31</v>
      </c>
      <c r="C15" s="66">
        <v>17244557</v>
      </c>
      <c r="D15" s="66">
        <v>17244557</v>
      </c>
      <c r="E15" s="66">
        <f aca="true" t="shared" si="4" ref="E15:E21">F15-0</f>
        <v>0</v>
      </c>
      <c r="F15" s="66">
        <v>0</v>
      </c>
      <c r="G15" s="90">
        <f t="shared" si="0"/>
        <v>0</v>
      </c>
      <c r="H15" s="66">
        <f t="shared" si="2"/>
        <v>17244557</v>
      </c>
      <c r="I15" s="66">
        <f aca="true" t="shared" si="5" ref="I15:I24">J15-0</f>
        <v>0</v>
      </c>
      <c r="J15" s="66">
        <v>0</v>
      </c>
      <c r="K15" s="51">
        <f t="shared" si="1"/>
        <v>0</v>
      </c>
      <c r="L15" s="69">
        <f t="shared" si="3"/>
        <v>17244557</v>
      </c>
      <c r="M15" s="8"/>
    </row>
    <row r="16" spans="1:13" s="7" customFormat="1" ht="14.25" customHeight="1">
      <c r="A16" s="48" t="s">
        <v>27</v>
      </c>
      <c r="B16" s="49" t="s">
        <v>32</v>
      </c>
      <c r="C16" s="66">
        <v>79238973</v>
      </c>
      <c r="D16" s="66">
        <v>79238973</v>
      </c>
      <c r="E16" s="66">
        <f>F16-5909816.21</f>
        <v>410451.53000000026</v>
      </c>
      <c r="F16" s="66">
        <v>6320267.74</v>
      </c>
      <c r="G16" s="51">
        <f t="shared" si="0"/>
        <v>0.017224738862783345</v>
      </c>
      <c r="H16" s="66">
        <f t="shared" si="2"/>
        <v>72918705.26</v>
      </c>
      <c r="I16" s="66">
        <f>J16-535953.73</f>
        <v>731789.8200000001</v>
      </c>
      <c r="J16" s="66">
        <v>1267743.55</v>
      </c>
      <c r="K16" s="51">
        <f t="shared" si="1"/>
        <v>0.0041215683231330905</v>
      </c>
      <c r="L16" s="69">
        <f t="shared" si="3"/>
        <v>77971229.45</v>
      </c>
      <c r="M16" s="8"/>
    </row>
    <row r="17" spans="1:13" s="7" customFormat="1" ht="14.25" customHeight="1">
      <c r="A17" s="48" t="s">
        <v>28</v>
      </c>
      <c r="B17" s="49" t="s">
        <v>33</v>
      </c>
      <c r="C17" s="66">
        <v>2503749491</v>
      </c>
      <c r="D17" s="66">
        <v>2468444692</v>
      </c>
      <c r="E17" s="66">
        <f>F17-728667902.89</f>
        <v>649063400.9599999</v>
      </c>
      <c r="F17" s="66">
        <v>1377731303.85</v>
      </c>
      <c r="G17" s="51">
        <f t="shared" si="0"/>
        <v>3.7547557964527396</v>
      </c>
      <c r="H17" s="66">
        <f t="shared" si="2"/>
        <v>1090713388.15</v>
      </c>
      <c r="I17" s="66">
        <f>J17-279623877.63</f>
        <v>276870432.82000005</v>
      </c>
      <c r="J17" s="66">
        <v>556494310.45</v>
      </c>
      <c r="K17" s="51">
        <f t="shared" si="1"/>
        <v>1.8092218429780316</v>
      </c>
      <c r="L17" s="69">
        <f t="shared" si="3"/>
        <v>1911950381.55</v>
      </c>
      <c r="M17" s="8"/>
    </row>
    <row r="18" spans="1:13" s="7" customFormat="1" ht="14.25" customHeight="1">
      <c r="A18" s="48" t="s">
        <v>50</v>
      </c>
      <c r="B18" s="49" t="s">
        <v>57</v>
      </c>
      <c r="C18" s="66">
        <v>38325200</v>
      </c>
      <c r="D18" s="66">
        <v>38235981</v>
      </c>
      <c r="E18" s="66">
        <f>F18-15806594.02</f>
        <v>3316861.7699999996</v>
      </c>
      <c r="F18" s="66">
        <v>19123455.79</v>
      </c>
      <c r="G18" s="51">
        <f t="shared" si="0"/>
        <v>0.05211749655034901</v>
      </c>
      <c r="H18" s="66">
        <f t="shared" si="2"/>
        <v>19112525.21</v>
      </c>
      <c r="I18" s="66">
        <f>J18-123520.37</f>
        <v>885533.36</v>
      </c>
      <c r="J18" s="66">
        <v>1009053.73</v>
      </c>
      <c r="K18" s="51">
        <f t="shared" si="1"/>
        <v>0.0032805403663124853</v>
      </c>
      <c r="L18" s="69">
        <f t="shared" si="3"/>
        <v>37226927.27</v>
      </c>
      <c r="M18" s="8"/>
    </row>
    <row r="19" spans="1:13" s="7" customFormat="1" ht="14.25" customHeight="1">
      <c r="A19" s="48" t="s">
        <v>29</v>
      </c>
      <c r="B19" s="49" t="s">
        <v>34</v>
      </c>
      <c r="C19" s="66">
        <v>36728539</v>
      </c>
      <c r="D19" s="66">
        <v>36728539</v>
      </c>
      <c r="E19" s="66">
        <f>F19-1850004.2</f>
        <v>1528403.3299999998</v>
      </c>
      <c r="F19" s="66">
        <v>3378407.53</v>
      </c>
      <c r="G19" s="51">
        <f t="shared" si="0"/>
        <v>0.009207234546097074</v>
      </c>
      <c r="H19" s="66">
        <f t="shared" si="2"/>
        <v>33350131.47</v>
      </c>
      <c r="I19" s="66">
        <f>J19-94755.78</f>
        <v>980275.56</v>
      </c>
      <c r="J19" s="66">
        <v>1075031.34</v>
      </c>
      <c r="K19" s="51">
        <f t="shared" si="1"/>
        <v>0.0034950405524203374</v>
      </c>
      <c r="L19" s="69">
        <f t="shared" si="3"/>
        <v>35653507.66</v>
      </c>
      <c r="M19" s="8"/>
    </row>
    <row r="20" spans="1:13" s="7" customFormat="1" ht="14.25" customHeight="1">
      <c r="A20" s="48" t="s">
        <v>164</v>
      </c>
      <c r="B20" s="49" t="s">
        <v>165</v>
      </c>
      <c r="C20" s="66">
        <v>0</v>
      </c>
      <c r="D20" s="66">
        <v>0</v>
      </c>
      <c r="E20" s="66">
        <f t="shared" si="4"/>
        <v>0</v>
      </c>
      <c r="F20" s="66">
        <v>0</v>
      </c>
      <c r="G20" s="51">
        <f t="shared" si="0"/>
        <v>0</v>
      </c>
      <c r="H20" s="66">
        <f t="shared" si="2"/>
        <v>0</v>
      </c>
      <c r="I20" s="66">
        <f>J20-0</f>
        <v>0</v>
      </c>
      <c r="J20" s="66">
        <v>0</v>
      </c>
      <c r="K20" s="51">
        <f t="shared" si="1"/>
        <v>0</v>
      </c>
      <c r="L20" s="69">
        <f t="shared" si="3"/>
        <v>0</v>
      </c>
      <c r="M20" s="8"/>
    </row>
    <row r="21" spans="1:13" s="7" customFormat="1" ht="14.25" customHeight="1">
      <c r="A21" s="48" t="s">
        <v>117</v>
      </c>
      <c r="B21" s="49" t="s">
        <v>124</v>
      </c>
      <c r="C21" s="66">
        <v>0</v>
      </c>
      <c r="D21" s="66">
        <v>0</v>
      </c>
      <c r="E21" s="66">
        <f t="shared" si="4"/>
        <v>0</v>
      </c>
      <c r="F21" s="66">
        <v>0</v>
      </c>
      <c r="G21" s="51">
        <f t="shared" si="0"/>
        <v>0</v>
      </c>
      <c r="H21" s="66">
        <f t="shared" si="2"/>
        <v>0</v>
      </c>
      <c r="I21" s="66">
        <f t="shared" si="5"/>
        <v>0</v>
      </c>
      <c r="J21" s="66">
        <v>0</v>
      </c>
      <c r="K21" s="51">
        <f t="shared" si="1"/>
        <v>0</v>
      </c>
      <c r="L21" s="69">
        <f t="shared" si="3"/>
        <v>0</v>
      </c>
      <c r="M21" s="8"/>
    </row>
    <row r="22" spans="1:13" s="7" customFormat="1" ht="14.25" customHeight="1">
      <c r="A22" s="48" t="s">
        <v>53</v>
      </c>
      <c r="B22" s="49" t="s">
        <v>60</v>
      </c>
      <c r="C22" s="66">
        <v>318125</v>
      </c>
      <c r="D22" s="66">
        <v>318125</v>
      </c>
      <c r="E22" s="66">
        <v>0</v>
      </c>
      <c r="F22" s="66">
        <v>0</v>
      </c>
      <c r="G22" s="51">
        <f t="shared" si="0"/>
        <v>0</v>
      </c>
      <c r="H22" s="66">
        <f t="shared" si="2"/>
        <v>318125</v>
      </c>
      <c r="I22" s="66">
        <f t="shared" si="5"/>
        <v>0</v>
      </c>
      <c r="J22" s="66">
        <v>0</v>
      </c>
      <c r="K22" s="51">
        <f t="shared" si="1"/>
        <v>0</v>
      </c>
      <c r="L22" s="69">
        <f t="shared" si="3"/>
        <v>318125</v>
      </c>
      <c r="M22" s="8"/>
    </row>
    <row r="23" spans="1:13" s="7" customFormat="1" ht="14.25" customHeight="1">
      <c r="A23" s="48" t="s">
        <v>30</v>
      </c>
      <c r="B23" s="49" t="s">
        <v>35</v>
      </c>
      <c r="C23" s="66">
        <v>778438</v>
      </c>
      <c r="D23" s="66">
        <v>778438</v>
      </c>
      <c r="E23" s="66">
        <f>F23-0</f>
        <v>0</v>
      </c>
      <c r="F23" s="66">
        <v>0</v>
      </c>
      <c r="G23" s="51">
        <f t="shared" si="0"/>
        <v>0</v>
      </c>
      <c r="H23" s="66">
        <f t="shared" si="2"/>
        <v>778438</v>
      </c>
      <c r="I23" s="66">
        <f t="shared" si="5"/>
        <v>0</v>
      </c>
      <c r="J23" s="66">
        <v>0</v>
      </c>
      <c r="K23" s="51">
        <f t="shared" si="1"/>
        <v>0</v>
      </c>
      <c r="L23" s="69">
        <f t="shared" si="3"/>
        <v>778438</v>
      </c>
      <c r="M23" s="8"/>
    </row>
    <row r="24" spans="1:13" s="7" customFormat="1" ht="14.25" customHeight="1">
      <c r="A24" s="48" t="s">
        <v>160</v>
      </c>
      <c r="B24" s="49" t="s">
        <v>161</v>
      </c>
      <c r="C24" s="66">
        <v>10000000</v>
      </c>
      <c r="D24" s="66">
        <v>10000000</v>
      </c>
      <c r="E24" s="66">
        <f>F24-0</f>
        <v>0</v>
      </c>
      <c r="F24" s="66">
        <v>0</v>
      </c>
      <c r="G24" s="51">
        <f t="shared" si="0"/>
        <v>0</v>
      </c>
      <c r="H24" s="66">
        <f t="shared" si="2"/>
        <v>10000000</v>
      </c>
      <c r="I24" s="66">
        <f t="shared" si="5"/>
        <v>0</v>
      </c>
      <c r="J24" s="66">
        <v>0</v>
      </c>
      <c r="K24" s="51">
        <f t="shared" si="1"/>
        <v>0</v>
      </c>
      <c r="L24" s="69">
        <f t="shared" si="3"/>
        <v>10000000</v>
      </c>
      <c r="M24" s="8"/>
    </row>
    <row r="25" spans="1:13" s="7" customFormat="1" ht="14.25" customHeight="1">
      <c r="A25" s="45" t="s">
        <v>36</v>
      </c>
      <c r="B25" s="83" t="s">
        <v>37</v>
      </c>
      <c r="C25" s="65">
        <f>SUM(C26:C28)</f>
        <v>7549378647</v>
      </c>
      <c r="D25" s="65">
        <f>SUM(D26:D28)</f>
        <v>7549378647</v>
      </c>
      <c r="E25" s="65">
        <f>SUM(E26:E27)</f>
        <v>1034001127.17</v>
      </c>
      <c r="F25" s="65">
        <f>SUM(F26:F28)</f>
        <v>2681994308.14</v>
      </c>
      <c r="G25" s="51">
        <f t="shared" si="0"/>
        <v>7.309287120355881</v>
      </c>
      <c r="H25" s="65">
        <f t="shared" si="2"/>
        <v>4867384338.860001</v>
      </c>
      <c r="I25" s="65">
        <f>SUM(I26:I28)</f>
        <v>1050879176.4999999</v>
      </c>
      <c r="J25" s="65">
        <f>SUM(J26:J28)</f>
        <v>1897150938.0099998</v>
      </c>
      <c r="K25" s="47">
        <f t="shared" si="1"/>
        <v>6.1678382905629805</v>
      </c>
      <c r="L25" s="68">
        <f t="shared" si="3"/>
        <v>5652227708.99</v>
      </c>
      <c r="M25" s="8"/>
    </row>
    <row r="26" spans="1:13" s="7" customFormat="1" ht="14.25" customHeight="1">
      <c r="A26" s="48" t="s">
        <v>38</v>
      </c>
      <c r="B26" s="49" t="s">
        <v>40</v>
      </c>
      <c r="C26" s="66">
        <v>2885471000</v>
      </c>
      <c r="D26" s="66">
        <v>2885471000</v>
      </c>
      <c r="E26" s="66">
        <f>F26-1014300656.3</f>
        <v>322963386.48</v>
      </c>
      <c r="F26" s="66">
        <v>1337264042.78</v>
      </c>
      <c r="G26" s="51">
        <f t="shared" si="0"/>
        <v>3.6444696451222542</v>
      </c>
      <c r="H26" s="66">
        <f t="shared" si="2"/>
        <v>1548206957.22</v>
      </c>
      <c r="I26" s="66">
        <f>J26-212579236.84</f>
        <v>339841435.80999994</v>
      </c>
      <c r="J26" s="66">
        <v>552420672.65</v>
      </c>
      <c r="K26" s="51">
        <f t="shared" si="1"/>
        <v>1.795978015773075</v>
      </c>
      <c r="L26" s="69">
        <f t="shared" si="3"/>
        <v>2333050327.35</v>
      </c>
      <c r="M26" s="8"/>
    </row>
    <row r="27" spans="1:13" s="7" customFormat="1" ht="14.25" customHeight="1">
      <c r="A27" s="48" t="s">
        <v>28</v>
      </c>
      <c r="B27" s="49" t="s">
        <v>33</v>
      </c>
      <c r="C27" s="66">
        <v>4663907647</v>
      </c>
      <c r="D27" s="66">
        <v>4663907647</v>
      </c>
      <c r="E27" s="66">
        <f>F27-633692524.67</f>
        <v>711037740.6899999</v>
      </c>
      <c r="F27" s="66">
        <v>1344730265.36</v>
      </c>
      <c r="G27" s="51">
        <f t="shared" si="0"/>
        <v>3.6648174752336273</v>
      </c>
      <c r="H27" s="66">
        <f t="shared" si="2"/>
        <v>3319177381.6400003</v>
      </c>
      <c r="I27" s="66">
        <f>J27-633692524.67</f>
        <v>711037740.6899999</v>
      </c>
      <c r="J27" s="66">
        <v>1344730265.36</v>
      </c>
      <c r="K27" s="51">
        <f t="shared" si="1"/>
        <v>4.371860274789905</v>
      </c>
      <c r="L27" s="69">
        <f t="shared" si="3"/>
        <v>3319177381.6400003</v>
      </c>
      <c r="M27" s="8"/>
    </row>
    <row r="28" spans="1:13" s="7" customFormat="1" ht="14.25" customHeight="1">
      <c r="A28" s="48" t="s">
        <v>117</v>
      </c>
      <c r="B28" s="49" t="s">
        <v>124</v>
      </c>
      <c r="C28" s="66">
        <v>0</v>
      </c>
      <c r="D28" s="66">
        <v>0</v>
      </c>
      <c r="E28" s="66">
        <f>F28-0</f>
        <v>0</v>
      </c>
      <c r="F28" s="66">
        <v>0</v>
      </c>
      <c r="G28" s="51">
        <f t="shared" si="0"/>
        <v>0</v>
      </c>
      <c r="H28" s="66">
        <f t="shared" si="2"/>
        <v>0</v>
      </c>
      <c r="I28" s="66">
        <f>J28-0</f>
        <v>0</v>
      </c>
      <c r="J28" s="66">
        <v>0</v>
      </c>
      <c r="K28" s="51">
        <f t="shared" si="1"/>
        <v>0</v>
      </c>
      <c r="L28" s="69">
        <f t="shared" si="3"/>
        <v>0</v>
      </c>
      <c r="M28" s="8"/>
    </row>
    <row r="29" spans="1:13" s="7" customFormat="1" ht="14.25" customHeight="1">
      <c r="A29" s="45" t="s">
        <v>42</v>
      </c>
      <c r="B29" s="83" t="s">
        <v>43</v>
      </c>
      <c r="C29" s="65">
        <f>SUM(C30:C34)</f>
        <v>4706195020</v>
      </c>
      <c r="D29" s="65">
        <f>SUM(D30:D34)</f>
        <v>4931837515.43</v>
      </c>
      <c r="E29" s="65">
        <f>SUM(E30:E34)</f>
        <v>437905737.2300001</v>
      </c>
      <c r="F29" s="65">
        <f>SUM(F30:F34)</f>
        <v>2996706191.51</v>
      </c>
      <c r="G29" s="47">
        <f t="shared" si="0"/>
        <v>8.166977052343318</v>
      </c>
      <c r="H29" s="65">
        <f t="shared" si="2"/>
        <v>1935131323.92</v>
      </c>
      <c r="I29" s="65">
        <f>SUM(I30:I34)</f>
        <v>838910954.35</v>
      </c>
      <c r="J29" s="65">
        <f>SUM(J30:J34)</f>
        <v>1448941675.8200002</v>
      </c>
      <c r="K29" s="47">
        <f t="shared" si="1"/>
        <v>4.710662588760233</v>
      </c>
      <c r="L29" s="68">
        <f t="shared" si="3"/>
        <v>3482895839.61</v>
      </c>
      <c r="M29" s="8"/>
    </row>
    <row r="30" spans="1:13" s="7" customFormat="1" ht="14.25" customHeight="1">
      <c r="A30" s="48" t="s">
        <v>44</v>
      </c>
      <c r="B30" s="49" t="s">
        <v>45</v>
      </c>
      <c r="C30" s="66">
        <v>146304452</v>
      </c>
      <c r="D30" s="66">
        <v>147558546</v>
      </c>
      <c r="E30" s="66">
        <f>F30-11421513.17</f>
        <v>13894899.930000002</v>
      </c>
      <c r="F30" s="66">
        <v>25316413.1</v>
      </c>
      <c r="G30" s="51">
        <f t="shared" si="0"/>
        <v>0.06899527401822496</v>
      </c>
      <c r="H30" s="66">
        <f t="shared" si="2"/>
        <v>122242132.9</v>
      </c>
      <c r="I30" s="66">
        <f>J30-308137.53</f>
        <v>2172788.0300000003</v>
      </c>
      <c r="J30" s="66">
        <v>2480925.56</v>
      </c>
      <c r="K30" s="51">
        <f t="shared" si="1"/>
        <v>0.008065751310781447</v>
      </c>
      <c r="L30" s="69">
        <f t="shared" si="3"/>
        <v>145077620.44</v>
      </c>
      <c r="M30" s="8"/>
    </row>
    <row r="31" spans="1:13" s="7" customFormat="1" ht="14.25" customHeight="1">
      <c r="A31" s="48" t="s">
        <v>229</v>
      </c>
      <c r="B31" s="49" t="s">
        <v>230</v>
      </c>
      <c r="C31" s="66">
        <v>7589369</v>
      </c>
      <c r="D31" s="66">
        <v>7589369</v>
      </c>
      <c r="E31" s="66">
        <f>F31-184850.17</f>
        <v>47545.34999999998</v>
      </c>
      <c r="F31" s="66">
        <v>232395.52</v>
      </c>
      <c r="G31" s="51">
        <f t="shared" si="0"/>
        <v>0.0006333516726746679</v>
      </c>
      <c r="H31" s="66">
        <f t="shared" si="2"/>
        <v>7356973.48</v>
      </c>
      <c r="I31" s="66">
        <f>J31-21379.71</f>
        <v>58525.36000000001</v>
      </c>
      <c r="J31" s="66">
        <v>79905.07</v>
      </c>
      <c r="K31" s="51">
        <f t="shared" si="1"/>
        <v>0.0002597798311572812</v>
      </c>
      <c r="L31" s="69">
        <f t="shared" si="3"/>
        <v>7509463.93</v>
      </c>
      <c r="M31" s="8"/>
    </row>
    <row r="32" spans="1:13" s="7" customFormat="1" ht="14.25" customHeight="1">
      <c r="A32" s="48" t="s">
        <v>28</v>
      </c>
      <c r="B32" s="49" t="s">
        <v>33</v>
      </c>
      <c r="C32" s="66">
        <v>4324958767</v>
      </c>
      <c r="D32" s="66">
        <v>4377652427.6</v>
      </c>
      <c r="E32" s="66">
        <f>F32-2496816598.67</f>
        <v>387466894.1300001</v>
      </c>
      <c r="F32" s="66">
        <v>2884283492.8</v>
      </c>
      <c r="G32" s="51">
        <f t="shared" si="0"/>
        <v>7.860589458147961</v>
      </c>
      <c r="H32" s="66">
        <f t="shared" si="2"/>
        <v>1493368934.8000002</v>
      </c>
      <c r="I32" s="66">
        <f>J32-589511440.38</f>
        <v>802434054.0600001</v>
      </c>
      <c r="J32" s="66">
        <v>1391945494.44</v>
      </c>
      <c r="K32" s="51">
        <f t="shared" si="1"/>
        <v>4.525361976727653</v>
      </c>
      <c r="L32" s="69">
        <f t="shared" si="3"/>
        <v>2985706933.1600003</v>
      </c>
      <c r="M32" s="8"/>
    </row>
    <row r="33" spans="1:13" s="7" customFormat="1" ht="14.25" customHeight="1">
      <c r="A33" s="48" t="s">
        <v>50</v>
      </c>
      <c r="B33" s="49" t="s">
        <v>268</v>
      </c>
      <c r="C33" s="66">
        <v>77838991</v>
      </c>
      <c r="D33" s="66">
        <v>114738991</v>
      </c>
      <c r="E33" s="66">
        <f>F33-30551186.05</f>
        <v>10019279.559999999</v>
      </c>
      <c r="F33" s="66">
        <v>40570465.61</v>
      </c>
      <c r="G33" s="51">
        <f t="shared" si="0"/>
        <v>0.11056741651165906</v>
      </c>
      <c r="H33" s="66">
        <f t="shared" si="2"/>
        <v>74168525.39</v>
      </c>
      <c r="I33" s="66">
        <f>J33-1621249.9</f>
        <v>8547484.99</v>
      </c>
      <c r="J33" s="66">
        <v>10168734.89</v>
      </c>
      <c r="K33" s="51">
        <f t="shared" si="1"/>
        <v>0.03305963229626548</v>
      </c>
      <c r="L33" s="69">
        <f t="shared" si="3"/>
        <v>104570256.11</v>
      </c>
      <c r="M33" s="8"/>
    </row>
    <row r="34" spans="1:13" s="7" customFormat="1" ht="14.25" customHeight="1">
      <c r="A34" s="48" t="s">
        <v>29</v>
      </c>
      <c r="B34" s="49" t="s">
        <v>34</v>
      </c>
      <c r="C34" s="66">
        <v>149503441</v>
      </c>
      <c r="D34" s="66">
        <v>284298181.83</v>
      </c>
      <c r="E34" s="66">
        <f>F34-19826306.22</f>
        <v>26477118.259999998</v>
      </c>
      <c r="F34" s="66">
        <v>46303424.48</v>
      </c>
      <c r="G34" s="51">
        <f t="shared" si="0"/>
        <v>0.1261915519927973</v>
      </c>
      <c r="H34" s="66">
        <f t="shared" si="2"/>
        <v>237994757.35</v>
      </c>
      <c r="I34" s="66">
        <f>J34-18568513.95</f>
        <v>25698101.91</v>
      </c>
      <c r="J34" s="66">
        <v>44266615.86</v>
      </c>
      <c r="K34" s="51">
        <f t="shared" si="1"/>
        <v>0.1439154485943761</v>
      </c>
      <c r="L34" s="69">
        <f t="shared" si="3"/>
        <v>240031565.96999997</v>
      </c>
      <c r="M34" s="8"/>
    </row>
    <row r="35" spans="1:13" s="7" customFormat="1" ht="14.25" customHeight="1">
      <c r="A35" s="45" t="s">
        <v>46</v>
      </c>
      <c r="B35" s="83" t="s">
        <v>47</v>
      </c>
      <c r="C35" s="65">
        <f>SUM(C36:C62)</f>
        <v>6268768591</v>
      </c>
      <c r="D35" s="65">
        <f>SUM(D36:D62)</f>
        <v>6297646036.14</v>
      </c>
      <c r="E35" s="65">
        <f>SUM(E36:E62)</f>
        <v>609269766.6600001</v>
      </c>
      <c r="F35" s="65">
        <f>SUM(F36:F62)</f>
        <v>1174232896.87</v>
      </c>
      <c r="G35" s="47">
        <f t="shared" si="0"/>
        <v>3.2001579434157565</v>
      </c>
      <c r="H35" s="65">
        <f t="shared" si="2"/>
        <v>5123413139.27</v>
      </c>
      <c r="I35" s="65">
        <f>SUM(I36:I62)</f>
        <v>579286966.71</v>
      </c>
      <c r="J35" s="65">
        <f>SUM(J36:J62)</f>
        <v>1056868040.83</v>
      </c>
      <c r="K35" s="47">
        <f t="shared" si="1"/>
        <v>3.435989746362076</v>
      </c>
      <c r="L35" s="68">
        <f t="shared" si="3"/>
        <v>5240777995.31</v>
      </c>
      <c r="M35" s="8"/>
    </row>
    <row r="36" spans="1:13" s="7" customFormat="1" ht="14.25" customHeight="1">
      <c r="A36" s="48" t="s">
        <v>48</v>
      </c>
      <c r="B36" s="49" t="s">
        <v>55</v>
      </c>
      <c r="C36" s="66">
        <v>260024999</v>
      </c>
      <c r="D36" s="66">
        <v>229025194.71</v>
      </c>
      <c r="E36" s="66">
        <f aca="true" t="shared" si="6" ref="E36:E62">F36-0</f>
        <v>0</v>
      </c>
      <c r="F36" s="66">
        <v>0</v>
      </c>
      <c r="G36" s="51">
        <f t="shared" si="0"/>
        <v>0</v>
      </c>
      <c r="H36" s="66">
        <f t="shared" si="2"/>
        <v>229025194.71</v>
      </c>
      <c r="I36" s="66">
        <f>J36-0</f>
        <v>0</v>
      </c>
      <c r="J36" s="66">
        <v>0</v>
      </c>
      <c r="K36" s="51">
        <f t="shared" si="1"/>
        <v>0</v>
      </c>
      <c r="L36" s="69">
        <f t="shared" si="3"/>
        <v>229025194.71</v>
      </c>
      <c r="M36" s="8"/>
    </row>
    <row r="37" spans="1:13" s="7" customFormat="1" ht="14.25" customHeight="1">
      <c r="A37" s="48" t="s">
        <v>28</v>
      </c>
      <c r="B37" s="49" t="s">
        <v>33</v>
      </c>
      <c r="C37" s="66">
        <v>3967325316</v>
      </c>
      <c r="D37" s="66">
        <v>3940103571.59</v>
      </c>
      <c r="E37" s="66">
        <f>F37-265686424.15</f>
        <v>295639142.70000005</v>
      </c>
      <c r="F37" s="66">
        <v>561325566.85</v>
      </c>
      <c r="G37" s="51">
        <f t="shared" si="0"/>
        <v>1.5297906202301303</v>
      </c>
      <c r="H37" s="66">
        <f t="shared" si="2"/>
        <v>3378778004.7400002</v>
      </c>
      <c r="I37" s="66">
        <f>J37-215807020.32</f>
        <v>270870333.19</v>
      </c>
      <c r="J37" s="66">
        <v>486677353.51</v>
      </c>
      <c r="K37" s="51">
        <f t="shared" si="1"/>
        <v>1.5822395340233133</v>
      </c>
      <c r="L37" s="69">
        <f t="shared" si="3"/>
        <v>3453426218.08</v>
      </c>
      <c r="M37" s="8"/>
    </row>
    <row r="38" spans="1:13" s="7" customFormat="1" ht="14.25" customHeight="1">
      <c r="A38" s="48" t="s">
        <v>39</v>
      </c>
      <c r="B38" s="49" t="s">
        <v>41</v>
      </c>
      <c r="C38" s="66">
        <v>2218750</v>
      </c>
      <c r="D38" s="66">
        <v>4739165.25</v>
      </c>
      <c r="E38" s="66">
        <f>F38-125877.25</f>
        <v>128310.4</v>
      </c>
      <c r="F38" s="66">
        <v>254187.65</v>
      </c>
      <c r="G38" s="51">
        <f t="shared" si="0"/>
        <v>0.0006927421548433595</v>
      </c>
      <c r="H38" s="66">
        <f t="shared" si="2"/>
        <v>4484977.6</v>
      </c>
      <c r="I38" s="66">
        <f>J38-113983.64</f>
        <v>140204.01</v>
      </c>
      <c r="J38" s="66">
        <v>254187.65</v>
      </c>
      <c r="K38" s="51">
        <f t="shared" si="1"/>
        <v>0.0008263909261235373</v>
      </c>
      <c r="L38" s="69">
        <f t="shared" si="3"/>
        <v>4484977.6</v>
      </c>
      <c r="M38" s="8"/>
    </row>
    <row r="39" spans="1:13" s="7" customFormat="1" ht="14.25" customHeight="1">
      <c r="A39" s="48" t="s">
        <v>232</v>
      </c>
      <c r="B39" s="49" t="s">
        <v>231</v>
      </c>
      <c r="C39" s="66">
        <v>6386924</v>
      </c>
      <c r="D39" s="66">
        <v>7956502.65</v>
      </c>
      <c r="E39" s="66">
        <f>F39-308206.39</f>
        <v>546633.11</v>
      </c>
      <c r="F39" s="66">
        <v>854839.5</v>
      </c>
      <c r="G39" s="51">
        <f t="shared" si="0"/>
        <v>0.002329709398844594</v>
      </c>
      <c r="H39" s="66">
        <f t="shared" si="2"/>
        <v>7101663.15</v>
      </c>
      <c r="I39" s="66">
        <f>J39-306398.51</f>
        <v>310907.05000000005</v>
      </c>
      <c r="J39" s="66">
        <v>617305.56</v>
      </c>
      <c r="K39" s="51">
        <f t="shared" si="1"/>
        <v>0.002006925645009145</v>
      </c>
      <c r="L39" s="69">
        <f t="shared" si="3"/>
        <v>7339197.09</v>
      </c>
      <c r="M39" s="8"/>
    </row>
    <row r="40" spans="1:13" s="7" customFormat="1" ht="14.25" customHeight="1">
      <c r="A40" s="48" t="s">
        <v>49</v>
      </c>
      <c r="B40" s="49" t="s">
        <v>56</v>
      </c>
      <c r="C40" s="66">
        <v>6361796</v>
      </c>
      <c r="D40" s="66">
        <v>5730999.8</v>
      </c>
      <c r="E40" s="66">
        <f>F40-1129131.25</f>
        <v>2060328.08</v>
      </c>
      <c r="F40" s="66">
        <v>3189459.33</v>
      </c>
      <c r="G40" s="51">
        <f t="shared" si="0"/>
        <v>0.008692290632725303</v>
      </c>
      <c r="H40" s="66">
        <f t="shared" si="2"/>
        <v>2541540.4699999997</v>
      </c>
      <c r="I40" s="66">
        <f>J40-79477.9</f>
        <v>619581.9</v>
      </c>
      <c r="J40" s="66">
        <v>699059.8</v>
      </c>
      <c r="K40" s="51">
        <f t="shared" si="1"/>
        <v>0.00227271732335436</v>
      </c>
      <c r="L40" s="69">
        <f t="shared" si="3"/>
        <v>5031940</v>
      </c>
      <c r="M40" s="8"/>
    </row>
    <row r="41" spans="1:13" s="7" customFormat="1" ht="14.25" customHeight="1">
      <c r="A41" s="48" t="s">
        <v>50</v>
      </c>
      <c r="B41" s="49" t="s">
        <v>57</v>
      </c>
      <c r="C41" s="66">
        <v>149715046</v>
      </c>
      <c r="D41" s="66">
        <v>152715046</v>
      </c>
      <c r="E41" s="66">
        <f>F41-30878619.21</f>
        <v>19915624.909999996</v>
      </c>
      <c r="F41" s="66">
        <v>50794244.12</v>
      </c>
      <c r="G41" s="51">
        <f t="shared" si="0"/>
        <v>0.13843046318469227</v>
      </c>
      <c r="H41" s="66">
        <f t="shared" si="2"/>
        <v>101920801.88</v>
      </c>
      <c r="I41" s="66">
        <f>J41-2314932.13</f>
        <v>24449294.630000003</v>
      </c>
      <c r="J41" s="66">
        <v>26764226.76</v>
      </c>
      <c r="K41" s="51">
        <f t="shared" si="1"/>
        <v>0.08701333105356127</v>
      </c>
      <c r="L41" s="69">
        <f t="shared" si="3"/>
        <v>125950819.24</v>
      </c>
      <c r="M41" s="8"/>
    </row>
    <row r="42" spans="1:13" s="7" customFormat="1" ht="14.25" customHeight="1">
      <c r="A42" s="48" t="s">
        <v>51</v>
      </c>
      <c r="B42" s="49" t="s">
        <v>58</v>
      </c>
      <c r="C42" s="66">
        <v>60430000</v>
      </c>
      <c r="D42" s="66">
        <v>128745000</v>
      </c>
      <c r="E42" s="66">
        <f>F42-4097678.27</f>
        <v>13495998.79</v>
      </c>
      <c r="F42" s="66">
        <v>17593677.06</v>
      </c>
      <c r="G42" s="51">
        <f t="shared" si="0"/>
        <v>0.047948363180361366</v>
      </c>
      <c r="H42" s="66">
        <f t="shared" si="2"/>
        <v>111151322.94</v>
      </c>
      <c r="I42" s="66">
        <f>J42-1282678.27</f>
        <v>8445000</v>
      </c>
      <c r="J42" s="66">
        <v>9727678.27</v>
      </c>
      <c r="K42" s="51">
        <f t="shared" si="1"/>
        <v>0.03162571059049135</v>
      </c>
      <c r="L42" s="69">
        <f t="shared" si="3"/>
        <v>119017321.73</v>
      </c>
      <c r="M42" s="8"/>
    </row>
    <row r="43" spans="1:13" s="7" customFormat="1" ht="14.25" customHeight="1">
      <c r="A43" s="48" t="s">
        <v>29</v>
      </c>
      <c r="B43" s="49" t="s">
        <v>34</v>
      </c>
      <c r="C43" s="66">
        <v>26860666</v>
      </c>
      <c r="D43" s="66">
        <v>26860666</v>
      </c>
      <c r="E43" s="66">
        <f>F43-29339.3</f>
        <v>3209.100000000002</v>
      </c>
      <c r="F43" s="66">
        <v>32548.4</v>
      </c>
      <c r="G43" s="51">
        <f t="shared" si="0"/>
        <v>8.87047374359203E-05</v>
      </c>
      <c r="H43" s="66">
        <f t="shared" si="2"/>
        <v>26828117.6</v>
      </c>
      <c r="I43" s="66">
        <f>J43-29329.3</f>
        <v>0</v>
      </c>
      <c r="J43" s="66">
        <v>29329.3</v>
      </c>
      <c r="K43" s="51">
        <f t="shared" si="1"/>
        <v>9.535265536919304E-05</v>
      </c>
      <c r="L43" s="69">
        <f t="shared" si="3"/>
        <v>26831336.7</v>
      </c>
      <c r="M43" s="8"/>
    </row>
    <row r="44" spans="1:13" s="7" customFormat="1" ht="14.25" customHeight="1">
      <c r="A44" s="48" t="s">
        <v>233</v>
      </c>
      <c r="B44" s="49" t="s">
        <v>234</v>
      </c>
      <c r="C44" s="66">
        <v>0</v>
      </c>
      <c r="D44" s="66">
        <v>0</v>
      </c>
      <c r="E44" s="66">
        <f t="shared" si="6"/>
        <v>0</v>
      </c>
      <c r="F44" s="66">
        <v>0</v>
      </c>
      <c r="G44" s="51">
        <f t="shared" si="0"/>
        <v>0</v>
      </c>
      <c r="H44" s="66">
        <f t="shared" si="2"/>
        <v>0</v>
      </c>
      <c r="I44" s="66">
        <f aca="true" t="shared" si="7" ref="I44:I57">J44-0</f>
        <v>0</v>
      </c>
      <c r="J44" s="66">
        <v>0</v>
      </c>
      <c r="K44" s="51">
        <f t="shared" si="1"/>
        <v>0</v>
      </c>
      <c r="L44" s="69">
        <f t="shared" si="3"/>
        <v>0</v>
      </c>
      <c r="M44" s="8"/>
    </row>
    <row r="45" spans="1:13" s="7" customFormat="1" ht="14.25" customHeight="1">
      <c r="A45" s="48" t="s">
        <v>236</v>
      </c>
      <c r="B45" s="49" t="s">
        <v>235</v>
      </c>
      <c r="C45" s="66">
        <v>23656352</v>
      </c>
      <c r="D45" s="66">
        <v>23656352</v>
      </c>
      <c r="E45" s="66">
        <f>F45-1146774.59</f>
        <v>4702909.08</v>
      </c>
      <c r="F45" s="111">
        <v>5849683.67</v>
      </c>
      <c r="G45" s="51">
        <f aca="true" t="shared" si="8" ref="G45:G76">(F45/$F$317)*100</f>
        <v>0.015942247669026455</v>
      </c>
      <c r="H45" s="66">
        <f t="shared" si="2"/>
        <v>17806668.33</v>
      </c>
      <c r="I45" s="66">
        <f>J45-542999.82</f>
        <v>3109861.7800000003</v>
      </c>
      <c r="J45" s="111">
        <v>3652861.6</v>
      </c>
      <c r="K45" s="51">
        <f aca="true" t="shared" si="9" ref="K45:K76">(J45/$J$317)*100</f>
        <v>0.011875839288907649</v>
      </c>
      <c r="L45" s="69">
        <f t="shared" si="3"/>
        <v>20003490.4</v>
      </c>
      <c r="M45" s="8"/>
    </row>
    <row r="46" spans="1:13" s="7" customFormat="1" ht="14.25" customHeight="1">
      <c r="A46" s="48" t="s">
        <v>164</v>
      </c>
      <c r="B46" s="49" t="s">
        <v>165</v>
      </c>
      <c r="C46" s="66">
        <v>2681036</v>
      </c>
      <c r="D46" s="66">
        <v>19072874.64</v>
      </c>
      <c r="E46" s="66">
        <f>F46-5052500.05</f>
        <v>11891463.309999999</v>
      </c>
      <c r="F46" s="111">
        <v>16943963.36</v>
      </c>
      <c r="G46" s="51">
        <f t="shared" si="8"/>
        <v>0.046177686797896474</v>
      </c>
      <c r="H46" s="66">
        <f t="shared" si="2"/>
        <v>2128911.280000001</v>
      </c>
      <c r="I46" s="66">
        <f>J46-595674.48</f>
        <v>10505636.969999999</v>
      </c>
      <c r="J46" s="111">
        <v>11101311.45</v>
      </c>
      <c r="K46" s="51">
        <f t="shared" si="9"/>
        <v>0.03609153729676217</v>
      </c>
      <c r="L46" s="69">
        <f t="shared" si="3"/>
        <v>7971563.190000001</v>
      </c>
      <c r="M46" s="8"/>
    </row>
    <row r="47" spans="1:13" s="7" customFormat="1" ht="14.25" customHeight="1">
      <c r="A47" s="48" t="s">
        <v>66</v>
      </c>
      <c r="B47" s="49" t="s">
        <v>74</v>
      </c>
      <c r="C47" s="66">
        <v>0</v>
      </c>
      <c r="D47" s="66">
        <v>0</v>
      </c>
      <c r="E47" s="66">
        <f t="shared" si="6"/>
        <v>0</v>
      </c>
      <c r="F47" s="66">
        <v>0</v>
      </c>
      <c r="G47" s="51">
        <f t="shared" si="8"/>
        <v>0</v>
      </c>
      <c r="H47" s="66">
        <f t="shared" si="2"/>
        <v>0</v>
      </c>
      <c r="I47" s="66">
        <f t="shared" si="7"/>
        <v>0</v>
      </c>
      <c r="J47" s="66">
        <v>0</v>
      </c>
      <c r="K47" s="51">
        <f t="shared" si="9"/>
        <v>0</v>
      </c>
      <c r="L47" s="69">
        <f t="shared" si="3"/>
        <v>0</v>
      </c>
      <c r="M47" s="8"/>
    </row>
    <row r="48" spans="1:13" s="7" customFormat="1" ht="14.25" customHeight="1">
      <c r="A48" s="48" t="s">
        <v>117</v>
      </c>
      <c r="B48" s="49" t="s">
        <v>124</v>
      </c>
      <c r="C48" s="66">
        <v>0</v>
      </c>
      <c r="D48" s="66">
        <v>0</v>
      </c>
      <c r="E48" s="66">
        <f>F48-0</f>
        <v>0</v>
      </c>
      <c r="F48" s="66">
        <v>0</v>
      </c>
      <c r="G48" s="51">
        <f t="shared" si="8"/>
        <v>0</v>
      </c>
      <c r="H48" s="66">
        <f t="shared" si="2"/>
        <v>0</v>
      </c>
      <c r="I48" s="66">
        <f t="shared" si="7"/>
        <v>0</v>
      </c>
      <c r="J48" s="66">
        <v>0</v>
      </c>
      <c r="K48" s="51">
        <f t="shared" si="9"/>
        <v>0</v>
      </c>
      <c r="L48" s="69">
        <f t="shared" si="3"/>
        <v>0</v>
      </c>
      <c r="M48" s="8"/>
    </row>
    <row r="49" spans="1:13" s="7" customFormat="1" ht="14.25" customHeight="1">
      <c r="A49" s="48" t="s">
        <v>69</v>
      </c>
      <c r="B49" s="49" t="s">
        <v>77</v>
      </c>
      <c r="C49" s="66">
        <v>0</v>
      </c>
      <c r="D49" s="66">
        <v>0</v>
      </c>
      <c r="E49" s="66">
        <f>F49-0</f>
        <v>0</v>
      </c>
      <c r="F49" s="66">
        <v>0</v>
      </c>
      <c r="G49" s="51">
        <f t="shared" si="8"/>
        <v>0</v>
      </c>
      <c r="H49" s="66">
        <f t="shared" si="2"/>
        <v>0</v>
      </c>
      <c r="I49" s="66">
        <f t="shared" si="7"/>
        <v>0</v>
      </c>
      <c r="J49" s="66">
        <v>0</v>
      </c>
      <c r="K49" s="51">
        <f t="shared" si="9"/>
        <v>0</v>
      </c>
      <c r="L49" s="69">
        <f t="shared" si="3"/>
        <v>0</v>
      </c>
      <c r="M49" s="8"/>
    </row>
    <row r="50" spans="1:13" s="7" customFormat="1" ht="14.25" customHeight="1">
      <c r="A50" s="48" t="s">
        <v>53</v>
      </c>
      <c r="B50" s="49" t="s">
        <v>60</v>
      </c>
      <c r="C50" s="66">
        <v>63092698</v>
      </c>
      <c r="D50" s="66">
        <v>59025655.5</v>
      </c>
      <c r="E50" s="66">
        <f>F50-15246000</f>
        <v>17915637.2</v>
      </c>
      <c r="F50" s="111">
        <v>33161637.2</v>
      </c>
      <c r="G50" s="51">
        <f t="shared" si="8"/>
        <v>0.09037600375967011</v>
      </c>
      <c r="H50" s="66">
        <f t="shared" si="2"/>
        <v>25864018.3</v>
      </c>
      <c r="I50" s="66">
        <f>J50-15246000</f>
        <v>17865637.2</v>
      </c>
      <c r="J50" s="111">
        <v>33111637.2</v>
      </c>
      <c r="K50" s="51">
        <f t="shared" si="9"/>
        <v>0.10764943352351922</v>
      </c>
      <c r="L50" s="69">
        <f t="shared" si="3"/>
        <v>25914018.3</v>
      </c>
      <c r="M50" s="8"/>
    </row>
    <row r="51" spans="1:13" s="7" customFormat="1" ht="14.25" customHeight="1">
      <c r="A51" s="77" t="s">
        <v>135</v>
      </c>
      <c r="B51" s="49" t="s">
        <v>136</v>
      </c>
      <c r="C51" s="66">
        <v>0</v>
      </c>
      <c r="D51" s="66">
        <v>0</v>
      </c>
      <c r="E51" s="66">
        <f t="shared" si="6"/>
        <v>0</v>
      </c>
      <c r="F51" s="66">
        <v>0</v>
      </c>
      <c r="G51" s="51">
        <f t="shared" si="8"/>
        <v>0</v>
      </c>
      <c r="H51" s="66">
        <f t="shared" si="2"/>
        <v>0</v>
      </c>
      <c r="I51" s="66">
        <f t="shared" si="7"/>
        <v>0</v>
      </c>
      <c r="J51" s="66">
        <v>0</v>
      </c>
      <c r="K51" s="51">
        <f t="shared" si="9"/>
        <v>0</v>
      </c>
      <c r="L51" s="69">
        <f t="shared" si="3"/>
        <v>0</v>
      </c>
      <c r="M51" s="8"/>
    </row>
    <row r="52" spans="1:13" s="7" customFormat="1" ht="14.25" customHeight="1">
      <c r="A52" s="48" t="s">
        <v>151</v>
      </c>
      <c r="B52" s="49" t="s">
        <v>152</v>
      </c>
      <c r="C52" s="66">
        <v>0</v>
      </c>
      <c r="D52" s="66">
        <v>0</v>
      </c>
      <c r="E52" s="66">
        <f t="shared" si="6"/>
        <v>0</v>
      </c>
      <c r="F52" s="66"/>
      <c r="G52" s="51">
        <f t="shared" si="8"/>
        <v>0</v>
      </c>
      <c r="H52" s="66">
        <f t="shared" si="2"/>
        <v>0</v>
      </c>
      <c r="I52" s="66">
        <f t="shared" si="7"/>
        <v>0</v>
      </c>
      <c r="J52" s="66">
        <v>0</v>
      </c>
      <c r="K52" s="51">
        <f t="shared" si="9"/>
        <v>0</v>
      </c>
      <c r="L52" s="69">
        <f t="shared" si="3"/>
        <v>0</v>
      </c>
      <c r="M52" s="8"/>
    </row>
    <row r="53" spans="1:13" s="7" customFormat="1" ht="14.25" customHeight="1">
      <c r="A53" s="48" t="s">
        <v>139</v>
      </c>
      <c r="B53" s="49" t="s">
        <v>140</v>
      </c>
      <c r="C53" s="66">
        <v>0</v>
      </c>
      <c r="D53" s="66">
        <v>0</v>
      </c>
      <c r="E53" s="66">
        <f t="shared" si="6"/>
        <v>0</v>
      </c>
      <c r="F53" s="66">
        <v>0</v>
      </c>
      <c r="G53" s="51">
        <f t="shared" si="8"/>
        <v>0</v>
      </c>
      <c r="H53" s="66">
        <f t="shared" si="2"/>
        <v>0</v>
      </c>
      <c r="I53" s="66">
        <f t="shared" si="7"/>
        <v>0</v>
      </c>
      <c r="J53" s="66">
        <v>0</v>
      </c>
      <c r="K53" s="51">
        <f t="shared" si="9"/>
        <v>0</v>
      </c>
      <c r="L53" s="69">
        <f t="shared" si="3"/>
        <v>0</v>
      </c>
      <c r="M53" s="8"/>
    </row>
    <row r="54" spans="1:13" s="7" customFormat="1" ht="14.25" customHeight="1">
      <c r="A54" s="48" t="s">
        <v>143</v>
      </c>
      <c r="B54" s="49" t="s">
        <v>144</v>
      </c>
      <c r="C54" s="66">
        <v>0</v>
      </c>
      <c r="D54" s="66">
        <v>0</v>
      </c>
      <c r="E54" s="66">
        <f t="shared" si="6"/>
        <v>0</v>
      </c>
      <c r="F54" s="66">
        <v>0</v>
      </c>
      <c r="G54" s="51">
        <f t="shared" si="8"/>
        <v>0</v>
      </c>
      <c r="H54" s="66">
        <f t="shared" si="2"/>
        <v>0</v>
      </c>
      <c r="I54" s="66">
        <f t="shared" si="7"/>
        <v>0</v>
      </c>
      <c r="J54" s="66">
        <v>0</v>
      </c>
      <c r="K54" s="51">
        <f t="shared" si="9"/>
        <v>0</v>
      </c>
      <c r="L54" s="69">
        <f t="shared" si="3"/>
        <v>0</v>
      </c>
      <c r="M54" s="8"/>
    </row>
    <row r="55" spans="1:13" s="7" customFormat="1" ht="14.25" customHeight="1">
      <c r="A55" s="48" t="s">
        <v>153</v>
      </c>
      <c r="B55" s="49" t="s">
        <v>154</v>
      </c>
      <c r="C55" s="111">
        <v>97155</v>
      </c>
      <c r="D55" s="111">
        <v>97155</v>
      </c>
      <c r="E55" s="66">
        <f t="shared" si="6"/>
        <v>0</v>
      </c>
      <c r="F55" s="66">
        <v>0</v>
      </c>
      <c r="G55" s="51">
        <f t="shared" si="8"/>
        <v>0</v>
      </c>
      <c r="H55" s="66">
        <f t="shared" si="2"/>
        <v>97155</v>
      </c>
      <c r="I55" s="66">
        <f t="shared" si="7"/>
        <v>0</v>
      </c>
      <c r="J55" s="66">
        <v>0</v>
      </c>
      <c r="K55" s="51">
        <f t="shared" si="9"/>
        <v>0</v>
      </c>
      <c r="L55" s="69">
        <f t="shared" si="3"/>
        <v>97155</v>
      </c>
      <c r="M55" s="8"/>
    </row>
    <row r="56" spans="1:13" s="7" customFormat="1" ht="14.25" customHeight="1">
      <c r="A56" s="48" t="s">
        <v>96</v>
      </c>
      <c r="B56" s="49" t="s">
        <v>102</v>
      </c>
      <c r="C56" s="66">
        <v>0</v>
      </c>
      <c r="D56" s="66">
        <v>0</v>
      </c>
      <c r="E56" s="66">
        <f t="shared" si="6"/>
        <v>0</v>
      </c>
      <c r="F56" s="66">
        <v>0</v>
      </c>
      <c r="G56" s="51">
        <f t="shared" si="8"/>
        <v>0</v>
      </c>
      <c r="H56" s="66">
        <f t="shared" si="2"/>
        <v>0</v>
      </c>
      <c r="I56" s="66">
        <f t="shared" si="7"/>
        <v>0</v>
      </c>
      <c r="J56" s="66"/>
      <c r="K56" s="51">
        <f t="shared" si="9"/>
        <v>0</v>
      </c>
      <c r="L56" s="69">
        <f t="shared" si="3"/>
        <v>0</v>
      </c>
      <c r="M56" s="8"/>
    </row>
    <row r="57" spans="1:13" s="7" customFormat="1" ht="14.25" customHeight="1">
      <c r="A57" s="48" t="s">
        <v>97</v>
      </c>
      <c r="B57" s="49" t="s">
        <v>237</v>
      </c>
      <c r="C57" s="66">
        <v>0</v>
      </c>
      <c r="D57" s="66">
        <v>0</v>
      </c>
      <c r="E57" s="66">
        <f t="shared" si="6"/>
        <v>0</v>
      </c>
      <c r="F57" s="66">
        <v>0</v>
      </c>
      <c r="G57" s="51">
        <f t="shared" si="8"/>
        <v>0</v>
      </c>
      <c r="H57" s="66">
        <f t="shared" si="2"/>
        <v>0</v>
      </c>
      <c r="I57" s="66">
        <f t="shared" si="7"/>
        <v>0</v>
      </c>
      <c r="J57" s="66">
        <v>0</v>
      </c>
      <c r="K57" s="51">
        <f t="shared" si="9"/>
        <v>0</v>
      </c>
      <c r="L57" s="69">
        <f t="shared" si="3"/>
        <v>0</v>
      </c>
      <c r="M57" s="8"/>
    </row>
    <row r="58" spans="1:13" s="7" customFormat="1" ht="14.25" customHeight="1">
      <c r="A58" s="48" t="s">
        <v>180</v>
      </c>
      <c r="B58" s="49" t="s">
        <v>181</v>
      </c>
      <c r="C58" s="66">
        <v>0</v>
      </c>
      <c r="D58" s="66">
        <v>0</v>
      </c>
      <c r="E58" s="66">
        <f t="shared" si="6"/>
        <v>0</v>
      </c>
      <c r="F58" s="66">
        <v>0</v>
      </c>
      <c r="G58" s="51">
        <f t="shared" si="8"/>
        <v>0</v>
      </c>
      <c r="H58" s="66">
        <f t="shared" si="2"/>
        <v>0</v>
      </c>
      <c r="I58" s="66">
        <v>0</v>
      </c>
      <c r="J58" s="66">
        <v>0</v>
      </c>
      <c r="K58" s="51">
        <f t="shared" si="9"/>
        <v>0</v>
      </c>
      <c r="L58" s="69">
        <f t="shared" si="3"/>
        <v>0</v>
      </c>
      <c r="M58" s="8"/>
    </row>
    <row r="59" spans="1:13" s="7" customFormat="1" ht="14.25" customHeight="1">
      <c r="A59" s="48" t="s">
        <v>54</v>
      </c>
      <c r="B59" s="49" t="s">
        <v>61</v>
      </c>
      <c r="C59" s="66">
        <v>1699917853</v>
      </c>
      <c r="D59" s="66">
        <v>1699917853</v>
      </c>
      <c r="E59" s="66">
        <f>F59-241262579.75</f>
        <v>242970509.98000002</v>
      </c>
      <c r="F59" s="111">
        <v>484233089.73</v>
      </c>
      <c r="G59" s="51">
        <f t="shared" si="8"/>
        <v>1.3196891116701308</v>
      </c>
      <c r="H59" s="66">
        <f t="shared" si="2"/>
        <v>1215684763.27</v>
      </c>
      <c r="I59" s="66">
        <f>J59-241262579.75</f>
        <v>242970509.98000002</v>
      </c>
      <c r="J59" s="111">
        <v>484233089.73</v>
      </c>
      <c r="K59" s="51">
        <f t="shared" si="9"/>
        <v>1.5742929740356646</v>
      </c>
      <c r="L59" s="69">
        <f t="shared" si="3"/>
        <v>1215684763.27</v>
      </c>
      <c r="M59" s="8"/>
    </row>
    <row r="60" spans="1:13" s="7" customFormat="1" ht="14.25" customHeight="1">
      <c r="A60" s="48" t="s">
        <v>185</v>
      </c>
      <c r="B60" s="49" t="s">
        <v>186</v>
      </c>
      <c r="C60" s="66">
        <v>0</v>
      </c>
      <c r="D60" s="66">
        <v>0</v>
      </c>
      <c r="E60" s="66">
        <f t="shared" si="6"/>
        <v>0</v>
      </c>
      <c r="F60" s="66">
        <v>0</v>
      </c>
      <c r="G60" s="51">
        <f t="shared" si="8"/>
        <v>0</v>
      </c>
      <c r="H60" s="66">
        <f t="shared" si="2"/>
        <v>0</v>
      </c>
      <c r="I60" s="66">
        <f>J60-0</f>
        <v>0</v>
      </c>
      <c r="J60" s="66">
        <v>0</v>
      </c>
      <c r="K60" s="51">
        <f t="shared" si="9"/>
        <v>0</v>
      </c>
      <c r="L60" s="69">
        <f t="shared" si="3"/>
        <v>0</v>
      </c>
      <c r="M60" s="8"/>
    </row>
    <row r="61" spans="1:13" s="7" customFormat="1" ht="14.25" customHeight="1">
      <c r="A61" s="48" t="s">
        <v>197</v>
      </c>
      <c r="B61" s="49" t="s">
        <v>198</v>
      </c>
      <c r="C61" s="66">
        <v>0</v>
      </c>
      <c r="D61" s="66">
        <v>0</v>
      </c>
      <c r="E61" s="66">
        <f>F61-0</f>
        <v>0</v>
      </c>
      <c r="F61" s="66">
        <v>0</v>
      </c>
      <c r="G61" s="51">
        <f t="shared" si="8"/>
        <v>0</v>
      </c>
      <c r="H61" s="66">
        <f t="shared" si="2"/>
        <v>0</v>
      </c>
      <c r="I61" s="66">
        <f>J61-0</f>
        <v>0</v>
      </c>
      <c r="J61" s="66">
        <v>0</v>
      </c>
      <c r="K61" s="51">
        <f t="shared" si="9"/>
        <v>0</v>
      </c>
      <c r="L61" s="69">
        <f t="shared" si="3"/>
        <v>0</v>
      </c>
      <c r="M61" s="8"/>
    </row>
    <row r="62" spans="1:13" s="7" customFormat="1" ht="14.25" customHeight="1">
      <c r="A62" s="48" t="s">
        <v>209</v>
      </c>
      <c r="B62" s="49" t="s">
        <v>210</v>
      </c>
      <c r="C62" s="66">
        <v>0</v>
      </c>
      <c r="D62" s="66">
        <v>0</v>
      </c>
      <c r="E62" s="66">
        <f t="shared" si="6"/>
        <v>0</v>
      </c>
      <c r="F62" s="66">
        <v>0</v>
      </c>
      <c r="G62" s="51">
        <f t="shared" si="8"/>
        <v>0</v>
      </c>
      <c r="H62" s="66">
        <f t="shared" si="2"/>
        <v>0</v>
      </c>
      <c r="I62" s="66">
        <f>J62-0</f>
        <v>0</v>
      </c>
      <c r="J62" s="66">
        <v>0</v>
      </c>
      <c r="K62" s="51">
        <f t="shared" si="9"/>
        <v>0</v>
      </c>
      <c r="L62" s="69">
        <f t="shared" si="3"/>
        <v>0</v>
      </c>
      <c r="M62" s="8"/>
    </row>
    <row r="63" spans="1:13" s="7" customFormat="1" ht="14.25" customHeight="1">
      <c r="A63" s="79" t="s">
        <v>63</v>
      </c>
      <c r="B63" s="83" t="s">
        <v>62</v>
      </c>
      <c r="C63" s="65">
        <f>SUM(C64:C86)</f>
        <v>16693088789</v>
      </c>
      <c r="D63" s="65">
        <f>SUM(D64:D86)</f>
        <v>16875842038.689999</v>
      </c>
      <c r="E63" s="65">
        <f>SUM(E64:E86)</f>
        <v>2618518105.87</v>
      </c>
      <c r="F63" s="65">
        <f>SUM(F64:F86)</f>
        <v>5109983575.439999</v>
      </c>
      <c r="G63" s="47">
        <f t="shared" si="8"/>
        <v>13.926329753882532</v>
      </c>
      <c r="H63" s="65">
        <f t="shared" si="2"/>
        <v>11765858463.25</v>
      </c>
      <c r="I63" s="65">
        <f>SUM(I64:I86)</f>
        <v>2462400648.54</v>
      </c>
      <c r="J63" s="65">
        <f>SUM(J64:J86)</f>
        <v>4727855630.690001</v>
      </c>
      <c r="K63" s="47">
        <f t="shared" si="9"/>
        <v>15.37075854481636</v>
      </c>
      <c r="L63" s="68">
        <f t="shared" si="3"/>
        <v>12147986407.999998</v>
      </c>
      <c r="M63" s="8"/>
    </row>
    <row r="64" spans="1:13" s="7" customFormat="1" ht="14.25" customHeight="1">
      <c r="A64" s="48" t="s">
        <v>38</v>
      </c>
      <c r="B64" s="49" t="s">
        <v>283</v>
      </c>
      <c r="C64" s="66">
        <v>0</v>
      </c>
      <c r="D64" s="66">
        <v>0</v>
      </c>
      <c r="E64" s="66">
        <f>F64-0</f>
        <v>0</v>
      </c>
      <c r="F64" s="66">
        <v>0</v>
      </c>
      <c r="G64" s="51">
        <f t="shared" si="8"/>
        <v>0</v>
      </c>
      <c r="H64" s="66">
        <f t="shared" si="2"/>
        <v>0</v>
      </c>
      <c r="I64" s="66">
        <f aca="true" t="shared" si="10" ref="I64:I86">J64-0</f>
        <v>0</v>
      </c>
      <c r="J64" s="66">
        <v>0</v>
      </c>
      <c r="K64" s="51">
        <f t="shared" si="9"/>
        <v>0</v>
      </c>
      <c r="L64" s="69">
        <f t="shared" si="3"/>
        <v>0</v>
      </c>
      <c r="M64" s="8"/>
    </row>
    <row r="65" spans="1:13" s="7" customFormat="1" ht="14.25" customHeight="1">
      <c r="A65" s="48" t="s">
        <v>28</v>
      </c>
      <c r="B65" s="49" t="s">
        <v>33</v>
      </c>
      <c r="C65" s="111">
        <v>14824873447</v>
      </c>
      <c r="D65" s="111">
        <v>14819638989.73</v>
      </c>
      <c r="E65" s="66">
        <f>F65-2287992960.22</f>
        <v>2290072717.52</v>
      </c>
      <c r="F65" s="66">
        <v>4578065677.74</v>
      </c>
      <c r="G65" s="51">
        <f t="shared" si="8"/>
        <v>12.476684381054834</v>
      </c>
      <c r="H65" s="66">
        <f t="shared" si="2"/>
        <v>10241573311.99</v>
      </c>
      <c r="I65" s="66">
        <f>J65-2197468155.24</f>
        <v>2245241771.2</v>
      </c>
      <c r="J65" s="66">
        <v>4442709926.44</v>
      </c>
      <c r="K65" s="51">
        <f t="shared" si="9"/>
        <v>14.443719711044118</v>
      </c>
      <c r="L65" s="69">
        <f t="shared" si="3"/>
        <v>10376929063.29</v>
      </c>
      <c r="M65" s="8"/>
    </row>
    <row r="66" spans="1:13" s="7" customFormat="1" ht="14.25" customHeight="1">
      <c r="A66" s="48" t="s">
        <v>49</v>
      </c>
      <c r="B66" s="49" t="s">
        <v>56</v>
      </c>
      <c r="C66" s="66">
        <v>205637785</v>
      </c>
      <c r="D66" s="66">
        <v>205637785</v>
      </c>
      <c r="E66" s="66">
        <f>F66-28625221.1</f>
        <v>29434329.9</v>
      </c>
      <c r="F66" s="66">
        <v>58059551</v>
      </c>
      <c r="G66" s="51">
        <f t="shared" si="8"/>
        <v>0.15823073414061592</v>
      </c>
      <c r="H66" s="66">
        <f t="shared" si="2"/>
        <v>147578234</v>
      </c>
      <c r="I66" s="66">
        <f>J66-15579146.33</f>
        <v>29932777.300000004</v>
      </c>
      <c r="J66" s="66">
        <v>45511923.63</v>
      </c>
      <c r="K66" s="51">
        <f t="shared" si="9"/>
        <v>0.14796407582453122</v>
      </c>
      <c r="L66" s="69">
        <f t="shared" si="3"/>
        <v>160125861.37</v>
      </c>
      <c r="M66" s="8"/>
    </row>
    <row r="67" spans="1:13" s="7" customFormat="1" ht="14.25" customHeight="1">
      <c r="A67" s="77" t="s">
        <v>50</v>
      </c>
      <c r="B67" s="78" t="s">
        <v>57</v>
      </c>
      <c r="C67" s="66">
        <v>87621598</v>
      </c>
      <c r="D67" s="66">
        <v>88454178</v>
      </c>
      <c r="E67" s="66">
        <f>F67-12955298.76</f>
        <v>20329680.840000004</v>
      </c>
      <c r="F67" s="66">
        <v>33284979.6</v>
      </c>
      <c r="G67" s="51">
        <f t="shared" si="8"/>
        <v>0.09071215101135427</v>
      </c>
      <c r="H67" s="66">
        <f t="shared" si="2"/>
        <v>55169198.4</v>
      </c>
      <c r="I67" s="66">
        <f>J67-1322087.13</f>
        <v>14988744.219999999</v>
      </c>
      <c r="J67" s="66">
        <v>16310831.35</v>
      </c>
      <c r="K67" s="51">
        <f t="shared" si="9"/>
        <v>0.053028237308820184</v>
      </c>
      <c r="L67" s="69">
        <f t="shared" si="3"/>
        <v>72143346.65</v>
      </c>
      <c r="M67" s="8"/>
    </row>
    <row r="68" spans="1:13" s="7" customFormat="1" ht="14.25" customHeight="1">
      <c r="A68" s="48" t="s">
        <v>29</v>
      </c>
      <c r="B68" s="49" t="s">
        <v>34</v>
      </c>
      <c r="C68" s="66">
        <v>15128633</v>
      </c>
      <c r="D68" s="66">
        <v>16096633</v>
      </c>
      <c r="E68" s="66">
        <f>F68-116964.66</f>
        <v>358317.78</v>
      </c>
      <c r="F68" s="66">
        <v>475282.44</v>
      </c>
      <c r="G68" s="51">
        <f t="shared" si="8"/>
        <v>0.001295295745661954</v>
      </c>
      <c r="H68" s="66">
        <f t="shared" si="2"/>
        <v>15621350.56</v>
      </c>
      <c r="I68" s="66">
        <f>J68-38948.6</f>
        <v>219153.6</v>
      </c>
      <c r="J68" s="66">
        <v>258102.2</v>
      </c>
      <c r="K68" s="51">
        <f t="shared" si="9"/>
        <v>0.0008391175420698939</v>
      </c>
      <c r="L68" s="69">
        <f t="shared" si="3"/>
        <v>15838530.8</v>
      </c>
      <c r="M68" s="8"/>
    </row>
    <row r="69" spans="1:13" s="7" customFormat="1" ht="14.25" customHeight="1">
      <c r="A69" s="48" t="s">
        <v>64</v>
      </c>
      <c r="B69" s="49" t="s">
        <v>72</v>
      </c>
      <c r="C69" s="66">
        <v>403937980</v>
      </c>
      <c r="D69" s="66">
        <v>494923577.62</v>
      </c>
      <c r="E69" s="66">
        <f>F69-58466830.52</f>
        <v>99443852.47</v>
      </c>
      <c r="F69" s="66">
        <v>157910682.99</v>
      </c>
      <c r="G69" s="51">
        <f t="shared" si="8"/>
        <v>0.43035681240720886</v>
      </c>
      <c r="H69" s="66">
        <f t="shared" si="2"/>
        <v>337012894.63</v>
      </c>
      <c r="I69" s="66">
        <f>J69-9482286.81</f>
        <v>52973304.26</v>
      </c>
      <c r="J69" s="66">
        <v>62455591.07</v>
      </c>
      <c r="K69" s="51">
        <f t="shared" si="9"/>
        <v>0.20304973017347705</v>
      </c>
      <c r="L69" s="69">
        <f t="shared" si="3"/>
        <v>432467986.55</v>
      </c>
      <c r="M69" s="8"/>
    </row>
    <row r="70" spans="1:13" s="7" customFormat="1" ht="14.25" customHeight="1">
      <c r="A70" s="48" t="s">
        <v>65</v>
      </c>
      <c r="B70" s="49" t="s">
        <v>73</v>
      </c>
      <c r="C70" s="66">
        <v>232652325</v>
      </c>
      <c r="D70" s="66">
        <v>264413788.71</v>
      </c>
      <c r="E70" s="66">
        <f>F70-26655222.23</f>
        <v>49273379.45999999</v>
      </c>
      <c r="F70" s="66">
        <v>75928601.69</v>
      </c>
      <c r="G70" s="51">
        <f t="shared" si="8"/>
        <v>0.2069295780065387</v>
      </c>
      <c r="H70" s="66">
        <f t="shared" si="2"/>
        <v>188485187.02</v>
      </c>
      <c r="I70" s="66">
        <f>J70-15591857</f>
        <v>31100663.259999998</v>
      </c>
      <c r="J70" s="66">
        <v>46692520.26</v>
      </c>
      <c r="K70" s="51">
        <f t="shared" si="9"/>
        <v>0.15180232029645588</v>
      </c>
      <c r="L70" s="69">
        <f t="shared" si="3"/>
        <v>217721268.45000002</v>
      </c>
      <c r="M70" s="8"/>
    </row>
    <row r="71" spans="1:13" s="7" customFormat="1" ht="14.25" customHeight="1">
      <c r="A71" s="48" t="s">
        <v>66</v>
      </c>
      <c r="B71" s="49" t="s">
        <v>74</v>
      </c>
      <c r="C71" s="66">
        <v>2318846</v>
      </c>
      <c r="D71" s="66">
        <v>2941828</v>
      </c>
      <c r="E71" s="66">
        <f>F71-350693.3</f>
        <v>701386.5999999999</v>
      </c>
      <c r="F71" s="66">
        <v>1052079.9</v>
      </c>
      <c r="G71" s="51">
        <f t="shared" si="8"/>
        <v>0.0028672521933830624</v>
      </c>
      <c r="H71" s="66">
        <f t="shared" si="2"/>
        <v>1889748.1</v>
      </c>
      <c r="I71" s="66">
        <f t="shared" si="10"/>
        <v>501311.52</v>
      </c>
      <c r="J71" s="66">
        <v>501311.52</v>
      </c>
      <c r="K71" s="51">
        <f t="shared" si="9"/>
        <v>0.0016298167565937927</v>
      </c>
      <c r="L71" s="69">
        <f t="shared" si="3"/>
        <v>2440516.48</v>
      </c>
      <c r="M71" s="8"/>
    </row>
    <row r="72" spans="1:13" s="7" customFormat="1" ht="14.25" customHeight="1">
      <c r="A72" s="48" t="s">
        <v>131</v>
      </c>
      <c r="B72" s="49" t="s">
        <v>132</v>
      </c>
      <c r="C72" s="66">
        <v>0</v>
      </c>
      <c r="D72" s="66">
        <v>0</v>
      </c>
      <c r="E72" s="66">
        <f>F72-0</f>
        <v>0</v>
      </c>
      <c r="F72" s="66">
        <v>0</v>
      </c>
      <c r="G72" s="51">
        <f t="shared" si="8"/>
        <v>0</v>
      </c>
      <c r="H72" s="66">
        <f t="shared" si="2"/>
        <v>0</v>
      </c>
      <c r="I72" s="66">
        <f t="shared" si="10"/>
        <v>0</v>
      </c>
      <c r="J72" s="66">
        <v>0</v>
      </c>
      <c r="K72" s="51">
        <f t="shared" si="9"/>
        <v>0</v>
      </c>
      <c r="L72" s="69">
        <f t="shared" si="3"/>
        <v>0</v>
      </c>
      <c r="M72" s="8"/>
    </row>
    <row r="73" spans="1:13" s="7" customFormat="1" ht="14.25" customHeight="1">
      <c r="A73" s="48" t="s">
        <v>82</v>
      </c>
      <c r="B73" s="49" t="s">
        <v>84</v>
      </c>
      <c r="C73" s="66">
        <v>0</v>
      </c>
      <c r="D73" s="66">
        <v>0</v>
      </c>
      <c r="E73" s="66">
        <f>F73-0</f>
        <v>0</v>
      </c>
      <c r="F73" s="66">
        <v>0</v>
      </c>
      <c r="G73" s="51">
        <f t="shared" si="8"/>
        <v>0</v>
      </c>
      <c r="H73" s="66">
        <f t="shared" si="2"/>
        <v>0</v>
      </c>
      <c r="I73" s="66">
        <f t="shared" si="10"/>
        <v>0</v>
      </c>
      <c r="J73" s="66">
        <v>0</v>
      </c>
      <c r="K73" s="51">
        <f t="shared" si="9"/>
        <v>0</v>
      </c>
      <c r="L73" s="69">
        <f t="shared" si="3"/>
        <v>0</v>
      </c>
      <c r="M73" s="8"/>
    </row>
    <row r="74" spans="1:13" s="7" customFormat="1" ht="14.25" customHeight="1">
      <c r="A74" s="48" t="s">
        <v>83</v>
      </c>
      <c r="B74" s="49" t="s">
        <v>85</v>
      </c>
      <c r="C74" s="111">
        <v>2145000</v>
      </c>
      <c r="D74" s="111">
        <v>2145000</v>
      </c>
      <c r="E74" s="66">
        <f>F74-737822.21</f>
        <v>114698</v>
      </c>
      <c r="F74" s="66">
        <v>852520.21</v>
      </c>
      <c r="G74" s="51">
        <f t="shared" si="8"/>
        <v>0.002323388596270957</v>
      </c>
      <c r="H74" s="66">
        <f t="shared" si="2"/>
        <v>1292479.79</v>
      </c>
      <c r="I74" s="66">
        <f>J74-57192.18</f>
        <v>76103.83000000002</v>
      </c>
      <c r="J74" s="111">
        <v>133296.01</v>
      </c>
      <c r="K74" s="51">
        <f t="shared" si="9"/>
        <v>0.00043335942227119335</v>
      </c>
      <c r="L74" s="69">
        <f t="shared" si="3"/>
        <v>2011703.99</v>
      </c>
      <c r="M74" s="8"/>
    </row>
    <row r="75" spans="1:13" s="7" customFormat="1" ht="14.25" customHeight="1">
      <c r="A75" s="48" t="s">
        <v>92</v>
      </c>
      <c r="B75" s="49" t="s">
        <v>98</v>
      </c>
      <c r="C75" s="66">
        <v>0</v>
      </c>
      <c r="D75" s="66">
        <v>0</v>
      </c>
      <c r="E75" s="66">
        <f>F75-0</f>
        <v>0</v>
      </c>
      <c r="F75" s="66">
        <v>0</v>
      </c>
      <c r="G75" s="51">
        <f t="shared" si="8"/>
        <v>0</v>
      </c>
      <c r="H75" s="66">
        <f t="shared" si="2"/>
        <v>0</v>
      </c>
      <c r="I75" s="66">
        <f t="shared" si="10"/>
        <v>0</v>
      </c>
      <c r="J75" s="66">
        <v>0</v>
      </c>
      <c r="K75" s="51">
        <f t="shared" si="9"/>
        <v>0</v>
      </c>
      <c r="L75" s="69">
        <f t="shared" si="3"/>
        <v>0</v>
      </c>
      <c r="M75" s="8"/>
    </row>
    <row r="76" spans="1:13" s="7" customFormat="1" ht="14.25" customHeight="1">
      <c r="A76" s="48" t="s">
        <v>67</v>
      </c>
      <c r="B76" s="49" t="s">
        <v>75</v>
      </c>
      <c r="C76" s="111">
        <v>370965984</v>
      </c>
      <c r="D76" s="111">
        <v>370965984</v>
      </c>
      <c r="E76" s="66">
        <f>F76-33526987.62</f>
        <v>57244639.69</v>
      </c>
      <c r="F76" s="111">
        <v>90771627.31</v>
      </c>
      <c r="G76" s="51">
        <f t="shared" si="8"/>
        <v>0.24738154155549158</v>
      </c>
      <c r="H76" s="66">
        <f t="shared" si="2"/>
        <v>280194356.69</v>
      </c>
      <c r="I76" s="66">
        <f>J76-905123.45</f>
        <v>10479395.14</v>
      </c>
      <c r="J76" s="111">
        <v>11384518.59</v>
      </c>
      <c r="K76" s="51">
        <f t="shared" si="9"/>
        <v>0.03701227365318782</v>
      </c>
      <c r="L76" s="69">
        <f t="shared" si="3"/>
        <v>359581465.41</v>
      </c>
      <c r="M76" s="8"/>
    </row>
    <row r="77" spans="1:13" s="7" customFormat="1" ht="14.25" customHeight="1">
      <c r="A77" s="48" t="s">
        <v>68</v>
      </c>
      <c r="B77" s="49" t="s">
        <v>76</v>
      </c>
      <c r="C77" s="111">
        <v>232799165</v>
      </c>
      <c r="D77" s="111">
        <v>232799165</v>
      </c>
      <c r="E77" s="66">
        <f>F77-16949199.59</f>
        <v>32569724.250000004</v>
      </c>
      <c r="F77" s="111">
        <v>49518923.84</v>
      </c>
      <c r="G77" s="51">
        <f aca="true" t="shared" si="11" ref="G77:G108">(F77/$F$317)*100</f>
        <v>0.13495480998563783</v>
      </c>
      <c r="H77" s="66">
        <f t="shared" si="2"/>
        <v>183280241.16</v>
      </c>
      <c r="I77" s="66">
        <f>J77-15256682.07</f>
        <v>34262241.77</v>
      </c>
      <c r="J77" s="111">
        <v>49518923.84</v>
      </c>
      <c r="K77" s="51">
        <f aca="true" t="shared" si="12" ref="K77:K108">(J77/$J$317)*100</f>
        <v>0.1609912571786179</v>
      </c>
      <c r="L77" s="69">
        <f t="shared" si="3"/>
        <v>183280241.16</v>
      </c>
      <c r="M77" s="8"/>
    </row>
    <row r="78" spans="1:13" s="7" customFormat="1" ht="14.25" customHeight="1">
      <c r="A78" s="48" t="s">
        <v>238</v>
      </c>
      <c r="B78" s="49" t="s">
        <v>239</v>
      </c>
      <c r="C78" s="66">
        <v>0</v>
      </c>
      <c r="D78" s="66">
        <v>0</v>
      </c>
      <c r="E78" s="66">
        <f>F78-0</f>
        <v>0</v>
      </c>
      <c r="F78" s="66">
        <v>0</v>
      </c>
      <c r="G78" s="51">
        <f t="shared" si="11"/>
        <v>0</v>
      </c>
      <c r="H78" s="66">
        <f t="shared" si="2"/>
        <v>0</v>
      </c>
      <c r="I78" s="66">
        <f t="shared" si="10"/>
        <v>0</v>
      </c>
      <c r="J78" s="66">
        <v>0</v>
      </c>
      <c r="K78" s="51">
        <f t="shared" si="12"/>
        <v>0</v>
      </c>
      <c r="L78" s="69">
        <f t="shared" si="3"/>
        <v>0</v>
      </c>
      <c r="M78" s="8"/>
    </row>
    <row r="79" spans="1:13" s="7" customFormat="1" ht="14.25" customHeight="1">
      <c r="A79" s="48" t="s">
        <v>106</v>
      </c>
      <c r="B79" s="49" t="s">
        <v>108</v>
      </c>
      <c r="C79" s="66">
        <v>0</v>
      </c>
      <c r="D79" s="66">
        <v>0</v>
      </c>
      <c r="E79" s="66">
        <f>F79-0</f>
        <v>0</v>
      </c>
      <c r="F79" s="66">
        <v>0</v>
      </c>
      <c r="G79" s="51">
        <f t="shared" si="11"/>
        <v>0</v>
      </c>
      <c r="H79" s="66">
        <f aca="true" t="shared" si="13" ref="H79:H143">D79-F79</f>
        <v>0</v>
      </c>
      <c r="I79" s="66">
        <f t="shared" si="10"/>
        <v>0</v>
      </c>
      <c r="J79" s="66">
        <v>0</v>
      </c>
      <c r="K79" s="51">
        <f t="shared" si="12"/>
        <v>0</v>
      </c>
      <c r="L79" s="69">
        <f aca="true" t="shared" si="14" ref="L79:L143">D79-J79</f>
        <v>0</v>
      </c>
      <c r="M79" s="8"/>
    </row>
    <row r="80" spans="1:13" s="7" customFormat="1" ht="14.25" customHeight="1">
      <c r="A80" s="48" t="s">
        <v>115</v>
      </c>
      <c r="B80" s="49" t="s">
        <v>122</v>
      </c>
      <c r="C80" s="66">
        <v>0</v>
      </c>
      <c r="D80" s="66">
        <v>0</v>
      </c>
      <c r="E80" s="66">
        <f>F80-0</f>
        <v>0</v>
      </c>
      <c r="F80" s="66">
        <v>0</v>
      </c>
      <c r="G80" s="51">
        <f t="shared" si="11"/>
        <v>0</v>
      </c>
      <c r="H80" s="66">
        <f t="shared" si="13"/>
        <v>0</v>
      </c>
      <c r="I80" s="66">
        <f t="shared" si="10"/>
        <v>0</v>
      </c>
      <c r="J80" s="66">
        <v>0</v>
      </c>
      <c r="K80" s="51">
        <f t="shared" si="12"/>
        <v>0</v>
      </c>
      <c r="L80" s="69">
        <f t="shared" si="14"/>
        <v>0</v>
      </c>
      <c r="M80" s="8"/>
    </row>
    <row r="81" spans="1:13" s="7" customFormat="1" ht="14.25" customHeight="1">
      <c r="A81" s="48" t="s">
        <v>69</v>
      </c>
      <c r="B81" s="49" t="s">
        <v>77</v>
      </c>
      <c r="C81" s="111">
        <v>180286949</v>
      </c>
      <c r="D81" s="111">
        <v>187676393.67</v>
      </c>
      <c r="E81" s="66">
        <f>F81-9730228.83</f>
        <v>13624107.790000001</v>
      </c>
      <c r="F81" s="111">
        <v>23354336.62</v>
      </c>
      <c r="G81" s="51">
        <f t="shared" si="11"/>
        <v>0.06364799184805392</v>
      </c>
      <c r="H81" s="66">
        <f t="shared" si="13"/>
        <v>164322057.04999998</v>
      </c>
      <c r="I81" s="66">
        <f>J81-7109488.6</f>
        <v>14751964.590000002</v>
      </c>
      <c r="J81" s="111">
        <v>21861453.19</v>
      </c>
      <c r="K81" s="51">
        <f t="shared" si="12"/>
        <v>0.07107389579348351</v>
      </c>
      <c r="L81" s="69">
        <f t="shared" si="14"/>
        <v>165814940.48</v>
      </c>
      <c r="M81" s="8"/>
    </row>
    <row r="82" spans="1:13" s="7" customFormat="1" ht="14.25" customHeight="1">
      <c r="A82" s="48" t="s">
        <v>53</v>
      </c>
      <c r="B82" s="49" t="s">
        <v>60</v>
      </c>
      <c r="C82" s="111">
        <v>123097921</v>
      </c>
      <c r="D82" s="111">
        <v>180165769.32</v>
      </c>
      <c r="E82" s="66">
        <f>F82-12411761.33</f>
        <v>23024740.490000002</v>
      </c>
      <c r="F82" s="111">
        <v>35436501.82</v>
      </c>
      <c r="G82" s="51">
        <f t="shared" si="11"/>
        <v>0.09657573304956962</v>
      </c>
      <c r="H82" s="66">
        <f t="shared" si="13"/>
        <v>144729267.5</v>
      </c>
      <c r="I82" s="66">
        <f>J82-2635214.74</f>
        <v>25849664.810000002</v>
      </c>
      <c r="J82" s="111">
        <v>28484879.55</v>
      </c>
      <c r="K82" s="51">
        <f t="shared" si="12"/>
        <v>0.09260735520329924</v>
      </c>
      <c r="L82" s="69">
        <f t="shared" si="14"/>
        <v>151680889.76999998</v>
      </c>
      <c r="M82" s="8"/>
    </row>
    <row r="83" spans="1:13" s="7" customFormat="1" ht="14.25" customHeight="1">
      <c r="A83" s="48" t="s">
        <v>70</v>
      </c>
      <c r="B83" s="49" t="s">
        <v>78</v>
      </c>
      <c r="C83" s="111">
        <v>11623156</v>
      </c>
      <c r="D83" s="111">
        <v>9982946.64</v>
      </c>
      <c r="E83" s="66">
        <f>F83-2946279.2</f>
        <v>2326531.08</v>
      </c>
      <c r="F83" s="111">
        <v>5272810.28</v>
      </c>
      <c r="G83" s="51">
        <f t="shared" si="11"/>
        <v>0.014370084287916498</v>
      </c>
      <c r="H83" s="66">
        <f t="shared" si="13"/>
        <v>4710136.36</v>
      </c>
      <c r="I83" s="66">
        <f>J83-8800</f>
        <v>2023553.04</v>
      </c>
      <c r="J83" s="111">
        <v>2032353.04</v>
      </c>
      <c r="K83" s="51">
        <f t="shared" si="12"/>
        <v>0.00660739461943012</v>
      </c>
      <c r="L83" s="69">
        <f t="shared" si="14"/>
        <v>7950593.600000001</v>
      </c>
      <c r="M83" s="8"/>
    </row>
    <row r="84" spans="1:13" s="7" customFormat="1" ht="14.25" customHeight="1">
      <c r="A84" s="48" t="s">
        <v>71</v>
      </c>
      <c r="B84" s="49" t="s">
        <v>79</v>
      </c>
      <c r="C84" s="66">
        <v>0</v>
      </c>
      <c r="D84" s="66">
        <v>0</v>
      </c>
      <c r="E84" s="66">
        <f>F84-0</f>
        <v>0</v>
      </c>
      <c r="F84" s="66">
        <v>0</v>
      </c>
      <c r="G84" s="51">
        <f t="shared" si="11"/>
        <v>0</v>
      </c>
      <c r="H84" s="66">
        <f t="shared" si="13"/>
        <v>0</v>
      </c>
      <c r="I84" s="66">
        <f t="shared" si="10"/>
        <v>0</v>
      </c>
      <c r="J84" s="66">
        <v>0</v>
      </c>
      <c r="K84" s="51">
        <f t="shared" si="12"/>
        <v>0</v>
      </c>
      <c r="L84" s="69">
        <f t="shared" si="14"/>
        <v>0</v>
      </c>
      <c r="M84" s="8"/>
    </row>
    <row r="85" spans="1:13" s="7" customFormat="1" ht="14.25" customHeight="1">
      <c r="A85" s="48" t="s">
        <v>199</v>
      </c>
      <c r="B85" s="49" t="s">
        <v>200</v>
      </c>
      <c r="C85" s="66">
        <v>0</v>
      </c>
      <c r="D85" s="66">
        <v>0</v>
      </c>
      <c r="E85" s="66">
        <f>F85-0</f>
        <v>0</v>
      </c>
      <c r="F85" s="66">
        <v>0</v>
      </c>
      <c r="G85" s="51">
        <f t="shared" si="11"/>
        <v>0</v>
      </c>
      <c r="H85" s="66">
        <f t="shared" si="13"/>
        <v>0</v>
      </c>
      <c r="I85" s="66">
        <f t="shared" si="10"/>
        <v>0</v>
      </c>
      <c r="J85" s="66">
        <v>0</v>
      </c>
      <c r="K85" s="51">
        <f t="shared" si="12"/>
        <v>0</v>
      </c>
      <c r="L85" s="69">
        <f t="shared" si="14"/>
        <v>0</v>
      </c>
      <c r="M85" s="8"/>
    </row>
    <row r="86" spans="1:13" s="7" customFormat="1" ht="14.25" customHeight="1">
      <c r="A86" s="48" t="s">
        <v>207</v>
      </c>
      <c r="B86" s="49" t="s">
        <v>208</v>
      </c>
      <c r="C86" s="66">
        <v>0</v>
      </c>
      <c r="D86" s="66">
        <v>0</v>
      </c>
      <c r="E86" s="66">
        <f>F86-0</f>
        <v>0</v>
      </c>
      <c r="F86" s="66">
        <v>0</v>
      </c>
      <c r="G86" s="51">
        <f t="shared" si="11"/>
        <v>0</v>
      </c>
      <c r="H86" s="66">
        <f t="shared" si="13"/>
        <v>0</v>
      </c>
      <c r="I86" s="66">
        <f t="shared" si="10"/>
        <v>0</v>
      </c>
      <c r="J86" s="66">
        <v>0</v>
      </c>
      <c r="K86" s="51">
        <f t="shared" si="12"/>
        <v>0</v>
      </c>
      <c r="L86" s="69">
        <f t="shared" si="14"/>
        <v>0</v>
      </c>
      <c r="M86" s="8"/>
    </row>
    <row r="87" spans="1:13" s="7" customFormat="1" ht="14.25" customHeight="1">
      <c r="A87" s="45" t="s">
        <v>81</v>
      </c>
      <c r="B87" s="83" t="s">
        <v>80</v>
      </c>
      <c r="C87" s="65">
        <f>SUM(C88:C100)</f>
        <v>1074079798</v>
      </c>
      <c r="D87" s="65">
        <f>SUM(D88:D100)</f>
        <v>1071873126.78</v>
      </c>
      <c r="E87" s="65">
        <f>SUM(E88:E100)</f>
        <v>85711359.58000001</v>
      </c>
      <c r="F87" s="65">
        <f>SUM(F88:F100)</f>
        <v>223186143.38000003</v>
      </c>
      <c r="G87" s="47">
        <f t="shared" si="11"/>
        <v>0.6082531936395817</v>
      </c>
      <c r="H87" s="65">
        <f t="shared" si="13"/>
        <v>848686983.4</v>
      </c>
      <c r="I87" s="65">
        <f>SUM(I88:I100)</f>
        <v>109059104.49</v>
      </c>
      <c r="J87" s="65">
        <f>SUM(J88:J100)</f>
        <v>211868070.37</v>
      </c>
      <c r="K87" s="47">
        <f t="shared" si="12"/>
        <v>0.6888054981784956</v>
      </c>
      <c r="L87" s="68">
        <f t="shared" si="14"/>
        <v>860005056.41</v>
      </c>
      <c r="M87" s="8"/>
    </row>
    <row r="88" spans="1:13" s="7" customFormat="1" ht="14.25" customHeight="1">
      <c r="A88" s="48" t="s">
        <v>28</v>
      </c>
      <c r="B88" s="49" t="s">
        <v>33</v>
      </c>
      <c r="C88" s="111">
        <v>127331652</v>
      </c>
      <c r="D88" s="111">
        <v>125431574.6</v>
      </c>
      <c r="E88" s="66">
        <f>F88-15961026.34</f>
        <v>20768477.84</v>
      </c>
      <c r="F88" s="111">
        <v>36729504.18</v>
      </c>
      <c r="G88" s="51">
        <f t="shared" si="11"/>
        <v>0.10009957553792004</v>
      </c>
      <c r="H88" s="66">
        <f t="shared" si="13"/>
        <v>88702070.41999999</v>
      </c>
      <c r="I88" s="66">
        <f>J88-15111669.59</f>
        <v>17831541.86</v>
      </c>
      <c r="J88" s="111">
        <v>32943211.45</v>
      </c>
      <c r="K88" s="51">
        <f t="shared" si="12"/>
        <v>0.10710186360214204</v>
      </c>
      <c r="L88" s="69">
        <f t="shared" si="14"/>
        <v>92488363.14999999</v>
      </c>
      <c r="M88" s="8"/>
    </row>
    <row r="89" spans="1:13" s="7" customFormat="1" ht="14.25" customHeight="1">
      <c r="A89" s="48" t="s">
        <v>29</v>
      </c>
      <c r="B89" s="49" t="s">
        <v>34</v>
      </c>
      <c r="C89" s="66">
        <v>0</v>
      </c>
      <c r="D89" s="66">
        <v>0</v>
      </c>
      <c r="E89" s="66">
        <f aca="true" t="shared" si="15" ref="E89:E100">F89-0</f>
        <v>0</v>
      </c>
      <c r="F89" s="66">
        <v>0</v>
      </c>
      <c r="G89" s="51">
        <f t="shared" si="11"/>
        <v>0</v>
      </c>
      <c r="H89" s="66">
        <f t="shared" si="13"/>
        <v>0</v>
      </c>
      <c r="I89" s="66">
        <f>J89-0</f>
        <v>0</v>
      </c>
      <c r="J89" s="66">
        <v>0</v>
      </c>
      <c r="K89" s="51">
        <f t="shared" si="12"/>
        <v>0</v>
      </c>
      <c r="L89" s="69">
        <f t="shared" si="14"/>
        <v>0</v>
      </c>
      <c r="M89" s="8"/>
    </row>
    <row r="90" spans="1:13" s="7" customFormat="1" ht="14.25" customHeight="1">
      <c r="A90" s="48" t="s">
        <v>164</v>
      </c>
      <c r="B90" s="49" t="s">
        <v>165</v>
      </c>
      <c r="C90" s="66">
        <v>0</v>
      </c>
      <c r="D90" s="66">
        <v>0</v>
      </c>
      <c r="E90" s="66">
        <f t="shared" si="15"/>
        <v>0</v>
      </c>
      <c r="F90" s="66">
        <v>0</v>
      </c>
      <c r="G90" s="51">
        <f t="shared" si="11"/>
        <v>0</v>
      </c>
      <c r="H90" s="66">
        <f t="shared" si="13"/>
        <v>0</v>
      </c>
      <c r="I90" s="66">
        <f>J90-0</f>
        <v>0</v>
      </c>
      <c r="J90" s="66">
        <v>0</v>
      </c>
      <c r="K90" s="51">
        <f t="shared" si="12"/>
        <v>0</v>
      </c>
      <c r="L90" s="69">
        <f t="shared" si="14"/>
        <v>0</v>
      </c>
      <c r="M90" s="8"/>
    </row>
    <row r="91" spans="1:13" s="7" customFormat="1" ht="14.25" customHeight="1">
      <c r="A91" s="48" t="s">
        <v>64</v>
      </c>
      <c r="B91" s="49" t="s">
        <v>72</v>
      </c>
      <c r="C91" s="66">
        <v>0</v>
      </c>
      <c r="D91" s="66">
        <v>0</v>
      </c>
      <c r="E91" s="66">
        <f t="shared" si="15"/>
        <v>0</v>
      </c>
      <c r="F91" s="66">
        <v>0</v>
      </c>
      <c r="G91" s="51">
        <f t="shared" si="11"/>
        <v>0</v>
      </c>
      <c r="H91" s="66">
        <f t="shared" si="13"/>
        <v>0</v>
      </c>
      <c r="I91" s="66">
        <v>0</v>
      </c>
      <c r="J91" s="66">
        <v>0</v>
      </c>
      <c r="K91" s="51">
        <f t="shared" si="12"/>
        <v>0</v>
      </c>
      <c r="L91" s="69">
        <f t="shared" si="14"/>
        <v>0</v>
      </c>
      <c r="M91" s="8"/>
    </row>
    <row r="92" spans="1:13" s="7" customFormat="1" ht="14.25" customHeight="1">
      <c r="A92" s="48" t="s">
        <v>52</v>
      </c>
      <c r="B92" s="49" t="s">
        <v>59</v>
      </c>
      <c r="C92" s="111">
        <v>68762071</v>
      </c>
      <c r="D92" s="111">
        <v>59925411.17</v>
      </c>
      <c r="E92" s="66">
        <f>F92-472200</f>
        <v>3388316.65</v>
      </c>
      <c r="F92" s="111">
        <v>3860516.65</v>
      </c>
      <c r="G92" s="51">
        <f t="shared" si="11"/>
        <v>0.010521135165023428</v>
      </c>
      <c r="H92" s="66">
        <f t="shared" si="13"/>
        <v>56064894.52</v>
      </c>
      <c r="I92" s="66">
        <f>J92-472200</f>
        <v>3388316.65</v>
      </c>
      <c r="J92" s="111">
        <v>3860516.65</v>
      </c>
      <c r="K92" s="51">
        <f t="shared" si="12"/>
        <v>0.012550947812408808</v>
      </c>
      <c r="L92" s="69">
        <f t="shared" si="14"/>
        <v>56064894.52</v>
      </c>
      <c r="M92" s="8"/>
    </row>
    <row r="93" spans="1:13" s="7" customFormat="1" ht="14.25" customHeight="1">
      <c r="A93" s="48" t="s">
        <v>131</v>
      </c>
      <c r="B93" s="49" t="s">
        <v>132</v>
      </c>
      <c r="C93" s="66">
        <v>0</v>
      </c>
      <c r="D93" s="66">
        <v>0</v>
      </c>
      <c r="E93" s="66">
        <f t="shared" si="15"/>
        <v>0</v>
      </c>
      <c r="F93" s="66">
        <v>0</v>
      </c>
      <c r="G93" s="51">
        <f t="shared" si="11"/>
        <v>0</v>
      </c>
      <c r="H93" s="66">
        <f t="shared" si="13"/>
        <v>0</v>
      </c>
      <c r="I93" s="66">
        <f aca="true" t="shared" si="16" ref="I93:I100">J93-0</f>
        <v>0</v>
      </c>
      <c r="J93" s="66">
        <v>0</v>
      </c>
      <c r="K93" s="51">
        <f t="shared" si="12"/>
        <v>0</v>
      </c>
      <c r="L93" s="69">
        <f t="shared" si="14"/>
        <v>0</v>
      </c>
      <c r="M93" s="8"/>
    </row>
    <row r="94" spans="1:13" s="7" customFormat="1" ht="14.25" customHeight="1">
      <c r="A94" s="48" t="s">
        <v>82</v>
      </c>
      <c r="B94" s="49" t="s">
        <v>84</v>
      </c>
      <c r="C94" s="111">
        <v>88698317</v>
      </c>
      <c r="D94" s="111">
        <v>88698317</v>
      </c>
      <c r="E94" s="66">
        <f>F94-2004631.33</f>
        <v>11231732.01</v>
      </c>
      <c r="F94" s="111">
        <v>13236363.34</v>
      </c>
      <c r="G94" s="51">
        <f t="shared" si="11"/>
        <v>0.036073298063227094</v>
      </c>
      <c r="H94" s="66">
        <f t="shared" si="13"/>
        <v>75461953.66</v>
      </c>
      <c r="I94" s="66">
        <f>J94-1642918.88</f>
        <v>11166958.760000002</v>
      </c>
      <c r="J94" s="111">
        <v>12809877.64</v>
      </c>
      <c r="K94" s="51">
        <f t="shared" si="12"/>
        <v>0.041646266631950035</v>
      </c>
      <c r="L94" s="69">
        <f t="shared" si="14"/>
        <v>75888439.36</v>
      </c>
      <c r="M94" s="8"/>
    </row>
    <row r="95" spans="1:13" s="7" customFormat="1" ht="14.25" customHeight="1">
      <c r="A95" s="48" t="s">
        <v>83</v>
      </c>
      <c r="B95" s="49" t="s">
        <v>85</v>
      </c>
      <c r="C95" s="111">
        <v>514467691</v>
      </c>
      <c r="D95" s="111">
        <v>523304350.83</v>
      </c>
      <c r="E95" s="66">
        <f>F95-114940688.03</f>
        <v>37833527.400000006</v>
      </c>
      <c r="F95" s="111">
        <v>152774215.43</v>
      </c>
      <c r="G95" s="51">
        <f t="shared" si="11"/>
        <v>0.41635830537589785</v>
      </c>
      <c r="H95" s="66">
        <f t="shared" si="13"/>
        <v>370530135.4</v>
      </c>
      <c r="I95" s="66">
        <f>J95-83331690.59</f>
        <v>68468443.12</v>
      </c>
      <c r="J95" s="111">
        <v>151800133.71</v>
      </c>
      <c r="K95" s="51">
        <f t="shared" si="12"/>
        <v>0.49351828494532957</v>
      </c>
      <c r="L95" s="69">
        <f t="shared" si="14"/>
        <v>371504217.12</v>
      </c>
      <c r="M95" s="8"/>
    </row>
    <row r="96" spans="1:13" s="7" customFormat="1" ht="14.25" customHeight="1">
      <c r="A96" s="48" t="s">
        <v>67</v>
      </c>
      <c r="B96" s="49" t="s">
        <v>75</v>
      </c>
      <c r="C96" s="66">
        <v>0</v>
      </c>
      <c r="D96" s="66">
        <v>0</v>
      </c>
      <c r="E96" s="66">
        <f t="shared" si="15"/>
        <v>0</v>
      </c>
      <c r="F96" s="66">
        <v>0</v>
      </c>
      <c r="G96" s="51">
        <f t="shared" si="11"/>
        <v>0</v>
      </c>
      <c r="H96" s="66">
        <f t="shared" si="13"/>
        <v>0</v>
      </c>
      <c r="I96" s="74">
        <f t="shared" si="16"/>
        <v>0</v>
      </c>
      <c r="J96" s="74">
        <v>0</v>
      </c>
      <c r="K96" s="51">
        <f t="shared" si="12"/>
        <v>0</v>
      </c>
      <c r="L96" s="69">
        <f t="shared" si="14"/>
        <v>0</v>
      </c>
      <c r="M96" s="8"/>
    </row>
    <row r="97" spans="1:13" s="7" customFormat="1" ht="14.25" customHeight="1">
      <c r="A97" s="48" t="s">
        <v>93</v>
      </c>
      <c r="B97" s="49" t="s">
        <v>99</v>
      </c>
      <c r="C97" s="66">
        <v>0</v>
      </c>
      <c r="D97" s="66">
        <v>0</v>
      </c>
      <c r="E97" s="66">
        <f t="shared" si="15"/>
        <v>0</v>
      </c>
      <c r="F97" s="66">
        <v>0</v>
      </c>
      <c r="G97" s="51">
        <f t="shared" si="11"/>
        <v>0</v>
      </c>
      <c r="H97" s="66">
        <f t="shared" si="13"/>
        <v>0</v>
      </c>
      <c r="I97" s="66">
        <f t="shared" si="16"/>
        <v>0</v>
      </c>
      <c r="J97" s="66">
        <v>0</v>
      </c>
      <c r="K97" s="51">
        <f t="shared" si="12"/>
        <v>0</v>
      </c>
      <c r="L97" s="69">
        <f t="shared" si="14"/>
        <v>0</v>
      </c>
      <c r="M97" s="8"/>
    </row>
    <row r="98" spans="1:13" s="7" customFormat="1" ht="14.25" customHeight="1">
      <c r="A98" s="48" t="s">
        <v>68</v>
      </c>
      <c r="B98" s="49" t="s">
        <v>76</v>
      </c>
      <c r="C98" s="111">
        <v>260068579</v>
      </c>
      <c r="D98" s="111">
        <v>259761985.18</v>
      </c>
      <c r="E98" s="66">
        <f>F98-3546502.28</f>
        <v>12489305.680000002</v>
      </c>
      <c r="F98" s="111">
        <v>16035807.96</v>
      </c>
      <c r="G98" s="51">
        <f t="shared" si="11"/>
        <v>0.04370267462193658</v>
      </c>
      <c r="H98" s="66">
        <f t="shared" si="13"/>
        <v>243726177.22</v>
      </c>
      <c r="I98" s="66">
        <f>J98-1700760</f>
        <v>8203844.1</v>
      </c>
      <c r="J98" s="111">
        <v>9904604.1</v>
      </c>
      <c r="K98" s="51">
        <f t="shared" si="12"/>
        <v>0.032200915170685844</v>
      </c>
      <c r="L98" s="69">
        <f t="shared" si="14"/>
        <v>249857381.08</v>
      </c>
      <c r="M98" s="8"/>
    </row>
    <row r="99" spans="1:13" s="7" customFormat="1" ht="14.25" customHeight="1">
      <c r="A99" s="48" t="s">
        <v>53</v>
      </c>
      <c r="B99" s="49" t="s">
        <v>60</v>
      </c>
      <c r="C99" s="111">
        <v>14751488</v>
      </c>
      <c r="D99" s="111">
        <v>14751488</v>
      </c>
      <c r="E99" s="66">
        <f>F99-549735.82</f>
        <v>0</v>
      </c>
      <c r="F99" s="111">
        <v>549735.82</v>
      </c>
      <c r="G99" s="51">
        <f t="shared" si="11"/>
        <v>0.0014982048755766899</v>
      </c>
      <c r="H99" s="66">
        <f t="shared" si="13"/>
        <v>14201752.18</v>
      </c>
      <c r="I99" s="66">
        <f>J99-549726.82</f>
        <v>0</v>
      </c>
      <c r="J99" s="111">
        <v>549726.82</v>
      </c>
      <c r="K99" s="51">
        <f t="shared" si="12"/>
        <v>0.0017872200159793248</v>
      </c>
      <c r="L99" s="69">
        <f t="shared" si="14"/>
        <v>14201761.18</v>
      </c>
      <c r="M99" s="8"/>
    </row>
    <row r="100" spans="1:13" s="7" customFormat="1" ht="14.25" customHeight="1">
      <c r="A100" s="48" t="s">
        <v>96</v>
      </c>
      <c r="B100" s="49" t="s">
        <v>102</v>
      </c>
      <c r="C100" s="66">
        <v>0</v>
      </c>
      <c r="D100" s="66">
        <v>0</v>
      </c>
      <c r="E100" s="66">
        <f t="shared" si="15"/>
        <v>0</v>
      </c>
      <c r="F100" s="66">
        <v>0</v>
      </c>
      <c r="G100" s="51">
        <f t="shared" si="11"/>
        <v>0</v>
      </c>
      <c r="H100" s="66">
        <f t="shared" si="13"/>
        <v>0</v>
      </c>
      <c r="I100" s="66">
        <f t="shared" si="16"/>
        <v>0</v>
      </c>
      <c r="J100" s="66">
        <v>0</v>
      </c>
      <c r="K100" s="51">
        <f t="shared" si="12"/>
        <v>0</v>
      </c>
      <c r="L100" s="69">
        <f t="shared" si="14"/>
        <v>0</v>
      </c>
      <c r="M100" s="8"/>
    </row>
    <row r="101" spans="1:13" s="7" customFormat="1" ht="14.25" customHeight="1">
      <c r="A101" s="45" t="s">
        <v>87</v>
      </c>
      <c r="B101" s="83" t="s">
        <v>86</v>
      </c>
      <c r="C101" s="65">
        <f>SUM(C102:C107)</f>
        <v>28383272165</v>
      </c>
      <c r="D101" s="65">
        <f>SUM(D102:D107)</f>
        <v>28148746809.39</v>
      </c>
      <c r="E101" s="65">
        <f>SUM(E102:E107)</f>
        <v>4066992190.9999995</v>
      </c>
      <c r="F101" s="65">
        <f>SUM(F102:F107)</f>
        <v>8404008807.16</v>
      </c>
      <c r="G101" s="47">
        <f t="shared" si="11"/>
        <v>22.90359571125737</v>
      </c>
      <c r="H101" s="65">
        <f t="shared" si="13"/>
        <v>19744738002.23</v>
      </c>
      <c r="I101" s="65">
        <f>SUM(I102:I107)</f>
        <v>4007476112.03</v>
      </c>
      <c r="J101" s="65">
        <f>SUM(J102:J107)</f>
        <v>8326447746</v>
      </c>
      <c r="K101" s="47">
        <f t="shared" si="12"/>
        <v>27.07016200093191</v>
      </c>
      <c r="L101" s="68">
        <f t="shared" si="14"/>
        <v>19822299063.39</v>
      </c>
      <c r="M101" s="8"/>
    </row>
    <row r="102" spans="1:13" s="7" customFormat="1" ht="14.25" customHeight="1">
      <c r="A102" s="48" t="s">
        <v>28</v>
      </c>
      <c r="B102" s="49" t="s">
        <v>33</v>
      </c>
      <c r="C102" s="66">
        <v>10589429078</v>
      </c>
      <c r="D102" s="66">
        <v>10354903722.39</v>
      </c>
      <c r="E102" s="66">
        <f>F102-1711668961.4</f>
        <v>1322083865.2199998</v>
      </c>
      <c r="F102" s="111">
        <v>3033752826.62</v>
      </c>
      <c r="G102" s="51">
        <f t="shared" si="11"/>
        <v>8.267940910484327</v>
      </c>
      <c r="H102" s="66">
        <f t="shared" si="13"/>
        <v>7321150895.7699995</v>
      </c>
      <c r="I102" s="66">
        <f>J102-1693624750.56</f>
        <v>1288003499.4500003</v>
      </c>
      <c r="J102" s="111">
        <v>2981628250.01</v>
      </c>
      <c r="K102" s="51">
        <f t="shared" si="12"/>
        <v>9.693588696704445</v>
      </c>
      <c r="L102" s="69">
        <f t="shared" si="14"/>
        <v>7373275472.379999</v>
      </c>
      <c r="M102" s="8"/>
    </row>
    <row r="103" spans="1:13" s="7" customFormat="1" ht="14.25" customHeight="1">
      <c r="A103" s="48" t="s">
        <v>39</v>
      </c>
      <c r="B103" s="49" t="s">
        <v>41</v>
      </c>
      <c r="C103" s="66">
        <v>0</v>
      </c>
      <c r="D103" s="66">
        <v>0</v>
      </c>
      <c r="E103" s="66">
        <f>F103-0</f>
        <v>0</v>
      </c>
      <c r="F103" s="66">
        <v>0</v>
      </c>
      <c r="G103" s="51">
        <f t="shared" si="11"/>
        <v>0</v>
      </c>
      <c r="H103" s="66">
        <f t="shared" si="13"/>
        <v>0</v>
      </c>
      <c r="I103" s="66">
        <f>J103-0</f>
        <v>0</v>
      </c>
      <c r="J103" s="66">
        <v>0</v>
      </c>
      <c r="K103" s="51">
        <f t="shared" si="12"/>
        <v>0</v>
      </c>
      <c r="L103" s="69">
        <f t="shared" si="14"/>
        <v>0</v>
      </c>
      <c r="M103" s="8"/>
    </row>
    <row r="104" spans="1:13" s="7" customFormat="1" ht="14.25" customHeight="1">
      <c r="A104" s="48" t="s">
        <v>232</v>
      </c>
      <c r="B104" s="49" t="s">
        <v>231</v>
      </c>
      <c r="C104" s="66">
        <v>4000000</v>
      </c>
      <c r="D104" s="66">
        <v>4000000</v>
      </c>
      <c r="E104" s="66">
        <f>F104-0</f>
        <v>0</v>
      </c>
      <c r="F104" s="66">
        <v>0</v>
      </c>
      <c r="G104" s="51">
        <f t="shared" si="11"/>
        <v>0</v>
      </c>
      <c r="H104" s="66">
        <f t="shared" si="13"/>
        <v>4000000</v>
      </c>
      <c r="I104" s="66">
        <f>J104-0</f>
        <v>0</v>
      </c>
      <c r="J104" s="66">
        <v>0</v>
      </c>
      <c r="K104" s="51">
        <f t="shared" si="12"/>
        <v>0</v>
      </c>
      <c r="L104" s="69">
        <f t="shared" si="14"/>
        <v>4000000</v>
      </c>
      <c r="M104" s="8"/>
    </row>
    <row r="105" spans="1:13" s="7" customFormat="1" ht="14.25" customHeight="1">
      <c r="A105" s="48" t="s">
        <v>49</v>
      </c>
      <c r="B105" s="49" t="s">
        <v>56</v>
      </c>
      <c r="C105" s="66">
        <v>0</v>
      </c>
      <c r="D105" s="66">
        <v>0</v>
      </c>
      <c r="E105" s="66">
        <f>F105-0</f>
        <v>0</v>
      </c>
      <c r="F105" s="66">
        <v>0</v>
      </c>
      <c r="G105" s="51">
        <f t="shared" si="11"/>
        <v>0</v>
      </c>
      <c r="H105" s="66">
        <f t="shared" si="13"/>
        <v>0</v>
      </c>
      <c r="I105" s="66">
        <f>J105-0</f>
        <v>0</v>
      </c>
      <c r="J105" s="66">
        <v>0</v>
      </c>
      <c r="K105" s="51">
        <f t="shared" si="12"/>
        <v>0</v>
      </c>
      <c r="L105" s="69">
        <f t="shared" si="14"/>
        <v>0</v>
      </c>
      <c r="M105" s="8"/>
    </row>
    <row r="106" spans="1:13" s="7" customFormat="1" ht="14.25" customHeight="1">
      <c r="A106" s="48" t="s">
        <v>88</v>
      </c>
      <c r="B106" s="49" t="s">
        <v>89</v>
      </c>
      <c r="C106" s="111">
        <v>17789843087</v>
      </c>
      <c r="D106" s="111">
        <v>17789843087</v>
      </c>
      <c r="E106" s="66">
        <f>F106-2625347654.76</f>
        <v>2744908325.7799997</v>
      </c>
      <c r="F106" s="111">
        <v>5370255980.54</v>
      </c>
      <c r="G106" s="51">
        <f t="shared" si="11"/>
        <v>14.635654800773047</v>
      </c>
      <c r="H106" s="66">
        <f t="shared" si="13"/>
        <v>12419587106.46</v>
      </c>
      <c r="I106" s="66">
        <f>J106-2625346883.41</f>
        <v>2719472612.58</v>
      </c>
      <c r="J106" s="111">
        <v>5344819495.99</v>
      </c>
      <c r="K106" s="51">
        <f t="shared" si="12"/>
        <v>17.376573304227463</v>
      </c>
      <c r="L106" s="69">
        <f t="shared" si="14"/>
        <v>12445023591.01</v>
      </c>
      <c r="M106" s="8"/>
    </row>
    <row r="107" spans="1:13" s="7" customFormat="1" ht="14.25" customHeight="1">
      <c r="A107" s="48" t="s">
        <v>284</v>
      </c>
      <c r="B107" s="49" t="s">
        <v>285</v>
      </c>
      <c r="C107" s="66">
        <v>0</v>
      </c>
      <c r="D107" s="66">
        <v>0</v>
      </c>
      <c r="E107" s="66">
        <f>F107-0</f>
        <v>0</v>
      </c>
      <c r="F107" s="66">
        <v>0</v>
      </c>
      <c r="G107" s="51">
        <f t="shared" si="11"/>
        <v>0</v>
      </c>
      <c r="H107" s="66">
        <f t="shared" si="13"/>
        <v>0</v>
      </c>
      <c r="I107" s="66">
        <f>J107-0</f>
        <v>0</v>
      </c>
      <c r="J107" s="66">
        <v>0</v>
      </c>
      <c r="K107" s="51">
        <f t="shared" si="12"/>
        <v>0</v>
      </c>
      <c r="L107" s="69">
        <f t="shared" si="14"/>
        <v>0</v>
      </c>
      <c r="M107" s="8"/>
    </row>
    <row r="108" spans="1:13" s="7" customFormat="1" ht="14.25" customHeight="1">
      <c r="A108" s="45" t="s">
        <v>90</v>
      </c>
      <c r="B108" s="83" t="s">
        <v>91</v>
      </c>
      <c r="C108" s="65">
        <f>SUM(C109:C119)</f>
        <v>8209997322</v>
      </c>
      <c r="D108" s="65">
        <f>SUM(D109:D119)</f>
        <v>8261893752.389999</v>
      </c>
      <c r="E108" s="65">
        <f>SUM(E109:E119)</f>
        <v>2210688877.28</v>
      </c>
      <c r="F108" s="65">
        <f>SUM(F109:F119)</f>
        <v>3481081011.2400002</v>
      </c>
      <c r="G108" s="47">
        <f t="shared" si="11"/>
        <v>9.487052423320721</v>
      </c>
      <c r="H108" s="65">
        <f t="shared" si="13"/>
        <v>4780812741.15</v>
      </c>
      <c r="I108" s="65">
        <f>SUM(I109:I119)</f>
        <v>1793353772.4299998</v>
      </c>
      <c r="J108" s="65">
        <f>SUM(J109:J119)</f>
        <v>2734791035.0799994</v>
      </c>
      <c r="K108" s="47">
        <f t="shared" si="12"/>
        <v>8.891094812175602</v>
      </c>
      <c r="L108" s="68">
        <f t="shared" si="14"/>
        <v>5527102717.309999</v>
      </c>
      <c r="M108" s="8"/>
    </row>
    <row r="109" spans="1:13" s="7" customFormat="1" ht="14.25" customHeight="1">
      <c r="A109" s="48" t="s">
        <v>28</v>
      </c>
      <c r="B109" s="49" t="s">
        <v>33</v>
      </c>
      <c r="C109" s="111">
        <v>1325963058</v>
      </c>
      <c r="D109" s="111">
        <v>1338913058</v>
      </c>
      <c r="E109" s="66">
        <f>F109-209190438.39</f>
        <v>278937332.18</v>
      </c>
      <c r="F109" s="111">
        <v>488127770.57</v>
      </c>
      <c r="G109" s="51">
        <f aca="true" t="shared" si="17" ref="G109:G124">(F109/$F$317)*100</f>
        <v>1.3303033551140144</v>
      </c>
      <c r="H109" s="66">
        <f t="shared" si="13"/>
        <v>850785287.4300001</v>
      </c>
      <c r="I109" s="66">
        <f>J109-175131521.34</f>
        <v>219387757.42999998</v>
      </c>
      <c r="J109" s="66">
        <v>394519278.77</v>
      </c>
      <c r="K109" s="51">
        <f aca="true" t="shared" si="18" ref="K109:K140">(J109/$J$317)*100</f>
        <v>1.2826238889117165</v>
      </c>
      <c r="L109" s="69">
        <f t="shared" si="14"/>
        <v>944393779.23</v>
      </c>
      <c r="M109" s="8"/>
    </row>
    <row r="110" spans="1:13" s="7" customFormat="1" ht="14.25" customHeight="1">
      <c r="A110" s="48" t="s">
        <v>29</v>
      </c>
      <c r="B110" s="49" t="s">
        <v>34</v>
      </c>
      <c r="C110" s="111">
        <v>20647199</v>
      </c>
      <c r="D110" s="111">
        <v>24936789.7</v>
      </c>
      <c r="E110" s="66">
        <f>F110-1326726.98</f>
        <v>4361433.539999999</v>
      </c>
      <c r="F110" s="111">
        <v>5688160.52</v>
      </c>
      <c r="G110" s="51">
        <f t="shared" si="17"/>
        <v>0.015502045735580483</v>
      </c>
      <c r="H110" s="66">
        <f t="shared" si="13"/>
        <v>19248629.18</v>
      </c>
      <c r="I110" s="66">
        <f>J110-1300809.31</f>
        <v>3702058.9999999995</v>
      </c>
      <c r="J110" s="66">
        <v>5002868.31</v>
      </c>
      <c r="K110" s="51">
        <f t="shared" si="18"/>
        <v>0.016264853843115493</v>
      </c>
      <c r="L110" s="69">
        <f t="shared" si="14"/>
        <v>19933921.39</v>
      </c>
      <c r="M110" s="8"/>
    </row>
    <row r="111" spans="1:13" s="7" customFormat="1" ht="14.25" customHeight="1">
      <c r="A111" s="48" t="s">
        <v>65</v>
      </c>
      <c r="B111" s="49" t="s">
        <v>73</v>
      </c>
      <c r="C111" s="111">
        <v>193763892</v>
      </c>
      <c r="D111" s="111">
        <v>193763892</v>
      </c>
      <c r="E111" s="66">
        <f>F111-26719823.79</f>
        <v>26554234.439999998</v>
      </c>
      <c r="F111" s="111">
        <v>53274058.23</v>
      </c>
      <c r="G111" s="51">
        <f t="shared" si="17"/>
        <v>0.14518874499017087</v>
      </c>
      <c r="H111" s="66">
        <f t="shared" si="13"/>
        <v>140489833.77</v>
      </c>
      <c r="I111" s="66">
        <f>J111-26719823.79</f>
        <v>26554234.439999998</v>
      </c>
      <c r="J111" s="66">
        <v>53274058.23</v>
      </c>
      <c r="K111" s="51">
        <f t="shared" si="18"/>
        <v>0.17319959612140462</v>
      </c>
      <c r="L111" s="69">
        <f t="shared" si="14"/>
        <v>140489833.77</v>
      </c>
      <c r="M111" s="8"/>
    </row>
    <row r="112" spans="1:13" s="7" customFormat="1" ht="14.25" customHeight="1">
      <c r="A112" s="48" t="s">
        <v>83</v>
      </c>
      <c r="B112" s="49" t="s">
        <v>85</v>
      </c>
      <c r="C112" s="66">
        <v>0</v>
      </c>
      <c r="D112" s="66">
        <v>0</v>
      </c>
      <c r="E112" s="66">
        <f aca="true" t="shared" si="19" ref="E112:E119">F112-0</f>
        <v>0</v>
      </c>
      <c r="F112" s="66">
        <v>0</v>
      </c>
      <c r="G112" s="51">
        <f t="shared" si="17"/>
        <v>0</v>
      </c>
      <c r="H112" s="66">
        <f t="shared" si="13"/>
        <v>0</v>
      </c>
      <c r="I112" s="66">
        <f aca="true" t="shared" si="20" ref="I112:I119">J112-0</f>
        <v>0</v>
      </c>
      <c r="J112" s="66">
        <v>0</v>
      </c>
      <c r="K112" s="51">
        <f t="shared" si="18"/>
        <v>0</v>
      </c>
      <c r="L112" s="69">
        <f t="shared" si="14"/>
        <v>0</v>
      </c>
      <c r="M112" s="8"/>
    </row>
    <row r="113" spans="1:13" s="7" customFormat="1" ht="14.25" customHeight="1">
      <c r="A113" s="48" t="s">
        <v>92</v>
      </c>
      <c r="B113" s="49" t="s">
        <v>98</v>
      </c>
      <c r="C113" s="66">
        <v>100688</v>
      </c>
      <c r="D113" s="66">
        <v>100688</v>
      </c>
      <c r="E113" s="66">
        <f t="shared" si="19"/>
        <v>0</v>
      </c>
      <c r="F113" s="66">
        <v>0</v>
      </c>
      <c r="G113" s="51">
        <f t="shared" si="17"/>
        <v>0</v>
      </c>
      <c r="H113" s="66">
        <f t="shared" si="13"/>
        <v>100688</v>
      </c>
      <c r="I113" s="66">
        <f t="shared" si="20"/>
        <v>0</v>
      </c>
      <c r="J113" s="66">
        <v>0</v>
      </c>
      <c r="K113" s="51">
        <f t="shared" si="18"/>
        <v>0</v>
      </c>
      <c r="L113" s="69">
        <f t="shared" si="14"/>
        <v>100688</v>
      </c>
      <c r="M113" s="8"/>
    </row>
    <row r="114" spans="1:13" s="7" customFormat="1" ht="14.25" customHeight="1">
      <c r="A114" s="48" t="s">
        <v>67</v>
      </c>
      <c r="B114" s="49" t="s">
        <v>75</v>
      </c>
      <c r="C114" s="66">
        <v>6363709274</v>
      </c>
      <c r="D114" s="66">
        <v>6361806113.69</v>
      </c>
      <c r="E114" s="66">
        <f>F114-1017495693.08</f>
        <v>1841824598.48</v>
      </c>
      <c r="F114" s="111">
        <v>2859320291.56</v>
      </c>
      <c r="G114" s="51">
        <f t="shared" si="17"/>
        <v>7.792556798737536</v>
      </c>
      <c r="H114" s="66">
        <f t="shared" si="13"/>
        <v>3502485822.1299996</v>
      </c>
      <c r="I114" s="66">
        <f>J114-735122815.95</f>
        <v>1499862972.8999999</v>
      </c>
      <c r="J114" s="66">
        <v>2234985788.85</v>
      </c>
      <c r="K114" s="51">
        <f t="shared" si="18"/>
        <v>7.266175110870635</v>
      </c>
      <c r="L114" s="69">
        <f t="shared" si="14"/>
        <v>4126820324.8399997</v>
      </c>
      <c r="M114" s="8"/>
    </row>
    <row r="115" spans="1:13" s="7" customFormat="1" ht="14.25" customHeight="1">
      <c r="A115" s="48" t="s">
        <v>93</v>
      </c>
      <c r="B115" s="49" t="s">
        <v>99</v>
      </c>
      <c r="C115" s="66">
        <v>246825336</v>
      </c>
      <c r="D115" s="66">
        <v>251285336</v>
      </c>
      <c r="E115" s="66">
        <f>F115-13850348.23</f>
        <v>36815384.120000005</v>
      </c>
      <c r="F115" s="111">
        <v>50665732.35</v>
      </c>
      <c r="G115" s="51">
        <f t="shared" si="17"/>
        <v>0.13808022775636783</v>
      </c>
      <c r="H115" s="66">
        <f t="shared" si="13"/>
        <v>200619603.65</v>
      </c>
      <c r="I115" s="66">
        <f>J115-3106674.2</f>
        <v>22818548.900000002</v>
      </c>
      <c r="J115" s="66">
        <v>25925223.1</v>
      </c>
      <c r="K115" s="51">
        <f t="shared" si="18"/>
        <v>0.08428564144468988</v>
      </c>
      <c r="L115" s="69">
        <f t="shared" si="14"/>
        <v>225360112.9</v>
      </c>
      <c r="M115" s="8"/>
    </row>
    <row r="116" spans="1:13" s="7" customFormat="1" ht="14.25" customHeight="1">
      <c r="A116" s="48" t="s">
        <v>94</v>
      </c>
      <c r="B116" s="49" t="s">
        <v>100</v>
      </c>
      <c r="C116" s="66">
        <v>8394745</v>
      </c>
      <c r="D116" s="66">
        <v>8394745</v>
      </c>
      <c r="E116" s="66">
        <f>F116-139028.02</f>
        <v>289183.26</v>
      </c>
      <c r="F116" s="111">
        <v>428211.28</v>
      </c>
      <c r="G116" s="51">
        <f t="shared" si="17"/>
        <v>0.001167011870306969</v>
      </c>
      <c r="H116" s="66">
        <f t="shared" si="13"/>
        <v>7966533.72</v>
      </c>
      <c r="I116" s="66">
        <f>J116-31037.46</f>
        <v>241195.44999999998</v>
      </c>
      <c r="J116" s="66">
        <v>272232.91</v>
      </c>
      <c r="K116" s="51">
        <f t="shared" si="18"/>
        <v>0.0008850579743595158</v>
      </c>
      <c r="L116" s="69">
        <f t="shared" si="14"/>
        <v>8122512.09</v>
      </c>
      <c r="M116" s="8"/>
    </row>
    <row r="117" spans="1:13" s="7" customFormat="1" ht="14.25" customHeight="1">
      <c r="A117" s="48" t="s">
        <v>95</v>
      </c>
      <c r="B117" s="49" t="s">
        <v>101</v>
      </c>
      <c r="C117" s="66">
        <v>49883130</v>
      </c>
      <c r="D117" s="66">
        <v>81983130</v>
      </c>
      <c r="E117" s="66">
        <f>F117-1670075.47</f>
        <v>21906711.26</v>
      </c>
      <c r="F117" s="111">
        <v>23576786.73</v>
      </c>
      <c r="G117" s="51">
        <f t="shared" si="17"/>
        <v>0.06425423911674122</v>
      </c>
      <c r="H117" s="66">
        <f t="shared" si="13"/>
        <v>58406343.269999996</v>
      </c>
      <c r="I117" s="66">
        <f>J117-24580.6</f>
        <v>20787004.31</v>
      </c>
      <c r="J117" s="66">
        <v>20811584.91</v>
      </c>
      <c r="K117" s="51">
        <f t="shared" si="18"/>
        <v>0.06766066300968412</v>
      </c>
      <c r="L117" s="69">
        <f t="shared" si="14"/>
        <v>61171545.09</v>
      </c>
      <c r="M117" s="8"/>
    </row>
    <row r="118" spans="1:13" s="7" customFormat="1" ht="14.25" customHeight="1">
      <c r="A118" s="48" t="s">
        <v>68</v>
      </c>
      <c r="B118" s="49" t="s">
        <v>76</v>
      </c>
      <c r="C118" s="66">
        <v>210000</v>
      </c>
      <c r="D118" s="66">
        <v>210000</v>
      </c>
      <c r="E118" s="66">
        <f t="shared" si="19"/>
        <v>0</v>
      </c>
      <c r="F118" s="66">
        <v>0</v>
      </c>
      <c r="G118" s="51">
        <f t="shared" si="17"/>
        <v>0</v>
      </c>
      <c r="H118" s="66">
        <f t="shared" si="13"/>
        <v>210000</v>
      </c>
      <c r="I118" s="66">
        <f t="shared" si="20"/>
        <v>0</v>
      </c>
      <c r="J118" s="66">
        <v>0</v>
      </c>
      <c r="K118" s="51">
        <f t="shared" si="18"/>
        <v>0</v>
      </c>
      <c r="L118" s="69">
        <f t="shared" si="14"/>
        <v>210000</v>
      </c>
      <c r="M118" s="8"/>
    </row>
    <row r="119" spans="1:13" s="7" customFormat="1" ht="14.25" customHeight="1">
      <c r="A119" s="48" t="s">
        <v>97</v>
      </c>
      <c r="B119" s="49" t="s">
        <v>241</v>
      </c>
      <c r="C119" s="66">
        <v>500000</v>
      </c>
      <c r="D119" s="66">
        <v>500000</v>
      </c>
      <c r="E119" s="66">
        <f t="shared" si="19"/>
        <v>0</v>
      </c>
      <c r="F119" s="66">
        <v>0</v>
      </c>
      <c r="G119" s="51">
        <f t="shared" si="17"/>
        <v>0</v>
      </c>
      <c r="H119" s="66">
        <f t="shared" si="13"/>
        <v>500000</v>
      </c>
      <c r="I119" s="66">
        <f t="shared" si="20"/>
        <v>0</v>
      </c>
      <c r="J119" s="66">
        <v>0</v>
      </c>
      <c r="K119" s="51">
        <f t="shared" si="18"/>
        <v>0</v>
      </c>
      <c r="L119" s="69">
        <f t="shared" si="14"/>
        <v>500000</v>
      </c>
      <c r="M119" s="8"/>
    </row>
    <row r="120" spans="1:17" s="7" customFormat="1" ht="14.25" customHeight="1">
      <c r="A120" s="45" t="s">
        <v>104</v>
      </c>
      <c r="B120" s="83" t="s">
        <v>103</v>
      </c>
      <c r="C120" s="65">
        <f>SUM(C121:C129)</f>
        <v>76831614</v>
      </c>
      <c r="D120" s="65">
        <f>SUM(D121:D129)</f>
        <v>74325414</v>
      </c>
      <c r="E120" s="65">
        <f>SUM(E121:E129)</f>
        <v>3288964.13</v>
      </c>
      <c r="F120" s="65">
        <f>SUM(F121:F129)</f>
        <v>6194684.830000001</v>
      </c>
      <c r="G120" s="47">
        <f t="shared" si="17"/>
        <v>0.016882485509070448</v>
      </c>
      <c r="H120" s="65">
        <f t="shared" si="13"/>
        <v>68130729.17</v>
      </c>
      <c r="I120" s="65">
        <f>SUM(I121:I129)</f>
        <v>3131364.95</v>
      </c>
      <c r="J120" s="65">
        <f>SUM(J121:J129)</f>
        <v>5928384.3</v>
      </c>
      <c r="K120" s="47">
        <f t="shared" si="18"/>
        <v>0.019273804184008304</v>
      </c>
      <c r="L120" s="68">
        <f t="shared" si="14"/>
        <v>68397029.7</v>
      </c>
      <c r="M120" s="8"/>
      <c r="N120" s="70"/>
      <c r="O120" s="70"/>
      <c r="P120" s="70"/>
      <c r="Q120" s="70"/>
    </row>
    <row r="121" spans="1:17" s="7" customFormat="1" ht="14.25" customHeight="1">
      <c r="A121" s="48" t="s">
        <v>48</v>
      </c>
      <c r="B121" s="49" t="s">
        <v>55</v>
      </c>
      <c r="C121" s="66">
        <v>0</v>
      </c>
      <c r="D121" s="66">
        <v>0</v>
      </c>
      <c r="E121" s="66">
        <f aca="true" t="shared" si="21" ref="E121:E129">F121-0</f>
        <v>0</v>
      </c>
      <c r="F121" s="66">
        <v>0</v>
      </c>
      <c r="G121" s="47">
        <f t="shared" si="17"/>
        <v>0</v>
      </c>
      <c r="H121" s="66">
        <f t="shared" si="13"/>
        <v>0</v>
      </c>
      <c r="I121" s="66">
        <f aca="true" t="shared" si="22" ref="I121:I129">J121-0</f>
        <v>0</v>
      </c>
      <c r="J121" s="66">
        <v>0</v>
      </c>
      <c r="K121" s="47">
        <f t="shared" si="18"/>
        <v>0</v>
      </c>
      <c r="L121" s="69">
        <f t="shared" si="14"/>
        <v>0</v>
      </c>
      <c r="M121" s="8"/>
      <c r="N121" s="70"/>
      <c r="O121" s="70"/>
      <c r="P121" s="70"/>
      <c r="Q121" s="70"/>
    </row>
    <row r="122" spans="1:13" s="7" customFormat="1" ht="14.25" customHeight="1">
      <c r="A122" s="48" t="s">
        <v>28</v>
      </c>
      <c r="B122" s="49" t="s">
        <v>33</v>
      </c>
      <c r="C122" s="111">
        <v>16231223</v>
      </c>
      <c r="D122" s="111">
        <v>16231223</v>
      </c>
      <c r="E122" s="66">
        <f>F122-2882396.7</f>
        <v>2807200.29</v>
      </c>
      <c r="F122" s="111">
        <v>5689596.99</v>
      </c>
      <c r="G122" s="51">
        <f t="shared" si="17"/>
        <v>0.015505960572997518</v>
      </c>
      <c r="H122" s="66">
        <f t="shared" si="13"/>
        <v>10541626.01</v>
      </c>
      <c r="I122" s="66">
        <f>J122-2797019.35</f>
        <v>2666667.39</v>
      </c>
      <c r="J122" s="111">
        <v>5463686.74</v>
      </c>
      <c r="K122" s="51">
        <f t="shared" si="18"/>
        <v>0.01776302328267125</v>
      </c>
      <c r="L122" s="69">
        <f t="shared" si="14"/>
        <v>10767536.26</v>
      </c>
      <c r="M122" s="8"/>
    </row>
    <row r="123" spans="1:13" s="7" customFormat="1" ht="14.25" customHeight="1">
      <c r="A123" s="48" t="s">
        <v>50</v>
      </c>
      <c r="B123" s="49" t="s">
        <v>57</v>
      </c>
      <c r="C123" s="111">
        <v>350000</v>
      </c>
      <c r="D123" s="111">
        <v>350000</v>
      </c>
      <c r="E123" s="66">
        <f t="shared" si="21"/>
        <v>0</v>
      </c>
      <c r="F123" s="66">
        <v>0</v>
      </c>
      <c r="G123" s="51">
        <f t="shared" si="17"/>
        <v>0</v>
      </c>
      <c r="H123" s="66">
        <f t="shared" si="13"/>
        <v>350000</v>
      </c>
      <c r="I123" s="66">
        <f t="shared" si="22"/>
        <v>0</v>
      </c>
      <c r="J123" s="66">
        <v>0</v>
      </c>
      <c r="K123" s="51">
        <f t="shared" si="18"/>
        <v>0</v>
      </c>
      <c r="L123" s="69">
        <f t="shared" si="14"/>
        <v>350000</v>
      </c>
      <c r="M123" s="8"/>
    </row>
    <row r="124" spans="1:13" s="7" customFormat="1" ht="14.25" customHeight="1">
      <c r="A124" s="48" t="s">
        <v>29</v>
      </c>
      <c r="B124" s="49" t="s">
        <v>34</v>
      </c>
      <c r="C124" s="111">
        <v>106593</v>
      </c>
      <c r="D124" s="111">
        <v>106593</v>
      </c>
      <c r="E124" s="66">
        <f t="shared" si="21"/>
        <v>0</v>
      </c>
      <c r="F124" s="66">
        <v>0</v>
      </c>
      <c r="G124" s="51">
        <f t="shared" si="17"/>
        <v>0</v>
      </c>
      <c r="H124" s="66">
        <f t="shared" si="13"/>
        <v>106593</v>
      </c>
      <c r="I124" s="66">
        <v>0</v>
      </c>
      <c r="J124" s="66">
        <v>0</v>
      </c>
      <c r="K124" s="51">
        <f t="shared" si="18"/>
        <v>0</v>
      </c>
      <c r="L124" s="69">
        <f t="shared" si="14"/>
        <v>106593</v>
      </c>
      <c r="M124" s="8"/>
    </row>
    <row r="125" spans="1:13" s="7" customFormat="1" ht="14.25" customHeight="1">
      <c r="A125" s="48" t="s">
        <v>131</v>
      </c>
      <c r="B125" s="49" t="s">
        <v>132</v>
      </c>
      <c r="C125" s="111">
        <v>1000000</v>
      </c>
      <c r="D125" s="111">
        <v>1000000</v>
      </c>
      <c r="E125" s="66">
        <f t="shared" si="21"/>
        <v>4856.73</v>
      </c>
      <c r="F125" s="66">
        <v>4856.73</v>
      </c>
      <c r="G125" s="51">
        <f aca="true" t="shared" si="23" ref="G125:G157">(F125/$F$317)*100</f>
        <v>1.3236133249166077E-05</v>
      </c>
      <c r="H125" s="66">
        <f t="shared" si="13"/>
        <v>995143.27</v>
      </c>
      <c r="I125" s="66">
        <f t="shared" si="22"/>
        <v>4285</v>
      </c>
      <c r="J125" s="66">
        <v>4285</v>
      </c>
      <c r="K125" s="51">
        <f t="shared" si="18"/>
        <v>1.393098806507459E-05</v>
      </c>
      <c r="L125" s="69">
        <f t="shared" si="14"/>
        <v>995715</v>
      </c>
      <c r="M125" s="8"/>
    </row>
    <row r="126" spans="1:13" s="7" customFormat="1" ht="14.25" customHeight="1">
      <c r="A126" s="48" t="s">
        <v>242</v>
      </c>
      <c r="B126" s="49" t="s">
        <v>243</v>
      </c>
      <c r="C126" s="66">
        <v>0</v>
      </c>
      <c r="D126" s="66">
        <v>0</v>
      </c>
      <c r="E126" s="66">
        <f t="shared" si="21"/>
        <v>0</v>
      </c>
      <c r="F126" s="66">
        <v>0</v>
      </c>
      <c r="G126" s="51">
        <f t="shared" si="23"/>
        <v>0</v>
      </c>
      <c r="H126" s="66">
        <f t="shared" si="13"/>
        <v>0</v>
      </c>
      <c r="I126" s="66">
        <f t="shared" si="22"/>
        <v>0</v>
      </c>
      <c r="J126" s="66">
        <v>0</v>
      </c>
      <c r="K126" s="51">
        <f t="shared" si="18"/>
        <v>0</v>
      </c>
      <c r="L126" s="69">
        <f t="shared" si="14"/>
        <v>0</v>
      </c>
      <c r="M126" s="8"/>
    </row>
    <row r="127" spans="1:13" s="7" customFormat="1" ht="14.25" customHeight="1">
      <c r="A127" s="48" t="s">
        <v>105</v>
      </c>
      <c r="B127" s="49" t="s">
        <v>107</v>
      </c>
      <c r="C127" s="111">
        <v>52155798</v>
      </c>
      <c r="D127" s="111">
        <v>49752430</v>
      </c>
      <c r="E127" s="66">
        <f>F127-23324</f>
        <v>476907.11</v>
      </c>
      <c r="F127" s="111">
        <v>500231.11</v>
      </c>
      <c r="G127" s="51">
        <f t="shared" si="23"/>
        <v>0.0013632888028237628</v>
      </c>
      <c r="H127" s="66">
        <f t="shared" si="13"/>
        <v>49252198.89</v>
      </c>
      <c r="I127" s="66">
        <f>J127-0</f>
        <v>460412.56</v>
      </c>
      <c r="J127" s="66">
        <v>460412.56</v>
      </c>
      <c r="K127" s="51">
        <f t="shared" si="18"/>
        <v>0.0014968499132719812</v>
      </c>
      <c r="L127" s="69">
        <f t="shared" si="14"/>
        <v>49292017.44</v>
      </c>
      <c r="M127" s="8"/>
    </row>
    <row r="128" spans="1:13" s="7" customFormat="1" ht="14.25" customHeight="1">
      <c r="A128" s="48" t="s">
        <v>106</v>
      </c>
      <c r="B128" s="49" t="s">
        <v>108</v>
      </c>
      <c r="C128" s="111">
        <v>6988000</v>
      </c>
      <c r="D128" s="111">
        <v>6885168</v>
      </c>
      <c r="E128" s="66">
        <f>F128-0</f>
        <v>0</v>
      </c>
      <c r="F128" s="66">
        <v>0</v>
      </c>
      <c r="G128" s="51">
        <f t="shared" si="23"/>
        <v>0</v>
      </c>
      <c r="H128" s="66">
        <f t="shared" si="13"/>
        <v>6885168</v>
      </c>
      <c r="I128" s="66">
        <f>J128-0</f>
        <v>0</v>
      </c>
      <c r="J128" s="66">
        <v>0</v>
      </c>
      <c r="K128" s="51">
        <f t="shared" si="18"/>
        <v>0</v>
      </c>
      <c r="L128" s="69">
        <f t="shared" si="14"/>
        <v>6885168</v>
      </c>
      <c r="M128" s="8"/>
    </row>
    <row r="129" spans="1:13" s="7" customFormat="1" ht="14.25" customHeight="1">
      <c r="A129" s="48" t="s">
        <v>53</v>
      </c>
      <c r="B129" s="49" t="s">
        <v>60</v>
      </c>
      <c r="C129" s="66">
        <v>0</v>
      </c>
      <c r="D129" s="66">
        <v>0</v>
      </c>
      <c r="E129" s="66">
        <f t="shared" si="21"/>
        <v>0</v>
      </c>
      <c r="F129" s="66">
        <v>0</v>
      </c>
      <c r="G129" s="51">
        <f t="shared" si="23"/>
        <v>0</v>
      </c>
      <c r="H129" s="66">
        <f t="shared" si="13"/>
        <v>0</v>
      </c>
      <c r="I129" s="66">
        <f t="shared" si="22"/>
        <v>0</v>
      </c>
      <c r="J129" s="66">
        <v>0</v>
      </c>
      <c r="K129" s="51">
        <f t="shared" si="18"/>
        <v>0</v>
      </c>
      <c r="L129" s="69">
        <f t="shared" si="14"/>
        <v>0</v>
      </c>
      <c r="M129" s="8"/>
    </row>
    <row r="130" spans="1:13" s="7" customFormat="1" ht="14.25" customHeight="1">
      <c r="A130" s="45" t="s">
        <v>109</v>
      </c>
      <c r="B130" s="83" t="s">
        <v>110</v>
      </c>
      <c r="C130" s="65">
        <f>SUM(C131:C152)</f>
        <v>9516035783</v>
      </c>
      <c r="D130" s="65">
        <f>SUM(D131:D152)</f>
        <v>10485399758.17</v>
      </c>
      <c r="E130" s="65">
        <f>SUM(E131:E151)</f>
        <v>1476945534.9999998</v>
      </c>
      <c r="F130" s="65">
        <f>SUM(F131:F152)</f>
        <v>2667578602.01</v>
      </c>
      <c r="G130" s="47">
        <f t="shared" si="23"/>
        <v>7.2699997382659785</v>
      </c>
      <c r="H130" s="65">
        <f t="shared" si="13"/>
        <v>7817821156.16</v>
      </c>
      <c r="I130" s="65">
        <f>SUM(I131:I152)</f>
        <v>1378985729.93</v>
      </c>
      <c r="J130" s="65">
        <f>SUM(J131:J152)</f>
        <v>2428977234.3300004</v>
      </c>
      <c r="K130" s="47">
        <f t="shared" si="18"/>
        <v>7.896861811386026</v>
      </c>
      <c r="L130" s="68">
        <f t="shared" si="14"/>
        <v>8056422523.84</v>
      </c>
      <c r="M130" s="8"/>
    </row>
    <row r="131" spans="1:13" s="7" customFormat="1" ht="14.25" customHeight="1">
      <c r="A131" s="48" t="s">
        <v>28</v>
      </c>
      <c r="B131" s="49" t="s">
        <v>33</v>
      </c>
      <c r="C131" s="111">
        <v>3233113872</v>
      </c>
      <c r="D131" s="111">
        <v>3330080324.14</v>
      </c>
      <c r="E131" s="66">
        <f>F131-433897175.47</f>
        <v>463325988.97</v>
      </c>
      <c r="F131" s="111">
        <v>897223164.44</v>
      </c>
      <c r="G131" s="51">
        <f t="shared" si="23"/>
        <v>2.445218358600599</v>
      </c>
      <c r="H131" s="66">
        <f t="shared" si="13"/>
        <v>2432857159.7</v>
      </c>
      <c r="I131" s="66">
        <f>J131-378242050.79</f>
        <v>468239041.42</v>
      </c>
      <c r="J131" s="111">
        <v>846481092.21</v>
      </c>
      <c r="K131" s="51">
        <f t="shared" si="18"/>
        <v>2.7519995315959895</v>
      </c>
      <c r="L131" s="69">
        <f t="shared" si="14"/>
        <v>2483599231.93</v>
      </c>
      <c r="M131" s="8"/>
    </row>
    <row r="132" spans="1:13" s="7" customFormat="1" ht="14.25" customHeight="1">
      <c r="A132" s="48" t="s">
        <v>50</v>
      </c>
      <c r="B132" s="49" t="s">
        <v>57</v>
      </c>
      <c r="C132" s="111">
        <v>200000</v>
      </c>
      <c r="D132" s="111">
        <v>200000</v>
      </c>
      <c r="E132" s="66">
        <f>F132-0</f>
        <v>0</v>
      </c>
      <c r="F132" s="66">
        <v>0</v>
      </c>
      <c r="G132" s="51">
        <f t="shared" si="23"/>
        <v>0</v>
      </c>
      <c r="H132" s="66">
        <f t="shared" si="13"/>
        <v>200000</v>
      </c>
      <c r="I132" s="66">
        <f aca="true" t="shared" si="24" ref="I132:I152">J132-0</f>
        <v>0</v>
      </c>
      <c r="J132" s="66">
        <v>0</v>
      </c>
      <c r="K132" s="51">
        <f t="shared" si="18"/>
        <v>0</v>
      </c>
      <c r="L132" s="69">
        <f t="shared" si="14"/>
        <v>200000</v>
      </c>
      <c r="M132" s="8"/>
    </row>
    <row r="133" spans="1:13" s="7" customFormat="1" ht="14.25" customHeight="1">
      <c r="A133" s="48" t="s">
        <v>29</v>
      </c>
      <c r="B133" s="49" t="s">
        <v>34</v>
      </c>
      <c r="C133" s="111">
        <v>46357994</v>
      </c>
      <c r="D133" s="111">
        <v>46813669</v>
      </c>
      <c r="E133" s="66">
        <f>F133-0</f>
        <v>2706371.44</v>
      </c>
      <c r="F133" s="66">
        <v>2706371.44</v>
      </c>
      <c r="G133" s="51">
        <f t="shared" si="23"/>
        <v>0.007375722554388956</v>
      </c>
      <c r="H133" s="66">
        <f t="shared" si="13"/>
        <v>44107297.56</v>
      </c>
      <c r="I133" s="66">
        <f t="shared" si="24"/>
        <v>0</v>
      </c>
      <c r="J133" s="66">
        <v>0</v>
      </c>
      <c r="K133" s="51">
        <f t="shared" si="18"/>
        <v>0</v>
      </c>
      <c r="L133" s="69">
        <f t="shared" si="14"/>
        <v>46813669</v>
      </c>
      <c r="M133" s="8"/>
    </row>
    <row r="134" spans="1:13" s="7" customFormat="1" ht="14.25" customHeight="1">
      <c r="A134" s="48" t="s">
        <v>64</v>
      </c>
      <c r="B134" s="49" t="s">
        <v>72</v>
      </c>
      <c r="C134" s="66">
        <v>0</v>
      </c>
      <c r="D134" s="66">
        <v>0</v>
      </c>
      <c r="E134" s="66">
        <f>F134-0</f>
        <v>0</v>
      </c>
      <c r="F134" s="66">
        <v>0</v>
      </c>
      <c r="G134" s="51">
        <f t="shared" si="23"/>
        <v>0</v>
      </c>
      <c r="H134" s="66">
        <f t="shared" si="13"/>
        <v>0</v>
      </c>
      <c r="I134" s="66">
        <f>J134-0</f>
        <v>0</v>
      </c>
      <c r="J134" s="66">
        <v>0</v>
      </c>
      <c r="K134" s="51">
        <f t="shared" si="18"/>
        <v>0</v>
      </c>
      <c r="L134" s="69">
        <f t="shared" si="14"/>
        <v>0</v>
      </c>
      <c r="M134" s="8"/>
    </row>
    <row r="135" spans="1:13" s="7" customFormat="1" ht="14.25" customHeight="1">
      <c r="A135" s="48" t="s">
        <v>131</v>
      </c>
      <c r="B135" s="49" t="s">
        <v>132</v>
      </c>
      <c r="C135" s="66">
        <v>0</v>
      </c>
      <c r="D135" s="66">
        <v>0</v>
      </c>
      <c r="E135" s="66">
        <f>F135-0</f>
        <v>0</v>
      </c>
      <c r="F135" s="66">
        <v>0</v>
      </c>
      <c r="G135" s="51">
        <f t="shared" si="23"/>
        <v>0</v>
      </c>
      <c r="H135" s="66">
        <f t="shared" si="13"/>
        <v>0</v>
      </c>
      <c r="I135" s="66">
        <f t="shared" si="24"/>
        <v>0</v>
      </c>
      <c r="J135" s="66">
        <v>0</v>
      </c>
      <c r="K135" s="51">
        <f t="shared" si="18"/>
        <v>0</v>
      </c>
      <c r="L135" s="69">
        <f t="shared" si="14"/>
        <v>0</v>
      </c>
      <c r="M135" s="8"/>
    </row>
    <row r="136" spans="1:13" s="7" customFormat="1" ht="14.25" customHeight="1">
      <c r="A136" s="48" t="s">
        <v>82</v>
      </c>
      <c r="B136" s="49" t="s">
        <v>84</v>
      </c>
      <c r="C136" s="111">
        <v>129705315</v>
      </c>
      <c r="D136" s="111">
        <v>129705315</v>
      </c>
      <c r="E136" s="66">
        <f>F136-9901685.61</f>
        <v>25987331.310000002</v>
      </c>
      <c r="F136" s="111">
        <v>35889016.92</v>
      </c>
      <c r="G136" s="51">
        <f t="shared" si="23"/>
        <v>0.09780898055578464</v>
      </c>
      <c r="H136" s="66">
        <f t="shared" si="13"/>
        <v>93816298.08</v>
      </c>
      <c r="I136" s="66">
        <f>J136-4537377.78</f>
        <v>11318818.23</v>
      </c>
      <c r="J136" s="66">
        <v>15856196.01</v>
      </c>
      <c r="K136" s="51">
        <f t="shared" si="18"/>
        <v>0.05155016974860988</v>
      </c>
      <c r="L136" s="69">
        <f t="shared" si="14"/>
        <v>113849118.99</v>
      </c>
      <c r="M136" s="8"/>
    </row>
    <row r="137" spans="1:13" s="7" customFormat="1" ht="14.25" customHeight="1">
      <c r="A137" s="48" t="s">
        <v>67</v>
      </c>
      <c r="B137" s="49" t="s">
        <v>75</v>
      </c>
      <c r="C137" s="111">
        <v>1192127</v>
      </c>
      <c r="D137" s="111">
        <v>1192127</v>
      </c>
      <c r="E137" s="66">
        <f>F137-0</f>
        <v>0</v>
      </c>
      <c r="F137" s="66">
        <v>0</v>
      </c>
      <c r="G137" s="51">
        <f t="shared" si="23"/>
        <v>0</v>
      </c>
      <c r="H137" s="66">
        <f t="shared" si="13"/>
        <v>1192127</v>
      </c>
      <c r="I137" s="66">
        <f t="shared" si="24"/>
        <v>0</v>
      </c>
      <c r="J137" s="66">
        <v>0</v>
      </c>
      <c r="K137" s="51">
        <f t="shared" si="18"/>
        <v>0</v>
      </c>
      <c r="L137" s="69">
        <f t="shared" si="14"/>
        <v>1192127</v>
      </c>
      <c r="M137" s="8"/>
    </row>
    <row r="138" spans="1:13" s="7" customFormat="1" ht="14.25" customHeight="1">
      <c r="A138" s="48" t="s">
        <v>68</v>
      </c>
      <c r="B138" s="49" t="s">
        <v>76</v>
      </c>
      <c r="C138" s="111">
        <v>265165083</v>
      </c>
      <c r="D138" s="111">
        <v>270787371.33</v>
      </c>
      <c r="E138" s="66">
        <f>F138-25085938.96</f>
        <v>40172364.88</v>
      </c>
      <c r="F138" s="66">
        <v>65258303.84</v>
      </c>
      <c r="G138" s="51">
        <f t="shared" si="23"/>
        <v>0.17784962417939773</v>
      </c>
      <c r="H138" s="66">
        <f t="shared" si="13"/>
        <v>205529067.48999998</v>
      </c>
      <c r="I138" s="66">
        <f>J138-19197178.46</f>
        <v>40486069.08</v>
      </c>
      <c r="J138" s="111">
        <v>59683247.54</v>
      </c>
      <c r="K138" s="51">
        <f t="shared" si="18"/>
        <v>0.19403654822978586</v>
      </c>
      <c r="L138" s="69">
        <f t="shared" si="14"/>
        <v>211104123.79</v>
      </c>
      <c r="M138" s="8"/>
    </row>
    <row r="139" spans="1:13" s="7" customFormat="1" ht="14.25" customHeight="1">
      <c r="A139" s="48" t="s">
        <v>238</v>
      </c>
      <c r="B139" s="49" t="s">
        <v>239</v>
      </c>
      <c r="C139" s="66">
        <v>0</v>
      </c>
      <c r="D139" s="66">
        <v>0</v>
      </c>
      <c r="E139" s="66">
        <f>F139-0</f>
        <v>0</v>
      </c>
      <c r="F139" s="66">
        <v>0</v>
      </c>
      <c r="G139" s="51">
        <f t="shared" si="23"/>
        <v>0</v>
      </c>
      <c r="H139" s="66">
        <f t="shared" si="13"/>
        <v>0</v>
      </c>
      <c r="I139" s="66">
        <f t="shared" si="24"/>
        <v>0</v>
      </c>
      <c r="J139" s="66">
        <v>0</v>
      </c>
      <c r="K139" s="51">
        <f t="shared" si="18"/>
        <v>0</v>
      </c>
      <c r="L139" s="69">
        <f t="shared" si="14"/>
        <v>0</v>
      </c>
      <c r="M139" s="8"/>
    </row>
    <row r="140" spans="1:13" s="7" customFormat="1" ht="14.25" customHeight="1">
      <c r="A140" s="48" t="s">
        <v>111</v>
      </c>
      <c r="B140" s="49" t="s">
        <v>118</v>
      </c>
      <c r="C140" s="111">
        <v>1229367737</v>
      </c>
      <c r="D140" s="111">
        <v>1182992737</v>
      </c>
      <c r="E140" s="66">
        <f>F140-135014350.19</f>
        <v>139638198.68</v>
      </c>
      <c r="F140" s="111">
        <v>274652548.87</v>
      </c>
      <c r="G140" s="51">
        <f t="shared" si="23"/>
        <v>0.7485155102438097</v>
      </c>
      <c r="H140" s="66">
        <f t="shared" si="13"/>
        <v>908340188.13</v>
      </c>
      <c r="I140" s="66">
        <f>J140-135014350.19</f>
        <v>139638198.68</v>
      </c>
      <c r="J140" s="111">
        <v>274652548.87</v>
      </c>
      <c r="K140" s="51">
        <f t="shared" si="18"/>
        <v>0.8929244761610935</v>
      </c>
      <c r="L140" s="69">
        <f t="shared" si="14"/>
        <v>908340188.13</v>
      </c>
      <c r="M140" s="8"/>
    </row>
    <row r="141" spans="1:13" s="7" customFormat="1" ht="14.25" customHeight="1">
      <c r="A141" s="48" t="s">
        <v>112</v>
      </c>
      <c r="B141" s="49" t="s">
        <v>119</v>
      </c>
      <c r="C141" s="111">
        <v>2816101393</v>
      </c>
      <c r="D141" s="111">
        <v>2805404564.16</v>
      </c>
      <c r="E141" s="66">
        <f>F141-411665855.24</f>
        <v>448767522.14</v>
      </c>
      <c r="F141" s="111">
        <v>860433377.38</v>
      </c>
      <c r="G141" s="51">
        <f t="shared" si="23"/>
        <v>2.3449544930501967</v>
      </c>
      <c r="H141" s="66">
        <f t="shared" si="13"/>
        <v>1944971186.7799997</v>
      </c>
      <c r="I141" s="66">
        <f>J141-411665855.24</f>
        <v>446860175</v>
      </c>
      <c r="J141" s="111">
        <v>858526030.24</v>
      </c>
      <c r="K141" s="51">
        <f aca="true" t="shared" si="25" ref="K141:K157">(J141/$J$317)*100</f>
        <v>2.791158898676618</v>
      </c>
      <c r="L141" s="69">
        <f t="shared" si="14"/>
        <v>1946878533.9199998</v>
      </c>
      <c r="M141" s="8"/>
    </row>
    <row r="142" spans="1:13" s="7" customFormat="1" ht="14.25" customHeight="1">
      <c r="A142" s="48" t="s">
        <v>113</v>
      </c>
      <c r="B142" s="49" t="s">
        <v>120</v>
      </c>
      <c r="C142" s="111">
        <v>75609791</v>
      </c>
      <c r="D142" s="111">
        <v>197661809.35</v>
      </c>
      <c r="E142" s="66">
        <f>F142-5084214.31</f>
        <v>86561146.28</v>
      </c>
      <c r="F142" s="111">
        <v>91645360.59</v>
      </c>
      <c r="G142" s="51">
        <f t="shared" si="23"/>
        <v>0.24976274251134273</v>
      </c>
      <c r="H142" s="66">
        <f t="shared" si="13"/>
        <v>106016448.75999999</v>
      </c>
      <c r="I142" s="66">
        <f>J142-950834.16</f>
        <v>65041456.42</v>
      </c>
      <c r="J142" s="111">
        <v>65992290.58</v>
      </c>
      <c r="K142" s="51">
        <f t="shared" si="25"/>
        <v>0.21454791422565095</v>
      </c>
      <c r="L142" s="69">
        <f t="shared" si="14"/>
        <v>131669518.77</v>
      </c>
      <c r="M142" s="8"/>
    </row>
    <row r="143" spans="1:13" s="7" customFormat="1" ht="14.25" customHeight="1">
      <c r="A143" s="48" t="s">
        <v>114</v>
      </c>
      <c r="B143" s="49" t="s">
        <v>121</v>
      </c>
      <c r="C143" s="111">
        <v>503063157</v>
      </c>
      <c r="D143" s="111">
        <v>542652574.32</v>
      </c>
      <c r="E143" s="66">
        <f>F143-73107540.89</f>
        <v>86335972.52</v>
      </c>
      <c r="F143" s="111">
        <v>159443513.41</v>
      </c>
      <c r="G143" s="51">
        <f t="shared" si="23"/>
        <v>0.43453426260260675</v>
      </c>
      <c r="H143" s="66">
        <f t="shared" si="13"/>
        <v>383209060.9100001</v>
      </c>
      <c r="I143" s="66">
        <f>J143-65749103.96</f>
        <v>79051501.38999999</v>
      </c>
      <c r="J143" s="111">
        <v>144800605.35</v>
      </c>
      <c r="K143" s="51">
        <f t="shared" si="25"/>
        <v>0.4707620781671939</v>
      </c>
      <c r="L143" s="69">
        <f t="shared" si="14"/>
        <v>397851968.97</v>
      </c>
      <c r="M143" s="8"/>
    </row>
    <row r="144" spans="1:13" s="7" customFormat="1" ht="14.25" customHeight="1">
      <c r="A144" s="48" t="s">
        <v>115</v>
      </c>
      <c r="B144" s="49" t="s">
        <v>122</v>
      </c>
      <c r="C144" s="111">
        <v>16758801</v>
      </c>
      <c r="D144" s="111">
        <v>16817481</v>
      </c>
      <c r="E144" s="66">
        <f>F144-1650178.59</f>
        <v>2645017.8</v>
      </c>
      <c r="F144" s="111">
        <v>4295196.39</v>
      </c>
      <c r="G144" s="51">
        <f t="shared" si="23"/>
        <v>0.011705775645213364</v>
      </c>
      <c r="H144" s="66">
        <f aca="true" t="shared" si="26" ref="H144:H157">D144-F144</f>
        <v>12522284.61</v>
      </c>
      <c r="I144" s="66">
        <f>J144-564625.63</f>
        <v>1772390.6800000002</v>
      </c>
      <c r="J144" s="111">
        <v>2337016.31</v>
      </c>
      <c r="K144" s="51">
        <f t="shared" si="25"/>
        <v>0.007597887123102606</v>
      </c>
      <c r="L144" s="69">
        <f aca="true" t="shared" si="27" ref="L144:L157">D144-J144</f>
        <v>14480464.69</v>
      </c>
      <c r="M144" s="8"/>
    </row>
    <row r="145" spans="1:13" s="7" customFormat="1" ht="14.25" customHeight="1">
      <c r="A145" s="48" t="s">
        <v>116</v>
      </c>
      <c r="B145" s="49" t="s">
        <v>123</v>
      </c>
      <c r="C145" s="111">
        <v>45751903</v>
      </c>
      <c r="D145" s="111">
        <v>42251903</v>
      </c>
      <c r="E145" s="66">
        <f>F145-6094801.12</f>
        <v>7084572.590000001</v>
      </c>
      <c r="F145" s="111">
        <v>13179373.71</v>
      </c>
      <c r="G145" s="51">
        <f t="shared" si="23"/>
        <v>0.03591798320394922</v>
      </c>
      <c r="H145" s="66">
        <f t="shared" si="26"/>
        <v>29072529.29</v>
      </c>
      <c r="I145" s="66">
        <f t="shared" si="24"/>
        <v>3857003.11</v>
      </c>
      <c r="J145" s="66">
        <v>3857003.11</v>
      </c>
      <c r="K145" s="51">
        <f t="shared" si="25"/>
        <v>0.012539524922372362</v>
      </c>
      <c r="L145" s="69">
        <f t="shared" si="27"/>
        <v>38394899.89</v>
      </c>
      <c r="M145" s="8"/>
    </row>
    <row r="146" spans="1:13" s="7" customFormat="1" ht="14.25" customHeight="1">
      <c r="A146" s="48" t="s">
        <v>251</v>
      </c>
      <c r="B146" s="49" t="s">
        <v>252</v>
      </c>
      <c r="C146" s="111">
        <v>1101889632</v>
      </c>
      <c r="D146" s="111">
        <v>1857205429.67</v>
      </c>
      <c r="E146" s="66">
        <f>F146-82548876.23</f>
        <v>163920762.56</v>
      </c>
      <c r="F146" s="111">
        <v>246469638.79</v>
      </c>
      <c r="G146" s="51">
        <f t="shared" si="23"/>
        <v>0.671708120669313</v>
      </c>
      <c r="H146" s="66">
        <f t="shared" si="26"/>
        <v>1610735790.88</v>
      </c>
      <c r="I146" s="66">
        <f>J146-29486774.9</f>
        <v>115038270</v>
      </c>
      <c r="J146" s="111">
        <v>144525044.9</v>
      </c>
      <c r="K146" s="51">
        <f t="shared" si="25"/>
        <v>0.46986620200846424</v>
      </c>
      <c r="L146" s="69">
        <f t="shared" si="27"/>
        <v>1712680384.77</v>
      </c>
      <c r="M146" s="8"/>
    </row>
    <row r="147" spans="1:13" s="7" customFormat="1" ht="14.25" customHeight="1">
      <c r="A147" s="48" t="s">
        <v>117</v>
      </c>
      <c r="B147" s="49" t="s">
        <v>124</v>
      </c>
      <c r="C147" s="111">
        <v>372578</v>
      </c>
      <c r="D147" s="111">
        <v>372578</v>
      </c>
      <c r="E147" s="66">
        <f>F147-0</f>
        <v>0</v>
      </c>
      <c r="F147" s="66">
        <v>0</v>
      </c>
      <c r="G147" s="51">
        <f t="shared" si="23"/>
        <v>0</v>
      </c>
      <c r="H147" s="66">
        <f t="shared" si="26"/>
        <v>372578</v>
      </c>
      <c r="I147" s="66">
        <f t="shared" si="24"/>
        <v>0</v>
      </c>
      <c r="J147" s="66">
        <v>0</v>
      </c>
      <c r="K147" s="51">
        <f t="shared" si="25"/>
        <v>0</v>
      </c>
      <c r="L147" s="69">
        <f t="shared" si="27"/>
        <v>372578</v>
      </c>
      <c r="M147" s="8"/>
    </row>
    <row r="148" spans="1:13" s="7" customFormat="1" ht="14.25" customHeight="1">
      <c r="A148" s="48" t="s">
        <v>53</v>
      </c>
      <c r="B148" s="49" t="s">
        <v>60</v>
      </c>
      <c r="C148" s="111">
        <v>123000</v>
      </c>
      <c r="D148" s="111">
        <v>123000</v>
      </c>
      <c r="E148" s="66">
        <f>F148-0</f>
        <v>0</v>
      </c>
      <c r="F148" s="91">
        <v>0</v>
      </c>
      <c r="G148" s="51">
        <f t="shared" si="23"/>
        <v>0</v>
      </c>
      <c r="H148" s="66">
        <f t="shared" si="26"/>
        <v>123000</v>
      </c>
      <c r="I148" s="66">
        <f t="shared" si="24"/>
        <v>0</v>
      </c>
      <c r="J148" s="66">
        <v>0</v>
      </c>
      <c r="K148" s="51">
        <f t="shared" si="25"/>
        <v>0</v>
      </c>
      <c r="L148" s="69">
        <f t="shared" si="27"/>
        <v>123000</v>
      </c>
      <c r="M148" s="8"/>
    </row>
    <row r="149" spans="1:13" s="7" customFormat="1" ht="14.25" customHeight="1">
      <c r="A149" s="48" t="s">
        <v>153</v>
      </c>
      <c r="B149" s="49" t="s">
        <v>154</v>
      </c>
      <c r="C149" s="111">
        <v>125000</v>
      </c>
      <c r="D149" s="111">
        <v>125000</v>
      </c>
      <c r="E149" s="66">
        <f>F149-0</f>
        <v>0</v>
      </c>
      <c r="F149" s="91">
        <v>0</v>
      </c>
      <c r="G149" s="51">
        <f t="shared" si="23"/>
        <v>0</v>
      </c>
      <c r="H149" s="66">
        <f t="shared" si="26"/>
        <v>125000</v>
      </c>
      <c r="I149" s="66">
        <f t="shared" si="24"/>
        <v>0</v>
      </c>
      <c r="J149" s="66">
        <v>0</v>
      </c>
      <c r="K149" s="51">
        <f t="shared" si="25"/>
        <v>0</v>
      </c>
      <c r="L149" s="69">
        <f t="shared" si="27"/>
        <v>125000</v>
      </c>
      <c r="M149" s="8"/>
    </row>
    <row r="150" spans="1:13" s="7" customFormat="1" ht="14.25" customHeight="1">
      <c r="A150" s="48" t="s">
        <v>96</v>
      </c>
      <c r="B150" s="49" t="s">
        <v>102</v>
      </c>
      <c r="C150" s="111">
        <v>50715000</v>
      </c>
      <c r="D150" s="111">
        <v>60515000</v>
      </c>
      <c r="E150" s="66">
        <f>F150-6568593.9</f>
        <v>9800000</v>
      </c>
      <c r="F150" s="111">
        <v>16368593.9</v>
      </c>
      <c r="G150" s="51">
        <f t="shared" si="23"/>
        <v>0.04460962210414971</v>
      </c>
      <c r="H150" s="66">
        <f t="shared" si="26"/>
        <v>44146406.1</v>
      </c>
      <c r="I150" s="66">
        <f>J150-4569496.79</f>
        <v>7682520.090000001</v>
      </c>
      <c r="J150" s="111">
        <v>12252016.88</v>
      </c>
      <c r="K150" s="51">
        <f t="shared" si="25"/>
        <v>0.0398326023170064</v>
      </c>
      <c r="L150" s="69">
        <f t="shared" si="27"/>
        <v>48262983.12</v>
      </c>
      <c r="M150" s="8"/>
    </row>
    <row r="151" spans="1:13" s="7" customFormat="1" ht="14.25" customHeight="1">
      <c r="A151" s="48" t="s">
        <v>97</v>
      </c>
      <c r="B151" s="49" t="s">
        <v>237</v>
      </c>
      <c r="C151" s="111">
        <v>301400</v>
      </c>
      <c r="D151" s="111">
        <v>376875.2</v>
      </c>
      <c r="E151" s="66">
        <f>F151-13856.5</f>
        <v>285.8299999999999</v>
      </c>
      <c r="F151" s="111">
        <v>14142.33</v>
      </c>
      <c r="G151" s="51">
        <f t="shared" si="23"/>
        <v>3.8542345226866406E-05</v>
      </c>
      <c r="H151" s="66">
        <f t="shared" si="26"/>
        <v>362732.87</v>
      </c>
      <c r="I151" s="66">
        <f>J151-13856.5</f>
        <v>285.8299999999999</v>
      </c>
      <c r="J151" s="111">
        <v>14142.33</v>
      </c>
      <c r="K151" s="51">
        <f t="shared" si="25"/>
        <v>4.597821013823719E-05</v>
      </c>
      <c r="L151" s="69">
        <f t="shared" si="27"/>
        <v>362732.87</v>
      </c>
      <c r="M151" s="8"/>
    </row>
    <row r="152" spans="1:13" s="7" customFormat="1" ht="14.25" customHeight="1">
      <c r="A152" s="48" t="s">
        <v>207</v>
      </c>
      <c r="B152" s="49" t="s">
        <v>208</v>
      </c>
      <c r="C152" s="111">
        <v>122000</v>
      </c>
      <c r="D152" s="111">
        <v>122000</v>
      </c>
      <c r="E152" s="66">
        <f>F152-0</f>
        <v>0</v>
      </c>
      <c r="F152" s="66">
        <v>0</v>
      </c>
      <c r="G152" s="51">
        <f t="shared" si="23"/>
        <v>0</v>
      </c>
      <c r="H152" s="66">
        <f t="shared" si="26"/>
        <v>122000</v>
      </c>
      <c r="I152" s="66">
        <f t="shared" si="24"/>
        <v>0</v>
      </c>
      <c r="J152" s="66">
        <v>0</v>
      </c>
      <c r="K152" s="51">
        <f t="shared" si="25"/>
        <v>0</v>
      </c>
      <c r="L152" s="69">
        <f t="shared" si="27"/>
        <v>122000</v>
      </c>
      <c r="M152" s="8"/>
    </row>
    <row r="153" spans="1:13" s="7" customFormat="1" ht="14.25" customHeight="1">
      <c r="A153" s="45" t="s">
        <v>125</v>
      </c>
      <c r="B153" s="83" t="s">
        <v>126</v>
      </c>
      <c r="C153" s="65">
        <f>SUM(C154:C157)</f>
        <v>507123881</v>
      </c>
      <c r="D153" s="65">
        <f>SUM(D154:D157)</f>
        <v>640911410.38</v>
      </c>
      <c r="E153" s="65">
        <f>SUM(E154:E157)</f>
        <v>34414722.07</v>
      </c>
      <c r="F153" s="65">
        <f>SUM(F154:F157)</f>
        <v>62914681.77</v>
      </c>
      <c r="G153" s="47">
        <f t="shared" si="23"/>
        <v>0.1714625089796221</v>
      </c>
      <c r="H153" s="65">
        <f t="shared" si="26"/>
        <v>577996728.61</v>
      </c>
      <c r="I153" s="65">
        <f>SUM(I154:I157)</f>
        <v>25595811.080000006</v>
      </c>
      <c r="J153" s="65">
        <f>SUM(J154:J157)</f>
        <v>47289362.010000005</v>
      </c>
      <c r="K153" s="47">
        <f t="shared" si="25"/>
        <v>0.153742715931459</v>
      </c>
      <c r="L153" s="68">
        <f t="shared" si="27"/>
        <v>593622048.37</v>
      </c>
      <c r="M153" s="8"/>
    </row>
    <row r="154" spans="1:13" s="7" customFormat="1" ht="14.25" customHeight="1">
      <c r="A154" s="48" t="s">
        <v>28</v>
      </c>
      <c r="B154" s="49" t="s">
        <v>33</v>
      </c>
      <c r="C154" s="111">
        <v>136073161</v>
      </c>
      <c r="D154" s="111">
        <v>136068684.22</v>
      </c>
      <c r="E154" s="66">
        <f>F154-17307908.03</f>
        <v>18837321.46</v>
      </c>
      <c r="F154" s="111">
        <v>36145229.49</v>
      </c>
      <c r="G154" s="51">
        <f t="shared" si="23"/>
        <v>0.09850724126136871</v>
      </c>
      <c r="H154" s="66">
        <f t="shared" si="26"/>
        <v>99923454.72999999</v>
      </c>
      <c r="I154" s="66">
        <f>J154-15911919.11</f>
        <v>18558363.160000004</v>
      </c>
      <c r="J154" s="111">
        <v>34470282.27</v>
      </c>
      <c r="K154" s="51">
        <f t="shared" si="25"/>
        <v>0.11206653229944512</v>
      </c>
      <c r="L154" s="69">
        <f t="shared" si="27"/>
        <v>101598401.94999999</v>
      </c>
      <c r="M154" s="8"/>
    </row>
    <row r="155" spans="1:13" s="7" customFormat="1" ht="14.25" customHeight="1">
      <c r="A155" s="48" t="s">
        <v>127</v>
      </c>
      <c r="B155" s="49" t="s">
        <v>128</v>
      </c>
      <c r="C155" s="111">
        <v>1464380</v>
      </c>
      <c r="D155" s="111">
        <v>1464380</v>
      </c>
      <c r="E155" s="66">
        <f>F155-6614</f>
        <v>7750.200000000001</v>
      </c>
      <c r="F155" s="111">
        <v>14364.2</v>
      </c>
      <c r="G155" s="51">
        <f t="shared" si="23"/>
        <v>3.9147011511381397E-05</v>
      </c>
      <c r="H155" s="66">
        <f t="shared" si="26"/>
        <v>1450015.8</v>
      </c>
      <c r="I155" s="66">
        <f>J155-3185.1</f>
        <v>11179.1</v>
      </c>
      <c r="J155" s="111">
        <v>14364.2</v>
      </c>
      <c r="K155" s="51">
        <f t="shared" si="25"/>
        <v>4.66995329671749E-05</v>
      </c>
      <c r="L155" s="69">
        <f t="shared" si="27"/>
        <v>1450015.8</v>
      </c>
      <c r="M155" s="8"/>
    </row>
    <row r="156" spans="1:13" s="7" customFormat="1" ht="14.25" customHeight="1">
      <c r="A156" s="48" t="s">
        <v>117</v>
      </c>
      <c r="B156" s="49" t="s">
        <v>124</v>
      </c>
      <c r="C156" s="111">
        <v>369586340</v>
      </c>
      <c r="D156" s="111">
        <v>503378346.16</v>
      </c>
      <c r="E156" s="66">
        <f>F156-11185437.67</f>
        <v>15569650.409999998</v>
      </c>
      <c r="F156" s="111">
        <v>26755088.08</v>
      </c>
      <c r="G156" s="51">
        <f t="shared" si="23"/>
        <v>0.07291612070674197</v>
      </c>
      <c r="H156" s="66">
        <f t="shared" si="26"/>
        <v>476623258.08000004</v>
      </c>
      <c r="I156" s="66">
        <f>J156-5778446.72</f>
        <v>7026268.819999999</v>
      </c>
      <c r="J156" s="111">
        <v>12804715.54</v>
      </c>
      <c r="K156" s="51">
        <f t="shared" si="25"/>
        <v>0.0416294840990467</v>
      </c>
      <c r="L156" s="69">
        <f t="shared" si="27"/>
        <v>490573630.62</v>
      </c>
      <c r="M156" s="8"/>
    </row>
    <row r="157" spans="1:13" s="7" customFormat="1" ht="14.25" customHeight="1">
      <c r="A157" s="53" t="s">
        <v>185</v>
      </c>
      <c r="B157" s="54" t="s">
        <v>186</v>
      </c>
      <c r="C157" s="67">
        <v>0</v>
      </c>
      <c r="D157" s="67">
        <v>0</v>
      </c>
      <c r="E157" s="67">
        <f>F157-0</f>
        <v>0</v>
      </c>
      <c r="F157" s="67">
        <v>0</v>
      </c>
      <c r="G157" s="92">
        <f t="shared" si="23"/>
        <v>0</v>
      </c>
      <c r="H157" s="67">
        <f t="shared" si="26"/>
        <v>0</v>
      </c>
      <c r="I157" s="67">
        <f>J157-0</f>
        <v>0</v>
      </c>
      <c r="J157" s="67">
        <v>0</v>
      </c>
      <c r="K157" s="92">
        <f t="shared" si="25"/>
        <v>0</v>
      </c>
      <c r="L157" s="93">
        <f t="shared" si="27"/>
        <v>0</v>
      </c>
      <c r="M157" s="8"/>
    </row>
    <row r="158" spans="1:13" s="7" customFormat="1" ht="15" customHeight="1">
      <c r="A158" s="55"/>
      <c r="B158" s="56"/>
      <c r="C158" s="57"/>
      <c r="D158" s="57"/>
      <c r="E158" s="57"/>
      <c r="F158" s="57"/>
      <c r="G158" s="58"/>
      <c r="H158" s="57"/>
      <c r="I158" s="57"/>
      <c r="J158" s="57"/>
      <c r="K158" s="58"/>
      <c r="L158" s="59" t="s">
        <v>228</v>
      </c>
      <c r="M158" s="8"/>
    </row>
    <row r="159" spans="1:13" s="7" customFormat="1" ht="13.5" customHeight="1">
      <c r="A159" s="30"/>
      <c r="B159" s="27"/>
      <c r="C159" s="31"/>
      <c r="D159" s="31"/>
      <c r="E159" s="31"/>
      <c r="F159" s="31"/>
      <c r="G159" s="32"/>
      <c r="H159" s="31"/>
      <c r="I159" s="31"/>
      <c r="J159" s="31"/>
      <c r="K159" s="32"/>
      <c r="L159" s="31"/>
      <c r="M159" s="8"/>
    </row>
    <row r="160" spans="1:13" s="7" customFormat="1" ht="15.75">
      <c r="A160" s="30"/>
      <c r="B160" s="27"/>
      <c r="C160" s="31"/>
      <c r="D160" s="31"/>
      <c r="E160" s="31"/>
      <c r="F160" s="31"/>
      <c r="G160" s="32"/>
      <c r="H160" s="31"/>
      <c r="I160" s="31"/>
      <c r="J160" s="31"/>
      <c r="K160" s="32"/>
      <c r="L160" s="31"/>
      <c r="M160" s="8"/>
    </row>
    <row r="161" spans="1:13" s="7" customFormat="1" ht="15.75">
      <c r="A161" s="30"/>
      <c r="B161" s="27"/>
      <c r="C161" s="31"/>
      <c r="D161" s="31"/>
      <c r="E161" s="31"/>
      <c r="F161" s="31"/>
      <c r="G161" s="32"/>
      <c r="H161" s="31"/>
      <c r="I161" s="31"/>
      <c r="J161" s="31"/>
      <c r="K161" s="32"/>
      <c r="L161" s="31"/>
      <c r="M161" s="8"/>
    </row>
    <row r="162" spans="1:13" s="7" customFormat="1" ht="17.25" customHeight="1">
      <c r="A162" s="30"/>
      <c r="B162" s="27"/>
      <c r="C162" s="31"/>
      <c r="D162" s="31"/>
      <c r="E162" s="31"/>
      <c r="F162" s="31"/>
      <c r="G162" s="32"/>
      <c r="H162" s="31"/>
      <c r="I162" s="31"/>
      <c r="J162" s="31"/>
      <c r="K162" s="32"/>
      <c r="L162" s="24" t="s">
        <v>157</v>
      </c>
      <c r="M162" s="8"/>
    </row>
    <row r="163" spans="1:13" s="7" customFormat="1" ht="15.75">
      <c r="A163" s="118" t="s">
        <v>14</v>
      </c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8"/>
    </row>
    <row r="164" spans="1:13" s="7" customFormat="1" ht="15.75">
      <c r="A164" s="118" t="s">
        <v>0</v>
      </c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8"/>
    </row>
    <row r="165" spans="1:13" s="7" customFormat="1" ht="15.75">
      <c r="A165" s="119" t="s">
        <v>1</v>
      </c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8"/>
    </row>
    <row r="166" spans="1:13" s="7" customFormat="1" ht="15.75">
      <c r="A166" s="118" t="s">
        <v>2</v>
      </c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8"/>
    </row>
    <row r="167" spans="1:13" s="7" customFormat="1" ht="15.75">
      <c r="A167" s="118" t="str">
        <f>A7</f>
        <v>JANEIRO A ABRIL 2024/BIMESTRE MARÇO - ABRIL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8"/>
    </row>
    <row r="168" spans="1:13" s="7" customFormat="1" ht="15.7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24" t="str">
        <f>L8</f>
        <v>Emissão: 22/05/2024</v>
      </c>
      <c r="M168" s="8"/>
    </row>
    <row r="169" spans="1:13" s="7" customFormat="1" ht="15.75">
      <c r="A169" s="26" t="s">
        <v>240</v>
      </c>
      <c r="B169" s="25"/>
      <c r="C169" s="27"/>
      <c r="D169" s="25"/>
      <c r="E169" s="25"/>
      <c r="F169" s="28"/>
      <c r="G169" s="28"/>
      <c r="H169" s="28"/>
      <c r="I169" s="25"/>
      <c r="J169" s="25"/>
      <c r="K169" s="24"/>
      <c r="L169" s="29">
        <v>1</v>
      </c>
      <c r="M169" s="8"/>
    </row>
    <row r="170" spans="1:13" s="7" customFormat="1" ht="13.5" customHeight="1">
      <c r="A170" s="11"/>
      <c r="B170" s="12"/>
      <c r="C170" s="13" t="s">
        <v>3</v>
      </c>
      <c r="D170" s="13" t="s">
        <v>3</v>
      </c>
      <c r="E170" s="120" t="s">
        <v>4</v>
      </c>
      <c r="F170" s="121"/>
      <c r="G170" s="122"/>
      <c r="H170" s="13" t="s">
        <v>18</v>
      </c>
      <c r="I170" s="120" t="s">
        <v>5</v>
      </c>
      <c r="J170" s="121"/>
      <c r="K170" s="122"/>
      <c r="L170" s="14" t="s">
        <v>18</v>
      </c>
      <c r="M170" s="8"/>
    </row>
    <row r="171" spans="1:13" s="7" customFormat="1" ht="14.25" customHeight="1">
      <c r="A171" s="15" t="s">
        <v>23</v>
      </c>
      <c r="B171" s="16" t="s">
        <v>6</v>
      </c>
      <c r="C171" s="16" t="s">
        <v>7</v>
      </c>
      <c r="D171" s="16" t="s">
        <v>8</v>
      </c>
      <c r="E171" s="16" t="s">
        <v>9</v>
      </c>
      <c r="F171" s="16" t="s">
        <v>10</v>
      </c>
      <c r="G171" s="16" t="s">
        <v>11</v>
      </c>
      <c r="H171" s="17"/>
      <c r="I171" s="16" t="s">
        <v>9</v>
      </c>
      <c r="J171" s="16" t="s">
        <v>10</v>
      </c>
      <c r="K171" s="16" t="s">
        <v>11</v>
      </c>
      <c r="L171" s="18"/>
      <c r="M171" s="8"/>
    </row>
    <row r="172" spans="1:13" s="7" customFormat="1" ht="13.5" customHeight="1">
      <c r="A172" s="19"/>
      <c r="B172" s="20"/>
      <c r="C172" s="20"/>
      <c r="D172" s="21" t="s">
        <v>12</v>
      </c>
      <c r="E172" s="21"/>
      <c r="F172" s="21" t="s">
        <v>13</v>
      </c>
      <c r="G172" s="21" t="s">
        <v>17</v>
      </c>
      <c r="H172" s="22" t="s">
        <v>19</v>
      </c>
      <c r="I172" s="21"/>
      <c r="J172" s="21" t="s">
        <v>20</v>
      </c>
      <c r="K172" s="21" t="s">
        <v>21</v>
      </c>
      <c r="L172" s="23" t="s">
        <v>22</v>
      </c>
      <c r="M172" s="8"/>
    </row>
    <row r="173" spans="1:13" s="7" customFormat="1" ht="14.25" customHeight="1">
      <c r="A173" s="45" t="s">
        <v>129</v>
      </c>
      <c r="B173" s="83" t="s">
        <v>130</v>
      </c>
      <c r="C173" s="65">
        <f>SUM(C174:C182)</f>
        <v>310300494</v>
      </c>
      <c r="D173" s="65">
        <f>SUM(D174:D182)</f>
        <v>324800865.48</v>
      </c>
      <c r="E173" s="65">
        <f>SUM(E174:E182)</f>
        <v>32154117.29</v>
      </c>
      <c r="F173" s="65">
        <f>SUM(F174:F182)</f>
        <v>73180545.67</v>
      </c>
      <c r="G173" s="47">
        <f>(F173/$F$317)*100</f>
        <v>0.1994402517197381</v>
      </c>
      <c r="H173" s="65">
        <f aca="true" t="shared" si="28" ref="H173:H242">D173-F173</f>
        <v>251620319.81</v>
      </c>
      <c r="I173" s="65">
        <f>SUM(I174:I182)</f>
        <v>32303194.990000002</v>
      </c>
      <c r="J173" s="65">
        <f>SUM(J174:J182)</f>
        <v>72110752.35</v>
      </c>
      <c r="K173" s="47">
        <f aca="true" t="shared" si="29" ref="K173:K198">(J173/$J$317)*100</f>
        <v>0.23443968036205354</v>
      </c>
      <c r="L173" s="68">
        <f aca="true" t="shared" si="30" ref="L173:L242">D173-J173</f>
        <v>252690113.13000003</v>
      </c>
      <c r="M173" s="8"/>
    </row>
    <row r="174" spans="1:13" s="7" customFormat="1" ht="14.25" customHeight="1">
      <c r="A174" s="48" t="s">
        <v>38</v>
      </c>
      <c r="B174" s="49" t="s">
        <v>40</v>
      </c>
      <c r="C174" s="111">
        <v>1000000</v>
      </c>
      <c r="D174" s="111">
        <v>1000000</v>
      </c>
      <c r="E174" s="66">
        <f aca="true" t="shared" si="31" ref="E174:E181">F174-0</f>
        <v>0</v>
      </c>
      <c r="F174" s="65">
        <v>0</v>
      </c>
      <c r="G174" s="47"/>
      <c r="H174" s="66">
        <f t="shared" si="28"/>
        <v>1000000</v>
      </c>
      <c r="I174" s="66">
        <v>0</v>
      </c>
      <c r="J174" s="66">
        <v>0</v>
      </c>
      <c r="K174" s="51">
        <f t="shared" si="29"/>
        <v>0</v>
      </c>
      <c r="L174" s="69">
        <f t="shared" si="30"/>
        <v>1000000</v>
      </c>
      <c r="M174" s="8"/>
    </row>
    <row r="175" spans="1:13" s="7" customFormat="1" ht="14.25" customHeight="1">
      <c r="A175" s="48" t="s">
        <v>28</v>
      </c>
      <c r="B175" s="49" t="s">
        <v>33</v>
      </c>
      <c r="C175" s="111">
        <v>18283677</v>
      </c>
      <c r="D175" s="111">
        <v>26375177</v>
      </c>
      <c r="E175" s="66">
        <f>F175-2488679.9</f>
        <v>2696715.85</v>
      </c>
      <c r="F175" s="111">
        <v>5185395.75</v>
      </c>
      <c r="G175" s="51">
        <f aca="true" t="shared" si="32" ref="G175:G204">(F175/$F$317)*100</f>
        <v>0.01413185190378289</v>
      </c>
      <c r="H175" s="66">
        <f t="shared" si="28"/>
        <v>21189781.25</v>
      </c>
      <c r="I175" s="66">
        <f>J175-2436532.9</f>
        <v>2526059.6599999997</v>
      </c>
      <c r="J175" s="111">
        <v>4962592.56</v>
      </c>
      <c r="K175" s="51">
        <f t="shared" si="29"/>
        <v>0.016133913121397423</v>
      </c>
      <c r="L175" s="69">
        <f t="shared" si="30"/>
        <v>21412584.44</v>
      </c>
      <c r="M175" s="8"/>
    </row>
    <row r="176" spans="1:13" s="7" customFormat="1" ht="14.25" customHeight="1">
      <c r="A176" s="48" t="s">
        <v>49</v>
      </c>
      <c r="B176" s="49" t="s">
        <v>56</v>
      </c>
      <c r="C176" s="111">
        <v>216060194</v>
      </c>
      <c r="D176" s="111">
        <v>217860194</v>
      </c>
      <c r="E176" s="66">
        <f>F176-36567827.79</f>
        <v>22550679.759999998</v>
      </c>
      <c r="F176" s="111">
        <v>59118507.55</v>
      </c>
      <c r="G176" s="51">
        <f t="shared" si="32"/>
        <v>0.1611167273913993</v>
      </c>
      <c r="H176" s="66">
        <f t="shared" si="28"/>
        <v>158741686.45</v>
      </c>
      <c r="I176" s="66">
        <f>J176-36562117.87</f>
        <v>22547675.39</v>
      </c>
      <c r="J176" s="111">
        <v>59109793.26</v>
      </c>
      <c r="K176" s="51">
        <f t="shared" si="29"/>
        <v>0.1921721877325756</v>
      </c>
      <c r="L176" s="69">
        <f t="shared" si="30"/>
        <v>158750400.74</v>
      </c>
      <c r="M176" s="8"/>
    </row>
    <row r="177" spans="1:13" s="7" customFormat="1" ht="14.25" customHeight="1">
      <c r="A177" s="48" t="s">
        <v>52</v>
      </c>
      <c r="B177" s="49" t="s">
        <v>59</v>
      </c>
      <c r="C177" s="111">
        <v>1087437</v>
      </c>
      <c r="D177" s="111">
        <v>1087437</v>
      </c>
      <c r="E177" s="66">
        <f t="shared" si="31"/>
        <v>0</v>
      </c>
      <c r="F177" s="66">
        <v>0</v>
      </c>
      <c r="G177" s="51">
        <f t="shared" si="32"/>
        <v>0</v>
      </c>
      <c r="H177" s="66">
        <f t="shared" si="28"/>
        <v>1087437</v>
      </c>
      <c r="I177" s="66">
        <f>J177-0</f>
        <v>0</v>
      </c>
      <c r="J177" s="66">
        <v>0</v>
      </c>
      <c r="K177" s="51">
        <f t="shared" si="29"/>
        <v>0</v>
      </c>
      <c r="L177" s="69">
        <f t="shared" si="30"/>
        <v>1087437</v>
      </c>
      <c r="M177" s="8"/>
    </row>
    <row r="178" spans="1:13" s="7" customFormat="1" ht="14.25" customHeight="1">
      <c r="A178" s="48" t="s">
        <v>131</v>
      </c>
      <c r="B178" s="49" t="s">
        <v>132</v>
      </c>
      <c r="C178" s="66">
        <v>0</v>
      </c>
      <c r="D178" s="66">
        <v>0</v>
      </c>
      <c r="E178" s="66">
        <f t="shared" si="31"/>
        <v>0</v>
      </c>
      <c r="F178" s="66">
        <v>0</v>
      </c>
      <c r="G178" s="51">
        <f t="shared" si="32"/>
        <v>0</v>
      </c>
      <c r="H178" s="66">
        <f t="shared" si="28"/>
        <v>0</v>
      </c>
      <c r="I178" s="66">
        <f>J178-0</f>
        <v>0</v>
      </c>
      <c r="J178" s="66">
        <v>0</v>
      </c>
      <c r="K178" s="51">
        <f t="shared" si="29"/>
        <v>0</v>
      </c>
      <c r="L178" s="69">
        <f t="shared" si="30"/>
        <v>0</v>
      </c>
      <c r="M178" s="8"/>
    </row>
    <row r="179" spans="1:13" s="7" customFormat="1" ht="14.25" customHeight="1">
      <c r="A179" s="48" t="s">
        <v>251</v>
      </c>
      <c r="B179" s="49" t="s">
        <v>252</v>
      </c>
      <c r="C179" s="66">
        <v>0</v>
      </c>
      <c r="D179" s="66">
        <v>0</v>
      </c>
      <c r="E179" s="66">
        <f t="shared" si="31"/>
        <v>0</v>
      </c>
      <c r="F179" s="66">
        <v>0</v>
      </c>
      <c r="G179" s="51">
        <f t="shared" si="32"/>
        <v>0</v>
      </c>
      <c r="H179" s="66">
        <f t="shared" si="28"/>
        <v>0</v>
      </c>
      <c r="I179" s="66">
        <f>J179-0</f>
        <v>0</v>
      </c>
      <c r="J179" s="66">
        <v>0</v>
      </c>
      <c r="K179" s="51">
        <f t="shared" si="29"/>
        <v>0</v>
      </c>
      <c r="L179" s="69">
        <f t="shared" si="30"/>
        <v>0</v>
      </c>
      <c r="M179" s="8"/>
    </row>
    <row r="180" spans="1:13" s="7" customFormat="1" ht="14.25" customHeight="1">
      <c r="A180" s="48" t="s">
        <v>127</v>
      </c>
      <c r="B180" s="49" t="s">
        <v>269</v>
      </c>
      <c r="C180" s="66">
        <v>0</v>
      </c>
      <c r="D180" s="66">
        <v>0</v>
      </c>
      <c r="E180" s="66">
        <f t="shared" si="31"/>
        <v>0</v>
      </c>
      <c r="F180" s="66">
        <v>0</v>
      </c>
      <c r="G180" s="51">
        <f t="shared" si="32"/>
        <v>0</v>
      </c>
      <c r="H180" s="66">
        <f t="shared" si="28"/>
        <v>0</v>
      </c>
      <c r="I180" s="66">
        <f>J180-0</f>
        <v>0</v>
      </c>
      <c r="J180" s="66">
        <v>0</v>
      </c>
      <c r="K180" s="51">
        <f t="shared" si="29"/>
        <v>0</v>
      </c>
      <c r="L180" s="69">
        <f t="shared" si="30"/>
        <v>0</v>
      </c>
      <c r="M180" s="8"/>
    </row>
    <row r="181" spans="1:13" s="7" customFormat="1" ht="14.25" customHeight="1">
      <c r="A181" s="48" t="s">
        <v>69</v>
      </c>
      <c r="B181" s="60" t="s">
        <v>77</v>
      </c>
      <c r="C181" s="69">
        <v>0</v>
      </c>
      <c r="D181" s="69">
        <v>0</v>
      </c>
      <c r="E181" s="69">
        <f t="shared" si="31"/>
        <v>0</v>
      </c>
      <c r="F181" s="69">
        <v>0</v>
      </c>
      <c r="G181" s="51">
        <f t="shared" si="32"/>
        <v>0</v>
      </c>
      <c r="H181" s="69">
        <f t="shared" si="28"/>
        <v>0</v>
      </c>
      <c r="I181" s="69">
        <f>J181-0</f>
        <v>0</v>
      </c>
      <c r="J181" s="69">
        <v>0</v>
      </c>
      <c r="K181" s="51">
        <f t="shared" si="29"/>
        <v>0</v>
      </c>
      <c r="L181" s="69">
        <f t="shared" si="30"/>
        <v>0</v>
      </c>
      <c r="M181" s="8"/>
    </row>
    <row r="182" spans="1:13" s="7" customFormat="1" ht="14.25" customHeight="1">
      <c r="A182" s="55" t="s">
        <v>53</v>
      </c>
      <c r="B182" s="60" t="s">
        <v>60</v>
      </c>
      <c r="C182" s="111">
        <v>73869186</v>
      </c>
      <c r="D182" s="111">
        <v>78478057.48</v>
      </c>
      <c r="E182" s="69">
        <f>F182-1969920.69</f>
        <v>6906721.68</v>
      </c>
      <c r="F182" s="111">
        <v>8876642.37</v>
      </c>
      <c r="G182" s="61">
        <f t="shared" si="32"/>
        <v>0.024191672424555895</v>
      </c>
      <c r="H182" s="69">
        <f t="shared" si="28"/>
        <v>69601415.11</v>
      </c>
      <c r="I182" s="69">
        <f>J182-808906.59</f>
        <v>7229459.94</v>
      </c>
      <c r="J182" s="111">
        <v>8038366.53</v>
      </c>
      <c r="K182" s="61">
        <f t="shared" si="29"/>
        <v>0.026133579508080526</v>
      </c>
      <c r="L182" s="69">
        <f t="shared" si="30"/>
        <v>70439690.95</v>
      </c>
      <c r="M182" s="8"/>
    </row>
    <row r="183" spans="1:13" s="7" customFormat="1" ht="14.25" customHeight="1">
      <c r="A183" s="45" t="s">
        <v>133</v>
      </c>
      <c r="B183" s="83" t="s">
        <v>134</v>
      </c>
      <c r="C183" s="65">
        <f>SUM(C184:C191)</f>
        <v>1611067257</v>
      </c>
      <c r="D183" s="65">
        <f>SUM(D184:D191)</f>
        <v>1710426999.58</v>
      </c>
      <c r="E183" s="65">
        <f>SUM(E184:E191)</f>
        <v>355851425.46</v>
      </c>
      <c r="F183" s="65">
        <f>SUM(F184:F191)</f>
        <v>375525374.97999996</v>
      </c>
      <c r="G183" s="47">
        <f t="shared" si="32"/>
        <v>1.0234260297933664</v>
      </c>
      <c r="H183" s="65">
        <f t="shared" si="28"/>
        <v>1334901624.6</v>
      </c>
      <c r="I183" s="65">
        <f>SUM(I184:I191)</f>
        <v>199891794.1</v>
      </c>
      <c r="J183" s="65">
        <f>SUM(J184:J191)</f>
        <v>214112949.43</v>
      </c>
      <c r="K183" s="47">
        <f t="shared" si="29"/>
        <v>0.6961038373599182</v>
      </c>
      <c r="L183" s="68">
        <f t="shared" si="30"/>
        <v>1496314050.1499999</v>
      </c>
      <c r="M183" s="8"/>
    </row>
    <row r="184" spans="1:13" s="7" customFormat="1" ht="14.25" customHeight="1">
      <c r="A184" s="48" t="s">
        <v>28</v>
      </c>
      <c r="B184" s="49" t="s">
        <v>33</v>
      </c>
      <c r="C184" s="111">
        <v>576900143</v>
      </c>
      <c r="D184" s="111">
        <v>581308173.32</v>
      </c>
      <c r="E184" s="66">
        <f>F184-15089349.52</f>
        <v>89579774.69</v>
      </c>
      <c r="F184" s="111">
        <v>104669124.21</v>
      </c>
      <c r="G184" s="51">
        <f t="shared" si="32"/>
        <v>0.28525663875016216</v>
      </c>
      <c r="H184" s="66">
        <f t="shared" si="28"/>
        <v>476639049.1100001</v>
      </c>
      <c r="I184" s="66">
        <f>J184-14136555.33</f>
        <v>43039550.97</v>
      </c>
      <c r="J184" s="111">
        <v>57176106.3</v>
      </c>
      <c r="K184" s="51">
        <f t="shared" si="29"/>
        <v>0.185885566971467</v>
      </c>
      <c r="L184" s="69">
        <f t="shared" si="30"/>
        <v>524132067.02000004</v>
      </c>
      <c r="M184" s="8"/>
    </row>
    <row r="185" spans="1:13" s="7" customFormat="1" ht="14.25" customHeight="1">
      <c r="A185" s="48" t="s">
        <v>50</v>
      </c>
      <c r="B185" s="49" t="s">
        <v>57</v>
      </c>
      <c r="C185" s="66">
        <v>0</v>
      </c>
      <c r="D185" s="66">
        <v>0</v>
      </c>
      <c r="E185" s="66">
        <f aca="true" t="shared" si="33" ref="E185:E191">F185-0</f>
        <v>0</v>
      </c>
      <c r="F185" s="66">
        <v>0</v>
      </c>
      <c r="G185" s="51">
        <f t="shared" si="32"/>
        <v>0</v>
      </c>
      <c r="H185" s="66">
        <f t="shared" si="28"/>
        <v>0</v>
      </c>
      <c r="I185" s="66">
        <f aca="true" t="shared" si="34" ref="I185:I191">J185-0</f>
        <v>0</v>
      </c>
      <c r="J185" s="66">
        <v>0</v>
      </c>
      <c r="K185" s="51">
        <f t="shared" si="29"/>
        <v>0</v>
      </c>
      <c r="L185" s="69">
        <f t="shared" si="30"/>
        <v>0</v>
      </c>
      <c r="M185" s="8"/>
    </row>
    <row r="186" spans="1:13" s="7" customFormat="1" ht="14.25" customHeight="1">
      <c r="A186" s="48" t="s">
        <v>51</v>
      </c>
      <c r="B186" s="49" t="s">
        <v>58</v>
      </c>
      <c r="C186" s="66">
        <v>0</v>
      </c>
      <c r="D186" s="66">
        <v>0</v>
      </c>
      <c r="E186" s="66">
        <f t="shared" si="33"/>
        <v>0</v>
      </c>
      <c r="F186" s="66">
        <v>0</v>
      </c>
      <c r="G186" s="51">
        <f t="shared" si="32"/>
        <v>0</v>
      </c>
      <c r="H186" s="66">
        <f t="shared" si="28"/>
        <v>0</v>
      </c>
      <c r="I186" s="66">
        <f t="shared" si="34"/>
        <v>0</v>
      </c>
      <c r="J186" s="66">
        <v>0</v>
      </c>
      <c r="K186" s="51">
        <f t="shared" si="29"/>
        <v>0</v>
      </c>
      <c r="L186" s="69">
        <f t="shared" si="30"/>
        <v>0</v>
      </c>
      <c r="M186" s="8"/>
    </row>
    <row r="187" spans="1:13" s="7" customFormat="1" ht="14.25" customHeight="1">
      <c r="A187" s="48" t="s">
        <v>29</v>
      </c>
      <c r="B187" s="49" t="s">
        <v>34</v>
      </c>
      <c r="C187" s="66">
        <v>0</v>
      </c>
      <c r="D187" s="66">
        <v>0</v>
      </c>
      <c r="E187" s="66">
        <f>F187-0</f>
        <v>0</v>
      </c>
      <c r="F187" s="66">
        <v>0</v>
      </c>
      <c r="G187" s="51">
        <f t="shared" si="32"/>
        <v>0</v>
      </c>
      <c r="H187" s="66">
        <f t="shared" si="28"/>
        <v>0</v>
      </c>
      <c r="I187" s="66">
        <f>J187-0</f>
        <v>0</v>
      </c>
      <c r="J187" s="66">
        <v>0</v>
      </c>
      <c r="K187" s="51">
        <f t="shared" si="29"/>
        <v>0</v>
      </c>
      <c r="L187" s="69">
        <f t="shared" si="30"/>
        <v>0</v>
      </c>
      <c r="M187" s="8"/>
    </row>
    <row r="188" spans="1:13" s="7" customFormat="1" ht="14.25" customHeight="1">
      <c r="A188" s="48" t="s">
        <v>135</v>
      </c>
      <c r="B188" s="49" t="s">
        <v>136</v>
      </c>
      <c r="C188" s="111">
        <v>1034167114</v>
      </c>
      <c r="D188" s="111">
        <v>1129118826.26</v>
      </c>
      <c r="E188" s="66">
        <f>F188-4584600</f>
        <v>266271650.76999998</v>
      </c>
      <c r="F188" s="111">
        <v>270856250.77</v>
      </c>
      <c r="G188" s="51">
        <f t="shared" si="32"/>
        <v>0.7381693910432043</v>
      </c>
      <c r="H188" s="66">
        <f t="shared" si="28"/>
        <v>858262575.49</v>
      </c>
      <c r="I188" s="66">
        <f>J188-84600</f>
        <v>156852243.13</v>
      </c>
      <c r="J188" s="111">
        <v>156936843.13</v>
      </c>
      <c r="K188" s="51">
        <f t="shared" si="29"/>
        <v>0.5102182703884511</v>
      </c>
      <c r="L188" s="69">
        <f t="shared" si="30"/>
        <v>972181983.13</v>
      </c>
      <c r="M188" s="8"/>
    </row>
    <row r="189" spans="1:13" s="7" customFormat="1" ht="14.25" customHeight="1">
      <c r="A189" s="48" t="s">
        <v>286</v>
      </c>
      <c r="B189" s="49" t="s">
        <v>287</v>
      </c>
      <c r="C189" s="66">
        <v>0</v>
      </c>
      <c r="D189" s="66">
        <v>0</v>
      </c>
      <c r="E189" s="66">
        <f>F189-0</f>
        <v>0</v>
      </c>
      <c r="F189" s="66">
        <v>0</v>
      </c>
      <c r="G189" s="51">
        <f t="shared" si="32"/>
        <v>0</v>
      </c>
      <c r="H189" s="66">
        <f t="shared" si="28"/>
        <v>0</v>
      </c>
      <c r="I189" s="66">
        <f>J189-0</f>
        <v>0</v>
      </c>
      <c r="J189" s="66">
        <v>0</v>
      </c>
      <c r="K189" s="51">
        <f t="shared" si="29"/>
        <v>0</v>
      </c>
      <c r="L189" s="69">
        <f t="shared" si="30"/>
        <v>0</v>
      </c>
      <c r="M189" s="8"/>
    </row>
    <row r="190" spans="1:15" s="7" customFormat="1" ht="14.25" customHeight="1">
      <c r="A190" s="48" t="s">
        <v>261</v>
      </c>
      <c r="B190" s="49" t="s">
        <v>262</v>
      </c>
      <c r="C190" s="66">
        <v>0</v>
      </c>
      <c r="D190" s="66">
        <v>0</v>
      </c>
      <c r="E190" s="66">
        <f t="shared" si="33"/>
        <v>0</v>
      </c>
      <c r="F190" s="66">
        <v>0</v>
      </c>
      <c r="G190" s="51">
        <f t="shared" si="32"/>
        <v>0</v>
      </c>
      <c r="H190" s="66">
        <f t="shared" si="28"/>
        <v>0</v>
      </c>
      <c r="I190" s="66">
        <f t="shared" si="34"/>
        <v>0</v>
      </c>
      <c r="J190" s="66">
        <v>0</v>
      </c>
      <c r="K190" s="51">
        <f t="shared" si="29"/>
        <v>0</v>
      </c>
      <c r="L190" s="69">
        <f t="shared" si="30"/>
        <v>0</v>
      </c>
      <c r="M190" s="117"/>
      <c r="N190" s="117"/>
      <c r="O190" s="117"/>
    </row>
    <row r="191" spans="1:15" s="7" customFormat="1" ht="14.25" customHeight="1">
      <c r="A191" s="48" t="s">
        <v>185</v>
      </c>
      <c r="B191" s="49" t="s">
        <v>186</v>
      </c>
      <c r="C191" s="66">
        <v>0</v>
      </c>
      <c r="D191" s="66">
        <v>0</v>
      </c>
      <c r="E191" s="66">
        <f t="shared" si="33"/>
        <v>0</v>
      </c>
      <c r="F191" s="66">
        <v>0</v>
      </c>
      <c r="G191" s="51">
        <f t="shared" si="32"/>
        <v>0</v>
      </c>
      <c r="H191" s="66">
        <f t="shared" si="28"/>
        <v>0</v>
      </c>
      <c r="I191" s="66">
        <f t="shared" si="34"/>
        <v>0</v>
      </c>
      <c r="J191" s="66">
        <v>0</v>
      </c>
      <c r="K191" s="51">
        <f t="shared" si="29"/>
        <v>0</v>
      </c>
      <c r="L191" s="69">
        <f t="shared" si="30"/>
        <v>0</v>
      </c>
      <c r="M191" s="112"/>
      <c r="N191" s="112"/>
      <c r="O191" s="112"/>
    </row>
    <row r="192" spans="1:13" s="7" customFormat="1" ht="14.25" customHeight="1">
      <c r="A192" s="45" t="s">
        <v>138</v>
      </c>
      <c r="B192" s="83" t="s">
        <v>137</v>
      </c>
      <c r="C192" s="65">
        <f>SUM(C193:C197)</f>
        <v>510714104</v>
      </c>
      <c r="D192" s="65">
        <f>SUM(D193:D197)</f>
        <v>525714104</v>
      </c>
      <c r="E192" s="65">
        <f>SUM(E193:E197)</f>
        <v>128708533.21000001</v>
      </c>
      <c r="F192" s="65">
        <f>SUM(F193:F197)</f>
        <v>164469193.3</v>
      </c>
      <c r="G192" s="47">
        <f t="shared" si="32"/>
        <v>0.4482308380127478</v>
      </c>
      <c r="H192" s="65">
        <f t="shared" si="28"/>
        <v>361244910.7</v>
      </c>
      <c r="I192" s="65">
        <f>SUM(I193:I197)</f>
        <v>30146183.96</v>
      </c>
      <c r="J192" s="65">
        <f>SUM(J193:J197)</f>
        <v>43855320.9</v>
      </c>
      <c r="K192" s="47">
        <f t="shared" si="29"/>
        <v>0.1425782851920458</v>
      </c>
      <c r="L192" s="68">
        <f t="shared" si="30"/>
        <v>481858783.1</v>
      </c>
      <c r="M192" s="8"/>
    </row>
    <row r="193" spans="1:13" s="7" customFormat="1" ht="14.25" customHeight="1">
      <c r="A193" s="48" t="s">
        <v>28</v>
      </c>
      <c r="B193" s="49" t="s">
        <v>33</v>
      </c>
      <c r="C193" s="111">
        <v>126369780</v>
      </c>
      <c r="D193" s="111">
        <v>126369780</v>
      </c>
      <c r="E193" s="66">
        <f>F193-13662692.52</f>
        <v>21145550.13</v>
      </c>
      <c r="F193" s="111">
        <v>34808242.65</v>
      </c>
      <c r="G193" s="51">
        <f t="shared" si="32"/>
        <v>0.09486352708194726</v>
      </c>
      <c r="H193" s="66">
        <f t="shared" si="28"/>
        <v>91561537.35</v>
      </c>
      <c r="I193" s="66">
        <f>J193-13367946.45</f>
        <v>17041132.64</v>
      </c>
      <c r="J193" s="111">
        <v>30409079.09</v>
      </c>
      <c r="K193" s="51">
        <f t="shared" si="29"/>
        <v>0.09886313135885631</v>
      </c>
      <c r="L193" s="69">
        <f t="shared" si="30"/>
        <v>95960700.91</v>
      </c>
      <c r="M193" s="8"/>
    </row>
    <row r="194" spans="1:13" s="7" customFormat="1" ht="14.25" customHeight="1">
      <c r="A194" s="48" t="s">
        <v>50</v>
      </c>
      <c r="B194" s="49" t="s">
        <v>57</v>
      </c>
      <c r="C194" s="66">
        <v>0</v>
      </c>
      <c r="D194" s="66">
        <v>0</v>
      </c>
      <c r="E194" s="66">
        <f>F194-0</f>
        <v>0</v>
      </c>
      <c r="F194" s="66">
        <v>0</v>
      </c>
      <c r="G194" s="51">
        <f t="shared" si="32"/>
        <v>0</v>
      </c>
      <c r="H194" s="66">
        <f t="shared" si="28"/>
        <v>0</v>
      </c>
      <c r="I194" s="66">
        <f>J194-0</f>
        <v>0</v>
      </c>
      <c r="J194" s="66">
        <v>0</v>
      </c>
      <c r="K194" s="51">
        <f t="shared" si="29"/>
        <v>0</v>
      </c>
      <c r="L194" s="69">
        <f t="shared" si="30"/>
        <v>0</v>
      </c>
      <c r="M194" s="8"/>
    </row>
    <row r="195" spans="1:13" s="7" customFormat="1" ht="14.25" customHeight="1">
      <c r="A195" s="48" t="s">
        <v>67</v>
      </c>
      <c r="B195" s="49" t="s">
        <v>75</v>
      </c>
      <c r="C195" s="66">
        <v>0</v>
      </c>
      <c r="D195" s="66">
        <v>0</v>
      </c>
      <c r="E195" s="66">
        <f>F195-0</f>
        <v>0</v>
      </c>
      <c r="F195" s="66">
        <v>0</v>
      </c>
      <c r="G195" s="51">
        <f t="shared" si="32"/>
        <v>0</v>
      </c>
      <c r="H195" s="66">
        <f t="shared" si="28"/>
        <v>0</v>
      </c>
      <c r="I195" s="66">
        <f>J195-0</f>
        <v>0</v>
      </c>
      <c r="J195" s="66">
        <v>0</v>
      </c>
      <c r="K195" s="51">
        <f t="shared" si="29"/>
        <v>0</v>
      </c>
      <c r="L195" s="69">
        <f t="shared" si="30"/>
        <v>0</v>
      </c>
      <c r="M195" s="8"/>
    </row>
    <row r="196" spans="1:13" s="7" customFormat="1" ht="14.25" customHeight="1">
      <c r="A196" s="48" t="s">
        <v>135</v>
      </c>
      <c r="B196" s="49" t="s">
        <v>136</v>
      </c>
      <c r="C196" s="111">
        <v>122905747</v>
      </c>
      <c r="D196" s="111">
        <v>154536334.44</v>
      </c>
      <c r="E196" s="66">
        <f>F196-0</f>
        <v>77289512.26</v>
      </c>
      <c r="F196" s="66">
        <v>77289512.26</v>
      </c>
      <c r="G196" s="51">
        <f t="shared" si="32"/>
        <v>0.21063849195578407</v>
      </c>
      <c r="H196" s="66">
        <f t="shared" si="28"/>
        <v>77246822.17999999</v>
      </c>
      <c r="I196" s="66">
        <f>J196-0</f>
        <v>7615363.17</v>
      </c>
      <c r="J196" s="66">
        <v>7615363.17</v>
      </c>
      <c r="K196" s="51">
        <f t="shared" si="29"/>
        <v>0.02475835085938824</v>
      </c>
      <c r="L196" s="69">
        <f t="shared" si="30"/>
        <v>146920971.27</v>
      </c>
      <c r="M196" s="8"/>
    </row>
    <row r="197" spans="1:13" s="7" customFormat="1" ht="14.25" customHeight="1">
      <c r="A197" s="48" t="s">
        <v>139</v>
      </c>
      <c r="B197" s="49" t="s">
        <v>140</v>
      </c>
      <c r="C197" s="111">
        <v>261438577</v>
      </c>
      <c r="D197" s="111">
        <v>244807989.56</v>
      </c>
      <c r="E197" s="66">
        <f>F197-22097967.57</f>
        <v>30273470.82</v>
      </c>
      <c r="F197" s="111">
        <v>52371438.39</v>
      </c>
      <c r="G197" s="51">
        <f t="shared" si="32"/>
        <v>0.14272881897501646</v>
      </c>
      <c r="H197" s="66">
        <f t="shared" si="28"/>
        <v>192436551.17000002</v>
      </c>
      <c r="I197" s="66">
        <f>J197-341190.49</f>
        <v>5489688.149999999</v>
      </c>
      <c r="J197" s="111">
        <v>5830878.64</v>
      </c>
      <c r="K197" s="51">
        <f t="shared" si="29"/>
        <v>0.01895680297380125</v>
      </c>
      <c r="L197" s="69">
        <f t="shared" si="30"/>
        <v>238977110.92000002</v>
      </c>
      <c r="M197" s="8"/>
    </row>
    <row r="198" spans="1:13" s="7" customFormat="1" ht="14.25" customHeight="1">
      <c r="A198" s="45" t="s">
        <v>141</v>
      </c>
      <c r="B198" s="84" t="s">
        <v>142</v>
      </c>
      <c r="C198" s="65">
        <f>SUM(C199:C204)</f>
        <v>459954372</v>
      </c>
      <c r="D198" s="65">
        <f>SUM(D199:D204)</f>
        <v>328454372</v>
      </c>
      <c r="E198" s="65">
        <f>SUM(E199:E204)</f>
        <v>7808798.589999998</v>
      </c>
      <c r="F198" s="65">
        <f>SUM(F199:F204)</f>
        <v>27680111.05</v>
      </c>
      <c r="G198" s="47">
        <f t="shared" si="32"/>
        <v>0.07543710237330763</v>
      </c>
      <c r="H198" s="65">
        <f t="shared" si="28"/>
        <v>300774260.95</v>
      </c>
      <c r="I198" s="65">
        <f>SUM(I201:I204)</f>
        <v>6910208.81</v>
      </c>
      <c r="J198" s="65">
        <f>SUM(J201:J204)</f>
        <v>7021432.47</v>
      </c>
      <c r="K198" s="47">
        <f t="shared" si="29"/>
        <v>0.022827419355728636</v>
      </c>
      <c r="L198" s="68">
        <f t="shared" si="30"/>
        <v>321432939.53</v>
      </c>
      <c r="M198" s="8"/>
    </row>
    <row r="199" spans="1:13" s="7" customFormat="1" ht="14.25" customHeight="1">
      <c r="A199" s="48" t="s">
        <v>28</v>
      </c>
      <c r="B199" s="49" t="s">
        <v>33</v>
      </c>
      <c r="C199" s="111">
        <v>153273386</v>
      </c>
      <c r="D199" s="111">
        <v>21773386</v>
      </c>
      <c r="E199" s="65">
        <f aca="true" t="shared" si="35" ref="E199:E204">F199-0</f>
        <v>0</v>
      </c>
      <c r="F199" s="65">
        <v>0</v>
      </c>
      <c r="G199" s="47">
        <f t="shared" si="32"/>
        <v>0</v>
      </c>
      <c r="H199" s="65">
        <v>0</v>
      </c>
      <c r="I199" s="65">
        <v>0</v>
      </c>
      <c r="J199" s="65">
        <v>0</v>
      </c>
      <c r="K199" s="47"/>
      <c r="L199" s="68"/>
      <c r="M199" s="8"/>
    </row>
    <row r="200" spans="1:13" s="7" customFormat="1" ht="14.25" customHeight="1">
      <c r="A200" s="48" t="s">
        <v>51</v>
      </c>
      <c r="B200" s="49" t="s">
        <v>58</v>
      </c>
      <c r="C200" s="66">
        <v>0</v>
      </c>
      <c r="D200" s="66">
        <v>0</v>
      </c>
      <c r="E200" s="65">
        <f t="shared" si="35"/>
        <v>0</v>
      </c>
      <c r="F200" s="65">
        <v>0</v>
      </c>
      <c r="G200" s="47">
        <f t="shared" si="32"/>
        <v>0</v>
      </c>
      <c r="H200" s="66">
        <f t="shared" si="28"/>
        <v>0</v>
      </c>
      <c r="I200" s="65">
        <f>J200-0</f>
        <v>0</v>
      </c>
      <c r="J200" s="65">
        <v>0</v>
      </c>
      <c r="K200" s="47">
        <f>(J200/$J$317)*100</f>
        <v>0</v>
      </c>
      <c r="L200" s="69">
        <f t="shared" si="30"/>
        <v>0</v>
      </c>
      <c r="M200" s="8"/>
    </row>
    <row r="201" spans="1:13" s="7" customFormat="1" ht="14.25" customHeight="1">
      <c r="A201" s="48" t="s">
        <v>143</v>
      </c>
      <c r="B201" s="49" t="s">
        <v>144</v>
      </c>
      <c r="C201" s="111">
        <v>295751986</v>
      </c>
      <c r="D201" s="111">
        <v>295751986</v>
      </c>
      <c r="E201" s="66">
        <f>F201-19871312.46</f>
        <v>7808458.489999998</v>
      </c>
      <c r="F201" s="111">
        <v>27679770.95</v>
      </c>
      <c r="G201" s="51">
        <f t="shared" si="32"/>
        <v>0.0754361754926867</v>
      </c>
      <c r="H201" s="66">
        <f t="shared" si="28"/>
        <v>268072215.05</v>
      </c>
      <c r="I201" s="66">
        <f>J201-111223.66</f>
        <v>6909868.71</v>
      </c>
      <c r="J201" s="111">
        <v>7021092.37</v>
      </c>
      <c r="K201" s="51">
        <f>(J201/$J$317)*100</f>
        <v>0.022826313654668907</v>
      </c>
      <c r="L201" s="69">
        <f t="shared" si="30"/>
        <v>288730893.63</v>
      </c>
      <c r="M201" s="8"/>
    </row>
    <row r="202" spans="1:13" s="7" customFormat="1" ht="14.25" customHeight="1">
      <c r="A202" s="48" t="s">
        <v>153</v>
      </c>
      <c r="B202" s="49" t="s">
        <v>154</v>
      </c>
      <c r="C202" s="66">
        <v>0</v>
      </c>
      <c r="D202" s="66">
        <v>0</v>
      </c>
      <c r="E202" s="66">
        <f t="shared" si="35"/>
        <v>0</v>
      </c>
      <c r="F202" s="66">
        <v>0</v>
      </c>
      <c r="G202" s="51">
        <f t="shared" si="32"/>
        <v>0</v>
      </c>
      <c r="H202" s="66">
        <f t="shared" si="28"/>
        <v>0</v>
      </c>
      <c r="I202" s="66">
        <f>J202-0</f>
        <v>0</v>
      </c>
      <c r="J202" s="66">
        <v>0</v>
      </c>
      <c r="K202" s="51">
        <f>(J202/$J$317)*100</f>
        <v>0</v>
      </c>
      <c r="L202" s="69">
        <f t="shared" si="30"/>
        <v>0</v>
      </c>
      <c r="M202" s="8"/>
    </row>
    <row r="203" spans="1:15" s="7" customFormat="1" ht="14.25" customHeight="1">
      <c r="A203" s="48" t="s">
        <v>147</v>
      </c>
      <c r="B203" s="49" t="s">
        <v>148</v>
      </c>
      <c r="C203" s="66">
        <v>0</v>
      </c>
      <c r="D203" s="66">
        <v>0</v>
      </c>
      <c r="E203" s="66">
        <f t="shared" si="35"/>
        <v>0</v>
      </c>
      <c r="F203" s="66">
        <v>0</v>
      </c>
      <c r="G203" s="51">
        <f t="shared" si="32"/>
        <v>0</v>
      </c>
      <c r="H203" s="66">
        <f t="shared" si="28"/>
        <v>0</v>
      </c>
      <c r="I203" s="66">
        <f>J203-0</f>
        <v>0</v>
      </c>
      <c r="J203" s="66">
        <v>0</v>
      </c>
      <c r="K203" s="51">
        <f>(J203/$J$317)*100</f>
        <v>0</v>
      </c>
      <c r="L203" s="69">
        <f t="shared" si="30"/>
        <v>0</v>
      </c>
      <c r="M203" s="8"/>
      <c r="O203" s="9"/>
    </row>
    <row r="204" spans="1:15" s="7" customFormat="1" ht="14.25" customHeight="1">
      <c r="A204" s="48" t="s">
        <v>180</v>
      </c>
      <c r="B204" s="49" t="s">
        <v>181</v>
      </c>
      <c r="C204" s="111">
        <v>10929000</v>
      </c>
      <c r="D204" s="111">
        <v>10929000</v>
      </c>
      <c r="E204" s="66">
        <f t="shared" si="35"/>
        <v>340.1</v>
      </c>
      <c r="F204" s="66">
        <v>340.1</v>
      </c>
      <c r="G204" s="51">
        <f t="shared" si="32"/>
        <v>9.268806209201218E-07</v>
      </c>
      <c r="H204" s="66">
        <f t="shared" si="28"/>
        <v>10928659.9</v>
      </c>
      <c r="I204" s="66">
        <f>J204-0</f>
        <v>340.1</v>
      </c>
      <c r="J204" s="66">
        <v>340.1</v>
      </c>
      <c r="K204" s="51"/>
      <c r="L204" s="69">
        <f t="shared" si="30"/>
        <v>10928659.9</v>
      </c>
      <c r="M204" s="8"/>
      <c r="O204" s="9"/>
    </row>
    <row r="205" spans="1:15" s="7" customFormat="1" ht="14.25" customHeight="1">
      <c r="A205" s="45" t="s">
        <v>149</v>
      </c>
      <c r="B205" s="83" t="s">
        <v>150</v>
      </c>
      <c r="C205" s="65">
        <f>SUM(C206:C215)</f>
        <v>1171137411</v>
      </c>
      <c r="D205" s="65">
        <f>SUM(D206:D215)</f>
        <v>1328395452.28</v>
      </c>
      <c r="E205" s="65">
        <f>SUM(E206:E215)</f>
        <v>174099484.85999998</v>
      </c>
      <c r="F205" s="65">
        <f>SUM(F206:F215)</f>
        <v>341569965.29</v>
      </c>
      <c r="G205" s="47">
        <f aca="true" t="shared" si="36" ref="G205:G236">(F205/$F$317)*100</f>
        <v>0.9308867436508664</v>
      </c>
      <c r="H205" s="65">
        <f t="shared" si="28"/>
        <v>986825486.99</v>
      </c>
      <c r="I205" s="65">
        <f>SUM(I206:I214)</f>
        <v>161698513.83</v>
      </c>
      <c r="J205" s="65">
        <f>SUM(J206:J214)</f>
        <v>197629212.30999997</v>
      </c>
      <c r="K205" s="47">
        <f aca="true" t="shared" si="37" ref="K205:K236">(J205/$J$317)*100</f>
        <v>0.6425134651110156</v>
      </c>
      <c r="L205" s="68">
        <f t="shared" si="30"/>
        <v>1130766239.97</v>
      </c>
      <c r="M205" s="8"/>
      <c r="O205" s="10"/>
    </row>
    <row r="206" spans="1:13" s="7" customFormat="1" ht="14.25" customHeight="1">
      <c r="A206" s="48" t="s">
        <v>28</v>
      </c>
      <c r="B206" s="49" t="s">
        <v>33</v>
      </c>
      <c r="C206" s="111">
        <v>225532005</v>
      </c>
      <c r="D206" s="111">
        <v>227944057.96</v>
      </c>
      <c r="E206" s="66">
        <f>F206-27250600.26</f>
        <v>26961444.98</v>
      </c>
      <c r="F206" s="111">
        <v>54212045.24</v>
      </c>
      <c r="G206" s="51">
        <f t="shared" si="36"/>
        <v>0.14774505778712416</v>
      </c>
      <c r="H206" s="66">
        <f t="shared" si="28"/>
        <v>173732012.72</v>
      </c>
      <c r="I206" s="66">
        <f>J206-21802204.22</f>
        <v>25483401.5</v>
      </c>
      <c r="J206" s="111">
        <v>47285605.72</v>
      </c>
      <c r="K206" s="51">
        <f t="shared" si="37"/>
        <v>0.1537305038355059</v>
      </c>
      <c r="L206" s="69">
        <f t="shared" si="30"/>
        <v>180658452.24</v>
      </c>
      <c r="M206" s="8"/>
    </row>
    <row r="207" spans="1:13" s="7" customFormat="1" ht="14.25" customHeight="1">
      <c r="A207" s="48" t="s">
        <v>29</v>
      </c>
      <c r="B207" s="49" t="s">
        <v>34</v>
      </c>
      <c r="C207" s="66">
        <v>0</v>
      </c>
      <c r="D207" s="66">
        <v>0</v>
      </c>
      <c r="E207" s="66">
        <f>F207-0</f>
        <v>0</v>
      </c>
      <c r="F207" s="66">
        <v>0</v>
      </c>
      <c r="G207" s="51">
        <f t="shared" si="36"/>
        <v>0</v>
      </c>
      <c r="H207" s="66">
        <f t="shared" si="28"/>
        <v>0</v>
      </c>
      <c r="I207" s="66">
        <f>J207-0</f>
        <v>0</v>
      </c>
      <c r="J207" s="66">
        <v>0</v>
      </c>
      <c r="K207" s="51">
        <f t="shared" si="37"/>
        <v>0</v>
      </c>
      <c r="L207" s="69">
        <f t="shared" si="30"/>
        <v>0</v>
      </c>
      <c r="M207" s="8"/>
    </row>
    <row r="208" spans="1:13" s="7" customFormat="1" ht="14.25" customHeight="1">
      <c r="A208" s="48" t="s">
        <v>151</v>
      </c>
      <c r="B208" s="49" t="s">
        <v>152</v>
      </c>
      <c r="C208" s="66">
        <v>0</v>
      </c>
      <c r="D208" s="66">
        <v>0</v>
      </c>
      <c r="E208" s="66">
        <f>F208-0</f>
        <v>0</v>
      </c>
      <c r="F208" s="66">
        <v>0</v>
      </c>
      <c r="G208" s="51">
        <f t="shared" si="36"/>
        <v>0</v>
      </c>
      <c r="H208" s="66">
        <f t="shared" si="28"/>
        <v>0</v>
      </c>
      <c r="I208" s="66">
        <f>J208-0</f>
        <v>0</v>
      </c>
      <c r="J208" s="66">
        <v>0</v>
      </c>
      <c r="K208" s="51">
        <f t="shared" si="37"/>
        <v>0</v>
      </c>
      <c r="L208" s="69">
        <f t="shared" si="30"/>
        <v>0</v>
      </c>
      <c r="M208" s="8"/>
    </row>
    <row r="209" spans="1:13" s="7" customFormat="1" ht="14.25" customHeight="1">
      <c r="A209" s="48" t="s">
        <v>153</v>
      </c>
      <c r="B209" s="49" t="s">
        <v>154</v>
      </c>
      <c r="C209" s="111">
        <v>136249813</v>
      </c>
      <c r="D209" s="111">
        <v>291095801.32</v>
      </c>
      <c r="E209" s="66">
        <f>F209-22719303.54</f>
        <v>43083299.85</v>
      </c>
      <c r="F209" s="111">
        <v>65802603.39</v>
      </c>
      <c r="G209" s="51">
        <f t="shared" si="36"/>
        <v>0.17933301349098416</v>
      </c>
      <c r="H209" s="66">
        <f t="shared" si="28"/>
        <v>225293197.93</v>
      </c>
      <c r="I209" s="66">
        <f>J209-4103684.3</f>
        <v>26932060.509999998</v>
      </c>
      <c r="J209" s="111">
        <v>31035744.81</v>
      </c>
      <c r="K209" s="51">
        <f t="shared" si="37"/>
        <v>0.10090048787370143</v>
      </c>
      <c r="L209" s="69">
        <f t="shared" si="30"/>
        <v>260060056.51</v>
      </c>
      <c r="M209" s="8"/>
    </row>
    <row r="210" spans="1:13" s="7" customFormat="1" ht="14.25" customHeight="1">
      <c r="A210" s="48" t="s">
        <v>30</v>
      </c>
      <c r="B210" s="49" t="s">
        <v>35</v>
      </c>
      <c r="C210" s="111">
        <v>36724642</v>
      </c>
      <c r="D210" s="111">
        <v>37557642</v>
      </c>
      <c r="E210" s="66">
        <f>F210-12627601.87</f>
        <v>937287.120000001</v>
      </c>
      <c r="F210" s="111">
        <v>13564888.99</v>
      </c>
      <c r="G210" s="51">
        <f t="shared" si="36"/>
        <v>0.036968634900804834</v>
      </c>
      <c r="H210" s="66">
        <f t="shared" si="28"/>
        <v>23992753.009999998</v>
      </c>
      <c r="I210" s="66">
        <f>J210-2611481.85</f>
        <v>5143868.029999999</v>
      </c>
      <c r="J210" s="111">
        <v>7755349.88</v>
      </c>
      <c r="K210" s="51">
        <f t="shared" si="37"/>
        <v>0.025213462454785916</v>
      </c>
      <c r="L210" s="69">
        <f t="shared" si="30"/>
        <v>29802292.12</v>
      </c>
      <c r="M210" s="8"/>
    </row>
    <row r="211" spans="1:13" s="7" customFormat="1" ht="14.25" customHeight="1">
      <c r="A211" s="48" t="s">
        <v>145</v>
      </c>
      <c r="B211" s="49" t="s">
        <v>146</v>
      </c>
      <c r="C211" s="111">
        <v>627679603</v>
      </c>
      <c r="D211" s="111">
        <v>626846603</v>
      </c>
      <c r="E211" s="66">
        <f>F211-96544720.67</f>
        <v>92648085.33999999</v>
      </c>
      <c r="F211" s="111">
        <v>189192806.01</v>
      </c>
      <c r="G211" s="51">
        <f t="shared" si="36"/>
        <v>0.5156105425115229</v>
      </c>
      <c r="H211" s="66">
        <f t="shared" si="28"/>
        <v>437653796.99</v>
      </c>
      <c r="I211" s="66">
        <f>J211-5449258.53</f>
        <v>96815121.7</v>
      </c>
      <c r="J211" s="111">
        <v>102264380.23</v>
      </c>
      <c r="K211" s="51">
        <f t="shared" si="37"/>
        <v>0.3324723128276266</v>
      </c>
      <c r="L211" s="69">
        <f t="shared" si="30"/>
        <v>524582222.77</v>
      </c>
      <c r="M211" s="8"/>
    </row>
    <row r="212" spans="1:13" s="7" customFormat="1" ht="14.25" customHeight="1">
      <c r="A212" s="62" t="s">
        <v>147</v>
      </c>
      <c r="B212" s="49" t="s">
        <v>148</v>
      </c>
      <c r="C212" s="111">
        <v>106603389</v>
      </c>
      <c r="D212" s="111">
        <v>106603389</v>
      </c>
      <c r="E212" s="66">
        <f>F212-5960812.19</f>
        <v>456710.5999999996</v>
      </c>
      <c r="F212" s="111">
        <v>6417522.79</v>
      </c>
      <c r="G212" s="51">
        <f t="shared" si="36"/>
        <v>0.017489789792308825</v>
      </c>
      <c r="H212" s="66">
        <f t="shared" si="28"/>
        <v>100185866.21</v>
      </c>
      <c r="I212" s="66">
        <f>J212-0</f>
        <v>389531.28</v>
      </c>
      <c r="J212" s="66">
        <v>389531.28</v>
      </c>
      <c r="K212" s="51">
        <f t="shared" si="37"/>
        <v>0.0012664073775153393</v>
      </c>
      <c r="L212" s="69">
        <f t="shared" si="30"/>
        <v>106213857.72</v>
      </c>
      <c r="M212" s="8"/>
    </row>
    <row r="213" spans="1:13" s="7" customFormat="1" ht="14.25" customHeight="1">
      <c r="A213" s="62" t="s">
        <v>160</v>
      </c>
      <c r="B213" s="49" t="s">
        <v>161</v>
      </c>
      <c r="C213" s="111">
        <v>17080000</v>
      </c>
      <c r="D213" s="111">
        <v>17080000</v>
      </c>
      <c r="E213" s="66">
        <f>F213-516003.84</f>
        <v>3291273.24</v>
      </c>
      <c r="F213" s="111">
        <v>3807277.08</v>
      </c>
      <c r="G213" s="51">
        <f t="shared" si="36"/>
        <v>0.010376040411424134</v>
      </c>
      <c r="H213" s="66">
        <f t="shared" si="28"/>
        <v>13272722.92</v>
      </c>
      <c r="I213" s="66">
        <f>J213-112631.52</f>
        <v>279502.07999999996</v>
      </c>
      <c r="J213" s="111">
        <v>392133.6</v>
      </c>
      <c r="K213" s="51">
        <f t="shared" si="37"/>
        <v>0.0012748677949859354</v>
      </c>
      <c r="L213" s="69">
        <f t="shared" si="30"/>
        <v>16687866.4</v>
      </c>
      <c r="M213" s="8"/>
    </row>
    <row r="214" spans="1:13" s="7" customFormat="1" ht="14.25" customHeight="1">
      <c r="A214" s="62" t="s">
        <v>97</v>
      </c>
      <c r="B214" s="49" t="s">
        <v>237</v>
      </c>
      <c r="C214" s="111">
        <v>21267959</v>
      </c>
      <c r="D214" s="111">
        <v>21267959</v>
      </c>
      <c r="E214" s="66">
        <f>F214-1851438.06</f>
        <v>6721383.729999999</v>
      </c>
      <c r="F214" s="111">
        <v>8572821.79</v>
      </c>
      <c r="G214" s="51">
        <f t="shared" si="36"/>
        <v>0.02336366475669729</v>
      </c>
      <c r="H214" s="66">
        <f t="shared" si="28"/>
        <v>12695137.21</v>
      </c>
      <c r="I214" s="66">
        <f>J214-1851438.06</f>
        <v>6655028.729999999</v>
      </c>
      <c r="J214" s="111">
        <v>8506466.79</v>
      </c>
      <c r="K214" s="51">
        <f t="shared" si="37"/>
        <v>0.0276554229468946</v>
      </c>
      <c r="L214" s="69">
        <f t="shared" si="30"/>
        <v>12761492.21</v>
      </c>
      <c r="M214" s="8"/>
    </row>
    <row r="215" spans="1:13" s="7" customFormat="1" ht="14.25" customHeight="1">
      <c r="A215" s="55" t="s">
        <v>201</v>
      </c>
      <c r="B215" s="49" t="s">
        <v>202</v>
      </c>
      <c r="C215" s="71">
        <v>0</v>
      </c>
      <c r="D215" s="66">
        <v>0</v>
      </c>
      <c r="E215" s="66">
        <f>F215-0</f>
        <v>0</v>
      </c>
      <c r="F215" s="66">
        <v>0</v>
      </c>
      <c r="G215" s="51">
        <f t="shared" si="36"/>
        <v>0</v>
      </c>
      <c r="H215" s="66">
        <f t="shared" si="28"/>
        <v>0</v>
      </c>
      <c r="I215" s="66">
        <f>J215-0</f>
        <v>0</v>
      </c>
      <c r="J215" s="66">
        <v>0</v>
      </c>
      <c r="K215" s="51">
        <f t="shared" si="37"/>
        <v>0</v>
      </c>
      <c r="L215" s="69">
        <f t="shared" si="30"/>
        <v>0</v>
      </c>
      <c r="M215" s="8"/>
    </row>
    <row r="216" spans="1:12" ht="14.25" customHeight="1">
      <c r="A216" s="45" t="s">
        <v>158</v>
      </c>
      <c r="B216" s="83" t="s">
        <v>159</v>
      </c>
      <c r="C216" s="65">
        <f>SUM(C217:C228)</f>
        <v>886561868</v>
      </c>
      <c r="D216" s="65">
        <f>SUM(D217:D228)</f>
        <v>946479319.8199999</v>
      </c>
      <c r="E216" s="65">
        <f>SUM(E217:E228)</f>
        <v>218380668.96</v>
      </c>
      <c r="F216" s="65">
        <f>SUM(F217:F228)</f>
        <v>317307502.12</v>
      </c>
      <c r="G216" s="47">
        <f t="shared" si="36"/>
        <v>0.8647638182522742</v>
      </c>
      <c r="H216" s="65">
        <f t="shared" si="28"/>
        <v>629171817.6999999</v>
      </c>
      <c r="I216" s="65">
        <f>SUM(I217:I228)</f>
        <v>168508918.04000002</v>
      </c>
      <c r="J216" s="65">
        <f>SUM(J217:J228)</f>
        <v>246369789.38</v>
      </c>
      <c r="K216" s="47">
        <f t="shared" si="37"/>
        <v>0.8009742346435753</v>
      </c>
      <c r="L216" s="68">
        <f t="shared" si="30"/>
        <v>700109530.4399999</v>
      </c>
    </row>
    <row r="217" spans="1:12" ht="14.25" customHeight="1">
      <c r="A217" s="48" t="s">
        <v>28</v>
      </c>
      <c r="B217" s="49" t="s">
        <v>33</v>
      </c>
      <c r="C217" s="111">
        <v>177601141</v>
      </c>
      <c r="D217" s="111">
        <v>175670002.5</v>
      </c>
      <c r="E217" s="66">
        <f>F217-14000928.67</f>
        <v>13658544.770000001</v>
      </c>
      <c r="F217" s="111">
        <v>27659473.44</v>
      </c>
      <c r="G217" s="51">
        <f t="shared" si="36"/>
        <v>0.07538085832517147</v>
      </c>
      <c r="H217" s="66">
        <f t="shared" si="28"/>
        <v>148010529.06</v>
      </c>
      <c r="I217" s="66">
        <f>J217-11859088.21</f>
        <v>12584197</v>
      </c>
      <c r="J217" s="111">
        <v>24443285.21</v>
      </c>
      <c r="K217" s="51">
        <f t="shared" si="37"/>
        <v>0.07946770467484814</v>
      </c>
      <c r="L217" s="69">
        <f t="shared" si="30"/>
        <v>151226717.29</v>
      </c>
    </row>
    <row r="218" spans="1:12" ht="14.25" customHeight="1">
      <c r="A218" s="48" t="s">
        <v>50</v>
      </c>
      <c r="B218" s="49" t="s">
        <v>57</v>
      </c>
      <c r="C218" s="111">
        <v>105191506</v>
      </c>
      <c r="D218" s="111">
        <v>105191506</v>
      </c>
      <c r="E218" s="66">
        <f>F218-12795701</f>
        <v>5882805.690000001</v>
      </c>
      <c r="F218" s="111">
        <v>18678506.69</v>
      </c>
      <c r="G218" s="51">
        <f t="shared" si="36"/>
        <v>0.05090486879943502</v>
      </c>
      <c r="H218" s="66">
        <f t="shared" si="28"/>
        <v>86512999.31</v>
      </c>
      <c r="I218" s="66">
        <f>J218-523334.01</f>
        <v>11462676.35</v>
      </c>
      <c r="J218" s="111">
        <v>11986010.36</v>
      </c>
      <c r="K218" s="51">
        <f t="shared" si="37"/>
        <v>0.038967786994870565</v>
      </c>
      <c r="L218" s="69">
        <f t="shared" si="30"/>
        <v>93205495.64</v>
      </c>
    </row>
    <row r="219" spans="1:12" ht="14.25" customHeight="1">
      <c r="A219" s="48" t="s">
        <v>51</v>
      </c>
      <c r="B219" s="49" t="s">
        <v>58</v>
      </c>
      <c r="C219" s="111">
        <v>3456173</v>
      </c>
      <c r="D219" s="111">
        <v>2872839.67</v>
      </c>
      <c r="E219" s="66">
        <f>F219-0</f>
        <v>0</v>
      </c>
      <c r="F219" s="66">
        <v>0</v>
      </c>
      <c r="G219" s="51">
        <f t="shared" si="36"/>
        <v>0</v>
      </c>
      <c r="H219" s="66">
        <f t="shared" si="28"/>
        <v>2872839.67</v>
      </c>
      <c r="I219" s="66">
        <v>0</v>
      </c>
      <c r="J219" s="66">
        <v>0</v>
      </c>
      <c r="K219" s="51">
        <f t="shared" si="37"/>
        <v>0</v>
      </c>
      <c r="L219" s="69">
        <f t="shared" si="30"/>
        <v>2872839.67</v>
      </c>
    </row>
    <row r="220" spans="1:12" ht="14.25" customHeight="1">
      <c r="A220" s="48" t="s">
        <v>29</v>
      </c>
      <c r="B220" s="49" t="s">
        <v>34</v>
      </c>
      <c r="C220" s="111">
        <v>2200702</v>
      </c>
      <c r="D220" s="111">
        <v>2200702</v>
      </c>
      <c r="E220" s="66">
        <f>F220-114569.88</f>
        <v>32097.559999999998</v>
      </c>
      <c r="F220" s="111">
        <v>146667.44</v>
      </c>
      <c r="G220" s="51">
        <f t="shared" si="36"/>
        <v>0.0003997154009290347</v>
      </c>
      <c r="H220" s="66">
        <f t="shared" si="28"/>
        <v>2054034.56</v>
      </c>
      <c r="I220" s="66">
        <f>J220-45805.46</f>
        <v>66479.76999999999</v>
      </c>
      <c r="J220" s="111">
        <v>112285.23</v>
      </c>
      <c r="K220" s="51">
        <f t="shared" si="37"/>
        <v>0.00036505115496246335</v>
      </c>
      <c r="L220" s="69">
        <f t="shared" si="30"/>
        <v>2088416.77</v>
      </c>
    </row>
    <row r="221" spans="1:12" ht="14.25" customHeight="1">
      <c r="A221" s="48" t="s">
        <v>64</v>
      </c>
      <c r="B221" s="49" t="s">
        <v>72</v>
      </c>
      <c r="C221" s="111">
        <v>5024510</v>
      </c>
      <c r="D221" s="111">
        <v>4326405</v>
      </c>
      <c r="E221" s="66">
        <f aca="true" t="shared" si="38" ref="E221:E228">F221-0</f>
        <v>498105</v>
      </c>
      <c r="F221" s="66">
        <v>498105</v>
      </c>
      <c r="G221" s="51">
        <f t="shared" si="36"/>
        <v>0.001357494477163826</v>
      </c>
      <c r="H221" s="66">
        <f t="shared" si="28"/>
        <v>3828300</v>
      </c>
      <c r="I221" s="66">
        <f aca="true" t="shared" si="39" ref="I221:I226">J221-0</f>
        <v>0</v>
      </c>
      <c r="J221" s="66">
        <v>0</v>
      </c>
      <c r="K221" s="51">
        <f t="shared" si="37"/>
        <v>0</v>
      </c>
      <c r="L221" s="69">
        <f t="shared" si="30"/>
        <v>4326405</v>
      </c>
    </row>
    <row r="222" spans="1:12" ht="14.25" customHeight="1">
      <c r="A222" s="48" t="s">
        <v>66</v>
      </c>
      <c r="B222" s="49" t="s">
        <v>74</v>
      </c>
      <c r="C222" s="111">
        <v>8568871</v>
      </c>
      <c r="D222" s="111">
        <v>8568871</v>
      </c>
      <c r="E222" s="66">
        <f t="shared" si="38"/>
        <v>0</v>
      </c>
      <c r="F222" s="66">
        <v>0</v>
      </c>
      <c r="G222" s="51">
        <f t="shared" si="36"/>
        <v>0</v>
      </c>
      <c r="H222" s="66">
        <f t="shared" si="28"/>
        <v>8568871</v>
      </c>
      <c r="I222" s="66">
        <f t="shared" si="39"/>
        <v>0</v>
      </c>
      <c r="J222" s="66">
        <v>0</v>
      </c>
      <c r="K222" s="51">
        <f t="shared" si="37"/>
        <v>0</v>
      </c>
      <c r="L222" s="69">
        <f t="shared" si="30"/>
        <v>8568871</v>
      </c>
    </row>
    <row r="223" spans="1:12" ht="14.25" customHeight="1">
      <c r="A223" s="48" t="s">
        <v>114</v>
      </c>
      <c r="B223" s="49" t="s">
        <v>121</v>
      </c>
      <c r="C223" s="66">
        <v>0</v>
      </c>
      <c r="D223" s="66">
        <v>0</v>
      </c>
      <c r="E223" s="66">
        <f t="shared" si="38"/>
        <v>0</v>
      </c>
      <c r="F223" s="66">
        <v>0</v>
      </c>
      <c r="G223" s="51">
        <f t="shared" si="36"/>
        <v>0</v>
      </c>
      <c r="H223" s="66">
        <f t="shared" si="28"/>
        <v>0</v>
      </c>
      <c r="I223" s="66">
        <f t="shared" si="39"/>
        <v>0</v>
      </c>
      <c r="J223" s="66">
        <v>0</v>
      </c>
      <c r="K223" s="51">
        <f t="shared" si="37"/>
        <v>0</v>
      </c>
      <c r="L223" s="69">
        <f t="shared" si="30"/>
        <v>0</v>
      </c>
    </row>
    <row r="224" spans="1:12" ht="14.25" customHeight="1">
      <c r="A224" s="48" t="s">
        <v>116</v>
      </c>
      <c r="B224" s="49" t="s">
        <v>123</v>
      </c>
      <c r="C224" s="66">
        <v>0</v>
      </c>
      <c r="D224" s="66">
        <v>0</v>
      </c>
      <c r="E224" s="66">
        <f t="shared" si="38"/>
        <v>0</v>
      </c>
      <c r="F224" s="66">
        <v>0</v>
      </c>
      <c r="G224" s="51">
        <f t="shared" si="36"/>
        <v>0</v>
      </c>
      <c r="H224" s="66">
        <f t="shared" si="28"/>
        <v>0</v>
      </c>
      <c r="I224" s="66">
        <f t="shared" si="39"/>
        <v>0</v>
      </c>
      <c r="J224" s="66">
        <v>0</v>
      </c>
      <c r="K224" s="51">
        <f t="shared" si="37"/>
        <v>0</v>
      </c>
      <c r="L224" s="69">
        <f t="shared" si="30"/>
        <v>0</v>
      </c>
    </row>
    <row r="225" spans="1:12" ht="14.25" customHeight="1">
      <c r="A225" s="48" t="s">
        <v>96</v>
      </c>
      <c r="B225" s="49" t="s">
        <v>102</v>
      </c>
      <c r="C225" s="111">
        <v>260000</v>
      </c>
      <c r="D225" s="111">
        <v>260000</v>
      </c>
      <c r="E225" s="66">
        <f t="shared" si="38"/>
        <v>0</v>
      </c>
      <c r="F225" s="66">
        <v>0</v>
      </c>
      <c r="G225" s="51">
        <f t="shared" si="36"/>
        <v>0</v>
      </c>
      <c r="H225" s="66">
        <f t="shared" si="28"/>
        <v>260000</v>
      </c>
      <c r="I225" s="66">
        <f t="shared" si="39"/>
        <v>0</v>
      </c>
      <c r="J225" s="66">
        <v>0</v>
      </c>
      <c r="K225" s="51">
        <f t="shared" si="37"/>
        <v>0</v>
      </c>
      <c r="L225" s="69">
        <f t="shared" si="30"/>
        <v>260000</v>
      </c>
    </row>
    <row r="226" spans="1:12" ht="14.25" customHeight="1">
      <c r="A226" s="48" t="s">
        <v>160</v>
      </c>
      <c r="B226" s="49" t="s">
        <v>161</v>
      </c>
      <c r="C226" s="66">
        <v>0</v>
      </c>
      <c r="D226" s="66">
        <v>0</v>
      </c>
      <c r="E226" s="66">
        <f t="shared" si="38"/>
        <v>0</v>
      </c>
      <c r="F226" s="66">
        <v>0</v>
      </c>
      <c r="G226" s="51">
        <f t="shared" si="36"/>
        <v>0</v>
      </c>
      <c r="H226" s="66">
        <f t="shared" si="28"/>
        <v>0</v>
      </c>
      <c r="I226" s="66">
        <f t="shared" si="39"/>
        <v>0</v>
      </c>
      <c r="J226" s="66">
        <v>0</v>
      </c>
      <c r="K226" s="51">
        <f t="shared" si="37"/>
        <v>0</v>
      </c>
      <c r="L226" s="69">
        <f t="shared" si="30"/>
        <v>0</v>
      </c>
    </row>
    <row r="227" spans="1:12" ht="14.25" customHeight="1">
      <c r="A227" s="48" t="s">
        <v>97</v>
      </c>
      <c r="B227" s="49" t="s">
        <v>241</v>
      </c>
      <c r="C227" s="111">
        <v>584208965</v>
      </c>
      <c r="D227" s="111">
        <v>647338993.65</v>
      </c>
      <c r="E227" s="66">
        <f>F227-72015633.61</f>
        <v>198309115.94</v>
      </c>
      <c r="F227" s="66">
        <v>270324749.55</v>
      </c>
      <c r="G227" s="51">
        <f t="shared" si="36"/>
        <v>0.7367208812495749</v>
      </c>
      <c r="H227" s="66">
        <f t="shared" si="28"/>
        <v>377014244.09999996</v>
      </c>
      <c r="I227" s="66">
        <f>J227-65432643.66</f>
        <v>144395564.92000002</v>
      </c>
      <c r="J227" s="111">
        <v>209828208.58</v>
      </c>
      <c r="K227" s="51">
        <f t="shared" si="37"/>
        <v>0.6821736918188943</v>
      </c>
      <c r="L227" s="69">
        <f t="shared" si="30"/>
        <v>437510785.06999993</v>
      </c>
    </row>
    <row r="228" spans="1:12" ht="14.25" customHeight="1">
      <c r="A228" s="48" t="s">
        <v>187</v>
      </c>
      <c r="B228" s="49" t="s">
        <v>188</v>
      </c>
      <c r="C228" s="111">
        <v>50000</v>
      </c>
      <c r="D228" s="111">
        <v>50000</v>
      </c>
      <c r="E228" s="66">
        <f t="shared" si="38"/>
        <v>0</v>
      </c>
      <c r="F228" s="66">
        <v>0</v>
      </c>
      <c r="G228" s="51">
        <f t="shared" si="36"/>
        <v>0</v>
      </c>
      <c r="H228" s="66">
        <f t="shared" si="28"/>
        <v>50000</v>
      </c>
      <c r="I228" s="66">
        <v>0</v>
      </c>
      <c r="J228" s="66">
        <v>0</v>
      </c>
      <c r="K228" s="51">
        <f t="shared" si="37"/>
        <v>0</v>
      </c>
      <c r="L228" s="69">
        <f t="shared" si="30"/>
        <v>50000</v>
      </c>
    </row>
    <row r="229" spans="1:12" ht="14.25" customHeight="1">
      <c r="A229" s="45" t="s">
        <v>162</v>
      </c>
      <c r="B229" s="83" t="s">
        <v>163</v>
      </c>
      <c r="C229" s="65">
        <f>SUM(C230:C247)</f>
        <v>665168271</v>
      </c>
      <c r="D229" s="65">
        <f>SUM(D230:D247)</f>
        <v>682677740.89</v>
      </c>
      <c r="E229" s="65">
        <f>SUM(E230:E247)</f>
        <v>88649399.49999999</v>
      </c>
      <c r="F229" s="65">
        <f>SUM(F230:F247)</f>
        <v>152825301.14</v>
      </c>
      <c r="G229" s="47">
        <f t="shared" si="36"/>
        <v>0.4164975301762652</v>
      </c>
      <c r="H229" s="65">
        <f t="shared" si="28"/>
        <v>529852439.75</v>
      </c>
      <c r="I229" s="65">
        <f>SUM(I230:I247)</f>
        <v>75469901.20000002</v>
      </c>
      <c r="J229" s="65">
        <f>SUM(J230:J247)</f>
        <v>132682710.85999998</v>
      </c>
      <c r="K229" s="47">
        <f t="shared" si="37"/>
        <v>0.43136552192121413</v>
      </c>
      <c r="L229" s="68">
        <f t="shared" si="30"/>
        <v>549995030.03</v>
      </c>
    </row>
    <row r="230" spans="1:12" ht="14.25" customHeight="1">
      <c r="A230" s="48" t="s">
        <v>28</v>
      </c>
      <c r="B230" s="49" t="s">
        <v>33</v>
      </c>
      <c r="C230" s="111">
        <v>435428719</v>
      </c>
      <c r="D230" s="111">
        <v>438007750.89</v>
      </c>
      <c r="E230" s="66">
        <f>F230-60951886.32</f>
        <v>60452492.809999995</v>
      </c>
      <c r="F230" s="111">
        <v>121404379.13</v>
      </c>
      <c r="G230" s="51">
        <f t="shared" si="36"/>
        <v>0.33086552869872465</v>
      </c>
      <c r="H230" s="66">
        <f t="shared" si="28"/>
        <v>316603371.76</v>
      </c>
      <c r="I230" s="66">
        <f>J230-56950843.02</f>
        <v>56352065.38</v>
      </c>
      <c r="J230" s="111">
        <v>113302908.4</v>
      </c>
      <c r="K230" s="51">
        <f t="shared" si="37"/>
        <v>0.3683597350428564</v>
      </c>
      <c r="L230" s="69">
        <f t="shared" si="30"/>
        <v>324704842.49</v>
      </c>
    </row>
    <row r="231" spans="1:12" ht="14.25" customHeight="1">
      <c r="A231" s="48" t="s">
        <v>50</v>
      </c>
      <c r="B231" s="49" t="s">
        <v>57</v>
      </c>
      <c r="C231" s="111">
        <v>191779</v>
      </c>
      <c r="D231" s="111">
        <v>191779</v>
      </c>
      <c r="E231" s="66">
        <f aca="true" t="shared" si="40" ref="E231:E236">F231-0</f>
        <v>0</v>
      </c>
      <c r="F231" s="66">
        <v>0</v>
      </c>
      <c r="G231" s="51">
        <f t="shared" si="36"/>
        <v>0</v>
      </c>
      <c r="H231" s="66">
        <f t="shared" si="28"/>
        <v>191779</v>
      </c>
      <c r="I231" s="66">
        <f>J231-0</f>
        <v>0</v>
      </c>
      <c r="J231" s="66">
        <v>0</v>
      </c>
      <c r="K231" s="51">
        <f t="shared" si="37"/>
        <v>0</v>
      </c>
      <c r="L231" s="69">
        <f t="shared" si="30"/>
        <v>191779</v>
      </c>
    </row>
    <row r="232" spans="1:12" ht="14.25" customHeight="1">
      <c r="A232" s="48" t="s">
        <v>51</v>
      </c>
      <c r="B232" s="49" t="s">
        <v>58</v>
      </c>
      <c r="C232" s="66">
        <v>0</v>
      </c>
      <c r="D232" s="66">
        <v>0</v>
      </c>
      <c r="E232" s="66">
        <f t="shared" si="40"/>
        <v>0</v>
      </c>
      <c r="F232" s="66">
        <v>0</v>
      </c>
      <c r="G232" s="51">
        <f t="shared" si="36"/>
        <v>0</v>
      </c>
      <c r="H232" s="66">
        <f t="shared" si="28"/>
        <v>0</v>
      </c>
      <c r="I232" s="66">
        <f aca="true" t="shared" si="41" ref="I232:I246">J232-0</f>
        <v>0</v>
      </c>
      <c r="J232" s="66">
        <v>0</v>
      </c>
      <c r="K232" s="51">
        <f t="shared" si="37"/>
        <v>0</v>
      </c>
      <c r="L232" s="69">
        <f t="shared" si="30"/>
        <v>0</v>
      </c>
    </row>
    <row r="233" spans="1:12" ht="14.25" customHeight="1">
      <c r="A233" s="48" t="s">
        <v>29</v>
      </c>
      <c r="B233" s="49" t="s">
        <v>263</v>
      </c>
      <c r="C233" s="66">
        <v>0</v>
      </c>
      <c r="D233" s="66">
        <v>0</v>
      </c>
      <c r="E233" s="50">
        <f t="shared" si="40"/>
        <v>0</v>
      </c>
      <c r="F233" s="50">
        <v>0</v>
      </c>
      <c r="G233" s="51">
        <f t="shared" si="36"/>
        <v>0</v>
      </c>
      <c r="H233" s="66">
        <f t="shared" si="28"/>
        <v>0</v>
      </c>
      <c r="I233" s="66">
        <f t="shared" si="41"/>
        <v>0</v>
      </c>
      <c r="J233" s="66">
        <v>0</v>
      </c>
      <c r="K233" s="51">
        <f t="shared" si="37"/>
        <v>0</v>
      </c>
      <c r="L233" s="69">
        <f t="shared" si="30"/>
        <v>0</v>
      </c>
    </row>
    <row r="234" spans="1:12" ht="14.25" customHeight="1">
      <c r="A234" s="48" t="s">
        <v>94</v>
      </c>
      <c r="B234" s="49" t="s">
        <v>100</v>
      </c>
      <c r="C234" s="50">
        <v>0</v>
      </c>
      <c r="D234" s="50">
        <v>0</v>
      </c>
      <c r="E234" s="50">
        <f t="shared" si="40"/>
        <v>0</v>
      </c>
      <c r="F234" s="50">
        <v>0</v>
      </c>
      <c r="G234" s="51">
        <f t="shared" si="36"/>
        <v>0</v>
      </c>
      <c r="H234" s="66">
        <f t="shared" si="28"/>
        <v>0</v>
      </c>
      <c r="I234" s="66">
        <f t="shared" si="41"/>
        <v>0</v>
      </c>
      <c r="J234" s="66">
        <v>0</v>
      </c>
      <c r="K234" s="51">
        <f t="shared" si="37"/>
        <v>0</v>
      </c>
      <c r="L234" s="69">
        <f t="shared" si="30"/>
        <v>0</v>
      </c>
    </row>
    <row r="235" spans="1:12" ht="14.25" customHeight="1">
      <c r="A235" s="48" t="s">
        <v>68</v>
      </c>
      <c r="B235" s="49" t="s">
        <v>76</v>
      </c>
      <c r="C235" s="111">
        <v>100000</v>
      </c>
      <c r="D235" s="111">
        <v>100000</v>
      </c>
      <c r="E235" s="66">
        <f t="shared" si="40"/>
        <v>0</v>
      </c>
      <c r="F235" s="66">
        <v>0</v>
      </c>
      <c r="G235" s="51">
        <f t="shared" si="36"/>
        <v>0</v>
      </c>
      <c r="H235" s="66">
        <f t="shared" si="28"/>
        <v>100000</v>
      </c>
      <c r="I235" s="66">
        <f>J235-0</f>
        <v>0</v>
      </c>
      <c r="J235" s="66">
        <v>0</v>
      </c>
      <c r="K235" s="51">
        <f t="shared" si="37"/>
        <v>0</v>
      </c>
      <c r="L235" s="69">
        <f t="shared" si="30"/>
        <v>100000</v>
      </c>
    </row>
    <row r="236" spans="1:12" ht="14.25" customHeight="1">
      <c r="A236" s="48" t="s">
        <v>106</v>
      </c>
      <c r="B236" s="49" t="s">
        <v>108</v>
      </c>
      <c r="C236" s="66">
        <v>0</v>
      </c>
      <c r="D236" s="66">
        <v>0</v>
      </c>
      <c r="E236" s="66">
        <f t="shared" si="40"/>
        <v>0</v>
      </c>
      <c r="F236" s="66">
        <v>0</v>
      </c>
      <c r="G236" s="51">
        <f t="shared" si="36"/>
        <v>0</v>
      </c>
      <c r="H236" s="66">
        <f t="shared" si="28"/>
        <v>0</v>
      </c>
      <c r="I236" s="66">
        <f>J236-0</f>
        <v>0</v>
      </c>
      <c r="J236" s="66">
        <v>0</v>
      </c>
      <c r="K236" s="51">
        <f t="shared" si="37"/>
        <v>0</v>
      </c>
      <c r="L236" s="69">
        <f t="shared" si="30"/>
        <v>0</v>
      </c>
    </row>
    <row r="237" spans="1:12" ht="14.25" customHeight="1">
      <c r="A237" s="48" t="s">
        <v>135</v>
      </c>
      <c r="B237" s="49" t="s">
        <v>136</v>
      </c>
      <c r="C237" s="50">
        <v>0</v>
      </c>
      <c r="D237" s="66">
        <v>0</v>
      </c>
      <c r="E237" s="50">
        <f aca="true" t="shared" si="42" ref="E237:E246">F237-0</f>
        <v>0</v>
      </c>
      <c r="F237" s="50">
        <v>0</v>
      </c>
      <c r="G237" s="51">
        <f aca="true" t="shared" si="43" ref="G237:G268">(F237/$F$317)*100</f>
        <v>0</v>
      </c>
      <c r="H237" s="50">
        <f t="shared" si="28"/>
        <v>0</v>
      </c>
      <c r="I237" s="66">
        <f t="shared" si="41"/>
        <v>0</v>
      </c>
      <c r="J237" s="50">
        <v>0</v>
      </c>
      <c r="K237" s="51">
        <f aca="true" t="shared" si="44" ref="K237:K268">(J237/$J$317)*100</f>
        <v>0</v>
      </c>
      <c r="L237" s="69">
        <f t="shared" si="30"/>
        <v>0</v>
      </c>
    </row>
    <row r="238" spans="1:12" ht="14.25" customHeight="1">
      <c r="A238" s="48" t="s">
        <v>96</v>
      </c>
      <c r="B238" s="49" t="s">
        <v>102</v>
      </c>
      <c r="C238" s="111">
        <v>20000</v>
      </c>
      <c r="D238" s="111">
        <v>3332</v>
      </c>
      <c r="E238" s="50">
        <f>F238-0</f>
        <v>0</v>
      </c>
      <c r="F238" s="50">
        <v>0</v>
      </c>
      <c r="G238" s="51">
        <f t="shared" si="43"/>
        <v>0</v>
      </c>
      <c r="H238" s="66">
        <f t="shared" si="28"/>
        <v>3332</v>
      </c>
      <c r="I238" s="66">
        <f>J238-0</f>
        <v>0</v>
      </c>
      <c r="J238" s="50">
        <v>0</v>
      </c>
      <c r="K238" s="51">
        <f t="shared" si="44"/>
        <v>0</v>
      </c>
      <c r="L238" s="69">
        <f t="shared" si="30"/>
        <v>3332</v>
      </c>
    </row>
    <row r="239" spans="1:12" ht="14.25" customHeight="1">
      <c r="A239" s="48" t="s">
        <v>155</v>
      </c>
      <c r="B239" s="49" t="s">
        <v>156</v>
      </c>
      <c r="C239" s="50">
        <v>0</v>
      </c>
      <c r="D239" s="66">
        <v>0</v>
      </c>
      <c r="E239" s="50">
        <f t="shared" si="42"/>
        <v>0</v>
      </c>
      <c r="F239" s="50">
        <v>0</v>
      </c>
      <c r="G239" s="51">
        <f t="shared" si="43"/>
        <v>0</v>
      </c>
      <c r="H239" s="66">
        <f t="shared" si="28"/>
        <v>0</v>
      </c>
      <c r="I239" s="66">
        <f t="shared" si="41"/>
        <v>0</v>
      </c>
      <c r="J239" s="50">
        <v>0</v>
      </c>
      <c r="K239" s="51">
        <f t="shared" si="44"/>
        <v>0</v>
      </c>
      <c r="L239" s="69">
        <f t="shared" si="30"/>
        <v>0</v>
      </c>
    </row>
    <row r="240" spans="1:12" ht="14.25" customHeight="1">
      <c r="A240" s="48" t="s">
        <v>166</v>
      </c>
      <c r="B240" s="49" t="s">
        <v>167</v>
      </c>
      <c r="C240" s="50">
        <v>0</v>
      </c>
      <c r="D240" s="66">
        <v>0</v>
      </c>
      <c r="E240" s="50">
        <f t="shared" si="42"/>
        <v>0</v>
      </c>
      <c r="F240" s="50">
        <v>0</v>
      </c>
      <c r="G240" s="51">
        <f t="shared" si="43"/>
        <v>0</v>
      </c>
      <c r="H240" s="66">
        <f t="shared" si="28"/>
        <v>0</v>
      </c>
      <c r="I240" s="66">
        <f t="shared" si="41"/>
        <v>0</v>
      </c>
      <c r="J240" s="50">
        <v>0</v>
      </c>
      <c r="K240" s="51">
        <f t="shared" si="44"/>
        <v>0</v>
      </c>
      <c r="L240" s="69">
        <f t="shared" si="30"/>
        <v>0</v>
      </c>
    </row>
    <row r="241" spans="1:13" ht="14.25" customHeight="1">
      <c r="A241" s="48" t="s">
        <v>168</v>
      </c>
      <c r="B241" s="49" t="s">
        <v>169</v>
      </c>
      <c r="C241" s="50">
        <v>0</v>
      </c>
      <c r="D241" s="66">
        <v>0</v>
      </c>
      <c r="E241" s="50">
        <f t="shared" si="42"/>
        <v>0</v>
      </c>
      <c r="F241" s="50">
        <v>0</v>
      </c>
      <c r="G241" s="51">
        <f t="shared" si="43"/>
        <v>0</v>
      </c>
      <c r="H241" s="66">
        <f t="shared" si="28"/>
        <v>0</v>
      </c>
      <c r="I241" s="66">
        <f t="shared" si="41"/>
        <v>0</v>
      </c>
      <c r="J241" s="50">
        <v>0</v>
      </c>
      <c r="K241" s="51">
        <f t="shared" si="44"/>
        <v>0</v>
      </c>
      <c r="L241" s="69">
        <f t="shared" si="30"/>
        <v>0</v>
      </c>
      <c r="M241" s="113"/>
    </row>
    <row r="242" spans="1:13" ht="14.25" customHeight="1">
      <c r="A242" s="48" t="s">
        <v>170</v>
      </c>
      <c r="B242" s="49" t="s">
        <v>171</v>
      </c>
      <c r="C242" s="111">
        <v>350000</v>
      </c>
      <c r="D242" s="111">
        <v>350000</v>
      </c>
      <c r="E242" s="50">
        <f>F242-0</f>
        <v>0</v>
      </c>
      <c r="F242" s="50">
        <v>0</v>
      </c>
      <c r="G242" s="51">
        <f t="shared" si="43"/>
        <v>0</v>
      </c>
      <c r="H242" s="66">
        <f t="shared" si="28"/>
        <v>350000</v>
      </c>
      <c r="I242" s="66">
        <f>J242-0</f>
        <v>0</v>
      </c>
      <c r="J242" s="50">
        <v>0</v>
      </c>
      <c r="K242" s="51">
        <f t="shared" si="44"/>
        <v>0</v>
      </c>
      <c r="L242" s="69">
        <f t="shared" si="30"/>
        <v>350000</v>
      </c>
      <c r="M242" s="113"/>
    </row>
    <row r="243" spans="1:13" ht="14.25" customHeight="1">
      <c r="A243" s="48" t="s">
        <v>172</v>
      </c>
      <c r="B243" s="49" t="s">
        <v>173</v>
      </c>
      <c r="C243" s="111">
        <v>20974539</v>
      </c>
      <c r="D243" s="111">
        <v>20956645</v>
      </c>
      <c r="E243" s="66">
        <f>F243-39377.5</f>
        <v>762797.38</v>
      </c>
      <c r="F243" s="111">
        <v>802174.88</v>
      </c>
      <c r="G243" s="51">
        <f t="shared" si="43"/>
        <v>0.0021861815667771956</v>
      </c>
      <c r="H243" s="66">
        <f aca="true" t="shared" si="45" ref="H243:H309">D243-F243</f>
        <v>20154470.12</v>
      </c>
      <c r="I243" s="66">
        <f>J243-0</f>
        <v>11994.88</v>
      </c>
      <c r="J243" s="50">
        <v>11994.88</v>
      </c>
      <c r="K243" s="51">
        <f t="shared" si="44"/>
        <v>3.899662313232249E-05</v>
      </c>
      <c r="L243" s="69">
        <f aca="true" t="shared" si="46" ref="L243:L309">D243-J243</f>
        <v>20944650.12</v>
      </c>
      <c r="M243" s="113"/>
    </row>
    <row r="244" spans="1:13" ht="14.25" customHeight="1">
      <c r="A244" s="48" t="s">
        <v>270</v>
      </c>
      <c r="B244" s="49" t="s">
        <v>272</v>
      </c>
      <c r="C244" s="111">
        <v>14586584</v>
      </c>
      <c r="D244" s="111">
        <v>19586584</v>
      </c>
      <c r="E244" s="66">
        <f>F244-570978.2</f>
        <v>8395.400000000023</v>
      </c>
      <c r="F244" s="111">
        <v>579373.6</v>
      </c>
      <c r="G244" s="51">
        <f t="shared" si="43"/>
        <v>0.0015789772481997243</v>
      </c>
      <c r="H244" s="66">
        <f t="shared" si="45"/>
        <v>19007210.4</v>
      </c>
      <c r="I244" s="66">
        <f>J244-175791.71</f>
        <v>265411.19999999995</v>
      </c>
      <c r="J244" s="111">
        <v>441202.91</v>
      </c>
      <c r="K244" s="51">
        <f t="shared" si="44"/>
        <v>0.0014343973100317802</v>
      </c>
      <c r="L244" s="52">
        <f t="shared" si="46"/>
        <v>19145381.09</v>
      </c>
      <c r="M244" s="113"/>
    </row>
    <row r="245" spans="1:13" ht="14.25" customHeight="1">
      <c r="A245" s="48" t="s">
        <v>271</v>
      </c>
      <c r="B245" s="49" t="s">
        <v>273</v>
      </c>
      <c r="C245" s="111">
        <v>50071176</v>
      </c>
      <c r="D245" s="111">
        <v>50036176</v>
      </c>
      <c r="E245" s="66">
        <f>F245-180534.43</f>
        <v>6335778.8100000005</v>
      </c>
      <c r="F245" s="111">
        <v>6516313.24</v>
      </c>
      <c r="G245" s="51">
        <f t="shared" si="43"/>
        <v>0.017759025174952103</v>
      </c>
      <c r="H245" s="66">
        <f t="shared" si="45"/>
        <v>43519862.76</v>
      </c>
      <c r="I245" s="66">
        <f>J245-74584.43</f>
        <v>6283752.53</v>
      </c>
      <c r="J245" s="111">
        <v>6358336.96</v>
      </c>
      <c r="K245" s="51">
        <f t="shared" si="44"/>
        <v>0.020671625741769582</v>
      </c>
      <c r="L245" s="52">
        <f t="shared" si="46"/>
        <v>43677839.04</v>
      </c>
      <c r="M245" s="113"/>
    </row>
    <row r="246" spans="1:13" ht="14.25" customHeight="1">
      <c r="A246" s="48" t="s">
        <v>244</v>
      </c>
      <c r="B246" s="49" t="s">
        <v>245</v>
      </c>
      <c r="C246" s="50">
        <v>0</v>
      </c>
      <c r="D246" s="66">
        <v>0</v>
      </c>
      <c r="E246" s="50">
        <f t="shared" si="42"/>
        <v>0</v>
      </c>
      <c r="F246" s="50">
        <v>0</v>
      </c>
      <c r="G246" s="51">
        <f t="shared" si="43"/>
        <v>0</v>
      </c>
      <c r="H246" s="50">
        <f t="shared" si="45"/>
        <v>0</v>
      </c>
      <c r="I246" s="66">
        <f t="shared" si="41"/>
        <v>0</v>
      </c>
      <c r="J246" s="50">
        <v>0</v>
      </c>
      <c r="K246" s="51">
        <f t="shared" si="44"/>
        <v>0</v>
      </c>
      <c r="L246" s="52">
        <f t="shared" si="46"/>
        <v>0</v>
      </c>
      <c r="M246" s="113"/>
    </row>
    <row r="247" spans="1:13" ht="14.25" customHeight="1">
      <c r="A247" s="48" t="s">
        <v>71</v>
      </c>
      <c r="B247" s="49" t="s">
        <v>79</v>
      </c>
      <c r="C247" s="111">
        <v>143445474</v>
      </c>
      <c r="D247" s="111">
        <v>153445474</v>
      </c>
      <c r="E247" s="66">
        <f>F247-2433125.19</f>
        <v>21089935.099999998</v>
      </c>
      <c r="F247" s="111">
        <v>23523060.29</v>
      </c>
      <c r="G247" s="51">
        <f t="shared" si="43"/>
        <v>0.06410781748761146</v>
      </c>
      <c r="H247" s="50">
        <f t="shared" si="45"/>
        <v>129922413.71000001</v>
      </c>
      <c r="I247" s="66">
        <f>J247-11590.5</f>
        <v>12556677.21</v>
      </c>
      <c r="J247" s="111">
        <v>12568267.71</v>
      </c>
      <c r="K247" s="51">
        <f t="shared" si="44"/>
        <v>0.040860767203424124</v>
      </c>
      <c r="L247" s="52">
        <f t="shared" si="46"/>
        <v>140877206.29</v>
      </c>
      <c r="M247" s="113"/>
    </row>
    <row r="248" spans="1:13" ht="14.25" customHeight="1">
      <c r="A248" s="45" t="s">
        <v>175</v>
      </c>
      <c r="B248" s="83" t="s">
        <v>174</v>
      </c>
      <c r="C248" s="65">
        <f>SUM(C249:C251)</f>
        <v>118316210</v>
      </c>
      <c r="D248" s="65">
        <f>SUM(D249:D251)</f>
        <v>118216210</v>
      </c>
      <c r="E248" s="65">
        <f>SUM(E249:E251)</f>
        <v>13417259.57</v>
      </c>
      <c r="F248" s="65">
        <f>SUM(F249:F251)</f>
        <v>18857433.54</v>
      </c>
      <c r="G248" s="47">
        <f t="shared" si="43"/>
        <v>0.05139250134817739</v>
      </c>
      <c r="H248" s="65">
        <f t="shared" si="45"/>
        <v>99358776.46000001</v>
      </c>
      <c r="I248" s="65">
        <f>SUM(I249:I251)</f>
        <v>5880928.79</v>
      </c>
      <c r="J248" s="65">
        <f>SUM(J249:J251)</f>
        <v>9405550.96</v>
      </c>
      <c r="K248" s="47">
        <f t="shared" si="44"/>
        <v>0.030578440646256914</v>
      </c>
      <c r="L248" s="68">
        <f t="shared" si="46"/>
        <v>108810659.03999999</v>
      </c>
      <c r="M248" s="113"/>
    </row>
    <row r="249" spans="1:12" ht="14.25" customHeight="1">
      <c r="A249" s="48" t="s">
        <v>28</v>
      </c>
      <c r="B249" s="49" t="s">
        <v>33</v>
      </c>
      <c r="C249" s="111">
        <v>20786205</v>
      </c>
      <c r="D249" s="111">
        <v>20686205</v>
      </c>
      <c r="E249" s="66">
        <f>F249-3702998.88</f>
        <v>3606924.1799999997</v>
      </c>
      <c r="F249" s="111">
        <v>7309923.06</v>
      </c>
      <c r="G249" s="51">
        <f t="shared" si="43"/>
        <v>0.019921864230317894</v>
      </c>
      <c r="H249" s="66">
        <f t="shared" si="45"/>
        <v>13376281.940000001</v>
      </c>
      <c r="I249" s="66">
        <f>J249-2588119.71</f>
        <v>4022949.24</v>
      </c>
      <c r="J249" s="111">
        <v>6611068.95</v>
      </c>
      <c r="K249" s="51">
        <f t="shared" si="44"/>
        <v>0.021493284163322104</v>
      </c>
      <c r="L249" s="69">
        <f t="shared" si="46"/>
        <v>14075136.05</v>
      </c>
    </row>
    <row r="250" spans="1:12" ht="14.25" customHeight="1">
      <c r="A250" s="48" t="s">
        <v>139</v>
      </c>
      <c r="B250" s="49" t="s">
        <v>140</v>
      </c>
      <c r="C250" s="111">
        <v>46544104</v>
      </c>
      <c r="D250" s="111">
        <v>46544104</v>
      </c>
      <c r="E250" s="66">
        <f>F250-0</f>
        <v>0</v>
      </c>
      <c r="F250" s="111">
        <v>0</v>
      </c>
      <c r="G250" s="51">
        <f t="shared" si="43"/>
        <v>0</v>
      </c>
      <c r="H250" s="66">
        <f t="shared" si="45"/>
        <v>46544104</v>
      </c>
      <c r="I250" s="66">
        <f>J250-0</f>
        <v>0</v>
      </c>
      <c r="J250" s="111">
        <v>0</v>
      </c>
      <c r="K250" s="51">
        <f t="shared" si="44"/>
        <v>0</v>
      </c>
      <c r="L250" s="69">
        <f t="shared" si="46"/>
        <v>46544104</v>
      </c>
    </row>
    <row r="251" spans="1:12" ht="14.25" customHeight="1">
      <c r="A251" s="48" t="s">
        <v>176</v>
      </c>
      <c r="B251" s="49" t="s">
        <v>177</v>
      </c>
      <c r="C251" s="111">
        <v>50985901</v>
      </c>
      <c r="D251" s="111">
        <v>50985901</v>
      </c>
      <c r="E251" s="66">
        <f>F251-1737175.09</f>
        <v>9810335.39</v>
      </c>
      <c r="F251" s="111">
        <v>11547510.48</v>
      </c>
      <c r="G251" s="51">
        <f t="shared" si="43"/>
        <v>0.03147063711785949</v>
      </c>
      <c r="H251" s="66">
        <f t="shared" si="45"/>
        <v>39438390.519999996</v>
      </c>
      <c r="I251" s="66">
        <f>J251-936502.46</f>
        <v>1857979.5499999998</v>
      </c>
      <c r="J251" s="111">
        <v>2794482.01</v>
      </c>
      <c r="K251" s="51">
        <f t="shared" si="44"/>
        <v>0.009085156482934807</v>
      </c>
      <c r="L251" s="69">
        <f t="shared" si="46"/>
        <v>48191418.99</v>
      </c>
    </row>
    <row r="252" spans="1:12" ht="14.25" customHeight="1">
      <c r="A252" s="45" t="s">
        <v>178</v>
      </c>
      <c r="B252" s="83" t="s">
        <v>179</v>
      </c>
      <c r="C252" s="65">
        <f>SUM(C253:C266)</f>
        <v>250006459</v>
      </c>
      <c r="D252" s="65">
        <f>SUM(D253:D266)</f>
        <v>253591414.63</v>
      </c>
      <c r="E252" s="65">
        <f>SUM(E253:E266)</f>
        <v>26981620.349999998</v>
      </c>
      <c r="F252" s="65">
        <f>SUM(F253:F266)</f>
        <v>41172696.53</v>
      </c>
      <c r="G252" s="47">
        <f t="shared" si="43"/>
        <v>0.11220868722341118</v>
      </c>
      <c r="H252" s="65">
        <f t="shared" si="45"/>
        <v>212418718.1</v>
      </c>
      <c r="I252" s="65">
        <f>SUM(I253:I266)</f>
        <v>17990390.8</v>
      </c>
      <c r="J252" s="65">
        <f>SUM(J253:J266)</f>
        <v>31215071.91</v>
      </c>
      <c r="K252" s="47">
        <f t="shared" si="44"/>
        <v>0.10148349923655894</v>
      </c>
      <c r="L252" s="68">
        <f t="shared" si="46"/>
        <v>222376342.72</v>
      </c>
    </row>
    <row r="253" spans="1:12" ht="14.25" customHeight="1">
      <c r="A253" s="48" t="s">
        <v>28</v>
      </c>
      <c r="B253" s="49" t="s">
        <v>33</v>
      </c>
      <c r="C253" s="111">
        <v>122938544</v>
      </c>
      <c r="D253" s="111">
        <v>121101692.53</v>
      </c>
      <c r="E253" s="66">
        <f>F253-14037844.86</f>
        <v>19220474.75</v>
      </c>
      <c r="F253" s="111">
        <v>33258319.61</v>
      </c>
      <c r="G253" s="51">
        <f t="shared" si="43"/>
        <v>0.09063949406314807</v>
      </c>
      <c r="H253" s="66">
        <f t="shared" si="45"/>
        <v>87843372.92</v>
      </c>
      <c r="I253" s="66">
        <f>J253-13152929.48</f>
        <v>17189551.81</v>
      </c>
      <c r="J253" s="111">
        <v>30342481.29</v>
      </c>
      <c r="K253" s="51">
        <f t="shared" si="44"/>
        <v>0.09864661486948403</v>
      </c>
      <c r="L253" s="69">
        <f t="shared" si="46"/>
        <v>90759211.24000001</v>
      </c>
    </row>
    <row r="254" spans="1:13" ht="14.25" customHeight="1">
      <c r="A254" s="48" t="s">
        <v>232</v>
      </c>
      <c r="B254" s="49" t="s">
        <v>231</v>
      </c>
      <c r="C254" s="66">
        <v>0</v>
      </c>
      <c r="D254" s="66">
        <v>0</v>
      </c>
      <c r="E254" s="66">
        <f aca="true" t="shared" si="47" ref="E254:E266">F254-0</f>
        <v>0</v>
      </c>
      <c r="F254" s="66">
        <v>0</v>
      </c>
      <c r="G254" s="51">
        <f t="shared" si="43"/>
        <v>0</v>
      </c>
      <c r="H254" s="66">
        <f t="shared" si="45"/>
        <v>0</v>
      </c>
      <c r="I254" s="66">
        <f>J254-0</f>
        <v>0</v>
      </c>
      <c r="J254" s="66">
        <v>0</v>
      </c>
      <c r="K254" s="51">
        <f t="shared" si="44"/>
        <v>0</v>
      </c>
      <c r="L254" s="69">
        <f t="shared" si="46"/>
        <v>0</v>
      </c>
      <c r="M254" s="113"/>
    </row>
    <row r="255" spans="1:13" ht="14.25" customHeight="1">
      <c r="A255" s="48" t="s">
        <v>49</v>
      </c>
      <c r="B255" s="49" t="s">
        <v>56</v>
      </c>
      <c r="C255" s="111">
        <v>1020000</v>
      </c>
      <c r="D255" s="111">
        <v>1020000</v>
      </c>
      <c r="E255" s="66">
        <f t="shared" si="47"/>
        <v>0</v>
      </c>
      <c r="F255" s="66">
        <v>0</v>
      </c>
      <c r="G255" s="51">
        <f t="shared" si="43"/>
        <v>0</v>
      </c>
      <c r="H255" s="66">
        <f t="shared" si="45"/>
        <v>1020000</v>
      </c>
      <c r="I255" s="66">
        <f>J255-0</f>
        <v>0</v>
      </c>
      <c r="J255" s="66">
        <v>0</v>
      </c>
      <c r="K255" s="51">
        <f t="shared" si="44"/>
        <v>0</v>
      </c>
      <c r="L255" s="69">
        <f t="shared" si="46"/>
        <v>1020000</v>
      </c>
      <c r="M255" s="113"/>
    </row>
    <row r="256" spans="1:13" ht="14.25" customHeight="1">
      <c r="A256" s="48" t="s">
        <v>50</v>
      </c>
      <c r="B256" s="49" t="s">
        <v>57</v>
      </c>
      <c r="C256" s="66">
        <v>0</v>
      </c>
      <c r="D256" s="66">
        <v>0</v>
      </c>
      <c r="E256" s="66">
        <f t="shared" si="47"/>
        <v>0</v>
      </c>
      <c r="F256" s="66">
        <v>0</v>
      </c>
      <c r="G256" s="51">
        <f t="shared" si="43"/>
        <v>0</v>
      </c>
      <c r="H256" s="66">
        <f t="shared" si="45"/>
        <v>0</v>
      </c>
      <c r="I256" s="66">
        <f aca="true" t="shared" si="48" ref="I256:I265">J256-0</f>
        <v>0</v>
      </c>
      <c r="J256" s="66">
        <v>0</v>
      </c>
      <c r="K256" s="51">
        <f t="shared" si="44"/>
        <v>0</v>
      </c>
      <c r="L256" s="69">
        <f t="shared" si="46"/>
        <v>0</v>
      </c>
      <c r="M256" s="113"/>
    </row>
    <row r="257" spans="1:13" ht="14.25" customHeight="1">
      <c r="A257" s="48" t="s">
        <v>160</v>
      </c>
      <c r="B257" s="49" t="s">
        <v>161</v>
      </c>
      <c r="C257" s="66">
        <v>0</v>
      </c>
      <c r="D257" s="66">
        <v>0</v>
      </c>
      <c r="E257" s="66">
        <f t="shared" si="47"/>
        <v>0</v>
      </c>
      <c r="F257" s="66">
        <v>0</v>
      </c>
      <c r="G257" s="51">
        <f t="shared" si="43"/>
        <v>0</v>
      </c>
      <c r="H257" s="66">
        <f t="shared" si="45"/>
        <v>0</v>
      </c>
      <c r="I257" s="66">
        <f t="shared" si="48"/>
        <v>0</v>
      </c>
      <c r="J257" s="66">
        <v>0</v>
      </c>
      <c r="K257" s="51">
        <f t="shared" si="44"/>
        <v>0</v>
      </c>
      <c r="L257" s="69">
        <f t="shared" si="46"/>
        <v>0</v>
      </c>
      <c r="M257" s="113"/>
    </row>
    <row r="258" spans="1:13" ht="14.25" customHeight="1">
      <c r="A258" s="48" t="s">
        <v>97</v>
      </c>
      <c r="B258" s="49" t="s">
        <v>241</v>
      </c>
      <c r="C258" s="66">
        <v>0</v>
      </c>
      <c r="D258" s="66">
        <v>0</v>
      </c>
      <c r="E258" s="66">
        <f t="shared" si="47"/>
        <v>0</v>
      </c>
      <c r="F258" s="66">
        <v>0</v>
      </c>
      <c r="G258" s="51">
        <f t="shared" si="43"/>
        <v>0</v>
      </c>
      <c r="H258" s="66">
        <f t="shared" si="45"/>
        <v>0</v>
      </c>
      <c r="I258" s="66">
        <f>J258-0</f>
        <v>0</v>
      </c>
      <c r="J258" s="66">
        <v>0</v>
      </c>
      <c r="K258" s="51">
        <f t="shared" si="44"/>
        <v>0</v>
      </c>
      <c r="L258" s="69">
        <f t="shared" si="46"/>
        <v>0</v>
      </c>
      <c r="M258" s="113"/>
    </row>
    <row r="259" spans="1:13" ht="14.25" customHeight="1">
      <c r="A259" s="48" t="s">
        <v>180</v>
      </c>
      <c r="B259" s="49" t="s">
        <v>181</v>
      </c>
      <c r="C259" s="111">
        <v>4156603</v>
      </c>
      <c r="D259" s="111">
        <v>9578410.1</v>
      </c>
      <c r="E259" s="66">
        <f>F259-2428.82</f>
        <v>6694204.899999999</v>
      </c>
      <c r="F259" s="111">
        <v>6696633.72</v>
      </c>
      <c r="G259" s="51">
        <f t="shared" si="43"/>
        <v>0.018250455808492282</v>
      </c>
      <c r="H259" s="66">
        <f t="shared" si="45"/>
        <v>2881776.38</v>
      </c>
      <c r="I259" s="66">
        <f>J259-1220.08</f>
        <v>55199.439999999995</v>
      </c>
      <c r="J259" s="111">
        <v>56419.52</v>
      </c>
      <c r="K259" s="51">
        <f t="shared" si="44"/>
        <v>0.00018342582491417435</v>
      </c>
      <c r="L259" s="69">
        <f t="shared" si="46"/>
        <v>9521990.58</v>
      </c>
      <c r="M259" s="113"/>
    </row>
    <row r="260" spans="1:13" ht="14.25" customHeight="1">
      <c r="A260" s="48" t="s">
        <v>182</v>
      </c>
      <c r="B260" s="49" t="s">
        <v>183</v>
      </c>
      <c r="C260" s="111">
        <v>23901</v>
      </c>
      <c r="D260" s="111">
        <v>23901</v>
      </c>
      <c r="E260" s="66">
        <f>F260-802.5</f>
        <v>0</v>
      </c>
      <c r="F260" s="111">
        <v>802.5</v>
      </c>
      <c r="G260" s="51">
        <f t="shared" si="43"/>
        <v>2.1870676221358356E-06</v>
      </c>
      <c r="H260" s="66">
        <f t="shared" si="45"/>
        <v>23098.5</v>
      </c>
      <c r="I260" s="66">
        <f>J260-802.5</f>
        <v>0</v>
      </c>
      <c r="J260" s="111">
        <v>802.5</v>
      </c>
      <c r="K260" s="51">
        <f t="shared" si="44"/>
        <v>2.60901235057698E-06</v>
      </c>
      <c r="L260" s="69">
        <f t="shared" si="46"/>
        <v>23098.5</v>
      </c>
      <c r="M260" s="113"/>
    </row>
    <row r="261" spans="1:13" ht="14.25" customHeight="1">
      <c r="A261" s="48" t="s">
        <v>184</v>
      </c>
      <c r="B261" s="49" t="s">
        <v>250</v>
      </c>
      <c r="C261" s="66">
        <v>0</v>
      </c>
      <c r="D261" s="66">
        <v>0</v>
      </c>
      <c r="E261" s="66">
        <f t="shared" si="47"/>
        <v>0</v>
      </c>
      <c r="F261" s="66">
        <v>0</v>
      </c>
      <c r="G261" s="51">
        <f t="shared" si="43"/>
        <v>0</v>
      </c>
      <c r="H261" s="66">
        <f t="shared" si="45"/>
        <v>0</v>
      </c>
      <c r="I261" s="66">
        <f>J261-0</f>
        <v>0</v>
      </c>
      <c r="J261" s="66">
        <v>0</v>
      </c>
      <c r="K261" s="51">
        <f t="shared" si="44"/>
        <v>0</v>
      </c>
      <c r="L261" s="69">
        <f t="shared" si="46"/>
        <v>0</v>
      </c>
      <c r="M261" s="113"/>
    </row>
    <row r="262" spans="1:13" ht="14.25" customHeight="1">
      <c r="A262" s="48" t="s">
        <v>191</v>
      </c>
      <c r="B262" s="49" t="s">
        <v>192</v>
      </c>
      <c r="C262" s="111">
        <v>121850411</v>
      </c>
      <c r="D262" s="111">
        <v>121850411</v>
      </c>
      <c r="E262" s="66">
        <f>F262-150000</f>
        <v>1066940.7</v>
      </c>
      <c r="F262" s="111">
        <v>1216940.7</v>
      </c>
      <c r="G262" s="51">
        <f t="shared" si="43"/>
        <v>0.0033165502841486843</v>
      </c>
      <c r="H262" s="66">
        <f t="shared" si="45"/>
        <v>120633470.3</v>
      </c>
      <c r="I262" s="66">
        <f>J262-69729.05</f>
        <v>745639.5499999999</v>
      </c>
      <c r="J262" s="111">
        <v>815368.6</v>
      </c>
      <c r="K262" s="51">
        <f t="shared" si="44"/>
        <v>0.00265084952981017</v>
      </c>
      <c r="L262" s="69">
        <f t="shared" si="46"/>
        <v>121035042.4</v>
      </c>
      <c r="M262" s="113"/>
    </row>
    <row r="263" spans="1:13" ht="14.25" customHeight="1">
      <c r="A263" s="48" t="s">
        <v>185</v>
      </c>
      <c r="B263" s="49" t="s">
        <v>186</v>
      </c>
      <c r="C263" s="66">
        <v>0</v>
      </c>
      <c r="D263" s="66">
        <v>0</v>
      </c>
      <c r="E263" s="66">
        <f t="shared" si="47"/>
        <v>0</v>
      </c>
      <c r="F263" s="66">
        <v>0</v>
      </c>
      <c r="G263" s="51">
        <f t="shared" si="43"/>
        <v>0</v>
      </c>
      <c r="H263" s="66">
        <f t="shared" si="45"/>
        <v>0</v>
      </c>
      <c r="I263" s="66">
        <f t="shared" si="48"/>
        <v>0</v>
      </c>
      <c r="J263" s="66">
        <v>0</v>
      </c>
      <c r="K263" s="51">
        <f t="shared" si="44"/>
        <v>0</v>
      </c>
      <c r="L263" s="69">
        <f t="shared" si="46"/>
        <v>0</v>
      </c>
      <c r="M263" s="113"/>
    </row>
    <row r="264" spans="1:12" ht="14.25" customHeight="1">
      <c r="A264" s="48" t="s">
        <v>187</v>
      </c>
      <c r="B264" s="49" t="s">
        <v>188</v>
      </c>
      <c r="C264" s="66">
        <v>0</v>
      </c>
      <c r="D264" s="66">
        <v>0</v>
      </c>
      <c r="E264" s="66">
        <f t="shared" si="47"/>
        <v>0</v>
      </c>
      <c r="F264" s="66">
        <v>0</v>
      </c>
      <c r="G264" s="51">
        <f t="shared" si="43"/>
        <v>0</v>
      </c>
      <c r="H264" s="66">
        <f t="shared" si="45"/>
        <v>0</v>
      </c>
      <c r="I264" s="66">
        <f t="shared" si="48"/>
        <v>0</v>
      </c>
      <c r="J264" s="66">
        <v>0</v>
      </c>
      <c r="K264" s="51">
        <f t="shared" si="44"/>
        <v>0</v>
      </c>
      <c r="L264" s="69">
        <f t="shared" si="46"/>
        <v>0</v>
      </c>
    </row>
    <row r="265" spans="1:12" ht="14.25" customHeight="1">
      <c r="A265" s="48" t="s">
        <v>253</v>
      </c>
      <c r="B265" s="49" t="s">
        <v>254</v>
      </c>
      <c r="C265" s="66">
        <v>0</v>
      </c>
      <c r="D265" s="66">
        <v>0</v>
      </c>
      <c r="E265" s="66">
        <f t="shared" si="47"/>
        <v>0</v>
      </c>
      <c r="F265" s="66">
        <v>0</v>
      </c>
      <c r="G265" s="51">
        <f t="shared" si="43"/>
        <v>0</v>
      </c>
      <c r="H265" s="66">
        <f t="shared" si="45"/>
        <v>0</v>
      </c>
      <c r="I265" s="66">
        <f t="shared" si="48"/>
        <v>0</v>
      </c>
      <c r="J265" s="66">
        <v>0</v>
      </c>
      <c r="K265" s="51">
        <f t="shared" si="44"/>
        <v>0</v>
      </c>
      <c r="L265" s="69">
        <f t="shared" si="46"/>
        <v>0</v>
      </c>
    </row>
    <row r="266" spans="1:12" ht="14.25" customHeight="1">
      <c r="A266" s="48" t="s">
        <v>276</v>
      </c>
      <c r="B266" s="49" t="s">
        <v>277</v>
      </c>
      <c r="C266" s="111">
        <v>17000</v>
      </c>
      <c r="D266" s="111">
        <v>17000</v>
      </c>
      <c r="E266" s="74">
        <f t="shared" si="47"/>
        <v>0</v>
      </c>
      <c r="F266" s="74">
        <v>0</v>
      </c>
      <c r="G266" s="51">
        <f t="shared" si="43"/>
        <v>0</v>
      </c>
      <c r="H266" s="66">
        <f t="shared" si="45"/>
        <v>17000</v>
      </c>
      <c r="I266" s="66">
        <f>J266-0</f>
        <v>0</v>
      </c>
      <c r="J266" s="66">
        <v>0</v>
      </c>
      <c r="K266" s="51">
        <f t="shared" si="44"/>
        <v>0</v>
      </c>
      <c r="L266" s="69">
        <f t="shared" si="46"/>
        <v>17000</v>
      </c>
    </row>
    <row r="267" spans="1:12" ht="14.25" customHeight="1">
      <c r="A267" s="45" t="s">
        <v>189</v>
      </c>
      <c r="B267" s="83" t="s">
        <v>190</v>
      </c>
      <c r="C267" s="65">
        <f>SUM(C268:C277)</f>
        <v>772881764</v>
      </c>
      <c r="D267" s="65">
        <f>SUM(D268:D277)</f>
        <v>796930370.83</v>
      </c>
      <c r="E267" s="65">
        <f>SUM(E268:E277)</f>
        <v>34699562.64</v>
      </c>
      <c r="F267" s="65">
        <f>SUM(F268:F277)</f>
        <v>60604594.5</v>
      </c>
      <c r="G267" s="47">
        <f t="shared" si="43"/>
        <v>0.16516678677086796</v>
      </c>
      <c r="H267" s="65">
        <f t="shared" si="45"/>
        <v>736325776.33</v>
      </c>
      <c r="I267" s="65">
        <f>SUM(I268:I277)</f>
        <v>26427627.800000004</v>
      </c>
      <c r="J267" s="65">
        <f>SUM(J268:J277)</f>
        <v>46018597.67999999</v>
      </c>
      <c r="K267" s="47">
        <f t="shared" si="44"/>
        <v>0.14961132673315033</v>
      </c>
      <c r="L267" s="68">
        <f t="shared" si="46"/>
        <v>750911773.1500001</v>
      </c>
    </row>
    <row r="268" spans="1:12" ht="14.25" customHeight="1">
      <c r="A268" s="48" t="s">
        <v>28</v>
      </c>
      <c r="B268" s="49" t="s">
        <v>33</v>
      </c>
      <c r="C268" s="111">
        <v>150377228</v>
      </c>
      <c r="D268" s="111">
        <v>170425834.83</v>
      </c>
      <c r="E268" s="66">
        <f>F268-16259427.36</f>
        <v>22233305.009999998</v>
      </c>
      <c r="F268" s="111">
        <v>38492732.37</v>
      </c>
      <c r="G268" s="51">
        <f t="shared" si="43"/>
        <v>0.10490493290213956</v>
      </c>
      <c r="H268" s="66">
        <f t="shared" si="45"/>
        <v>131933102.46000001</v>
      </c>
      <c r="I268" s="66">
        <f>J268-11977252.1</f>
        <v>18112383.200000003</v>
      </c>
      <c r="J268" s="111">
        <v>30089635.3</v>
      </c>
      <c r="K268" s="51">
        <f t="shared" si="44"/>
        <v>0.09782458582187796</v>
      </c>
      <c r="L268" s="69">
        <f t="shared" si="46"/>
        <v>140336199.53</v>
      </c>
    </row>
    <row r="269" spans="1:12" ht="14.25" customHeight="1">
      <c r="A269" s="48" t="s">
        <v>39</v>
      </c>
      <c r="B269" s="49" t="s">
        <v>41</v>
      </c>
      <c r="C269" s="111">
        <v>22000</v>
      </c>
      <c r="D269" s="111">
        <v>22000</v>
      </c>
      <c r="E269" s="66">
        <f aca="true" t="shared" si="49" ref="E269:E275">F269-0</f>
        <v>0</v>
      </c>
      <c r="F269" s="66">
        <v>0</v>
      </c>
      <c r="G269" s="51">
        <f aca="true" t="shared" si="50" ref="G269:G282">(F269/$F$317)*100</f>
        <v>0</v>
      </c>
      <c r="H269" s="66">
        <f t="shared" si="45"/>
        <v>22000</v>
      </c>
      <c r="I269" s="66">
        <f aca="true" t="shared" si="51" ref="I269:I275">J269-0</f>
        <v>0</v>
      </c>
      <c r="J269" s="66">
        <v>0</v>
      </c>
      <c r="K269" s="51">
        <f aca="true" t="shared" si="52" ref="K269:K282">(J269/$J$317)*100</f>
        <v>0</v>
      </c>
      <c r="L269" s="69">
        <f t="shared" si="46"/>
        <v>22000</v>
      </c>
    </row>
    <row r="270" spans="1:12" ht="14.25" customHeight="1">
      <c r="A270" s="48" t="s">
        <v>131</v>
      </c>
      <c r="B270" s="49" t="s">
        <v>132</v>
      </c>
      <c r="C270" s="111">
        <v>515800</v>
      </c>
      <c r="D270" s="111">
        <v>515800</v>
      </c>
      <c r="E270" s="66">
        <f>F270-0</f>
        <v>0</v>
      </c>
      <c r="F270" s="66">
        <v>0</v>
      </c>
      <c r="G270" s="51">
        <f t="shared" si="50"/>
        <v>0</v>
      </c>
      <c r="H270" s="66">
        <f t="shared" si="45"/>
        <v>515800</v>
      </c>
      <c r="I270" s="66">
        <f>J270-0</f>
        <v>0</v>
      </c>
      <c r="J270" s="66">
        <v>0</v>
      </c>
      <c r="K270" s="51">
        <f t="shared" si="52"/>
        <v>0</v>
      </c>
      <c r="L270" s="69">
        <f t="shared" si="46"/>
        <v>515800</v>
      </c>
    </row>
    <row r="271" spans="1:12" ht="14.25" customHeight="1">
      <c r="A271" s="48" t="s">
        <v>83</v>
      </c>
      <c r="B271" s="49" t="s">
        <v>85</v>
      </c>
      <c r="C271" s="111">
        <v>10755800</v>
      </c>
      <c r="D271" s="111">
        <v>14755800</v>
      </c>
      <c r="E271" s="66">
        <f>F271-585502.32</f>
        <v>968405.2900000002</v>
      </c>
      <c r="F271" s="111">
        <v>1553907.61</v>
      </c>
      <c r="G271" s="51">
        <f t="shared" si="50"/>
        <v>0.00423489223878066</v>
      </c>
      <c r="H271" s="66">
        <f t="shared" si="45"/>
        <v>13201892.39</v>
      </c>
      <c r="I271" s="66">
        <f>J271-226129.38</f>
        <v>1327778.23</v>
      </c>
      <c r="J271" s="111">
        <v>1553907.61</v>
      </c>
      <c r="K271" s="51">
        <f t="shared" si="52"/>
        <v>0.00505191793912219</v>
      </c>
      <c r="L271" s="69">
        <f t="shared" si="46"/>
        <v>13201892.39</v>
      </c>
    </row>
    <row r="272" spans="1:12" ht="14.25" customHeight="1">
      <c r="A272" s="48" t="s">
        <v>53</v>
      </c>
      <c r="B272" s="49" t="s">
        <v>60</v>
      </c>
      <c r="C272" s="66">
        <v>0</v>
      </c>
      <c r="D272" s="66">
        <v>0</v>
      </c>
      <c r="E272" s="66">
        <f t="shared" si="49"/>
        <v>0</v>
      </c>
      <c r="F272" s="66">
        <v>0</v>
      </c>
      <c r="G272" s="51">
        <f t="shared" si="50"/>
        <v>0</v>
      </c>
      <c r="H272" s="66">
        <f t="shared" si="45"/>
        <v>0</v>
      </c>
      <c r="I272" s="66">
        <f t="shared" si="51"/>
        <v>0</v>
      </c>
      <c r="J272" s="66">
        <v>0</v>
      </c>
      <c r="K272" s="51">
        <f t="shared" si="52"/>
        <v>0</v>
      </c>
      <c r="L272" s="69">
        <f t="shared" si="46"/>
        <v>0</v>
      </c>
    </row>
    <row r="273" spans="1:12" ht="14.25" customHeight="1">
      <c r="A273" s="48" t="s">
        <v>191</v>
      </c>
      <c r="B273" s="49" t="s">
        <v>192</v>
      </c>
      <c r="C273" s="111">
        <v>16020000</v>
      </c>
      <c r="D273" s="111">
        <v>16020000</v>
      </c>
      <c r="E273" s="66">
        <f>F273-2030177.15</f>
        <v>4090862.6300000004</v>
      </c>
      <c r="F273" s="111">
        <v>6121039.78</v>
      </c>
      <c r="G273" s="51">
        <f t="shared" si="50"/>
        <v>0.016681779335381255</v>
      </c>
      <c r="H273" s="66">
        <f t="shared" si="45"/>
        <v>9898960.219999999</v>
      </c>
      <c r="I273" s="66">
        <f>J273-575323.02</f>
        <v>2838914.94</v>
      </c>
      <c r="J273" s="111">
        <v>3414237.96</v>
      </c>
      <c r="K273" s="51">
        <f t="shared" si="52"/>
        <v>0.011100048604920565</v>
      </c>
      <c r="L273" s="69">
        <f t="shared" si="46"/>
        <v>12605762.04</v>
      </c>
    </row>
    <row r="274" spans="1:12" ht="14.25" customHeight="1">
      <c r="A274" s="48" t="s">
        <v>244</v>
      </c>
      <c r="B274" s="49" t="s">
        <v>245</v>
      </c>
      <c r="C274" s="66">
        <v>0</v>
      </c>
      <c r="D274" s="66">
        <v>0</v>
      </c>
      <c r="E274" s="66">
        <f t="shared" si="49"/>
        <v>0</v>
      </c>
      <c r="F274" s="66">
        <v>0</v>
      </c>
      <c r="G274" s="51">
        <f t="shared" si="50"/>
        <v>0</v>
      </c>
      <c r="H274" s="66">
        <f t="shared" si="45"/>
        <v>0</v>
      </c>
      <c r="I274" s="66">
        <f t="shared" si="51"/>
        <v>0</v>
      </c>
      <c r="J274" s="66">
        <v>0</v>
      </c>
      <c r="K274" s="51">
        <f t="shared" si="52"/>
        <v>0</v>
      </c>
      <c r="L274" s="69">
        <f t="shared" si="46"/>
        <v>0</v>
      </c>
    </row>
    <row r="275" spans="1:12" ht="14.25" customHeight="1">
      <c r="A275" s="48" t="s">
        <v>274</v>
      </c>
      <c r="B275" s="49" t="s">
        <v>275</v>
      </c>
      <c r="C275" s="111">
        <v>1010000</v>
      </c>
      <c r="D275" s="111">
        <v>1010000</v>
      </c>
      <c r="E275" s="66">
        <f t="shared" si="49"/>
        <v>2541.6</v>
      </c>
      <c r="F275" s="66">
        <v>2541.6</v>
      </c>
      <c r="G275" s="51">
        <f t="shared" si="50"/>
        <v>6.9266679980317005E-06</v>
      </c>
      <c r="H275" s="66">
        <f t="shared" si="45"/>
        <v>1007458.4</v>
      </c>
      <c r="I275" s="66">
        <f t="shared" si="51"/>
        <v>1487.4</v>
      </c>
      <c r="J275" s="66">
        <v>1487.4</v>
      </c>
      <c r="K275" s="51">
        <f t="shared" si="52"/>
        <v>4.8356946669759506E-06</v>
      </c>
      <c r="L275" s="69">
        <f t="shared" si="46"/>
        <v>1008512.6</v>
      </c>
    </row>
    <row r="276" spans="1:12" ht="14.25" customHeight="1">
      <c r="A276" s="48" t="s">
        <v>54</v>
      </c>
      <c r="B276" s="49" t="s">
        <v>61</v>
      </c>
      <c r="C276" s="111">
        <v>409194138</v>
      </c>
      <c r="D276" s="111">
        <v>409194138</v>
      </c>
      <c r="E276" s="66">
        <f>F276-0</f>
        <v>0</v>
      </c>
      <c r="F276" s="66">
        <v>0</v>
      </c>
      <c r="G276" s="51">
        <f t="shared" si="50"/>
        <v>0</v>
      </c>
      <c r="H276" s="66">
        <f t="shared" si="45"/>
        <v>409194138</v>
      </c>
      <c r="I276" s="66">
        <f>J276-0</f>
        <v>0</v>
      </c>
      <c r="J276" s="66">
        <v>0</v>
      </c>
      <c r="K276" s="51">
        <f t="shared" si="52"/>
        <v>0</v>
      </c>
      <c r="L276" s="69">
        <f t="shared" si="46"/>
        <v>409194138</v>
      </c>
    </row>
    <row r="277" spans="1:12" ht="14.25" customHeight="1">
      <c r="A277" s="48" t="s">
        <v>185</v>
      </c>
      <c r="B277" s="49" t="s">
        <v>186</v>
      </c>
      <c r="C277" s="111">
        <v>184986798</v>
      </c>
      <c r="D277" s="111">
        <v>184986798</v>
      </c>
      <c r="E277" s="66">
        <f>F277-7029925.03</f>
        <v>7404448.11</v>
      </c>
      <c r="F277" s="111">
        <v>14434373.14</v>
      </c>
      <c r="G277" s="51">
        <f t="shared" si="50"/>
        <v>0.039338255626568445</v>
      </c>
      <c r="H277" s="66">
        <f t="shared" si="45"/>
        <v>170552424.86</v>
      </c>
      <c r="I277" s="66">
        <f>J277-6812265.38</f>
        <v>4147064.0300000003</v>
      </c>
      <c r="J277" s="111">
        <v>10959329.41</v>
      </c>
      <c r="K277" s="51">
        <f t="shared" si="52"/>
        <v>0.03562993867256265</v>
      </c>
      <c r="L277" s="69">
        <f t="shared" si="46"/>
        <v>174027468.59</v>
      </c>
    </row>
    <row r="278" spans="1:12" ht="14.25" customHeight="1">
      <c r="A278" s="45" t="s">
        <v>193</v>
      </c>
      <c r="B278" s="83" t="s">
        <v>194</v>
      </c>
      <c r="C278" s="65">
        <f>SUM(C279:C281)</f>
        <v>0</v>
      </c>
      <c r="D278" s="65">
        <f>SUM(D279:D281)</f>
        <v>0</v>
      </c>
      <c r="E278" s="65">
        <f>SUM(E279:E281)</f>
        <v>0</v>
      </c>
      <c r="F278" s="65">
        <f>SUM(F279:F281)</f>
        <v>0</v>
      </c>
      <c r="G278" s="47">
        <f t="shared" si="50"/>
        <v>0</v>
      </c>
      <c r="H278" s="65">
        <f t="shared" si="45"/>
        <v>0</v>
      </c>
      <c r="I278" s="65">
        <f>SUM(I279:I281)</f>
        <v>0</v>
      </c>
      <c r="J278" s="65">
        <f>SUM(J279:J281)</f>
        <v>0</v>
      </c>
      <c r="K278" s="47">
        <f t="shared" si="52"/>
        <v>0</v>
      </c>
      <c r="L278" s="68">
        <f t="shared" si="46"/>
        <v>0</v>
      </c>
    </row>
    <row r="279" spans="1:12" ht="14.25" customHeight="1">
      <c r="A279" s="48" t="s">
        <v>28</v>
      </c>
      <c r="B279" s="49" t="s">
        <v>33</v>
      </c>
      <c r="C279" s="66">
        <v>0</v>
      </c>
      <c r="D279" s="66">
        <v>0</v>
      </c>
      <c r="E279" s="66">
        <f>F279-0</f>
        <v>0</v>
      </c>
      <c r="F279" s="66">
        <v>0</v>
      </c>
      <c r="G279" s="51">
        <f t="shared" si="50"/>
        <v>0</v>
      </c>
      <c r="H279" s="66">
        <f t="shared" si="45"/>
        <v>0</v>
      </c>
      <c r="I279" s="66">
        <f>J279-0</f>
        <v>0</v>
      </c>
      <c r="J279" s="66">
        <v>0</v>
      </c>
      <c r="K279" s="51">
        <f t="shared" si="52"/>
        <v>0</v>
      </c>
      <c r="L279" s="69">
        <f t="shared" si="46"/>
        <v>0</v>
      </c>
    </row>
    <row r="280" spans="1:12" ht="14.25" customHeight="1">
      <c r="A280" s="48" t="s">
        <v>164</v>
      </c>
      <c r="B280" s="49" t="s">
        <v>165</v>
      </c>
      <c r="C280" s="66">
        <v>0</v>
      </c>
      <c r="D280" s="66">
        <v>0</v>
      </c>
      <c r="E280" s="66">
        <f>F280-0</f>
        <v>0</v>
      </c>
      <c r="F280" s="66">
        <v>0</v>
      </c>
      <c r="G280" s="51">
        <f t="shared" si="50"/>
        <v>0</v>
      </c>
      <c r="H280" s="66">
        <f t="shared" si="45"/>
        <v>0</v>
      </c>
      <c r="I280" s="66">
        <f>J280-0</f>
        <v>0</v>
      </c>
      <c r="J280" s="66">
        <v>0</v>
      </c>
      <c r="K280" s="51">
        <f t="shared" si="52"/>
        <v>0</v>
      </c>
      <c r="L280" s="69">
        <f t="shared" si="46"/>
        <v>0</v>
      </c>
    </row>
    <row r="281" spans="1:12" ht="14.25" customHeight="1">
      <c r="A281" s="48" t="s">
        <v>117</v>
      </c>
      <c r="B281" s="49" t="s">
        <v>124</v>
      </c>
      <c r="C281" s="66">
        <v>0</v>
      </c>
      <c r="D281" s="66">
        <v>0</v>
      </c>
      <c r="E281" s="66">
        <f>F281-0</f>
        <v>0</v>
      </c>
      <c r="F281" s="66">
        <v>0</v>
      </c>
      <c r="G281" s="51">
        <f t="shared" si="50"/>
        <v>0</v>
      </c>
      <c r="H281" s="66">
        <f t="shared" si="45"/>
        <v>0</v>
      </c>
      <c r="I281" s="66">
        <f>J281-0</f>
        <v>0</v>
      </c>
      <c r="J281" s="66">
        <v>0</v>
      </c>
      <c r="K281" s="51">
        <f t="shared" si="52"/>
        <v>0</v>
      </c>
      <c r="L281" s="69">
        <f t="shared" si="46"/>
        <v>0</v>
      </c>
    </row>
    <row r="282" spans="1:12" ht="14.25" customHeight="1">
      <c r="A282" s="45" t="s">
        <v>278</v>
      </c>
      <c r="B282" s="83" t="s">
        <v>279</v>
      </c>
      <c r="C282" s="65">
        <f>SUM(C283:C286)</f>
        <v>24572254</v>
      </c>
      <c r="D282" s="65">
        <f>SUM(D283:D286)</f>
        <v>24572254</v>
      </c>
      <c r="E282" s="65">
        <f>SUM(E283:E286)</f>
        <v>3295764.87</v>
      </c>
      <c r="F282" s="65">
        <f>SUM(F283:F286)</f>
        <v>6051068.41</v>
      </c>
      <c r="G282" s="47">
        <f t="shared" si="50"/>
        <v>0.01649108510758875</v>
      </c>
      <c r="H282" s="65">
        <f t="shared" si="45"/>
        <v>18521185.59</v>
      </c>
      <c r="I282" s="65">
        <f>SUM(I283:I286)</f>
        <v>2105509.6900000004</v>
      </c>
      <c r="J282" s="65">
        <f>SUM(J283:J286)</f>
        <v>3965461.22</v>
      </c>
      <c r="K282" s="47">
        <f t="shared" si="52"/>
        <v>0.012892133705562692</v>
      </c>
      <c r="L282" s="68">
        <f t="shared" si="46"/>
        <v>20606792.78</v>
      </c>
    </row>
    <row r="283" spans="1:12" ht="14.25" customHeight="1">
      <c r="A283" s="48" t="s">
        <v>28</v>
      </c>
      <c r="B283" s="49" t="s">
        <v>33</v>
      </c>
      <c r="C283" s="111">
        <v>16446254</v>
      </c>
      <c r="D283" s="111">
        <v>16446254</v>
      </c>
      <c r="E283" s="66">
        <f>F283-2755303.54</f>
        <v>2295764.87</v>
      </c>
      <c r="F283" s="111">
        <v>5051068.41</v>
      </c>
      <c r="G283" s="66">
        <f aca="true" t="shared" si="53" ref="G283:G309">(F283/$F$317)*100</f>
        <v>0.013765767198385218</v>
      </c>
      <c r="H283" s="66">
        <f t="shared" si="45"/>
        <v>11395185.59</v>
      </c>
      <c r="I283" s="66">
        <f>J283-1859951.53</f>
        <v>2105509.6900000004</v>
      </c>
      <c r="J283" s="111">
        <v>3965461.22</v>
      </c>
      <c r="K283" s="51">
        <f>(J283/$J$317)*100</f>
        <v>0.012892133705562692</v>
      </c>
      <c r="L283" s="69">
        <f t="shared" si="46"/>
        <v>12480792.78</v>
      </c>
    </row>
    <row r="284" spans="1:12" ht="14.25" customHeight="1">
      <c r="A284" s="48" t="s">
        <v>50</v>
      </c>
      <c r="B284" s="49" t="s">
        <v>57</v>
      </c>
      <c r="C284" s="111">
        <v>5102000</v>
      </c>
      <c r="D284" s="111">
        <v>5102000</v>
      </c>
      <c r="E284" s="66">
        <f>F284-0</f>
        <v>0</v>
      </c>
      <c r="F284" s="66">
        <v>0</v>
      </c>
      <c r="G284" s="66">
        <f t="shared" si="53"/>
        <v>0</v>
      </c>
      <c r="H284" s="66">
        <f t="shared" si="45"/>
        <v>5102000</v>
      </c>
      <c r="I284" s="66">
        <f>J284-0</f>
        <v>0</v>
      </c>
      <c r="J284" s="65">
        <v>0</v>
      </c>
      <c r="K284" s="51">
        <f>(J284/$J$317)*100</f>
        <v>0</v>
      </c>
      <c r="L284" s="69">
        <f t="shared" si="46"/>
        <v>5102000</v>
      </c>
    </row>
    <row r="285" spans="1:12" ht="14.25" customHeight="1">
      <c r="A285" s="48" t="s">
        <v>180</v>
      </c>
      <c r="B285" s="49" t="s">
        <v>181</v>
      </c>
      <c r="C285" s="111">
        <v>12000</v>
      </c>
      <c r="D285" s="111">
        <v>1012000</v>
      </c>
      <c r="E285" s="66">
        <f>F285-0</f>
        <v>1000000</v>
      </c>
      <c r="F285" s="66">
        <v>1000000</v>
      </c>
      <c r="G285" s="66">
        <f t="shared" si="53"/>
        <v>0.0027253179092035333</v>
      </c>
      <c r="H285" s="66">
        <f t="shared" si="45"/>
        <v>12000</v>
      </c>
      <c r="I285" s="66">
        <f>J285-0</f>
        <v>0</v>
      </c>
      <c r="J285" s="65">
        <v>0</v>
      </c>
      <c r="K285" s="51">
        <f>(J285/$J$317)*100</f>
        <v>0</v>
      </c>
      <c r="L285" s="69">
        <f t="shared" si="46"/>
        <v>1012000</v>
      </c>
    </row>
    <row r="286" spans="1:12" ht="14.25" customHeight="1">
      <c r="A286" s="48" t="s">
        <v>187</v>
      </c>
      <c r="B286" s="49" t="s">
        <v>188</v>
      </c>
      <c r="C286" s="111">
        <v>3012000</v>
      </c>
      <c r="D286" s="111">
        <v>2012000</v>
      </c>
      <c r="E286" s="66">
        <f>F286-0</f>
        <v>0</v>
      </c>
      <c r="F286" s="66">
        <v>0</v>
      </c>
      <c r="G286" s="66">
        <f t="shared" si="53"/>
        <v>0</v>
      </c>
      <c r="H286" s="66">
        <f t="shared" si="45"/>
        <v>2012000</v>
      </c>
      <c r="I286" s="66">
        <f>J286-0</f>
        <v>0</v>
      </c>
      <c r="J286" s="65">
        <v>0</v>
      </c>
      <c r="K286" s="51">
        <f>(J286/$J$317)*100</f>
        <v>0</v>
      </c>
      <c r="L286" s="69">
        <f t="shared" si="46"/>
        <v>2012000</v>
      </c>
    </row>
    <row r="287" spans="1:12" ht="14.25" customHeight="1">
      <c r="A287" s="45" t="s">
        <v>195</v>
      </c>
      <c r="B287" s="83" t="s">
        <v>196</v>
      </c>
      <c r="C287" s="65">
        <f>SUM(C288:C299)</f>
        <v>2686384670</v>
      </c>
      <c r="D287" s="65">
        <f>SUM(D288:D299)</f>
        <v>2762013621.64</v>
      </c>
      <c r="E287" s="65">
        <f>SUM(E288:E299)</f>
        <v>529767846.82</v>
      </c>
      <c r="F287" s="65">
        <f>SUM(F288:F299)</f>
        <v>706148104.6400001</v>
      </c>
      <c r="G287" s="47">
        <f t="shared" si="53"/>
        <v>1.9244780761255231</v>
      </c>
      <c r="H287" s="65">
        <f t="shared" si="45"/>
        <v>2055865516.9999998</v>
      </c>
      <c r="I287" s="65">
        <f>SUM(I288:I299)</f>
        <v>404638872.04</v>
      </c>
      <c r="J287" s="65">
        <f>SUM(J288:J299)</f>
        <v>553723696.5</v>
      </c>
      <c r="K287" s="47">
        <f aca="true" t="shared" si="54" ref="K287:K309">(J287/$J$317)*100</f>
        <v>1.8002142840817934</v>
      </c>
      <c r="L287" s="68">
        <f t="shared" si="46"/>
        <v>2208289925.14</v>
      </c>
    </row>
    <row r="288" spans="1:12" ht="14.25" customHeight="1">
      <c r="A288" s="48" t="s">
        <v>28</v>
      </c>
      <c r="B288" s="49" t="s">
        <v>33</v>
      </c>
      <c r="C288" s="111">
        <v>954096066</v>
      </c>
      <c r="D288" s="111">
        <v>954105328.03</v>
      </c>
      <c r="E288" s="66">
        <f>F288-87907301.82</f>
        <v>135919324.12</v>
      </c>
      <c r="F288" s="111">
        <v>223826625.94</v>
      </c>
      <c r="G288" s="51">
        <f t="shared" si="53"/>
        <v>0.6099987122308821</v>
      </c>
      <c r="H288" s="66">
        <f t="shared" si="45"/>
        <v>730278702.0899999</v>
      </c>
      <c r="I288" s="66">
        <f>J288-78745823.38</f>
        <v>131607171.75</v>
      </c>
      <c r="J288" s="111">
        <v>210352995.13</v>
      </c>
      <c r="K288" s="51">
        <f t="shared" si="54"/>
        <v>0.6838798283800988</v>
      </c>
      <c r="L288" s="69">
        <f t="shared" si="46"/>
        <v>743752332.9</v>
      </c>
    </row>
    <row r="289" spans="1:12" ht="14.25" customHeight="1">
      <c r="A289" s="48" t="s">
        <v>29</v>
      </c>
      <c r="B289" s="49" t="s">
        <v>34</v>
      </c>
      <c r="C289" s="66">
        <v>0</v>
      </c>
      <c r="D289" s="66">
        <v>0</v>
      </c>
      <c r="E289" s="66">
        <f aca="true" t="shared" si="55" ref="E289:E298">F289-0</f>
        <v>0</v>
      </c>
      <c r="F289" s="66">
        <v>0</v>
      </c>
      <c r="G289" s="51">
        <f t="shared" si="53"/>
        <v>0</v>
      </c>
      <c r="H289" s="66">
        <f t="shared" si="45"/>
        <v>0</v>
      </c>
      <c r="I289" s="66">
        <f>J289-0</f>
        <v>0</v>
      </c>
      <c r="J289" s="66">
        <v>0</v>
      </c>
      <c r="K289" s="51">
        <f t="shared" si="54"/>
        <v>0</v>
      </c>
      <c r="L289" s="69">
        <f t="shared" si="46"/>
        <v>0</v>
      </c>
    </row>
    <row r="290" spans="1:12" ht="14.25" customHeight="1">
      <c r="A290" s="48" t="s">
        <v>236</v>
      </c>
      <c r="B290" s="49" t="s">
        <v>235</v>
      </c>
      <c r="C290" s="66">
        <v>0</v>
      </c>
      <c r="D290" s="66">
        <v>0</v>
      </c>
      <c r="E290" s="66">
        <f t="shared" si="55"/>
        <v>0</v>
      </c>
      <c r="F290" s="66">
        <v>0</v>
      </c>
      <c r="G290" s="51">
        <f t="shared" si="53"/>
        <v>0</v>
      </c>
      <c r="H290" s="66">
        <f t="shared" si="45"/>
        <v>0</v>
      </c>
      <c r="I290" s="66">
        <f aca="true" t="shared" si="56" ref="I290:I295">J290-0</f>
        <v>0</v>
      </c>
      <c r="J290" s="66">
        <v>0</v>
      </c>
      <c r="K290" s="51">
        <f t="shared" si="54"/>
        <v>0</v>
      </c>
      <c r="L290" s="69">
        <f t="shared" si="46"/>
        <v>0</v>
      </c>
    </row>
    <row r="291" spans="1:12" ht="14.25" customHeight="1">
      <c r="A291" s="48" t="s">
        <v>83</v>
      </c>
      <c r="B291" s="49" t="s">
        <v>85</v>
      </c>
      <c r="C291" s="66">
        <v>0</v>
      </c>
      <c r="D291" s="66">
        <v>0</v>
      </c>
      <c r="E291" s="66">
        <f t="shared" si="55"/>
        <v>0</v>
      </c>
      <c r="F291" s="66">
        <v>0</v>
      </c>
      <c r="G291" s="51">
        <f t="shared" si="53"/>
        <v>0</v>
      </c>
      <c r="H291" s="66">
        <f t="shared" si="45"/>
        <v>0</v>
      </c>
      <c r="I291" s="66">
        <f>J291-0</f>
        <v>0</v>
      </c>
      <c r="J291" s="66">
        <v>0</v>
      </c>
      <c r="K291" s="51">
        <f t="shared" si="54"/>
        <v>0</v>
      </c>
      <c r="L291" s="69">
        <f t="shared" si="46"/>
        <v>0</v>
      </c>
    </row>
    <row r="292" spans="1:12" ht="14.25" customHeight="1">
      <c r="A292" s="48" t="s">
        <v>135</v>
      </c>
      <c r="B292" s="49" t="s">
        <v>136</v>
      </c>
      <c r="C292" s="111">
        <v>8753421</v>
      </c>
      <c r="D292" s="111">
        <v>106198397.06</v>
      </c>
      <c r="E292" s="66">
        <f t="shared" si="55"/>
        <v>11488018.62</v>
      </c>
      <c r="F292" s="66">
        <v>11488018.62</v>
      </c>
      <c r="G292" s="51">
        <f t="shared" si="53"/>
        <v>0.03130850288634966</v>
      </c>
      <c r="H292" s="66">
        <f t="shared" si="45"/>
        <v>94710378.44</v>
      </c>
      <c r="I292" s="66">
        <f>J292-0</f>
        <v>498880.27</v>
      </c>
      <c r="J292" s="66">
        <v>498880.27</v>
      </c>
      <c r="K292" s="51">
        <f t="shared" si="54"/>
        <v>0.0016219125057809077</v>
      </c>
      <c r="L292" s="69">
        <f t="shared" si="46"/>
        <v>105699516.79</v>
      </c>
    </row>
    <row r="293" spans="1:12" ht="14.25" customHeight="1">
      <c r="A293" s="48" t="s">
        <v>151</v>
      </c>
      <c r="B293" s="49" t="s">
        <v>152</v>
      </c>
      <c r="C293" s="111">
        <v>952725752</v>
      </c>
      <c r="D293" s="111">
        <v>952725752</v>
      </c>
      <c r="E293" s="66">
        <f>F293-67574902</f>
        <v>196097040.15</v>
      </c>
      <c r="F293" s="111">
        <v>263671942.15</v>
      </c>
      <c r="G293" s="51">
        <f t="shared" si="53"/>
        <v>0.718589866095873</v>
      </c>
      <c r="H293" s="66">
        <f t="shared" si="45"/>
        <v>689053809.85</v>
      </c>
      <c r="I293" s="66">
        <f>J293-67574902</f>
        <v>196097040.15</v>
      </c>
      <c r="J293" s="111">
        <v>263671942.15</v>
      </c>
      <c r="K293" s="51">
        <f t="shared" si="54"/>
        <v>0.8572253627040113</v>
      </c>
      <c r="L293" s="69">
        <f t="shared" si="46"/>
        <v>689053809.85</v>
      </c>
    </row>
    <row r="294" spans="1:12" ht="14.25" customHeight="1">
      <c r="A294" s="48" t="s">
        <v>145</v>
      </c>
      <c r="B294" s="49" t="s">
        <v>146</v>
      </c>
      <c r="C294" s="66">
        <v>0</v>
      </c>
      <c r="D294" s="66">
        <v>0</v>
      </c>
      <c r="E294" s="66">
        <f t="shared" si="55"/>
        <v>0</v>
      </c>
      <c r="F294" s="66">
        <v>0</v>
      </c>
      <c r="G294" s="51">
        <f t="shared" si="53"/>
        <v>0</v>
      </c>
      <c r="H294" s="66">
        <f t="shared" si="45"/>
        <v>0</v>
      </c>
      <c r="I294" s="66">
        <f t="shared" si="56"/>
        <v>0</v>
      </c>
      <c r="J294" s="66">
        <v>0</v>
      </c>
      <c r="K294" s="51">
        <f t="shared" si="54"/>
        <v>0</v>
      </c>
      <c r="L294" s="69">
        <f t="shared" si="46"/>
        <v>0</v>
      </c>
    </row>
    <row r="295" spans="1:12" ht="14.25" customHeight="1">
      <c r="A295" s="48" t="s">
        <v>70</v>
      </c>
      <c r="B295" s="49" t="s">
        <v>78</v>
      </c>
      <c r="C295" s="111">
        <v>7831766</v>
      </c>
      <c r="D295" s="111">
        <v>7831766</v>
      </c>
      <c r="E295" s="66">
        <f t="shared" si="55"/>
        <v>0</v>
      </c>
      <c r="F295" s="66">
        <v>0</v>
      </c>
      <c r="G295" s="51">
        <f t="shared" si="53"/>
        <v>0</v>
      </c>
      <c r="H295" s="66">
        <f t="shared" si="45"/>
        <v>7831766</v>
      </c>
      <c r="I295" s="66">
        <f t="shared" si="56"/>
        <v>0</v>
      </c>
      <c r="J295" s="66">
        <v>0</v>
      </c>
      <c r="K295" s="51">
        <f t="shared" si="54"/>
        <v>0</v>
      </c>
      <c r="L295" s="69">
        <f t="shared" si="46"/>
        <v>7831766</v>
      </c>
    </row>
    <row r="296" spans="1:12" ht="14.25" customHeight="1">
      <c r="A296" s="48" t="s">
        <v>71</v>
      </c>
      <c r="B296" s="49" t="s">
        <v>79</v>
      </c>
      <c r="C296" s="111">
        <v>665415617</v>
      </c>
      <c r="D296" s="111">
        <v>643625330.55</v>
      </c>
      <c r="E296" s="66">
        <f>F296-18868054</f>
        <v>184809030.34</v>
      </c>
      <c r="F296" s="111">
        <v>203677084.34</v>
      </c>
      <c r="G296" s="51">
        <f t="shared" si="53"/>
        <v>0.5550848056461606</v>
      </c>
      <c r="H296" s="66">
        <f t="shared" si="45"/>
        <v>439948246.2099999</v>
      </c>
      <c r="I296" s="66">
        <f>J296-764605.14</f>
        <v>75049648.71</v>
      </c>
      <c r="J296" s="66">
        <v>75814253.85</v>
      </c>
      <c r="K296" s="51">
        <f t="shared" si="54"/>
        <v>0.2464801553201599</v>
      </c>
      <c r="L296" s="69">
        <f t="shared" si="46"/>
        <v>567811076.6999999</v>
      </c>
    </row>
    <row r="297" spans="1:12" ht="14.25" customHeight="1">
      <c r="A297" s="48" t="s">
        <v>197</v>
      </c>
      <c r="B297" s="49" t="s">
        <v>198</v>
      </c>
      <c r="C297" s="111">
        <v>83082828</v>
      </c>
      <c r="D297" s="111">
        <v>83082828</v>
      </c>
      <c r="E297" s="66">
        <f t="shared" si="55"/>
        <v>0</v>
      </c>
      <c r="F297" s="66">
        <v>0</v>
      </c>
      <c r="G297" s="51">
        <f t="shared" si="53"/>
        <v>0</v>
      </c>
      <c r="H297" s="66">
        <f t="shared" si="45"/>
        <v>83082828</v>
      </c>
      <c r="I297" s="66">
        <f>J297-0</f>
        <v>0</v>
      </c>
      <c r="J297" s="66">
        <v>0</v>
      </c>
      <c r="K297" s="51">
        <f t="shared" si="54"/>
        <v>0</v>
      </c>
      <c r="L297" s="69">
        <f t="shared" si="46"/>
        <v>83082828</v>
      </c>
    </row>
    <row r="298" spans="1:12" ht="14.25" customHeight="1">
      <c r="A298" s="48" t="s">
        <v>199</v>
      </c>
      <c r="B298" s="49" t="s">
        <v>200</v>
      </c>
      <c r="C298" s="66">
        <v>0</v>
      </c>
      <c r="D298" s="66">
        <v>0</v>
      </c>
      <c r="E298" s="66">
        <f t="shared" si="55"/>
        <v>0</v>
      </c>
      <c r="F298" s="66">
        <v>0</v>
      </c>
      <c r="G298" s="51">
        <f t="shared" si="53"/>
        <v>0</v>
      </c>
      <c r="H298" s="66">
        <f t="shared" si="45"/>
        <v>0</v>
      </c>
      <c r="I298" s="66">
        <f>J298-0</f>
        <v>0</v>
      </c>
      <c r="J298" s="66">
        <v>0</v>
      </c>
      <c r="K298" s="51">
        <f t="shared" si="54"/>
        <v>0</v>
      </c>
      <c r="L298" s="69">
        <f t="shared" si="46"/>
        <v>0</v>
      </c>
    </row>
    <row r="299" spans="1:12" ht="14.25" customHeight="1">
      <c r="A299" s="48" t="s">
        <v>201</v>
      </c>
      <c r="B299" s="49" t="s">
        <v>202</v>
      </c>
      <c r="C299" s="111">
        <v>14479220</v>
      </c>
      <c r="D299" s="111">
        <v>14444220</v>
      </c>
      <c r="E299" s="66">
        <f>F299-2030000</f>
        <v>1454433.5899999999</v>
      </c>
      <c r="F299" s="111">
        <v>3484433.59</v>
      </c>
      <c r="G299" s="51">
        <f t="shared" si="53"/>
        <v>0.009496189266257362</v>
      </c>
      <c r="H299" s="66">
        <f t="shared" si="45"/>
        <v>10959786.41</v>
      </c>
      <c r="I299" s="66">
        <f>J299-1999493.94</f>
        <v>1386131.1600000001</v>
      </c>
      <c r="J299" s="111">
        <v>3385625.1</v>
      </c>
      <c r="K299" s="51">
        <f t="shared" si="54"/>
        <v>0.011007025171742582</v>
      </c>
      <c r="L299" s="69">
        <f t="shared" si="46"/>
        <v>11058594.9</v>
      </c>
    </row>
    <row r="300" spans="1:12" ht="14.25" customHeight="1">
      <c r="A300" s="45" t="s">
        <v>203</v>
      </c>
      <c r="B300" s="83" t="s">
        <v>204</v>
      </c>
      <c r="C300" s="65">
        <f>SUM(C301:C305)</f>
        <v>82244547</v>
      </c>
      <c r="D300" s="65">
        <f>SUM(D301:D305)</f>
        <v>142199764.29</v>
      </c>
      <c r="E300" s="65">
        <f>SUM(E301:E305)</f>
        <v>36818899.93</v>
      </c>
      <c r="F300" s="65">
        <f>SUM(F301:F305)</f>
        <v>44272143.69</v>
      </c>
      <c r="G300" s="47">
        <f t="shared" si="53"/>
        <v>0.1206556660771892</v>
      </c>
      <c r="H300" s="65">
        <f t="shared" si="45"/>
        <v>97927620.6</v>
      </c>
      <c r="I300" s="65">
        <f>SUM(I301:I305)</f>
        <v>29795669.279999997</v>
      </c>
      <c r="J300" s="65">
        <f>SUM(J301:J305)</f>
        <v>35929228.18</v>
      </c>
      <c r="K300" s="47">
        <f t="shared" si="54"/>
        <v>0.11680971971130026</v>
      </c>
      <c r="L300" s="68">
        <f t="shared" si="46"/>
        <v>106270536.10999998</v>
      </c>
    </row>
    <row r="301" spans="1:12" ht="14.25" customHeight="1">
      <c r="A301" s="48" t="s">
        <v>28</v>
      </c>
      <c r="B301" s="49" t="s">
        <v>33</v>
      </c>
      <c r="C301" s="111">
        <v>36029945</v>
      </c>
      <c r="D301" s="111">
        <v>36260262.43</v>
      </c>
      <c r="E301" s="66">
        <f>F301-4634873.76</f>
        <v>6332202.460000001</v>
      </c>
      <c r="F301" s="111">
        <v>10967076.22</v>
      </c>
      <c r="G301" s="51">
        <f t="shared" si="53"/>
        <v>0.029888769233966196</v>
      </c>
      <c r="H301" s="66">
        <f t="shared" si="45"/>
        <v>25293186.21</v>
      </c>
      <c r="I301" s="66">
        <f>J301-4304081.33</f>
        <v>5714404.699999999</v>
      </c>
      <c r="J301" s="111">
        <v>10018486.03</v>
      </c>
      <c r="K301" s="51">
        <f t="shared" si="54"/>
        <v>0.03257115736617188</v>
      </c>
      <c r="L301" s="69">
        <f t="shared" si="46"/>
        <v>26241776.4</v>
      </c>
    </row>
    <row r="302" spans="1:12" ht="14.25" customHeight="1">
      <c r="A302" s="48" t="s">
        <v>53</v>
      </c>
      <c r="B302" s="49" t="s">
        <v>60</v>
      </c>
      <c r="C302" s="66">
        <v>0</v>
      </c>
      <c r="D302" s="66">
        <v>0</v>
      </c>
      <c r="E302" s="66">
        <f>F302-0</f>
        <v>0</v>
      </c>
      <c r="F302" s="66">
        <v>0</v>
      </c>
      <c r="G302" s="51">
        <f t="shared" si="53"/>
        <v>0</v>
      </c>
      <c r="H302" s="66">
        <f t="shared" si="45"/>
        <v>0</v>
      </c>
      <c r="I302" s="66">
        <f>J302-0</f>
        <v>0</v>
      </c>
      <c r="J302" s="66">
        <v>0</v>
      </c>
      <c r="K302" s="51">
        <f t="shared" si="54"/>
        <v>0</v>
      </c>
      <c r="L302" s="69">
        <f t="shared" si="46"/>
        <v>0</v>
      </c>
    </row>
    <row r="303" spans="1:12" ht="14.25" customHeight="1">
      <c r="A303" s="48" t="s">
        <v>205</v>
      </c>
      <c r="B303" s="49" t="s">
        <v>206</v>
      </c>
      <c r="C303" s="111">
        <v>10000000</v>
      </c>
      <c r="D303" s="111">
        <v>3120520</v>
      </c>
      <c r="E303" s="66">
        <f>F303-1571220</f>
        <v>1454520</v>
      </c>
      <c r="F303" s="111">
        <v>3025740</v>
      </c>
      <c r="G303" s="51">
        <f t="shared" si="53"/>
        <v>0.0082461034105935</v>
      </c>
      <c r="H303" s="66">
        <f t="shared" si="45"/>
        <v>94780</v>
      </c>
      <c r="I303" s="66">
        <f>J303-1571220</f>
        <v>1454520</v>
      </c>
      <c r="J303" s="111">
        <v>3025740</v>
      </c>
      <c r="K303" s="51">
        <f t="shared" si="54"/>
        <v>0.009837000659981048</v>
      </c>
      <c r="L303" s="69">
        <f t="shared" si="46"/>
        <v>94780</v>
      </c>
    </row>
    <row r="304" spans="1:12" ht="14.25" customHeight="1">
      <c r="A304" s="48" t="s">
        <v>207</v>
      </c>
      <c r="B304" s="49" t="s">
        <v>208</v>
      </c>
      <c r="C304" s="111">
        <v>36124602</v>
      </c>
      <c r="D304" s="111">
        <v>102728981.86</v>
      </c>
      <c r="E304" s="66">
        <f>F304-1247150</f>
        <v>29032177.47</v>
      </c>
      <c r="F304" s="111">
        <v>30279327.47</v>
      </c>
      <c r="G304" s="51">
        <f t="shared" si="53"/>
        <v>0.08252079343262951</v>
      </c>
      <c r="H304" s="66">
        <f t="shared" si="45"/>
        <v>72449654.39</v>
      </c>
      <c r="I304" s="66">
        <f>J304-258257.57</f>
        <v>22626744.58</v>
      </c>
      <c r="J304" s="111">
        <v>22885002.15</v>
      </c>
      <c r="K304" s="51">
        <f t="shared" si="54"/>
        <v>0.07440156168514733</v>
      </c>
      <c r="L304" s="69">
        <f t="shared" si="46"/>
        <v>79843979.71000001</v>
      </c>
    </row>
    <row r="305" spans="1:12" ht="14.25" customHeight="1">
      <c r="A305" s="48" t="s">
        <v>209</v>
      </c>
      <c r="B305" s="49" t="s">
        <v>210</v>
      </c>
      <c r="C305" s="111">
        <v>90000</v>
      </c>
      <c r="D305" s="111">
        <v>90000</v>
      </c>
      <c r="E305" s="66">
        <f>F305-0</f>
        <v>0</v>
      </c>
      <c r="F305" s="66">
        <v>0</v>
      </c>
      <c r="G305" s="51">
        <f t="shared" si="53"/>
        <v>0</v>
      </c>
      <c r="H305" s="66">
        <f t="shared" si="45"/>
        <v>90000</v>
      </c>
      <c r="I305" s="51">
        <f>J305-0</f>
        <v>0</v>
      </c>
      <c r="J305" s="66">
        <v>0</v>
      </c>
      <c r="K305" s="51">
        <f t="shared" si="54"/>
        <v>0</v>
      </c>
      <c r="L305" s="69">
        <f t="shared" si="46"/>
        <v>90000</v>
      </c>
    </row>
    <row r="306" spans="1:12" ht="14.25" customHeight="1">
      <c r="A306" s="45" t="s">
        <v>211</v>
      </c>
      <c r="B306" s="83" t="s">
        <v>212</v>
      </c>
      <c r="C306" s="65">
        <f>SUM(C307:C311)</f>
        <v>9547354542</v>
      </c>
      <c r="D306" s="65">
        <f>SUM(D307:D311)</f>
        <v>9305695730.9</v>
      </c>
      <c r="E306" s="65">
        <f>SUM(E307:E311)</f>
        <v>1839838846.1399999</v>
      </c>
      <c r="F306" s="65">
        <f>SUM(F307:F311)</f>
        <v>3318703253.0299997</v>
      </c>
      <c r="G306" s="47">
        <f t="shared" si="53"/>
        <v>9.044521410814683</v>
      </c>
      <c r="H306" s="65">
        <f t="shared" si="45"/>
        <v>5986992477.87</v>
      </c>
      <c r="I306" s="65">
        <f>SUM(I307:I311)</f>
        <v>1839838846.1399999</v>
      </c>
      <c r="J306" s="65">
        <f>SUM(J307:J311)</f>
        <v>3318703253.0299997</v>
      </c>
      <c r="K306" s="47">
        <f t="shared" si="54"/>
        <v>10.789455171408434</v>
      </c>
      <c r="L306" s="68">
        <f t="shared" si="46"/>
        <v>5986992477.87</v>
      </c>
    </row>
    <row r="307" spans="1:12" ht="14.25" customHeight="1">
      <c r="A307" s="48" t="s">
        <v>39</v>
      </c>
      <c r="B307" s="49" t="s">
        <v>41</v>
      </c>
      <c r="C307" s="111">
        <v>390906958</v>
      </c>
      <c r="D307" s="111">
        <v>390906958</v>
      </c>
      <c r="E307" s="66">
        <f>F307-42224.6</f>
        <v>77057356.75</v>
      </c>
      <c r="F307" s="111">
        <v>77099581.35</v>
      </c>
      <c r="G307" s="51">
        <f t="shared" si="53"/>
        <v>0.21012086984524975</v>
      </c>
      <c r="H307" s="66">
        <f t="shared" si="45"/>
        <v>313807376.65</v>
      </c>
      <c r="I307" s="66">
        <f>J307-42224.6</f>
        <v>77057356.75</v>
      </c>
      <c r="J307" s="111">
        <v>77099581.35</v>
      </c>
      <c r="K307" s="51">
        <f t="shared" si="54"/>
        <v>0.2506588909239434</v>
      </c>
      <c r="L307" s="69">
        <f t="shared" si="46"/>
        <v>313807376.65</v>
      </c>
    </row>
    <row r="308" spans="1:12" ht="14.25" customHeight="1">
      <c r="A308" s="48" t="s">
        <v>213</v>
      </c>
      <c r="B308" s="49" t="s">
        <v>214</v>
      </c>
      <c r="C308" s="111">
        <v>5954741508</v>
      </c>
      <c r="D308" s="111">
        <v>6218560096.57</v>
      </c>
      <c r="E308" s="66">
        <f>F308-1095366069.53</f>
        <v>1417946884.1499999</v>
      </c>
      <c r="F308" s="111">
        <v>2513312953.68</v>
      </c>
      <c r="G308" s="51">
        <f t="shared" si="53"/>
        <v>6.849576804097335</v>
      </c>
      <c r="H308" s="66">
        <f t="shared" si="45"/>
        <v>3705247142.89</v>
      </c>
      <c r="I308" s="66">
        <f>J308-1095366069.53</f>
        <v>1417946884.1499999</v>
      </c>
      <c r="J308" s="111">
        <v>2513312953.68</v>
      </c>
      <c r="K308" s="51">
        <f t="shared" si="54"/>
        <v>8.171046152045145</v>
      </c>
      <c r="L308" s="69">
        <f t="shared" si="46"/>
        <v>3705247142.89</v>
      </c>
    </row>
    <row r="309" spans="1:12" ht="14.25" customHeight="1">
      <c r="A309" s="48" t="s">
        <v>215</v>
      </c>
      <c r="B309" s="49" t="s">
        <v>216</v>
      </c>
      <c r="C309" s="111">
        <v>222819000</v>
      </c>
      <c r="D309" s="111">
        <v>284947000</v>
      </c>
      <c r="E309" s="66">
        <f>F309-60228463.72</f>
        <v>59856141.480000004</v>
      </c>
      <c r="F309" s="111">
        <v>120084605.2</v>
      </c>
      <c r="G309" s="51">
        <f t="shared" si="53"/>
        <v>0.3272687251711958</v>
      </c>
      <c r="H309" s="66">
        <f t="shared" si="45"/>
        <v>164862394.8</v>
      </c>
      <c r="I309" s="66">
        <f>J309-60228463.72</f>
        <v>59856141.480000004</v>
      </c>
      <c r="J309" s="111">
        <v>120084605.2</v>
      </c>
      <c r="K309" s="51">
        <f t="shared" si="54"/>
        <v>0.39040774838748993</v>
      </c>
      <c r="L309" s="69">
        <f t="shared" si="46"/>
        <v>164862394.8</v>
      </c>
    </row>
    <row r="310" spans="1:12" ht="14.25" customHeight="1">
      <c r="A310" s="48" t="s">
        <v>217</v>
      </c>
      <c r="B310" s="49" t="s">
        <v>218</v>
      </c>
      <c r="C310" s="111">
        <v>60000</v>
      </c>
      <c r="D310" s="111">
        <v>60000</v>
      </c>
      <c r="E310" s="66">
        <f>F310-0</f>
        <v>0</v>
      </c>
      <c r="F310" s="66">
        <v>0</v>
      </c>
      <c r="G310" s="51">
        <f>(F310/$F$317)*100</f>
        <v>0</v>
      </c>
      <c r="H310" s="66">
        <f aca="true" t="shared" si="57" ref="H310:H315">D310-F310</f>
        <v>60000</v>
      </c>
      <c r="I310" s="66">
        <f>J310-0</f>
        <v>0</v>
      </c>
      <c r="J310" s="66">
        <v>0</v>
      </c>
      <c r="K310" s="51">
        <f aca="true" t="shared" si="58" ref="K310:K316">(J310/$J$317)*100</f>
        <v>0</v>
      </c>
      <c r="L310" s="69">
        <f aca="true" t="shared" si="59" ref="L310:L315">D310-J310</f>
        <v>60000</v>
      </c>
    </row>
    <row r="311" spans="1:12" ht="14.25" customHeight="1">
      <c r="A311" s="48" t="s">
        <v>219</v>
      </c>
      <c r="B311" s="49" t="s">
        <v>220</v>
      </c>
      <c r="C311" s="111">
        <v>2978827076</v>
      </c>
      <c r="D311" s="111">
        <v>2411221676.33</v>
      </c>
      <c r="E311" s="66">
        <f>F311-323227649.04</f>
        <v>284978463.75999993</v>
      </c>
      <c r="F311" s="111">
        <v>608206112.8</v>
      </c>
      <c r="G311" s="51">
        <f>(F311/$F$317)*100</f>
        <v>1.6575550117009044</v>
      </c>
      <c r="H311" s="66">
        <f t="shared" si="57"/>
        <v>1803015563.53</v>
      </c>
      <c r="I311" s="66">
        <f>J311-323227649.04</f>
        <v>284978463.75999993</v>
      </c>
      <c r="J311" s="111">
        <v>608206112.8</v>
      </c>
      <c r="K311" s="51">
        <f t="shared" si="58"/>
        <v>1.9773423800518577</v>
      </c>
      <c r="L311" s="69">
        <f t="shared" si="59"/>
        <v>1803015563.53</v>
      </c>
    </row>
    <row r="312" spans="1:12" ht="14.25" customHeight="1">
      <c r="A312" s="45" t="s">
        <v>221</v>
      </c>
      <c r="B312" s="83" t="s">
        <v>222</v>
      </c>
      <c r="C312" s="65">
        <f>SUM(C313:C315)</f>
        <v>838670378</v>
      </c>
      <c r="D312" s="68">
        <f>SUM(D313:D315)</f>
        <v>838670378</v>
      </c>
      <c r="E312" s="94"/>
      <c r="F312" s="94"/>
      <c r="G312" s="94"/>
      <c r="H312" s="65">
        <f t="shared" si="57"/>
        <v>838670378</v>
      </c>
      <c r="I312" s="94"/>
      <c r="J312" s="94"/>
      <c r="K312" s="94"/>
      <c r="L312" s="68">
        <f t="shared" si="59"/>
        <v>838670378</v>
      </c>
    </row>
    <row r="313" spans="1:12" ht="14.25" customHeight="1">
      <c r="A313" s="48" t="s">
        <v>28</v>
      </c>
      <c r="B313" s="60" t="s">
        <v>33</v>
      </c>
      <c r="C313" s="111">
        <v>234458545</v>
      </c>
      <c r="D313" s="111">
        <v>234458545</v>
      </c>
      <c r="E313" s="94"/>
      <c r="F313" s="94"/>
      <c r="G313" s="94"/>
      <c r="H313" s="66">
        <f t="shared" si="57"/>
        <v>234458545</v>
      </c>
      <c r="I313" s="94"/>
      <c r="J313" s="94"/>
      <c r="K313" s="94"/>
      <c r="L313" s="69">
        <f t="shared" si="59"/>
        <v>234458545</v>
      </c>
    </row>
    <row r="314" spans="1:12" ht="14.25" customHeight="1">
      <c r="A314" s="48" t="s">
        <v>246</v>
      </c>
      <c r="B314" s="60" t="s">
        <v>247</v>
      </c>
      <c r="C314" s="111">
        <v>601711833</v>
      </c>
      <c r="D314" s="111">
        <v>601711833</v>
      </c>
      <c r="E314" s="94"/>
      <c r="F314" s="94"/>
      <c r="G314" s="94"/>
      <c r="H314" s="66">
        <f t="shared" si="57"/>
        <v>601711833</v>
      </c>
      <c r="I314" s="94"/>
      <c r="J314" s="94"/>
      <c r="K314" s="94"/>
      <c r="L314" s="69">
        <f t="shared" si="59"/>
        <v>601711833</v>
      </c>
    </row>
    <row r="315" spans="1:12" ht="14.25" customHeight="1">
      <c r="A315" s="48" t="s">
        <v>223</v>
      </c>
      <c r="B315" s="49" t="s">
        <v>224</v>
      </c>
      <c r="C315" s="111">
        <v>2500000</v>
      </c>
      <c r="D315" s="111">
        <v>2500000</v>
      </c>
      <c r="E315" s="94"/>
      <c r="F315" s="94"/>
      <c r="G315" s="94"/>
      <c r="H315" s="66">
        <f t="shared" si="57"/>
        <v>2500000</v>
      </c>
      <c r="I315" s="94"/>
      <c r="J315" s="94"/>
      <c r="K315" s="94"/>
      <c r="L315" s="69">
        <f t="shared" si="59"/>
        <v>2500000</v>
      </c>
    </row>
    <row r="316" spans="1:12" ht="14.25" customHeight="1">
      <c r="A316" s="45"/>
      <c r="B316" s="83" t="s">
        <v>16</v>
      </c>
      <c r="C316" s="65">
        <f>C333</f>
        <v>7534120647</v>
      </c>
      <c r="D316" s="65">
        <f>D333</f>
        <v>8100654538.499999</v>
      </c>
      <c r="E316" s="65">
        <f>E333</f>
        <v>1366195918.1299996</v>
      </c>
      <c r="F316" s="65">
        <f>F333</f>
        <v>2830165335.62</v>
      </c>
      <c r="G316" s="47">
        <f>(F316/$F$317)*100</f>
        <v>7.713100275172215</v>
      </c>
      <c r="H316" s="65">
        <f>D316-F316</f>
        <v>5270489202.879999</v>
      </c>
      <c r="I316" s="65">
        <f>I333</f>
        <v>1326530108.7099996</v>
      </c>
      <c r="J316" s="65">
        <f>J333</f>
        <v>2400058569.7</v>
      </c>
      <c r="K316" s="47">
        <f t="shared" si="58"/>
        <v>7.802844175022332</v>
      </c>
      <c r="L316" s="68">
        <f>D316-J316</f>
        <v>5700595968.799999</v>
      </c>
    </row>
    <row r="317" spans="1:12" ht="14.25" customHeight="1">
      <c r="A317" s="124" t="s">
        <v>225</v>
      </c>
      <c r="B317" s="125"/>
      <c r="C317" s="72">
        <f aca="true" t="shared" si="60" ref="C317:L317">C13+C316</f>
        <v>113140610181</v>
      </c>
      <c r="D317" s="72">
        <f t="shared" si="60"/>
        <v>115178336950.20999</v>
      </c>
      <c r="E317" s="72">
        <f t="shared" si="60"/>
        <v>18088723649.899998</v>
      </c>
      <c r="F317" s="72">
        <f t="shared" si="60"/>
        <v>36692966960.76999</v>
      </c>
      <c r="G317" s="72">
        <f t="shared" si="60"/>
        <v>100</v>
      </c>
      <c r="H317" s="72">
        <f t="shared" si="60"/>
        <v>78485369989.44</v>
      </c>
      <c r="I317" s="72">
        <f t="shared" si="60"/>
        <v>16856684340.750002</v>
      </c>
      <c r="J317" s="72">
        <f t="shared" si="60"/>
        <v>30758765853.390003</v>
      </c>
      <c r="K317" s="72">
        <f t="shared" si="60"/>
        <v>99.99999999999999</v>
      </c>
      <c r="L317" s="73">
        <f t="shared" si="60"/>
        <v>84419571096.81999</v>
      </c>
    </row>
    <row r="318" spans="1:12" ht="15">
      <c r="A318" s="63"/>
      <c r="B318" s="63"/>
      <c r="C318" s="75"/>
      <c r="D318" s="75"/>
      <c r="E318" s="75"/>
      <c r="F318" s="75"/>
      <c r="G318" s="75"/>
      <c r="H318" s="75"/>
      <c r="I318" s="75"/>
      <c r="J318" s="75"/>
      <c r="K318" s="75"/>
      <c r="L318" s="59" t="s">
        <v>226</v>
      </c>
    </row>
    <row r="319" spans="1:12" ht="15">
      <c r="A319" s="63"/>
      <c r="B319" s="63"/>
      <c r="C319" s="75"/>
      <c r="D319" s="75"/>
      <c r="E319" s="75"/>
      <c r="F319" s="75"/>
      <c r="G319" s="75"/>
      <c r="H319" s="75"/>
      <c r="I319" s="75"/>
      <c r="J319" s="75"/>
      <c r="K319" s="75"/>
      <c r="L319" s="75"/>
    </row>
    <row r="320" spans="1:12" ht="15">
      <c r="A320" s="33"/>
      <c r="B320" s="34"/>
      <c r="C320" s="76"/>
      <c r="D320" s="76"/>
      <c r="E320" s="76"/>
      <c r="F320" s="76"/>
      <c r="G320" s="76"/>
      <c r="H320" s="76"/>
      <c r="I320" s="76"/>
      <c r="J320" s="76"/>
      <c r="K320" s="76"/>
      <c r="L320" s="76"/>
    </row>
    <row r="321" spans="1:12" ht="15.75">
      <c r="A321" s="33"/>
      <c r="B321" s="34"/>
      <c r="C321" s="35"/>
      <c r="D321" s="35"/>
      <c r="E321" s="35"/>
      <c r="F321" s="36"/>
      <c r="G321" s="37"/>
      <c r="H321" s="36"/>
      <c r="I321" s="36"/>
      <c r="J321" s="36"/>
      <c r="K321" s="37"/>
      <c r="L321" s="36"/>
    </row>
    <row r="322" spans="1:12" ht="15.75">
      <c r="A322" s="30"/>
      <c r="B322" s="27"/>
      <c r="C322" s="31"/>
      <c r="D322" s="31"/>
      <c r="E322" s="31"/>
      <c r="F322" s="31"/>
      <c r="G322" s="32"/>
      <c r="H322" s="31"/>
      <c r="I322" s="31"/>
      <c r="J322" s="31"/>
      <c r="K322" s="32"/>
      <c r="L322" s="24" t="s">
        <v>157</v>
      </c>
    </row>
    <row r="323" spans="1:12" ht="15.75">
      <c r="A323" s="118" t="s">
        <v>14</v>
      </c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</row>
    <row r="324" spans="1:12" ht="15.75">
      <c r="A324" s="118" t="s">
        <v>0</v>
      </c>
      <c r="B324" s="118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</row>
    <row r="325" spans="1:12" ht="15.75">
      <c r="A325" s="119" t="s">
        <v>1</v>
      </c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1:12" ht="15.75">
      <c r="A326" s="118" t="s">
        <v>2</v>
      </c>
      <c r="B326" s="118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</row>
    <row r="327" spans="1:12" ht="15.75">
      <c r="A327" s="118" t="str">
        <f>A167</f>
        <v>JANEIRO A ABRIL 2024/BIMESTRE MARÇO - ABRIL</v>
      </c>
      <c r="B327" s="118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</row>
    <row r="328" spans="1:12" ht="15.75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24" t="str">
        <f>L168</f>
        <v>Emissão: 22/05/2024</v>
      </c>
    </row>
    <row r="329" spans="1:12" ht="15.75">
      <c r="A329" s="26" t="s">
        <v>240</v>
      </c>
      <c r="B329" s="25"/>
      <c r="C329" s="27"/>
      <c r="D329" s="25"/>
      <c r="E329" s="25"/>
      <c r="F329" s="28"/>
      <c r="G329" s="28"/>
      <c r="H329" s="28"/>
      <c r="I329" s="25"/>
      <c r="J329" s="25"/>
      <c r="K329" s="24"/>
      <c r="L329" s="29">
        <v>1</v>
      </c>
    </row>
    <row r="330" spans="1:12" ht="15.75">
      <c r="A330" s="11"/>
      <c r="B330" s="12"/>
      <c r="C330" s="13" t="s">
        <v>3</v>
      </c>
      <c r="D330" s="13" t="s">
        <v>3</v>
      </c>
      <c r="E330" s="120" t="s">
        <v>4</v>
      </c>
      <c r="F330" s="121"/>
      <c r="G330" s="122"/>
      <c r="H330" s="13" t="s">
        <v>18</v>
      </c>
      <c r="I330" s="120" t="s">
        <v>5</v>
      </c>
      <c r="J330" s="121"/>
      <c r="K330" s="122"/>
      <c r="L330" s="14" t="s">
        <v>18</v>
      </c>
    </row>
    <row r="331" spans="1:12" ht="15.75">
      <c r="A331" s="15" t="s">
        <v>23</v>
      </c>
      <c r="B331" s="16" t="s">
        <v>265</v>
      </c>
      <c r="C331" s="16" t="s">
        <v>7</v>
      </c>
      <c r="D331" s="16" t="s">
        <v>8</v>
      </c>
      <c r="E331" s="16" t="s">
        <v>9</v>
      </c>
      <c r="F331" s="16" t="s">
        <v>10</v>
      </c>
      <c r="G331" s="16" t="s">
        <v>11</v>
      </c>
      <c r="H331" s="17"/>
      <c r="I331" s="16" t="s">
        <v>9</v>
      </c>
      <c r="J331" s="16" t="s">
        <v>10</v>
      </c>
      <c r="K331" s="16" t="s">
        <v>11</v>
      </c>
      <c r="L331" s="18"/>
    </row>
    <row r="332" spans="1:12" ht="15.75">
      <c r="A332" s="19"/>
      <c r="B332" s="20"/>
      <c r="C332" s="20"/>
      <c r="D332" s="21" t="s">
        <v>12</v>
      </c>
      <c r="E332" s="21"/>
      <c r="F332" s="21" t="s">
        <v>13</v>
      </c>
      <c r="G332" s="21" t="s">
        <v>266</v>
      </c>
      <c r="H332" s="22" t="s">
        <v>19</v>
      </c>
      <c r="I332" s="21"/>
      <c r="J332" s="21" t="s">
        <v>20</v>
      </c>
      <c r="K332" s="21" t="s">
        <v>267</v>
      </c>
      <c r="L332" s="23" t="s">
        <v>22</v>
      </c>
    </row>
    <row r="333" spans="1:12" ht="14.25" customHeight="1">
      <c r="A333" s="45"/>
      <c r="B333" s="95" t="s">
        <v>16</v>
      </c>
      <c r="C333" s="96">
        <f>C334+C339+C342+C348+C356+C362+C366+C368+C372+C375+C383+C386+C390+C393+C395+C397+C399+C406+C411+C413+C416+C422+C426+C429+C419</f>
        <v>7534120647</v>
      </c>
      <c r="D333" s="96">
        <f>D334+D339+D342+D348+D356+D362+D366+D368+D372+D375+D383+D386+D390+D393+D395+D397+D399+D406+D411+D413+D416+D422+D426+D429+D419</f>
        <v>8100654538.499999</v>
      </c>
      <c r="E333" s="96">
        <f>E334+E339+E342+E348+E356+E362+E366+E368+E372+E375+E383+E386+E390+E393+E395+E397+E399+E406+E411+E413+E416+E422+E426+E429</f>
        <v>1366195918.1299996</v>
      </c>
      <c r="F333" s="96">
        <f>F334+F339+F342+F348+F356+F362+F366+F368+F372+F375+F383+F386+F390+F393+F395+F397+F399+F406+F411+F413+F416+F422+F426+F429+F419</f>
        <v>2830165335.62</v>
      </c>
      <c r="G333" s="97">
        <f aca="true" t="shared" si="61" ref="G333:G397">(F333/$F$317)*100</f>
        <v>7.713100275172215</v>
      </c>
      <c r="H333" s="96">
        <f>D333-F333</f>
        <v>5270489202.879999</v>
      </c>
      <c r="I333" s="96">
        <f>I334+I339+I342+I348+I356+I362+I366+I368+I372+I375+I383+I386+I390+I393+I395+I397+I399+I406+I411+I413+I416+I422+I426+I429+I419</f>
        <v>1326530108.7099996</v>
      </c>
      <c r="J333" s="96">
        <f>J334+J339+J342+J348+J356+J362+J366+J368+J372+J375+J383+J386+J390+J393+J395+J397+J399+J406+J411+J413+J416+J422+J426+J429+J419</f>
        <v>2400058569.7</v>
      </c>
      <c r="K333" s="98">
        <f aca="true" t="shared" si="62" ref="K333:K397">(J333/$J$317)*100</f>
        <v>7.802844175022332</v>
      </c>
      <c r="L333" s="99">
        <f>D333-J333</f>
        <v>5700595968.799999</v>
      </c>
    </row>
    <row r="334" spans="1:12" ht="14.25" customHeight="1">
      <c r="A334" s="45" t="s">
        <v>25</v>
      </c>
      <c r="B334" s="100" t="s">
        <v>24</v>
      </c>
      <c r="C334" s="65">
        <f>SUM(C335:C338)</f>
        <v>178044735</v>
      </c>
      <c r="D334" s="65">
        <f>SUM(D335:D338)</f>
        <v>213438753</v>
      </c>
      <c r="E334" s="65">
        <f>SUM(E335:E338)</f>
        <v>4146211.849999994</v>
      </c>
      <c r="F334" s="65">
        <f>SUM(F335:F338)</f>
        <v>84646058.88</v>
      </c>
      <c r="G334" s="97">
        <f t="shared" si="61"/>
        <v>0.23068742020916078</v>
      </c>
      <c r="H334" s="65">
        <f aca="true" t="shared" si="63" ref="H334:H398">D334-F334</f>
        <v>128792694.12</v>
      </c>
      <c r="I334" s="65">
        <f>SUM(I335:I337)</f>
        <v>19739602.790000003</v>
      </c>
      <c r="J334" s="65">
        <f>SUM(J335:J337)</f>
        <v>38706308.78</v>
      </c>
      <c r="K334" s="47">
        <f t="shared" si="62"/>
        <v>0.12583830237042518</v>
      </c>
      <c r="L334" s="99">
        <f aca="true" t="shared" si="64" ref="L334:L398">D334-J334</f>
        <v>174732444.22</v>
      </c>
    </row>
    <row r="335" spans="1:12" ht="14.25" customHeight="1">
      <c r="A335" s="48" t="s">
        <v>26</v>
      </c>
      <c r="B335" s="60" t="s">
        <v>31</v>
      </c>
      <c r="C335" s="66">
        <v>0</v>
      </c>
      <c r="D335" s="66">
        <v>0</v>
      </c>
      <c r="E335" s="66">
        <f>F335-0</f>
        <v>0</v>
      </c>
      <c r="F335" s="66">
        <v>0</v>
      </c>
      <c r="G335" s="58">
        <f t="shared" si="61"/>
        <v>0</v>
      </c>
      <c r="H335" s="65">
        <f t="shared" si="63"/>
        <v>0</v>
      </c>
      <c r="I335" s="66">
        <f>J335-0</f>
        <v>0</v>
      </c>
      <c r="J335" s="66">
        <v>0</v>
      </c>
      <c r="K335" s="51">
        <f t="shared" si="62"/>
        <v>0</v>
      </c>
      <c r="L335" s="91">
        <f t="shared" si="64"/>
        <v>0</v>
      </c>
    </row>
    <row r="336" spans="1:12" ht="14.25" customHeight="1">
      <c r="A336" s="48" t="s">
        <v>28</v>
      </c>
      <c r="B336" s="60" t="s">
        <v>33</v>
      </c>
      <c r="C336" s="114">
        <v>177739199</v>
      </c>
      <c r="D336" s="114">
        <v>213043998</v>
      </c>
      <c r="E336" s="66">
        <f>F336-80499847.03</f>
        <v>4146211.849999994</v>
      </c>
      <c r="F336" s="115">
        <v>84646058.88</v>
      </c>
      <c r="G336" s="58">
        <f t="shared" si="61"/>
        <v>0.23068742020916078</v>
      </c>
      <c r="H336" s="66">
        <f t="shared" si="63"/>
        <v>128397939.12</v>
      </c>
      <c r="I336" s="66">
        <f>J336-18966705.99</f>
        <v>19739602.790000003</v>
      </c>
      <c r="J336" s="114">
        <v>38706308.78</v>
      </c>
      <c r="K336" s="51">
        <f t="shared" si="62"/>
        <v>0.12583830237042518</v>
      </c>
      <c r="L336" s="91">
        <f t="shared" si="64"/>
        <v>174337689.22</v>
      </c>
    </row>
    <row r="337" spans="1:12" ht="14.25" customHeight="1">
      <c r="A337" s="48" t="s">
        <v>50</v>
      </c>
      <c r="B337" s="60" t="s">
        <v>57</v>
      </c>
      <c r="C337" s="114">
        <v>300000</v>
      </c>
      <c r="D337" s="114">
        <v>389219</v>
      </c>
      <c r="E337" s="66">
        <f>F337-0</f>
        <v>0</v>
      </c>
      <c r="F337" s="66">
        <v>0</v>
      </c>
      <c r="G337" s="58">
        <f t="shared" si="61"/>
        <v>0</v>
      </c>
      <c r="H337" s="66">
        <f t="shared" si="63"/>
        <v>389219</v>
      </c>
      <c r="I337" s="66">
        <f>J337-0</f>
        <v>0</v>
      </c>
      <c r="J337" s="66">
        <v>0</v>
      </c>
      <c r="K337" s="51">
        <f t="shared" si="62"/>
        <v>0</v>
      </c>
      <c r="L337" s="91">
        <f t="shared" si="64"/>
        <v>389219</v>
      </c>
    </row>
    <row r="338" spans="1:12" ht="14.25" customHeight="1">
      <c r="A338" s="77" t="s">
        <v>29</v>
      </c>
      <c r="B338" s="101" t="s">
        <v>34</v>
      </c>
      <c r="C338" s="114">
        <v>5536</v>
      </c>
      <c r="D338" s="114">
        <v>5536</v>
      </c>
      <c r="E338" s="66">
        <f>F338-0</f>
        <v>0</v>
      </c>
      <c r="F338" s="66">
        <v>0</v>
      </c>
      <c r="G338" s="58">
        <f t="shared" si="61"/>
        <v>0</v>
      </c>
      <c r="H338" s="66">
        <f t="shared" si="63"/>
        <v>5536</v>
      </c>
      <c r="I338" s="66">
        <v>0</v>
      </c>
      <c r="J338" s="66">
        <v>0</v>
      </c>
      <c r="K338" s="51">
        <f t="shared" si="62"/>
        <v>0</v>
      </c>
      <c r="L338" s="91">
        <f t="shared" si="64"/>
        <v>5536</v>
      </c>
    </row>
    <row r="339" spans="1:12" ht="14.25" customHeight="1">
      <c r="A339" s="45" t="s">
        <v>36</v>
      </c>
      <c r="B339" s="95" t="s">
        <v>37</v>
      </c>
      <c r="C339" s="65">
        <f>SUM(C340:C341)</f>
        <v>765100000</v>
      </c>
      <c r="D339" s="65">
        <f>SUM(D340:D341)</f>
        <v>765100000</v>
      </c>
      <c r="E339" s="65">
        <f>SUM(E340:E341)</f>
        <v>118262651.75999999</v>
      </c>
      <c r="F339" s="65">
        <f>SUM(F340:F341)</f>
        <v>233183793.12</v>
      </c>
      <c r="G339" s="97">
        <f t="shared" si="61"/>
        <v>0.6354999675259477</v>
      </c>
      <c r="H339" s="65">
        <f t="shared" si="63"/>
        <v>531916206.88</v>
      </c>
      <c r="I339" s="65">
        <f>SUM(I340:I341)</f>
        <v>118262651.75999999</v>
      </c>
      <c r="J339" s="65">
        <f>SUM(J340:J341)</f>
        <v>233159793.12</v>
      </c>
      <c r="K339" s="47">
        <f t="shared" si="62"/>
        <v>0.7580271400723408</v>
      </c>
      <c r="L339" s="99">
        <f t="shared" si="64"/>
        <v>531940206.88</v>
      </c>
    </row>
    <row r="340" spans="1:12" ht="14.25" customHeight="1">
      <c r="A340" s="48" t="s">
        <v>38</v>
      </c>
      <c r="B340" s="60" t="s">
        <v>40</v>
      </c>
      <c r="C340" s="111">
        <v>100000</v>
      </c>
      <c r="D340" s="111">
        <v>100000</v>
      </c>
      <c r="E340" s="66">
        <f>F340-24096.24</f>
        <v>0</v>
      </c>
      <c r="F340" s="115">
        <v>24096.24</v>
      </c>
      <c r="G340" s="58">
        <f t="shared" si="61"/>
        <v>6.566991441646656E-05</v>
      </c>
      <c r="H340" s="66">
        <f t="shared" si="63"/>
        <v>75903.76</v>
      </c>
      <c r="I340" s="66">
        <f>J340-96.24</f>
        <v>0</v>
      </c>
      <c r="J340" s="111">
        <v>96.24</v>
      </c>
      <c r="K340" s="51">
        <f t="shared" si="62"/>
        <v>3.128864157252692E-07</v>
      </c>
      <c r="L340" s="91">
        <f t="shared" si="64"/>
        <v>99903.76</v>
      </c>
    </row>
    <row r="341" spans="1:12" ht="14.25" customHeight="1">
      <c r="A341" s="48" t="s">
        <v>28</v>
      </c>
      <c r="B341" s="60" t="s">
        <v>33</v>
      </c>
      <c r="C341" s="111">
        <v>765000000</v>
      </c>
      <c r="D341" s="111">
        <v>765000000</v>
      </c>
      <c r="E341" s="66">
        <f>F341-114897045.12</f>
        <v>118262651.75999999</v>
      </c>
      <c r="F341" s="115">
        <v>233159696.88</v>
      </c>
      <c r="G341" s="58">
        <f t="shared" si="61"/>
        <v>0.6354342976115313</v>
      </c>
      <c r="H341" s="66">
        <f t="shared" si="63"/>
        <v>531840303.12</v>
      </c>
      <c r="I341" s="66">
        <f>J341-114897045.12</f>
        <v>118262651.75999999</v>
      </c>
      <c r="J341" s="111">
        <v>233159696.88</v>
      </c>
      <c r="K341" s="51">
        <f t="shared" si="62"/>
        <v>0.7580268271859252</v>
      </c>
      <c r="L341" s="91">
        <f t="shared" si="64"/>
        <v>531840303.12</v>
      </c>
    </row>
    <row r="342" spans="1:12" ht="14.25" customHeight="1">
      <c r="A342" s="45" t="s">
        <v>42</v>
      </c>
      <c r="B342" s="100" t="s">
        <v>43</v>
      </c>
      <c r="C342" s="65">
        <f>SUM(C343:C347)</f>
        <v>507919527</v>
      </c>
      <c r="D342" s="65">
        <f>SUM(D343:D347)</f>
        <v>572103792</v>
      </c>
      <c r="E342" s="65">
        <f>SUM(E343:E347)</f>
        <v>84208563.32999998</v>
      </c>
      <c r="F342" s="65">
        <f>SUM(F343:F347)</f>
        <v>411045483.72999996</v>
      </c>
      <c r="G342" s="97">
        <f t="shared" si="61"/>
        <v>1.1202296183065985</v>
      </c>
      <c r="H342" s="65">
        <f t="shared" si="63"/>
        <v>161058308.27000004</v>
      </c>
      <c r="I342" s="65">
        <f>SUM(I343+I344+I345+I347+I346)</f>
        <v>99586181.30999999</v>
      </c>
      <c r="J342" s="65">
        <f>SUM(J343:J347)</f>
        <v>184842968.20999998</v>
      </c>
      <c r="K342" s="47">
        <f t="shared" si="62"/>
        <v>0.6009440336164461</v>
      </c>
      <c r="L342" s="99">
        <f t="shared" si="64"/>
        <v>387260823.79</v>
      </c>
    </row>
    <row r="343" spans="1:12" ht="14.25" customHeight="1">
      <c r="A343" s="48" t="s">
        <v>44</v>
      </c>
      <c r="B343" s="60" t="s">
        <v>45</v>
      </c>
      <c r="C343" s="65">
        <v>0</v>
      </c>
      <c r="D343" s="66">
        <v>0</v>
      </c>
      <c r="E343" s="66">
        <f>F343-0</f>
        <v>0</v>
      </c>
      <c r="F343" s="66">
        <v>0</v>
      </c>
      <c r="G343" s="97">
        <f t="shared" si="61"/>
        <v>0</v>
      </c>
      <c r="H343" s="65">
        <f t="shared" si="63"/>
        <v>0</v>
      </c>
      <c r="I343" s="65">
        <f>J343-0</f>
        <v>0</v>
      </c>
      <c r="J343" s="65">
        <v>0</v>
      </c>
      <c r="K343" s="47">
        <f t="shared" si="62"/>
        <v>0</v>
      </c>
      <c r="L343" s="99">
        <f t="shared" si="64"/>
        <v>0</v>
      </c>
    </row>
    <row r="344" spans="1:12" ht="14.25" customHeight="1">
      <c r="A344" s="48" t="s">
        <v>229</v>
      </c>
      <c r="B344" s="60" t="s">
        <v>230</v>
      </c>
      <c r="C344" s="66">
        <v>0</v>
      </c>
      <c r="D344" s="66">
        <v>0</v>
      </c>
      <c r="E344" s="66">
        <f>F344-0</f>
        <v>0</v>
      </c>
      <c r="F344" s="66">
        <v>0</v>
      </c>
      <c r="G344" s="58">
        <f t="shared" si="61"/>
        <v>0</v>
      </c>
      <c r="H344" s="66">
        <f t="shared" si="63"/>
        <v>0</v>
      </c>
      <c r="I344" s="66">
        <f>J344-0</f>
        <v>0</v>
      </c>
      <c r="J344" s="66">
        <v>0</v>
      </c>
      <c r="K344" s="51">
        <f t="shared" si="62"/>
        <v>0</v>
      </c>
      <c r="L344" s="91">
        <f t="shared" si="64"/>
        <v>0</v>
      </c>
    </row>
    <row r="345" spans="1:12" ht="14.25" customHeight="1">
      <c r="A345" s="48" t="s">
        <v>28</v>
      </c>
      <c r="B345" s="60" t="s">
        <v>33</v>
      </c>
      <c r="C345" s="111">
        <v>507449527</v>
      </c>
      <c r="D345" s="111">
        <v>570913792</v>
      </c>
      <c r="E345" s="66">
        <f>F345-326791311.57</f>
        <v>84111828.07999998</v>
      </c>
      <c r="F345" s="115">
        <v>410903139.65</v>
      </c>
      <c r="G345" s="58">
        <f t="shared" si="61"/>
        <v>1.1198416854361055</v>
      </c>
      <c r="H345" s="66">
        <f t="shared" si="63"/>
        <v>160010652.35000002</v>
      </c>
      <c r="I345" s="66">
        <f>J345-85229674.49</f>
        <v>99540572.49</v>
      </c>
      <c r="J345" s="111">
        <v>184770246.98</v>
      </c>
      <c r="K345" s="51">
        <f t="shared" si="62"/>
        <v>0.6007076092086965</v>
      </c>
      <c r="L345" s="91">
        <f t="shared" si="64"/>
        <v>386143545.02</v>
      </c>
    </row>
    <row r="346" spans="1:12" ht="14.25" customHeight="1">
      <c r="A346" s="48" t="s">
        <v>50</v>
      </c>
      <c r="B346" s="60" t="s">
        <v>57</v>
      </c>
      <c r="C346" s="111">
        <v>250000</v>
      </c>
      <c r="D346" s="111">
        <v>850000</v>
      </c>
      <c r="E346" s="66">
        <f>F346-36992.83</f>
        <v>62271.25</v>
      </c>
      <c r="F346" s="115">
        <v>99264.08</v>
      </c>
      <c r="G346" s="58">
        <f t="shared" si="61"/>
        <v>0.0002705261749646123</v>
      </c>
      <c r="H346" s="66">
        <f t="shared" si="63"/>
        <v>750735.92</v>
      </c>
      <c r="I346" s="66">
        <f>J346-18496.41</f>
        <v>36992.82000000001</v>
      </c>
      <c r="J346" s="111">
        <v>55489.23</v>
      </c>
      <c r="K346" s="51">
        <f t="shared" si="62"/>
        <v>0.0001804013537620021</v>
      </c>
      <c r="L346" s="91">
        <f t="shared" si="64"/>
        <v>794510.77</v>
      </c>
    </row>
    <row r="347" spans="1:12" ht="14.25" customHeight="1">
      <c r="A347" s="48" t="s">
        <v>29</v>
      </c>
      <c r="B347" s="60" t="s">
        <v>263</v>
      </c>
      <c r="C347" s="111">
        <v>220000</v>
      </c>
      <c r="D347" s="111">
        <v>340000</v>
      </c>
      <c r="E347" s="66">
        <f>F347-8616</f>
        <v>34464</v>
      </c>
      <c r="F347" s="115">
        <v>43080</v>
      </c>
      <c r="G347" s="58">
        <f t="shared" si="61"/>
        <v>0.00011740669552848822</v>
      </c>
      <c r="H347" s="66">
        <f t="shared" si="63"/>
        <v>296920</v>
      </c>
      <c r="I347" s="66">
        <f>J347-8616</f>
        <v>8616</v>
      </c>
      <c r="J347" s="111">
        <v>17232</v>
      </c>
      <c r="K347" s="51">
        <f t="shared" si="62"/>
        <v>5.6023053987716535E-05</v>
      </c>
      <c r="L347" s="91">
        <f t="shared" si="64"/>
        <v>322768</v>
      </c>
    </row>
    <row r="348" spans="1:12" ht="14.25" customHeight="1">
      <c r="A348" s="45" t="s">
        <v>46</v>
      </c>
      <c r="B348" s="100" t="s">
        <v>47</v>
      </c>
      <c r="C348" s="65">
        <f>SUM(C349:C355)</f>
        <v>201992642</v>
      </c>
      <c r="D348" s="65">
        <f>SUM(D349:D355)</f>
        <v>202451963.5</v>
      </c>
      <c r="E348" s="65">
        <f>SUM(E349:E355)</f>
        <v>29883813.380000003</v>
      </c>
      <c r="F348" s="65">
        <f>SUM(F349:F355)</f>
        <v>59684757.67</v>
      </c>
      <c r="G348" s="97">
        <f t="shared" si="61"/>
        <v>0.16265993898452397</v>
      </c>
      <c r="H348" s="65">
        <f t="shared" si="63"/>
        <v>142767205.82999998</v>
      </c>
      <c r="I348" s="65">
        <f>SUM(I349:I355)</f>
        <v>28692814.630000003</v>
      </c>
      <c r="J348" s="65">
        <f>SUM(J349:J355)</f>
        <v>53721234.87</v>
      </c>
      <c r="K348" s="47">
        <f t="shared" si="62"/>
        <v>0.17465341465928563</v>
      </c>
      <c r="L348" s="99">
        <f t="shared" si="64"/>
        <v>148730728.63</v>
      </c>
    </row>
    <row r="349" spans="1:12" ht="14.25" customHeight="1">
      <c r="A349" s="48" t="s">
        <v>28</v>
      </c>
      <c r="B349" s="60" t="s">
        <v>33</v>
      </c>
      <c r="C349" s="111">
        <v>201904642</v>
      </c>
      <c r="D349" s="111">
        <v>202363963.5</v>
      </c>
      <c r="E349" s="66">
        <f>F349-29786702.65</f>
        <v>29883813.380000003</v>
      </c>
      <c r="F349" s="115">
        <v>59670516.03</v>
      </c>
      <c r="G349" s="58">
        <f t="shared" si="61"/>
        <v>0.16262112598797554</v>
      </c>
      <c r="H349" s="66">
        <f t="shared" si="63"/>
        <v>142693447.47</v>
      </c>
      <c r="I349" s="66">
        <f>J349-25028420.24</f>
        <v>28682133.400000002</v>
      </c>
      <c r="J349" s="111">
        <v>53710553.64</v>
      </c>
      <c r="K349" s="51">
        <f t="shared" si="62"/>
        <v>0.17461868885119922</v>
      </c>
      <c r="L349" s="91">
        <f t="shared" si="64"/>
        <v>148653409.86</v>
      </c>
    </row>
    <row r="350" spans="1:12" ht="14.25" customHeight="1">
      <c r="A350" s="48" t="s">
        <v>39</v>
      </c>
      <c r="B350" s="60" t="s">
        <v>41</v>
      </c>
      <c r="C350" s="66">
        <v>0</v>
      </c>
      <c r="D350" s="66">
        <v>0</v>
      </c>
      <c r="E350" s="66">
        <f aca="true" t="shared" si="65" ref="E350:E355">F350-0</f>
        <v>0</v>
      </c>
      <c r="F350" s="66">
        <v>0</v>
      </c>
      <c r="G350" s="58">
        <f t="shared" si="61"/>
        <v>0</v>
      </c>
      <c r="H350" s="66">
        <f t="shared" si="63"/>
        <v>0</v>
      </c>
      <c r="I350" s="66">
        <f aca="true" t="shared" si="66" ref="I350:I355">J350-0</f>
        <v>0</v>
      </c>
      <c r="J350" s="66">
        <v>0</v>
      </c>
      <c r="K350" s="51">
        <f t="shared" si="62"/>
        <v>0</v>
      </c>
      <c r="L350" s="91">
        <f t="shared" si="64"/>
        <v>0</v>
      </c>
    </row>
    <row r="351" spans="1:15" ht="14.25" customHeight="1">
      <c r="A351" s="48" t="s">
        <v>232</v>
      </c>
      <c r="B351" s="60" t="s">
        <v>231</v>
      </c>
      <c r="C351" s="66">
        <v>0</v>
      </c>
      <c r="D351" s="66">
        <v>0</v>
      </c>
      <c r="E351" s="66">
        <f t="shared" si="65"/>
        <v>0</v>
      </c>
      <c r="F351" s="66">
        <v>0</v>
      </c>
      <c r="G351" s="58">
        <f t="shared" si="61"/>
        <v>0</v>
      </c>
      <c r="H351" s="66">
        <f t="shared" si="63"/>
        <v>0</v>
      </c>
      <c r="I351" s="66">
        <f t="shared" si="66"/>
        <v>0</v>
      </c>
      <c r="J351" s="66">
        <v>0</v>
      </c>
      <c r="K351" s="51">
        <f t="shared" si="62"/>
        <v>0</v>
      </c>
      <c r="L351" s="91">
        <f t="shared" si="64"/>
        <v>0</v>
      </c>
      <c r="N351" s="116"/>
      <c r="O351" s="116"/>
    </row>
    <row r="352" spans="1:15" ht="14.25" customHeight="1">
      <c r="A352" s="48" t="s">
        <v>49</v>
      </c>
      <c r="B352" s="60" t="s">
        <v>56</v>
      </c>
      <c r="C352" s="111">
        <v>88000</v>
      </c>
      <c r="D352" s="111">
        <v>88000</v>
      </c>
      <c r="E352" s="66">
        <f>F352-14241.64</f>
        <v>0</v>
      </c>
      <c r="F352" s="115">
        <v>14241.64</v>
      </c>
      <c r="G352" s="58">
        <f t="shared" si="61"/>
        <v>3.881299654842941E-05</v>
      </c>
      <c r="H352" s="66">
        <f t="shared" si="63"/>
        <v>73758.36</v>
      </c>
      <c r="I352" s="66">
        <f t="shared" si="66"/>
        <v>10681.23</v>
      </c>
      <c r="J352" s="66">
        <v>10681.23</v>
      </c>
      <c r="K352" s="51">
        <f t="shared" si="62"/>
        <v>3.472580808642163E-05</v>
      </c>
      <c r="L352" s="91">
        <f t="shared" si="64"/>
        <v>77318.77</v>
      </c>
      <c r="N352" s="82"/>
      <c r="O352" s="82"/>
    </row>
    <row r="353" spans="1:12" ht="14.25" customHeight="1">
      <c r="A353" s="48" t="s">
        <v>236</v>
      </c>
      <c r="B353" s="60" t="s">
        <v>235</v>
      </c>
      <c r="C353" s="66">
        <v>0</v>
      </c>
      <c r="D353" s="66">
        <v>0</v>
      </c>
      <c r="E353" s="66">
        <f t="shared" si="65"/>
        <v>0</v>
      </c>
      <c r="F353" s="66">
        <v>0</v>
      </c>
      <c r="G353" s="58">
        <f t="shared" si="61"/>
        <v>0</v>
      </c>
      <c r="H353" s="66">
        <f t="shared" si="63"/>
        <v>0</v>
      </c>
      <c r="I353" s="66">
        <f t="shared" si="66"/>
        <v>0</v>
      </c>
      <c r="J353" s="66">
        <v>0</v>
      </c>
      <c r="K353" s="51">
        <f t="shared" si="62"/>
        <v>0</v>
      </c>
      <c r="L353" s="91">
        <f t="shared" si="64"/>
        <v>0</v>
      </c>
    </row>
    <row r="354" spans="1:12" ht="14.25" customHeight="1">
      <c r="A354" s="48" t="s">
        <v>96</v>
      </c>
      <c r="B354" s="60" t="s">
        <v>102</v>
      </c>
      <c r="C354" s="66">
        <v>0</v>
      </c>
      <c r="D354" s="66">
        <v>0</v>
      </c>
      <c r="E354" s="66">
        <f t="shared" si="65"/>
        <v>0</v>
      </c>
      <c r="F354" s="66">
        <v>0</v>
      </c>
      <c r="G354" s="58">
        <f t="shared" si="61"/>
        <v>0</v>
      </c>
      <c r="H354" s="66">
        <f t="shared" si="63"/>
        <v>0</v>
      </c>
      <c r="I354" s="66">
        <f t="shared" si="66"/>
        <v>0</v>
      </c>
      <c r="J354" s="66">
        <v>0</v>
      </c>
      <c r="K354" s="51">
        <f t="shared" si="62"/>
        <v>0</v>
      </c>
      <c r="L354" s="91">
        <f t="shared" si="64"/>
        <v>0</v>
      </c>
    </row>
    <row r="355" spans="1:12" ht="14.25" customHeight="1">
      <c r="A355" s="48" t="s">
        <v>97</v>
      </c>
      <c r="B355" s="60" t="s">
        <v>237</v>
      </c>
      <c r="C355" s="66">
        <v>0</v>
      </c>
      <c r="D355" s="66">
        <v>0</v>
      </c>
      <c r="E355" s="66">
        <f t="shared" si="65"/>
        <v>0</v>
      </c>
      <c r="F355" s="66">
        <v>0</v>
      </c>
      <c r="G355" s="58">
        <f t="shared" si="61"/>
        <v>0</v>
      </c>
      <c r="H355" s="66">
        <f t="shared" si="63"/>
        <v>0</v>
      </c>
      <c r="I355" s="66">
        <f t="shared" si="66"/>
        <v>0</v>
      </c>
      <c r="J355" s="66">
        <v>0</v>
      </c>
      <c r="K355" s="51">
        <f t="shared" si="62"/>
        <v>0</v>
      </c>
      <c r="L355" s="91">
        <f t="shared" si="64"/>
        <v>0</v>
      </c>
    </row>
    <row r="356" spans="1:12" ht="14.25" customHeight="1">
      <c r="A356" s="45" t="s">
        <v>63</v>
      </c>
      <c r="B356" s="100" t="s">
        <v>62</v>
      </c>
      <c r="C356" s="65">
        <f>SUM(C357:C361)</f>
        <v>1177249392</v>
      </c>
      <c r="D356" s="65">
        <f>SUM(D357:D361)</f>
        <v>1121034769.24</v>
      </c>
      <c r="E356" s="65">
        <f>SUM(E357:E361)</f>
        <v>110469571.28999999</v>
      </c>
      <c r="F356" s="65">
        <f>SUM(F357:F361)</f>
        <v>232290153.75</v>
      </c>
      <c r="G356" s="97">
        <f t="shared" si="61"/>
        <v>0.6330645161465173</v>
      </c>
      <c r="H356" s="65">
        <f t="shared" si="63"/>
        <v>888744615.49</v>
      </c>
      <c r="I356" s="65">
        <f>SUM(I357:I361)</f>
        <v>109793796.18</v>
      </c>
      <c r="J356" s="65">
        <f>SUM(J357:J361)</f>
        <v>230755770.4</v>
      </c>
      <c r="K356" s="47">
        <f t="shared" si="62"/>
        <v>0.7502114080255525</v>
      </c>
      <c r="L356" s="99">
        <f t="shared" si="64"/>
        <v>890278998.84</v>
      </c>
    </row>
    <row r="357" spans="1:12" ht="14.25" customHeight="1">
      <c r="A357" s="48" t="s">
        <v>28</v>
      </c>
      <c r="B357" s="60" t="s">
        <v>33</v>
      </c>
      <c r="C357" s="111">
        <v>1018474601</v>
      </c>
      <c r="D357" s="111">
        <v>1018975978.24</v>
      </c>
      <c r="E357" s="66">
        <f>F357-121523854.62</f>
        <v>110370662.00999999</v>
      </c>
      <c r="F357" s="115">
        <v>231894516.63</v>
      </c>
      <c r="G357" s="58">
        <f t="shared" si="61"/>
        <v>0.6319862792178356</v>
      </c>
      <c r="H357" s="66">
        <f t="shared" si="63"/>
        <v>787081461.61</v>
      </c>
      <c r="I357" s="66">
        <f>J357-120961974.22</f>
        <v>109602964.05000001</v>
      </c>
      <c r="J357" s="111">
        <v>230564938.27</v>
      </c>
      <c r="K357" s="51">
        <f t="shared" si="62"/>
        <v>0.7495909925937059</v>
      </c>
      <c r="L357" s="91">
        <f t="shared" si="64"/>
        <v>788411039.97</v>
      </c>
    </row>
    <row r="358" spans="1:12" ht="14.25" customHeight="1">
      <c r="A358" s="48" t="s">
        <v>49</v>
      </c>
      <c r="B358" s="60" t="s">
        <v>56</v>
      </c>
      <c r="C358" s="111">
        <v>158774791</v>
      </c>
      <c r="D358" s="111">
        <v>102058791</v>
      </c>
      <c r="E358" s="66">
        <f>F358-296727.84</f>
        <v>98909.27999999997</v>
      </c>
      <c r="F358" s="115">
        <v>395637.12</v>
      </c>
      <c r="G358" s="58">
        <f t="shared" si="61"/>
        <v>0.0010782369286817075</v>
      </c>
      <c r="H358" s="66">
        <f t="shared" si="63"/>
        <v>101663153.88</v>
      </c>
      <c r="I358" s="66">
        <f>J358-0</f>
        <v>190832.13</v>
      </c>
      <c r="J358" s="66">
        <v>190832.13</v>
      </c>
      <c r="K358" s="51">
        <f t="shared" si="62"/>
        <v>0.0006204154318466191</v>
      </c>
      <c r="L358" s="91">
        <f t="shared" si="64"/>
        <v>101867958.87</v>
      </c>
    </row>
    <row r="359" spans="1:12" ht="14.25" customHeight="1">
      <c r="A359" s="48" t="s">
        <v>29</v>
      </c>
      <c r="B359" s="60" t="s">
        <v>34</v>
      </c>
      <c r="C359" s="66">
        <v>0</v>
      </c>
      <c r="D359" s="66">
        <v>0</v>
      </c>
      <c r="E359" s="66">
        <f>F359-0</f>
        <v>0</v>
      </c>
      <c r="F359" s="66">
        <v>0</v>
      </c>
      <c r="G359" s="58">
        <f t="shared" si="61"/>
        <v>0</v>
      </c>
      <c r="H359" s="66">
        <f t="shared" si="63"/>
        <v>0</v>
      </c>
      <c r="I359" s="66">
        <f>J359-0</f>
        <v>0</v>
      </c>
      <c r="J359" s="66">
        <v>0</v>
      </c>
      <c r="K359" s="51">
        <f t="shared" si="62"/>
        <v>0</v>
      </c>
      <c r="L359" s="91">
        <f t="shared" si="64"/>
        <v>0</v>
      </c>
    </row>
    <row r="360" spans="1:12" ht="14.25" customHeight="1">
      <c r="A360" s="48" t="s">
        <v>64</v>
      </c>
      <c r="B360" s="60" t="s">
        <v>72</v>
      </c>
      <c r="C360" s="66">
        <v>0</v>
      </c>
      <c r="D360" s="66">
        <v>0</v>
      </c>
      <c r="E360" s="66">
        <f>F360-0</f>
        <v>0</v>
      </c>
      <c r="F360" s="66">
        <v>0</v>
      </c>
      <c r="G360" s="58">
        <f t="shared" si="61"/>
        <v>0</v>
      </c>
      <c r="H360" s="66">
        <f t="shared" si="63"/>
        <v>0</v>
      </c>
      <c r="I360" s="66">
        <f>J360-0</f>
        <v>0</v>
      </c>
      <c r="J360" s="66">
        <v>0</v>
      </c>
      <c r="K360" s="51">
        <f t="shared" si="62"/>
        <v>0</v>
      </c>
      <c r="L360" s="91">
        <f t="shared" si="64"/>
        <v>0</v>
      </c>
    </row>
    <row r="361" spans="1:12" ht="14.25" customHeight="1">
      <c r="A361" s="48" t="s">
        <v>65</v>
      </c>
      <c r="B361" s="60" t="s">
        <v>73</v>
      </c>
      <c r="C361" s="66">
        <v>0</v>
      </c>
      <c r="D361" s="66">
        <v>0</v>
      </c>
      <c r="E361" s="66">
        <f>F361-0</f>
        <v>0</v>
      </c>
      <c r="F361" s="66">
        <v>0</v>
      </c>
      <c r="G361" s="58">
        <f t="shared" si="61"/>
        <v>0</v>
      </c>
      <c r="H361" s="66">
        <f t="shared" si="63"/>
        <v>0</v>
      </c>
      <c r="I361" s="66">
        <f>J361-0</f>
        <v>0</v>
      </c>
      <c r="J361" s="66">
        <v>0</v>
      </c>
      <c r="K361" s="51">
        <f t="shared" si="62"/>
        <v>0</v>
      </c>
      <c r="L361" s="91">
        <f t="shared" si="64"/>
        <v>0</v>
      </c>
    </row>
    <row r="362" spans="1:12" ht="14.25" customHeight="1">
      <c r="A362" s="45" t="s">
        <v>81</v>
      </c>
      <c r="B362" s="100" t="s">
        <v>80</v>
      </c>
      <c r="C362" s="65">
        <f>SUM(C363:C365)</f>
        <v>2768515</v>
      </c>
      <c r="D362" s="65">
        <f>SUM(D363:D365)</f>
        <v>4828915</v>
      </c>
      <c r="E362" s="65">
        <f>SUM(E363:E365)</f>
        <v>1494317.43</v>
      </c>
      <c r="F362" s="65">
        <f>SUM(F363:F365)</f>
        <v>1902117.25</v>
      </c>
      <c r="G362" s="97">
        <f t="shared" si="61"/>
        <v>0.005183874206829975</v>
      </c>
      <c r="H362" s="65">
        <f t="shared" si="63"/>
        <v>2926797.75</v>
      </c>
      <c r="I362" s="65">
        <f>SUM(I363:I365)</f>
        <v>1456685.28</v>
      </c>
      <c r="J362" s="65">
        <f>SUM(J363:J365)</f>
        <v>1784829.45</v>
      </c>
      <c r="K362" s="47">
        <f t="shared" si="62"/>
        <v>0.005802669256976346</v>
      </c>
      <c r="L362" s="99">
        <f t="shared" si="64"/>
        <v>3044085.55</v>
      </c>
    </row>
    <row r="363" spans="1:12" ht="14.25" customHeight="1">
      <c r="A363" s="48" t="s">
        <v>28</v>
      </c>
      <c r="B363" s="60" t="s">
        <v>33</v>
      </c>
      <c r="C363" s="111">
        <v>2238515</v>
      </c>
      <c r="D363" s="111">
        <v>4298915</v>
      </c>
      <c r="E363" s="66">
        <f>F363-373180.85</f>
        <v>1452229.8199999998</v>
      </c>
      <c r="F363" s="115">
        <v>1825410.67</v>
      </c>
      <c r="G363" s="58">
        <f t="shared" si="61"/>
        <v>0.004974824390602221</v>
      </c>
      <c r="H363" s="66">
        <f t="shared" si="63"/>
        <v>2473504.33</v>
      </c>
      <c r="I363" s="66">
        <f>J363-297584.46</f>
        <v>1428681.92</v>
      </c>
      <c r="J363" s="111">
        <v>1726266.38</v>
      </c>
      <c r="K363" s="51">
        <f t="shared" si="62"/>
        <v>0.005612274524368616</v>
      </c>
      <c r="L363" s="91">
        <f t="shared" si="64"/>
        <v>2572648.62</v>
      </c>
    </row>
    <row r="364" spans="1:12" ht="14.25" customHeight="1">
      <c r="A364" s="48" t="s">
        <v>82</v>
      </c>
      <c r="B364" s="60" t="s">
        <v>84</v>
      </c>
      <c r="C364" s="111">
        <v>530000</v>
      </c>
      <c r="D364" s="111">
        <v>530000</v>
      </c>
      <c r="E364" s="66">
        <f>F364-34618.97</f>
        <v>42087.61</v>
      </c>
      <c r="F364" s="115">
        <v>76706.58</v>
      </c>
      <c r="G364" s="58">
        <f t="shared" si="61"/>
        <v>0.0002090498162277536</v>
      </c>
      <c r="H364" s="66">
        <f t="shared" si="63"/>
        <v>453293.42</v>
      </c>
      <c r="I364" s="66">
        <f>J364-30559.71</f>
        <v>28003.36</v>
      </c>
      <c r="J364" s="111">
        <v>58563.07</v>
      </c>
      <c r="K364" s="51">
        <f t="shared" si="62"/>
        <v>0.0001903947326077311</v>
      </c>
      <c r="L364" s="91">
        <f t="shared" si="64"/>
        <v>471436.93</v>
      </c>
    </row>
    <row r="365" spans="1:12" ht="14.25" customHeight="1">
      <c r="A365" s="48" t="s">
        <v>83</v>
      </c>
      <c r="B365" s="60" t="s">
        <v>264</v>
      </c>
      <c r="C365" s="66">
        <v>0</v>
      </c>
      <c r="D365" s="66">
        <v>0</v>
      </c>
      <c r="E365" s="66">
        <f>F365-0</f>
        <v>0</v>
      </c>
      <c r="F365" s="66">
        <v>0</v>
      </c>
      <c r="G365" s="58">
        <f t="shared" si="61"/>
        <v>0</v>
      </c>
      <c r="H365" s="66">
        <f t="shared" si="63"/>
        <v>0</v>
      </c>
      <c r="I365" s="66">
        <f>J365-0</f>
        <v>0</v>
      </c>
      <c r="J365" s="66">
        <v>0</v>
      </c>
      <c r="K365" s="51">
        <f t="shared" si="62"/>
        <v>0</v>
      </c>
      <c r="L365" s="91">
        <f t="shared" si="64"/>
        <v>0</v>
      </c>
    </row>
    <row r="366" spans="1:12" ht="14.25" customHeight="1">
      <c r="A366" s="45" t="s">
        <v>87</v>
      </c>
      <c r="B366" s="100" t="s">
        <v>86</v>
      </c>
      <c r="C366" s="65">
        <f>C367</f>
        <v>1116306000</v>
      </c>
      <c r="D366" s="65">
        <f>D367</f>
        <v>1350831355.61</v>
      </c>
      <c r="E366" s="65">
        <f>E367</f>
        <v>96730067.39999999</v>
      </c>
      <c r="F366" s="65">
        <f>F367</f>
        <v>98226412.82</v>
      </c>
      <c r="G366" s="97">
        <f t="shared" si="61"/>
        <v>0.26769820201516553</v>
      </c>
      <c r="H366" s="65">
        <f t="shared" si="63"/>
        <v>1252604942.79</v>
      </c>
      <c r="I366" s="65">
        <f>I367</f>
        <v>65831422.989999995</v>
      </c>
      <c r="J366" s="65">
        <f>J367</f>
        <v>67327768.41</v>
      </c>
      <c r="K366" s="47">
        <f t="shared" si="62"/>
        <v>0.21888969385479956</v>
      </c>
      <c r="L366" s="99">
        <f t="shared" si="64"/>
        <v>1283503587.1999998</v>
      </c>
    </row>
    <row r="367" spans="1:12" ht="14.25" customHeight="1">
      <c r="A367" s="48" t="s">
        <v>28</v>
      </c>
      <c r="B367" s="60" t="s">
        <v>33</v>
      </c>
      <c r="C367" s="111">
        <v>1116306000</v>
      </c>
      <c r="D367" s="111">
        <v>1350831355.61</v>
      </c>
      <c r="E367" s="66">
        <f>F367-1496345.42</f>
        <v>96730067.39999999</v>
      </c>
      <c r="F367" s="115">
        <v>98226412.82</v>
      </c>
      <c r="G367" s="58">
        <f t="shared" si="61"/>
        <v>0.26769820201516553</v>
      </c>
      <c r="H367" s="66">
        <f t="shared" si="63"/>
        <v>1252604942.79</v>
      </c>
      <c r="I367" s="66">
        <f>J367-1496345.42</f>
        <v>65831422.989999995</v>
      </c>
      <c r="J367" s="111">
        <v>67327768.41</v>
      </c>
      <c r="K367" s="51">
        <f t="shared" si="62"/>
        <v>0.21888969385479956</v>
      </c>
      <c r="L367" s="91">
        <f t="shared" si="64"/>
        <v>1283503587.1999998</v>
      </c>
    </row>
    <row r="368" spans="1:12" ht="14.25" customHeight="1">
      <c r="A368" s="45" t="s">
        <v>90</v>
      </c>
      <c r="B368" s="100" t="s">
        <v>91</v>
      </c>
      <c r="C368" s="65">
        <f>SUM(C369:C371)</f>
        <v>2558381013</v>
      </c>
      <c r="D368" s="65">
        <f>SUM(D369:D371)</f>
        <v>2611988031.99</v>
      </c>
      <c r="E368" s="65">
        <f>SUM(E369:E371)</f>
        <v>679107333.6299999</v>
      </c>
      <c r="F368" s="65">
        <f>SUM(F369:F371)</f>
        <v>1223764909.4599998</v>
      </c>
      <c r="G368" s="97">
        <f t="shared" si="61"/>
        <v>3.335148424406178</v>
      </c>
      <c r="H368" s="65">
        <f t="shared" si="63"/>
        <v>1388223122.53</v>
      </c>
      <c r="I368" s="65">
        <f>SUM(I369:I371)</f>
        <v>634358859.95</v>
      </c>
      <c r="J368" s="65">
        <f>SUM(J369:J371)</f>
        <v>1109827969.77</v>
      </c>
      <c r="K368" s="47">
        <f t="shared" si="62"/>
        <v>3.608168074947919</v>
      </c>
      <c r="L368" s="99">
        <f t="shared" si="64"/>
        <v>1502160062.2199998</v>
      </c>
    </row>
    <row r="369" spans="1:12" ht="14.25" customHeight="1">
      <c r="A369" s="48" t="s">
        <v>28</v>
      </c>
      <c r="B369" s="60" t="s">
        <v>33</v>
      </c>
      <c r="C369" s="111">
        <v>90361245</v>
      </c>
      <c r="D369" s="111">
        <v>90561245</v>
      </c>
      <c r="E369" s="66">
        <f>F369-18349908.57</f>
        <v>18765933.770000003</v>
      </c>
      <c r="F369" s="115">
        <v>37115842.34</v>
      </c>
      <c r="G369" s="58">
        <f t="shared" si="61"/>
        <v>0.10115246984437679</v>
      </c>
      <c r="H369" s="66">
        <f t="shared" si="63"/>
        <v>53445402.66</v>
      </c>
      <c r="I369" s="66">
        <f>J369-18349908.56</f>
        <v>18672793.77</v>
      </c>
      <c r="J369" s="111">
        <v>37022702.33</v>
      </c>
      <c r="K369" s="51">
        <f t="shared" si="62"/>
        <v>0.12036471978904065</v>
      </c>
      <c r="L369" s="91">
        <f t="shared" si="64"/>
        <v>53538542.67</v>
      </c>
    </row>
    <row r="370" spans="1:12" ht="14.25" customHeight="1">
      <c r="A370" s="48" t="s">
        <v>67</v>
      </c>
      <c r="B370" s="60" t="s">
        <v>75</v>
      </c>
      <c r="C370" s="111">
        <v>2468019768</v>
      </c>
      <c r="D370" s="111">
        <v>2521326786.99</v>
      </c>
      <c r="E370" s="66">
        <f>F370-526307667.26</f>
        <v>660311546.8599999</v>
      </c>
      <c r="F370" s="115">
        <v>1186619214.12</v>
      </c>
      <c r="G370" s="58">
        <f t="shared" si="61"/>
        <v>3.233914595646258</v>
      </c>
      <c r="H370" s="66">
        <f t="shared" si="63"/>
        <v>1334707572.87</v>
      </c>
      <c r="I370" s="66">
        <f>J370-457119201.26</f>
        <v>615686066.1800001</v>
      </c>
      <c r="J370" s="111">
        <v>1072805267.44</v>
      </c>
      <c r="K370" s="51">
        <f t="shared" si="62"/>
        <v>3.4878033551588783</v>
      </c>
      <c r="L370" s="91">
        <f t="shared" si="64"/>
        <v>1448521519.5499997</v>
      </c>
    </row>
    <row r="371" spans="1:12" ht="14.25" customHeight="1">
      <c r="A371" s="48" t="s">
        <v>94</v>
      </c>
      <c r="B371" s="60" t="s">
        <v>100</v>
      </c>
      <c r="C371" s="66">
        <v>0</v>
      </c>
      <c r="D371" s="66">
        <v>100000</v>
      </c>
      <c r="E371" s="66">
        <f>F371-0</f>
        <v>29853</v>
      </c>
      <c r="F371" s="66">
        <v>29853</v>
      </c>
      <c r="G371" s="58">
        <f t="shared" si="61"/>
        <v>8.135891554345308E-05</v>
      </c>
      <c r="H371" s="66">
        <f t="shared" si="63"/>
        <v>70147</v>
      </c>
      <c r="I371" s="66">
        <f>J371-0</f>
        <v>0</v>
      </c>
      <c r="J371" s="66">
        <v>0</v>
      </c>
      <c r="K371" s="51">
        <f t="shared" si="62"/>
        <v>0</v>
      </c>
      <c r="L371" s="91">
        <f t="shared" si="64"/>
        <v>100000</v>
      </c>
    </row>
    <row r="372" spans="1:12" ht="14.25" customHeight="1">
      <c r="A372" s="45" t="s">
        <v>104</v>
      </c>
      <c r="B372" s="100" t="s">
        <v>103</v>
      </c>
      <c r="C372" s="65">
        <f>C373+C374</f>
        <v>1201495</v>
      </c>
      <c r="D372" s="65">
        <f>D373+D374</f>
        <v>1201495</v>
      </c>
      <c r="E372" s="65">
        <f>E373+E374</f>
        <v>188052.34</v>
      </c>
      <c r="F372" s="65">
        <f>F373+F374</f>
        <v>202989.18</v>
      </c>
      <c r="G372" s="97">
        <f t="shared" si="61"/>
        <v>0.0005532100476285397</v>
      </c>
      <c r="H372" s="65">
        <f t="shared" si="63"/>
        <v>998505.8200000001</v>
      </c>
      <c r="I372" s="65">
        <f>I373+I374</f>
        <v>135957.61000000002</v>
      </c>
      <c r="J372" s="65">
        <f>J373+J374</f>
        <v>150894.45</v>
      </c>
      <c r="K372" s="47">
        <f t="shared" si="62"/>
        <v>0.0004905738114436394</v>
      </c>
      <c r="L372" s="99">
        <f t="shared" si="64"/>
        <v>1050600.55</v>
      </c>
    </row>
    <row r="373" spans="1:12" ht="14.25" customHeight="1">
      <c r="A373" s="48" t="s">
        <v>28</v>
      </c>
      <c r="B373" s="60" t="s">
        <v>33</v>
      </c>
      <c r="C373" s="111">
        <v>1201495</v>
      </c>
      <c r="D373" s="111">
        <v>1201495</v>
      </c>
      <c r="E373" s="66">
        <f>F373-14936.84</f>
        <v>188052.34</v>
      </c>
      <c r="F373" s="115">
        <v>202989.18</v>
      </c>
      <c r="G373" s="58">
        <f t="shared" si="61"/>
        <v>0.0005532100476285397</v>
      </c>
      <c r="H373" s="66">
        <f t="shared" si="63"/>
        <v>998505.8200000001</v>
      </c>
      <c r="I373" s="66">
        <f>J373-14936.84</f>
        <v>135957.61000000002</v>
      </c>
      <c r="J373" s="111">
        <v>150894.45</v>
      </c>
      <c r="K373" s="51">
        <f t="shared" si="62"/>
        <v>0.0004905738114436394</v>
      </c>
      <c r="L373" s="91">
        <f t="shared" si="64"/>
        <v>1050600.55</v>
      </c>
    </row>
    <row r="374" spans="1:12" ht="14.25" customHeight="1">
      <c r="A374" s="48" t="s">
        <v>105</v>
      </c>
      <c r="B374" s="60" t="s">
        <v>107</v>
      </c>
      <c r="C374" s="66">
        <v>0</v>
      </c>
      <c r="D374" s="66">
        <v>0</v>
      </c>
      <c r="E374" s="66">
        <f>F374-0</f>
        <v>0</v>
      </c>
      <c r="F374" s="66">
        <v>0</v>
      </c>
      <c r="G374" s="58">
        <f t="shared" si="61"/>
        <v>0</v>
      </c>
      <c r="H374" s="66">
        <f t="shared" si="63"/>
        <v>0</v>
      </c>
      <c r="I374" s="66">
        <f>J374-0</f>
        <v>0</v>
      </c>
      <c r="J374" s="66">
        <v>0</v>
      </c>
      <c r="K374" s="51">
        <f t="shared" si="62"/>
        <v>0</v>
      </c>
      <c r="L374" s="91">
        <f t="shared" si="64"/>
        <v>0</v>
      </c>
    </row>
    <row r="375" spans="1:12" ht="14.25" customHeight="1">
      <c r="A375" s="45" t="s">
        <v>109</v>
      </c>
      <c r="B375" s="100" t="s">
        <v>110</v>
      </c>
      <c r="C375" s="65">
        <f>SUM(C376:C382)</f>
        <v>438248733</v>
      </c>
      <c r="D375" s="65">
        <f>SUM(D376:D382)</f>
        <v>668554326.3</v>
      </c>
      <c r="E375" s="65">
        <f>SUM(E376:E382)</f>
        <v>174302957.12</v>
      </c>
      <c r="F375" s="65">
        <f>SUM(F376:F382)</f>
        <v>347614990.34000003</v>
      </c>
      <c r="G375" s="97">
        <f t="shared" si="61"/>
        <v>0.9473613586812153</v>
      </c>
      <c r="H375" s="65">
        <f t="shared" si="63"/>
        <v>320939335.9599999</v>
      </c>
      <c r="I375" s="65">
        <f>SUM(I376:I382)</f>
        <v>181743982.4</v>
      </c>
      <c r="J375" s="65">
        <f>SUM(J376:J382)</f>
        <v>343575250.14</v>
      </c>
      <c r="K375" s="47">
        <f t="shared" si="62"/>
        <v>1.11699946538048</v>
      </c>
      <c r="L375" s="99">
        <f t="shared" si="64"/>
        <v>324979076.15999997</v>
      </c>
    </row>
    <row r="376" spans="1:12" ht="14.25" customHeight="1">
      <c r="A376" s="48" t="s">
        <v>28</v>
      </c>
      <c r="B376" s="60" t="s">
        <v>33</v>
      </c>
      <c r="C376" s="111">
        <v>414034309</v>
      </c>
      <c r="D376" s="111">
        <v>446115964.32</v>
      </c>
      <c r="E376" s="66">
        <f>F376-154424472.12</f>
        <v>86269371.5</v>
      </c>
      <c r="F376" s="115">
        <v>240693843.62</v>
      </c>
      <c r="G376" s="58">
        <f t="shared" si="61"/>
        <v>0.6559672426526206</v>
      </c>
      <c r="H376" s="66">
        <f t="shared" si="63"/>
        <v>205422120.7</v>
      </c>
      <c r="I376" s="66">
        <f>J376-142943706.64</f>
        <v>93710396.78</v>
      </c>
      <c r="J376" s="111">
        <v>236654103.42</v>
      </c>
      <c r="K376" s="51">
        <f t="shared" si="62"/>
        <v>0.7693875123208747</v>
      </c>
      <c r="L376" s="91">
        <f t="shared" si="64"/>
        <v>209461860.9</v>
      </c>
    </row>
    <row r="377" spans="1:12" ht="14.25" customHeight="1">
      <c r="A377" s="48" t="s">
        <v>29</v>
      </c>
      <c r="B377" s="60" t="s">
        <v>34</v>
      </c>
      <c r="C377" s="66">
        <v>0</v>
      </c>
      <c r="D377" s="66">
        <v>0</v>
      </c>
      <c r="E377" s="66">
        <f aca="true" t="shared" si="67" ref="E377:E382">F377-0</f>
        <v>0</v>
      </c>
      <c r="F377" s="66">
        <v>0</v>
      </c>
      <c r="G377" s="58">
        <f t="shared" si="61"/>
        <v>0</v>
      </c>
      <c r="H377" s="66">
        <f t="shared" si="63"/>
        <v>0</v>
      </c>
      <c r="I377" s="66">
        <f aca="true" t="shared" si="68" ref="I377:I382">J377-0</f>
        <v>0</v>
      </c>
      <c r="J377" s="66">
        <v>0</v>
      </c>
      <c r="K377" s="51">
        <f t="shared" si="62"/>
        <v>0</v>
      </c>
      <c r="L377" s="91">
        <f t="shared" si="64"/>
        <v>0</v>
      </c>
    </row>
    <row r="378" spans="1:12" ht="14.25" customHeight="1">
      <c r="A378" s="48" t="s">
        <v>82</v>
      </c>
      <c r="B378" s="60" t="s">
        <v>84</v>
      </c>
      <c r="C378" s="66">
        <v>0</v>
      </c>
      <c r="D378" s="66">
        <v>0</v>
      </c>
      <c r="E378" s="66">
        <f t="shared" si="67"/>
        <v>0</v>
      </c>
      <c r="F378" s="66">
        <v>0</v>
      </c>
      <c r="G378" s="58">
        <f t="shared" si="61"/>
        <v>0</v>
      </c>
      <c r="H378" s="66">
        <f t="shared" si="63"/>
        <v>0</v>
      </c>
      <c r="I378" s="66">
        <f t="shared" si="68"/>
        <v>0</v>
      </c>
      <c r="J378" s="66">
        <v>0</v>
      </c>
      <c r="K378" s="51">
        <f t="shared" si="62"/>
        <v>0</v>
      </c>
      <c r="L378" s="91">
        <f t="shared" si="64"/>
        <v>0</v>
      </c>
    </row>
    <row r="379" spans="1:12" ht="14.25" customHeight="1">
      <c r="A379" s="48" t="s">
        <v>111</v>
      </c>
      <c r="B379" s="60" t="s">
        <v>118</v>
      </c>
      <c r="C379" s="111">
        <v>23954424</v>
      </c>
      <c r="D379" s="111">
        <v>70329424</v>
      </c>
      <c r="E379" s="66">
        <f>F379-16202104.77</f>
        <v>21985134.23</v>
      </c>
      <c r="F379" s="115">
        <v>38187239</v>
      </c>
      <c r="G379" s="58">
        <f t="shared" si="61"/>
        <v>0.10407236634973563</v>
      </c>
      <c r="H379" s="66">
        <f t="shared" si="63"/>
        <v>32142185</v>
      </c>
      <c r="I379" s="66">
        <f>J379-16202104.77</f>
        <v>21985134.23</v>
      </c>
      <c r="J379" s="111">
        <v>38187239</v>
      </c>
      <c r="K379" s="51">
        <f t="shared" si="62"/>
        <v>0.12415075163294072</v>
      </c>
      <c r="L379" s="91">
        <f t="shared" si="64"/>
        <v>32142185</v>
      </c>
    </row>
    <row r="380" spans="1:12" ht="14.25" customHeight="1">
      <c r="A380" s="48" t="s">
        <v>112</v>
      </c>
      <c r="B380" s="60" t="s">
        <v>119</v>
      </c>
      <c r="C380" s="111">
        <v>0</v>
      </c>
      <c r="D380" s="111">
        <v>151848937.98</v>
      </c>
      <c r="E380" s="66">
        <f>F380-2685456.33</f>
        <v>66048451.39</v>
      </c>
      <c r="F380" s="115">
        <v>68733907.72</v>
      </c>
      <c r="G380" s="58">
        <f t="shared" si="61"/>
        <v>0.187321749678859</v>
      </c>
      <c r="H380" s="66">
        <f t="shared" si="63"/>
        <v>83115030.25999999</v>
      </c>
      <c r="I380" s="66">
        <f>J380-2685456.33</f>
        <v>66048451.39</v>
      </c>
      <c r="J380" s="111">
        <v>68733907.72</v>
      </c>
      <c r="K380" s="51">
        <f t="shared" si="62"/>
        <v>0.22346120142666467</v>
      </c>
      <c r="L380" s="91">
        <f t="shared" si="64"/>
        <v>83115030.25999999</v>
      </c>
    </row>
    <row r="381" spans="1:12" ht="14.25" customHeight="1">
      <c r="A381" s="48" t="s">
        <v>114</v>
      </c>
      <c r="B381" s="60" t="s">
        <v>121</v>
      </c>
      <c r="C381" s="111">
        <v>260000</v>
      </c>
      <c r="D381" s="111">
        <v>260000</v>
      </c>
      <c r="E381" s="66">
        <f t="shared" si="67"/>
        <v>0</v>
      </c>
      <c r="F381" s="66"/>
      <c r="G381" s="58">
        <f t="shared" si="61"/>
        <v>0</v>
      </c>
      <c r="H381" s="66">
        <f t="shared" si="63"/>
        <v>260000</v>
      </c>
      <c r="I381" s="66">
        <f t="shared" si="68"/>
        <v>0</v>
      </c>
      <c r="J381" s="66">
        <v>0</v>
      </c>
      <c r="K381" s="51">
        <f t="shared" si="62"/>
        <v>0</v>
      </c>
      <c r="L381" s="91">
        <f t="shared" si="64"/>
        <v>260000</v>
      </c>
    </row>
    <row r="382" spans="1:12" ht="14.25" customHeight="1">
      <c r="A382" s="48" t="s">
        <v>251</v>
      </c>
      <c r="B382" s="60" t="s">
        <v>252</v>
      </c>
      <c r="C382" s="66">
        <v>0</v>
      </c>
      <c r="D382" s="66">
        <v>0</v>
      </c>
      <c r="E382" s="66">
        <f t="shared" si="67"/>
        <v>0</v>
      </c>
      <c r="F382" s="66">
        <v>0</v>
      </c>
      <c r="G382" s="58">
        <f t="shared" si="61"/>
        <v>0</v>
      </c>
      <c r="H382" s="66">
        <f t="shared" si="63"/>
        <v>0</v>
      </c>
      <c r="I382" s="66">
        <f t="shared" si="68"/>
        <v>0</v>
      </c>
      <c r="J382" s="66">
        <v>0</v>
      </c>
      <c r="K382" s="51">
        <f t="shared" si="62"/>
        <v>0</v>
      </c>
      <c r="L382" s="91">
        <f t="shared" si="64"/>
        <v>0</v>
      </c>
    </row>
    <row r="383" spans="1:12" ht="14.25" customHeight="1">
      <c r="A383" s="45" t="s">
        <v>125</v>
      </c>
      <c r="B383" s="100" t="s">
        <v>126</v>
      </c>
      <c r="C383" s="65">
        <f>SUM(C384:C385)</f>
        <v>9252443</v>
      </c>
      <c r="D383" s="65">
        <f>SUM(D384:D385)</f>
        <v>9256919.78</v>
      </c>
      <c r="E383" s="65">
        <f>SUM(E384:E385)</f>
        <v>1730675.44</v>
      </c>
      <c r="F383" s="65">
        <f>SUM(F384:F385)</f>
        <v>3160275.92</v>
      </c>
      <c r="G383" s="97">
        <f t="shared" si="61"/>
        <v>0.008612756562800673</v>
      </c>
      <c r="H383" s="65">
        <f t="shared" si="63"/>
        <v>6096643.859999999</v>
      </c>
      <c r="I383" s="65">
        <f>SUM(I384:I385)</f>
        <v>1676294.51</v>
      </c>
      <c r="J383" s="65">
        <f>SUM(J384:J385)</f>
        <v>3074742.79</v>
      </c>
      <c r="K383" s="47">
        <f t="shared" si="62"/>
        <v>0.009996313911473547</v>
      </c>
      <c r="L383" s="99">
        <f t="shared" si="64"/>
        <v>6182176.989999999</v>
      </c>
    </row>
    <row r="384" spans="1:12" ht="14.25" customHeight="1">
      <c r="A384" s="48" t="s">
        <v>28</v>
      </c>
      <c r="B384" s="60" t="s">
        <v>33</v>
      </c>
      <c r="C384" s="111">
        <v>9252443</v>
      </c>
      <c r="D384" s="111">
        <v>9256919.78</v>
      </c>
      <c r="E384" s="66">
        <f>F384-1429600.48</f>
        <v>1730675.44</v>
      </c>
      <c r="F384" s="115">
        <v>3160275.92</v>
      </c>
      <c r="G384" s="58">
        <f t="shared" si="61"/>
        <v>0.008612756562800673</v>
      </c>
      <c r="H384" s="66">
        <f t="shared" si="63"/>
        <v>6096643.859999999</v>
      </c>
      <c r="I384" s="66">
        <f>J384-1398448.28</f>
        <v>1676294.51</v>
      </c>
      <c r="J384" s="66">
        <v>3074742.79</v>
      </c>
      <c r="K384" s="51">
        <f t="shared" si="62"/>
        <v>0.009996313911473547</v>
      </c>
      <c r="L384" s="91">
        <f t="shared" si="64"/>
        <v>6182176.989999999</v>
      </c>
    </row>
    <row r="385" spans="1:12" ht="14.25" customHeight="1">
      <c r="A385" s="48" t="s">
        <v>117</v>
      </c>
      <c r="B385" s="60" t="s">
        <v>124</v>
      </c>
      <c r="C385" s="66">
        <v>0</v>
      </c>
      <c r="D385" s="66">
        <v>0</v>
      </c>
      <c r="E385" s="66">
        <f>F385-0</f>
        <v>0</v>
      </c>
      <c r="F385" s="66">
        <v>0</v>
      </c>
      <c r="G385" s="58">
        <f t="shared" si="61"/>
        <v>0</v>
      </c>
      <c r="H385" s="66">
        <f t="shared" si="63"/>
        <v>0</v>
      </c>
      <c r="I385" s="66">
        <f>J385-0</f>
        <v>0</v>
      </c>
      <c r="J385" s="66">
        <v>0</v>
      </c>
      <c r="K385" s="51">
        <f t="shared" si="62"/>
        <v>0</v>
      </c>
      <c r="L385" s="91">
        <f t="shared" si="64"/>
        <v>0</v>
      </c>
    </row>
    <row r="386" spans="1:12" ht="14.25" customHeight="1">
      <c r="A386" s="102" t="s">
        <v>129</v>
      </c>
      <c r="B386" s="100" t="s">
        <v>130</v>
      </c>
      <c r="C386" s="65">
        <f>SUM(C387:C389)</f>
        <v>1755313</v>
      </c>
      <c r="D386" s="65">
        <f>SUM(D387:D389)</f>
        <v>1858813</v>
      </c>
      <c r="E386" s="65">
        <f>SUM(E387:E389)</f>
        <v>272354.75</v>
      </c>
      <c r="F386" s="65">
        <f>SUM(F387:F389)</f>
        <v>498414.27</v>
      </c>
      <c r="G386" s="97">
        <f t="shared" si="61"/>
        <v>0.0013583373362336055</v>
      </c>
      <c r="H386" s="65">
        <f t="shared" si="63"/>
        <v>1360398.73</v>
      </c>
      <c r="I386" s="65">
        <f>SUM(I387:I389)</f>
        <v>237046.27</v>
      </c>
      <c r="J386" s="65">
        <f>SUM(J387:J389)</f>
        <v>463103.79</v>
      </c>
      <c r="K386" s="47">
        <f t="shared" si="62"/>
        <v>0.0015055993865532812</v>
      </c>
      <c r="L386" s="99">
        <f t="shared" si="64"/>
        <v>1395709.21</v>
      </c>
    </row>
    <row r="387" spans="1:12" ht="14.25" customHeight="1">
      <c r="A387" s="55" t="s">
        <v>28</v>
      </c>
      <c r="B387" s="60" t="s">
        <v>33</v>
      </c>
      <c r="C387" s="111">
        <v>1755313</v>
      </c>
      <c r="D387" s="111">
        <v>1766813</v>
      </c>
      <c r="E387" s="66">
        <f>F387-226059.52</f>
        <v>242870.79</v>
      </c>
      <c r="F387" s="115">
        <v>468930.31</v>
      </c>
      <c r="G387" s="58">
        <f t="shared" si="61"/>
        <v>0.0012779841720113648</v>
      </c>
      <c r="H387" s="66">
        <f t="shared" si="63"/>
        <v>1297882.69</v>
      </c>
      <c r="I387" s="66">
        <f>J387-226057.52</f>
        <v>237046.27</v>
      </c>
      <c r="J387" s="111">
        <v>463103.79</v>
      </c>
      <c r="K387" s="51">
        <f t="shared" si="62"/>
        <v>0.0015055993865532812</v>
      </c>
      <c r="L387" s="91">
        <f t="shared" si="64"/>
        <v>1303709.21</v>
      </c>
    </row>
    <row r="388" spans="1:12" ht="14.25" customHeight="1">
      <c r="A388" s="55" t="s">
        <v>53</v>
      </c>
      <c r="B388" s="49" t="s">
        <v>60</v>
      </c>
      <c r="C388" s="115">
        <v>0</v>
      </c>
      <c r="D388" s="111">
        <v>92000</v>
      </c>
      <c r="E388" s="66">
        <f>F388-0</f>
        <v>29483.96</v>
      </c>
      <c r="F388" s="66">
        <v>29483.96</v>
      </c>
      <c r="G388" s="58">
        <f t="shared" si="61"/>
        <v>8.03531642222406E-05</v>
      </c>
      <c r="H388" s="66">
        <f t="shared" si="63"/>
        <v>62516.04</v>
      </c>
      <c r="I388" s="66">
        <f>J388-0</f>
        <v>0</v>
      </c>
      <c r="J388" s="66">
        <v>0</v>
      </c>
      <c r="K388" s="51">
        <f t="shared" si="62"/>
        <v>0</v>
      </c>
      <c r="L388" s="91">
        <f t="shared" si="64"/>
        <v>92000</v>
      </c>
    </row>
    <row r="389" spans="1:12" ht="14.25" customHeight="1">
      <c r="A389" s="55" t="s">
        <v>49</v>
      </c>
      <c r="B389" s="60" t="s">
        <v>56</v>
      </c>
      <c r="C389" s="66">
        <v>0</v>
      </c>
      <c r="D389" s="66">
        <v>0</v>
      </c>
      <c r="E389" s="66">
        <f>F389-0</f>
        <v>0</v>
      </c>
      <c r="F389" s="66">
        <v>0</v>
      </c>
      <c r="G389" s="58">
        <f t="shared" si="61"/>
        <v>0</v>
      </c>
      <c r="H389" s="66">
        <f t="shared" si="63"/>
        <v>0</v>
      </c>
      <c r="I389" s="66">
        <f>J389-0</f>
        <v>0</v>
      </c>
      <c r="J389" s="66">
        <v>0</v>
      </c>
      <c r="K389" s="51">
        <f t="shared" si="62"/>
        <v>0</v>
      </c>
      <c r="L389" s="91">
        <f t="shared" si="64"/>
        <v>0</v>
      </c>
    </row>
    <row r="390" spans="1:12" ht="14.25" customHeight="1">
      <c r="A390" s="102" t="s">
        <v>133</v>
      </c>
      <c r="B390" s="100" t="s">
        <v>134</v>
      </c>
      <c r="C390" s="65">
        <f>C391+C392</f>
        <v>1089835</v>
      </c>
      <c r="D390" s="65">
        <f>D391+D392</f>
        <v>1110923</v>
      </c>
      <c r="E390" s="65">
        <f>E391+E392</f>
        <v>126703.24000000002</v>
      </c>
      <c r="F390" s="65">
        <f>F391+F392</f>
        <v>267962.34</v>
      </c>
      <c r="G390" s="97">
        <f t="shared" si="61"/>
        <v>0.0007302825641940865</v>
      </c>
      <c r="H390" s="65">
        <f t="shared" si="63"/>
        <v>842960.6599999999</v>
      </c>
      <c r="I390" s="65">
        <f>I391+I392</f>
        <v>125566.97</v>
      </c>
      <c r="J390" s="65">
        <f>J391+J392</f>
        <v>257418.34</v>
      </c>
      <c r="K390" s="47">
        <f t="shared" si="62"/>
        <v>0.000836894240903457</v>
      </c>
      <c r="L390" s="99">
        <f t="shared" si="64"/>
        <v>853504.66</v>
      </c>
    </row>
    <row r="391" spans="1:12" ht="14.25" customHeight="1">
      <c r="A391" s="62" t="s">
        <v>28</v>
      </c>
      <c r="B391" s="56" t="s">
        <v>33</v>
      </c>
      <c r="C391" s="111">
        <v>1089835</v>
      </c>
      <c r="D391" s="111">
        <v>1110923</v>
      </c>
      <c r="E391" s="66">
        <f>F391-141259.1</f>
        <v>126703.24000000002</v>
      </c>
      <c r="F391" s="115">
        <v>267962.34</v>
      </c>
      <c r="G391" s="58">
        <f t="shared" si="61"/>
        <v>0.0007302825641940865</v>
      </c>
      <c r="H391" s="66">
        <f t="shared" si="63"/>
        <v>842960.6599999999</v>
      </c>
      <c r="I391" s="66">
        <f>J391-131851.37</f>
        <v>125566.97</v>
      </c>
      <c r="J391" s="66">
        <v>257418.34</v>
      </c>
      <c r="K391" s="51">
        <f t="shared" si="62"/>
        <v>0.000836894240903457</v>
      </c>
      <c r="L391" s="91">
        <f t="shared" si="64"/>
        <v>853504.66</v>
      </c>
    </row>
    <row r="392" spans="1:12" ht="14.25" customHeight="1">
      <c r="A392" s="62" t="s">
        <v>135</v>
      </c>
      <c r="B392" s="56" t="s">
        <v>136</v>
      </c>
      <c r="C392" s="66">
        <v>0</v>
      </c>
      <c r="D392" s="66">
        <v>0</v>
      </c>
      <c r="E392" s="66">
        <f>F392-0</f>
        <v>0</v>
      </c>
      <c r="F392" s="66">
        <v>0</v>
      </c>
      <c r="G392" s="58">
        <f t="shared" si="61"/>
        <v>0</v>
      </c>
      <c r="H392" s="66">
        <f t="shared" si="63"/>
        <v>0</v>
      </c>
      <c r="I392" s="66">
        <f>J392-0</f>
        <v>0</v>
      </c>
      <c r="J392" s="66">
        <v>0</v>
      </c>
      <c r="K392" s="51">
        <f t="shared" si="62"/>
        <v>0</v>
      </c>
      <c r="L392" s="91">
        <f t="shared" si="64"/>
        <v>0</v>
      </c>
    </row>
    <row r="393" spans="1:12" ht="14.25" customHeight="1">
      <c r="A393" s="103" t="s">
        <v>138</v>
      </c>
      <c r="B393" s="104" t="s">
        <v>137</v>
      </c>
      <c r="C393" s="65">
        <f>C394</f>
        <v>419822</v>
      </c>
      <c r="D393" s="65">
        <f>D394</f>
        <v>419822</v>
      </c>
      <c r="E393" s="65">
        <f>E394</f>
        <v>50937.600000000006</v>
      </c>
      <c r="F393" s="65">
        <f>F394</f>
        <v>93796.66</v>
      </c>
      <c r="G393" s="97">
        <f t="shared" si="61"/>
        <v>0.0002556257173214747</v>
      </c>
      <c r="H393" s="65">
        <f t="shared" si="63"/>
        <v>326025.33999999997</v>
      </c>
      <c r="I393" s="65">
        <f>I394</f>
        <v>50890</v>
      </c>
      <c r="J393" s="65">
        <f>J394</f>
        <v>79131.98</v>
      </c>
      <c r="K393" s="47">
        <f t="shared" si="62"/>
        <v>0.000257266433826306</v>
      </c>
      <c r="L393" s="99">
        <f t="shared" si="64"/>
        <v>340690.02</v>
      </c>
    </row>
    <row r="394" spans="1:12" ht="14.25" customHeight="1">
      <c r="A394" s="62" t="s">
        <v>28</v>
      </c>
      <c r="B394" s="56" t="s">
        <v>33</v>
      </c>
      <c r="C394" s="111">
        <v>419822</v>
      </c>
      <c r="D394" s="111">
        <v>419822</v>
      </c>
      <c r="E394" s="66">
        <f>F394-42859.06</f>
        <v>50937.600000000006</v>
      </c>
      <c r="F394" s="115">
        <v>93796.66</v>
      </c>
      <c r="G394" s="58">
        <f t="shared" si="61"/>
        <v>0.0002556257173214747</v>
      </c>
      <c r="H394" s="66">
        <f t="shared" si="63"/>
        <v>326025.33999999997</v>
      </c>
      <c r="I394" s="66">
        <f>J394-28241.98</f>
        <v>50890</v>
      </c>
      <c r="J394" s="66">
        <v>79131.98</v>
      </c>
      <c r="K394" s="51">
        <f t="shared" si="62"/>
        <v>0.000257266433826306</v>
      </c>
      <c r="L394" s="91">
        <f t="shared" si="64"/>
        <v>340690.02</v>
      </c>
    </row>
    <row r="395" spans="1:12" ht="14.25" customHeight="1">
      <c r="A395" s="45" t="s">
        <v>141</v>
      </c>
      <c r="B395" s="83" t="s">
        <v>142</v>
      </c>
      <c r="C395" s="65">
        <f>C396</f>
        <v>200000</v>
      </c>
      <c r="D395" s="65">
        <f>D396</f>
        <v>200000</v>
      </c>
      <c r="E395" s="65">
        <f>E396</f>
        <v>0</v>
      </c>
      <c r="F395" s="65">
        <f>F396</f>
        <v>0</v>
      </c>
      <c r="G395" s="97">
        <f t="shared" si="61"/>
        <v>0</v>
      </c>
      <c r="H395" s="65">
        <f t="shared" si="63"/>
        <v>200000</v>
      </c>
      <c r="I395" s="65">
        <f>I396</f>
        <v>0</v>
      </c>
      <c r="J395" s="65">
        <f>J396</f>
        <v>0</v>
      </c>
      <c r="K395" s="47">
        <f t="shared" si="62"/>
        <v>0</v>
      </c>
      <c r="L395" s="99">
        <f t="shared" si="64"/>
        <v>200000</v>
      </c>
    </row>
    <row r="396" spans="1:12" ht="14.25" customHeight="1">
      <c r="A396" s="62" t="s">
        <v>143</v>
      </c>
      <c r="B396" s="56" t="s">
        <v>144</v>
      </c>
      <c r="C396" s="111">
        <v>200000</v>
      </c>
      <c r="D396" s="111">
        <v>200000</v>
      </c>
      <c r="E396" s="66">
        <f>F396-0</f>
        <v>0</v>
      </c>
      <c r="F396" s="66">
        <v>0</v>
      </c>
      <c r="G396" s="58">
        <f t="shared" si="61"/>
        <v>0</v>
      </c>
      <c r="H396" s="66">
        <f t="shared" si="63"/>
        <v>200000</v>
      </c>
      <c r="I396" s="66">
        <f>J396-0</f>
        <v>0</v>
      </c>
      <c r="J396" s="66">
        <v>0</v>
      </c>
      <c r="K396" s="51">
        <f t="shared" si="62"/>
        <v>0</v>
      </c>
      <c r="L396" s="91">
        <f t="shared" si="64"/>
        <v>200000</v>
      </c>
    </row>
    <row r="397" spans="1:12" ht="14.25" customHeight="1">
      <c r="A397" s="103" t="s">
        <v>149</v>
      </c>
      <c r="B397" s="104" t="s">
        <v>150</v>
      </c>
      <c r="C397" s="65">
        <f>C398</f>
        <v>17230000</v>
      </c>
      <c r="D397" s="65">
        <f>D398</f>
        <v>17230000</v>
      </c>
      <c r="E397" s="65">
        <f>E398</f>
        <v>1913233.95</v>
      </c>
      <c r="F397" s="65">
        <f>F398</f>
        <v>3849498.69</v>
      </c>
      <c r="G397" s="97">
        <f t="shared" si="61"/>
        <v>0.01049110772131254</v>
      </c>
      <c r="H397" s="65">
        <f t="shared" si="63"/>
        <v>13380501.31</v>
      </c>
      <c r="I397" s="65">
        <f>I398</f>
        <v>1875401.3199999998</v>
      </c>
      <c r="J397" s="65">
        <f>J398</f>
        <v>3756361.3</v>
      </c>
      <c r="K397" s="47">
        <f t="shared" si="62"/>
        <v>0.01221232775692137</v>
      </c>
      <c r="L397" s="99">
        <f t="shared" si="64"/>
        <v>13473638.7</v>
      </c>
    </row>
    <row r="398" spans="1:12" ht="14.25" customHeight="1">
      <c r="A398" s="62" t="s">
        <v>28</v>
      </c>
      <c r="B398" s="56" t="s">
        <v>33</v>
      </c>
      <c r="C398" s="111">
        <v>17230000</v>
      </c>
      <c r="D398" s="111">
        <v>17230000</v>
      </c>
      <c r="E398" s="66">
        <f>F398-1936264.74</f>
        <v>1913233.95</v>
      </c>
      <c r="F398" s="115">
        <v>3849498.69</v>
      </c>
      <c r="G398" s="58">
        <f aca="true" t="shared" si="69" ref="G398:G431">(F398/$F$317)*100</f>
        <v>0.01049110772131254</v>
      </c>
      <c r="H398" s="66">
        <f t="shared" si="63"/>
        <v>13380501.31</v>
      </c>
      <c r="I398" s="66">
        <f>J398-1880959.98</f>
        <v>1875401.3199999998</v>
      </c>
      <c r="J398" s="111">
        <v>3756361.3</v>
      </c>
      <c r="K398" s="51">
        <f aca="true" t="shared" si="70" ref="K398:K431">(J398/$J$317)*100</f>
        <v>0.01221232775692137</v>
      </c>
      <c r="L398" s="91">
        <f t="shared" si="64"/>
        <v>13473638.7</v>
      </c>
    </row>
    <row r="399" spans="1:12" ht="14.25" customHeight="1">
      <c r="A399" s="103" t="s">
        <v>158</v>
      </c>
      <c r="B399" s="104" t="s">
        <v>159</v>
      </c>
      <c r="C399" s="65">
        <f>SUM(C400:C405)</f>
        <v>8150037</v>
      </c>
      <c r="D399" s="65">
        <f>SUM(D400:D405)</f>
        <v>9431475.33</v>
      </c>
      <c r="E399" s="65">
        <f>SUM(E400:E405)</f>
        <v>1049039.95</v>
      </c>
      <c r="F399" s="65">
        <f>SUM(F400:F405)</f>
        <v>2311928.83</v>
      </c>
      <c r="G399" s="97">
        <f t="shared" si="69"/>
        <v>0.006300741045202972</v>
      </c>
      <c r="H399" s="65">
        <f aca="true" t="shared" si="71" ref="H399:H432">D399-F399</f>
        <v>7119546.5</v>
      </c>
      <c r="I399" s="65">
        <f>SUM(I400:I405)</f>
        <v>1064945.6</v>
      </c>
      <c r="J399" s="65">
        <f>SUM(J400:J405)</f>
        <v>2203391.56</v>
      </c>
      <c r="K399" s="47">
        <f t="shared" si="70"/>
        <v>0.007163458932332809</v>
      </c>
      <c r="L399" s="99">
        <f aca="true" t="shared" si="72" ref="L399:L432">D399-J399</f>
        <v>7228083.77</v>
      </c>
    </row>
    <row r="400" spans="1:12" ht="14.25" customHeight="1">
      <c r="A400" s="62" t="s">
        <v>28</v>
      </c>
      <c r="B400" s="56" t="s">
        <v>33</v>
      </c>
      <c r="C400" s="111">
        <v>8150037</v>
      </c>
      <c r="D400" s="111">
        <v>8150037</v>
      </c>
      <c r="E400" s="66">
        <f>F400-1245034.43</f>
        <v>1049039.95</v>
      </c>
      <c r="F400" s="115">
        <v>2294074.38</v>
      </c>
      <c r="G400" s="58">
        <f t="shared" si="69"/>
        <v>0.0062520819928589925</v>
      </c>
      <c r="H400" s="66">
        <f t="shared" si="71"/>
        <v>5855962.62</v>
      </c>
      <c r="I400" s="66">
        <f>J400-1138445.96</f>
        <v>1064945.6</v>
      </c>
      <c r="J400" s="111">
        <v>2203391.56</v>
      </c>
      <c r="K400" s="51">
        <f t="shared" si="70"/>
        <v>0.007163458932332809</v>
      </c>
      <c r="L400" s="91">
        <f t="shared" si="72"/>
        <v>5946645.4399999995</v>
      </c>
    </row>
    <row r="401" spans="1:12" ht="14.25" customHeight="1">
      <c r="A401" s="62" t="s">
        <v>50</v>
      </c>
      <c r="B401" s="56" t="s">
        <v>57</v>
      </c>
      <c r="C401" s="66">
        <v>0</v>
      </c>
      <c r="D401" s="66">
        <v>0</v>
      </c>
      <c r="E401" s="66">
        <v>0</v>
      </c>
      <c r="F401" s="66">
        <v>0</v>
      </c>
      <c r="G401" s="97">
        <f t="shared" si="69"/>
        <v>0</v>
      </c>
      <c r="H401" s="66">
        <f t="shared" si="71"/>
        <v>0</v>
      </c>
      <c r="I401" s="66">
        <f>J401-0</f>
        <v>0</v>
      </c>
      <c r="J401" s="66">
        <v>0</v>
      </c>
      <c r="K401" s="51">
        <f t="shared" si="70"/>
        <v>0</v>
      </c>
      <c r="L401" s="91">
        <f t="shared" si="72"/>
        <v>0</v>
      </c>
    </row>
    <row r="402" spans="1:12" ht="14.25" customHeight="1">
      <c r="A402" s="62" t="s">
        <v>96</v>
      </c>
      <c r="B402" s="56" t="s">
        <v>102</v>
      </c>
      <c r="C402" s="66">
        <v>0</v>
      </c>
      <c r="D402" s="66">
        <v>0</v>
      </c>
      <c r="E402" s="66">
        <f>F402-0</f>
        <v>0</v>
      </c>
      <c r="F402" s="66">
        <v>0</v>
      </c>
      <c r="G402" s="97">
        <f t="shared" si="69"/>
        <v>0</v>
      </c>
      <c r="H402" s="66">
        <f t="shared" si="71"/>
        <v>0</v>
      </c>
      <c r="I402" s="66">
        <f>J402-0</f>
        <v>0</v>
      </c>
      <c r="J402" s="66">
        <v>0</v>
      </c>
      <c r="K402" s="51">
        <f t="shared" si="70"/>
        <v>0</v>
      </c>
      <c r="L402" s="91">
        <f t="shared" si="72"/>
        <v>0</v>
      </c>
    </row>
    <row r="403" spans="1:12" ht="14.25" customHeight="1">
      <c r="A403" s="62" t="s">
        <v>97</v>
      </c>
      <c r="B403" s="56" t="s">
        <v>237</v>
      </c>
      <c r="C403" s="66">
        <v>0</v>
      </c>
      <c r="D403" s="66">
        <v>0</v>
      </c>
      <c r="E403" s="66">
        <f>F403-0</f>
        <v>0</v>
      </c>
      <c r="F403" s="66">
        <v>0</v>
      </c>
      <c r="G403" s="97">
        <f t="shared" si="69"/>
        <v>0</v>
      </c>
      <c r="H403" s="66">
        <f t="shared" si="71"/>
        <v>0</v>
      </c>
      <c r="I403" s="66">
        <f>J403-0</f>
        <v>0</v>
      </c>
      <c r="J403" s="66">
        <v>0</v>
      </c>
      <c r="K403" s="51">
        <f t="shared" si="70"/>
        <v>0</v>
      </c>
      <c r="L403" s="91">
        <f t="shared" si="72"/>
        <v>0</v>
      </c>
    </row>
    <row r="404" spans="1:12" ht="14.25" customHeight="1">
      <c r="A404" s="62" t="s">
        <v>51</v>
      </c>
      <c r="B404" s="56" t="s">
        <v>58</v>
      </c>
      <c r="C404" s="66">
        <v>0</v>
      </c>
      <c r="D404" s="66">
        <v>583333.33</v>
      </c>
      <c r="E404" s="66">
        <v>0</v>
      </c>
      <c r="F404" s="66">
        <v>17854.45</v>
      </c>
      <c r="G404" s="97">
        <f t="shared" si="69"/>
        <v>4.865905234397903E-05</v>
      </c>
      <c r="H404" s="66">
        <f t="shared" si="71"/>
        <v>565478.88</v>
      </c>
      <c r="I404" s="66">
        <f>J404-0</f>
        <v>0</v>
      </c>
      <c r="J404" s="66">
        <v>0</v>
      </c>
      <c r="K404" s="51">
        <f t="shared" si="70"/>
        <v>0</v>
      </c>
      <c r="L404" s="91">
        <f t="shared" si="72"/>
        <v>583333.33</v>
      </c>
    </row>
    <row r="405" spans="1:12" ht="14.25" customHeight="1">
      <c r="A405" s="62" t="s">
        <v>64</v>
      </c>
      <c r="B405" s="56" t="s">
        <v>72</v>
      </c>
      <c r="C405" s="66">
        <v>0</v>
      </c>
      <c r="D405" s="66">
        <v>698105</v>
      </c>
      <c r="E405" s="66">
        <f>F405-0</f>
        <v>0</v>
      </c>
      <c r="F405" s="66">
        <v>0</v>
      </c>
      <c r="G405" s="97">
        <f t="shared" si="69"/>
        <v>0</v>
      </c>
      <c r="H405" s="66">
        <f t="shared" si="71"/>
        <v>698105</v>
      </c>
      <c r="I405" s="66">
        <f>J405-0</f>
        <v>0</v>
      </c>
      <c r="J405" s="66">
        <v>0</v>
      </c>
      <c r="K405" s="51">
        <f t="shared" si="70"/>
        <v>0</v>
      </c>
      <c r="L405" s="91">
        <f t="shared" si="72"/>
        <v>698105</v>
      </c>
    </row>
    <row r="406" spans="1:12" ht="14.25" customHeight="1">
      <c r="A406" s="103" t="s">
        <v>162</v>
      </c>
      <c r="B406" s="104" t="s">
        <v>163</v>
      </c>
      <c r="C406" s="65">
        <f>SUM(C407:C410)</f>
        <v>7552038</v>
      </c>
      <c r="D406" s="65">
        <f>SUM(D407:D410)</f>
        <v>7627038</v>
      </c>
      <c r="E406" s="65">
        <f>SUM(E407:E410)</f>
        <v>975762.0599999999</v>
      </c>
      <c r="F406" s="65">
        <f>SUM(F407:F410)</f>
        <v>1953113.9</v>
      </c>
      <c r="G406" s="97">
        <f t="shared" si="69"/>
        <v>0.005322856290384359</v>
      </c>
      <c r="H406" s="65">
        <f t="shared" si="71"/>
        <v>5673924.1</v>
      </c>
      <c r="I406" s="65">
        <f>SUM(I407:I410)</f>
        <v>991465.1399999999</v>
      </c>
      <c r="J406" s="65">
        <f>SUM(J407:J410)</f>
        <v>1869039.74</v>
      </c>
      <c r="K406" s="47">
        <f t="shared" si="70"/>
        <v>0.00607644581355662</v>
      </c>
      <c r="L406" s="99">
        <f t="shared" si="72"/>
        <v>5757998.26</v>
      </c>
    </row>
    <row r="407" spans="1:12" ht="14.25" customHeight="1">
      <c r="A407" s="55" t="s">
        <v>28</v>
      </c>
      <c r="B407" s="49" t="s">
        <v>33</v>
      </c>
      <c r="C407" s="111">
        <v>7552038</v>
      </c>
      <c r="D407" s="111">
        <v>7592038</v>
      </c>
      <c r="E407" s="66">
        <f>F407-977351.84</f>
        <v>960762.0599999999</v>
      </c>
      <c r="F407" s="115">
        <v>1938113.9</v>
      </c>
      <c r="G407" s="58">
        <f t="shared" si="69"/>
        <v>0.005281976521746306</v>
      </c>
      <c r="H407" s="66">
        <f t="shared" si="71"/>
        <v>5653924.1</v>
      </c>
      <c r="I407" s="66">
        <f>J407-877574.6</f>
        <v>977037.2799999999</v>
      </c>
      <c r="J407" s="111">
        <v>1854611.88</v>
      </c>
      <c r="K407" s="51">
        <f t="shared" si="70"/>
        <v>0.0060295393151984945</v>
      </c>
      <c r="L407" s="91">
        <f t="shared" si="72"/>
        <v>5737426.12</v>
      </c>
    </row>
    <row r="408" spans="1:12" ht="14.25" customHeight="1">
      <c r="A408" s="55" t="s">
        <v>96</v>
      </c>
      <c r="B408" s="49" t="s">
        <v>102</v>
      </c>
      <c r="C408" s="66">
        <v>0</v>
      </c>
      <c r="D408" s="66">
        <v>0</v>
      </c>
      <c r="E408" s="66">
        <f>F408-0</f>
        <v>0</v>
      </c>
      <c r="F408" s="66">
        <v>0</v>
      </c>
      <c r="G408" s="58">
        <f t="shared" si="69"/>
        <v>0</v>
      </c>
      <c r="H408" s="66">
        <f t="shared" si="71"/>
        <v>0</v>
      </c>
      <c r="I408" s="66">
        <f>J408-0</f>
        <v>0</v>
      </c>
      <c r="J408" s="66">
        <v>0</v>
      </c>
      <c r="K408" s="51">
        <f t="shared" si="70"/>
        <v>0</v>
      </c>
      <c r="L408" s="91">
        <f t="shared" si="72"/>
        <v>0</v>
      </c>
    </row>
    <row r="409" spans="1:12" ht="14.25" customHeight="1">
      <c r="A409" s="55" t="s">
        <v>270</v>
      </c>
      <c r="B409" s="49" t="s">
        <v>272</v>
      </c>
      <c r="C409" s="66">
        <v>0</v>
      </c>
      <c r="D409" s="66">
        <v>0</v>
      </c>
      <c r="E409" s="66">
        <f>F409-0</f>
        <v>0</v>
      </c>
      <c r="F409" s="66">
        <v>0</v>
      </c>
      <c r="G409" s="58">
        <f t="shared" si="69"/>
        <v>0</v>
      </c>
      <c r="H409" s="66">
        <f t="shared" si="71"/>
        <v>0</v>
      </c>
      <c r="I409" s="66">
        <f>J409-0</f>
        <v>0</v>
      </c>
      <c r="J409" s="66">
        <v>0</v>
      </c>
      <c r="K409" s="51">
        <f t="shared" si="70"/>
        <v>0</v>
      </c>
      <c r="L409" s="91">
        <f t="shared" si="72"/>
        <v>0</v>
      </c>
    </row>
    <row r="410" spans="1:12" ht="14.25" customHeight="1">
      <c r="A410" s="55" t="s">
        <v>271</v>
      </c>
      <c r="B410" s="49" t="s">
        <v>273</v>
      </c>
      <c r="C410" s="66">
        <v>0</v>
      </c>
      <c r="D410" s="111">
        <v>35000</v>
      </c>
      <c r="E410" s="66">
        <f>F410-0</f>
        <v>15000</v>
      </c>
      <c r="F410" s="66">
        <v>15000</v>
      </c>
      <c r="G410" s="58">
        <f t="shared" si="69"/>
        <v>4.0879768638053E-05</v>
      </c>
      <c r="H410" s="66">
        <f t="shared" si="71"/>
        <v>20000</v>
      </c>
      <c r="I410" s="66">
        <f>J410-0</f>
        <v>14427.86</v>
      </c>
      <c r="J410" s="66">
        <v>14427.86</v>
      </c>
      <c r="K410" s="51">
        <f t="shared" si="70"/>
        <v>4.6906498358125344E-05</v>
      </c>
      <c r="L410" s="91">
        <f t="shared" si="72"/>
        <v>20572.14</v>
      </c>
    </row>
    <row r="411" spans="1:12" ht="14.25" customHeight="1">
      <c r="A411" s="103" t="s">
        <v>175</v>
      </c>
      <c r="B411" s="104" t="s">
        <v>174</v>
      </c>
      <c r="C411" s="65">
        <f>C412</f>
        <v>1398258</v>
      </c>
      <c r="D411" s="65">
        <f>D412</f>
        <v>1498258</v>
      </c>
      <c r="E411" s="65">
        <f>E412</f>
        <v>279219.24</v>
      </c>
      <c r="F411" s="65">
        <f>F412</f>
        <v>629315.48</v>
      </c>
      <c r="G411" s="97">
        <f t="shared" si="69"/>
        <v>0.001715084748183018</v>
      </c>
      <c r="H411" s="65">
        <f t="shared" si="71"/>
        <v>868942.52</v>
      </c>
      <c r="I411" s="65">
        <f>I412</f>
        <v>300451.48</v>
      </c>
      <c r="J411" s="65">
        <f>J412</f>
        <v>559547.72</v>
      </c>
      <c r="K411" s="47">
        <f t="shared" si="70"/>
        <v>0.0018191488002706412</v>
      </c>
      <c r="L411" s="99">
        <f t="shared" si="72"/>
        <v>938710.28</v>
      </c>
    </row>
    <row r="412" spans="1:12" ht="14.25" customHeight="1">
      <c r="A412" s="62" t="s">
        <v>28</v>
      </c>
      <c r="B412" s="56" t="s">
        <v>33</v>
      </c>
      <c r="C412" s="111">
        <v>1398258</v>
      </c>
      <c r="D412" s="111">
        <v>1498258</v>
      </c>
      <c r="E412" s="66">
        <f>F412-350096.24</f>
        <v>279219.24</v>
      </c>
      <c r="F412" s="115">
        <v>629315.48</v>
      </c>
      <c r="G412" s="58">
        <f t="shared" si="69"/>
        <v>0.001715084748183018</v>
      </c>
      <c r="H412" s="66">
        <f t="shared" si="71"/>
        <v>868942.52</v>
      </c>
      <c r="I412" s="66">
        <f>J412-259096.24</f>
        <v>300451.48</v>
      </c>
      <c r="J412" s="111">
        <v>559547.72</v>
      </c>
      <c r="K412" s="51">
        <f t="shared" si="70"/>
        <v>0.0018191488002706412</v>
      </c>
      <c r="L412" s="91">
        <f t="shared" si="72"/>
        <v>938710.28</v>
      </c>
    </row>
    <row r="413" spans="1:12" ht="14.25" customHeight="1">
      <c r="A413" s="103" t="s">
        <v>178</v>
      </c>
      <c r="B413" s="104" t="s">
        <v>179</v>
      </c>
      <c r="C413" s="65">
        <f>C414+C415</f>
        <v>4701465</v>
      </c>
      <c r="D413" s="65">
        <f>D414+D415</f>
        <v>4615841</v>
      </c>
      <c r="E413" s="65">
        <f>E414+E415</f>
        <v>726484.23</v>
      </c>
      <c r="F413" s="65">
        <f>F414+F415</f>
        <v>1458920.29</v>
      </c>
      <c r="G413" s="97">
        <f t="shared" si="69"/>
        <v>0.003976021594437413</v>
      </c>
      <c r="H413" s="65">
        <f t="shared" si="71"/>
        <v>3156920.71</v>
      </c>
      <c r="I413" s="65">
        <f>I414+I415</f>
        <v>697772.5299999999</v>
      </c>
      <c r="J413" s="65">
        <f>J414+J415</f>
        <v>1424539.44</v>
      </c>
      <c r="K413" s="47">
        <f t="shared" si="70"/>
        <v>0.004631328339992542</v>
      </c>
      <c r="L413" s="99">
        <f t="shared" si="72"/>
        <v>3191301.56</v>
      </c>
    </row>
    <row r="414" spans="1:12" ht="14.25" customHeight="1">
      <c r="A414" s="62" t="s">
        <v>28</v>
      </c>
      <c r="B414" s="56" t="s">
        <v>33</v>
      </c>
      <c r="C414" s="111">
        <v>4701465</v>
      </c>
      <c r="D414" s="111">
        <v>4615841</v>
      </c>
      <c r="E414" s="66">
        <f>F414-732436.06</f>
        <v>726484.23</v>
      </c>
      <c r="F414" s="115">
        <v>1458920.29</v>
      </c>
      <c r="G414" s="58">
        <f t="shared" si="69"/>
        <v>0.003976021594437413</v>
      </c>
      <c r="H414" s="66">
        <f t="shared" si="71"/>
        <v>3156920.71</v>
      </c>
      <c r="I414" s="66">
        <f>J414-726766.91</f>
        <v>697772.5299999999</v>
      </c>
      <c r="J414" s="111">
        <v>1424539.44</v>
      </c>
      <c r="K414" s="51">
        <f t="shared" si="70"/>
        <v>0.004631328339992542</v>
      </c>
      <c r="L414" s="91">
        <f t="shared" si="72"/>
        <v>3191301.56</v>
      </c>
    </row>
    <row r="415" spans="1:12" ht="14.25" customHeight="1">
      <c r="A415" s="62" t="s">
        <v>50</v>
      </c>
      <c r="B415" s="56" t="s">
        <v>57</v>
      </c>
      <c r="C415" s="66">
        <v>0</v>
      </c>
      <c r="D415" s="66">
        <v>0</v>
      </c>
      <c r="E415" s="66">
        <f>F415-0</f>
        <v>0</v>
      </c>
      <c r="F415" s="66">
        <v>0</v>
      </c>
      <c r="G415" s="58">
        <f t="shared" si="69"/>
        <v>0</v>
      </c>
      <c r="H415" s="66">
        <f t="shared" si="71"/>
        <v>0</v>
      </c>
      <c r="I415" s="66">
        <f>J415-0</f>
        <v>0</v>
      </c>
      <c r="J415" s="66">
        <v>0</v>
      </c>
      <c r="K415" s="51">
        <f t="shared" si="70"/>
        <v>0</v>
      </c>
      <c r="L415" s="91">
        <f t="shared" si="72"/>
        <v>0</v>
      </c>
    </row>
    <row r="416" spans="1:12" ht="14.25" customHeight="1">
      <c r="A416" s="103" t="s">
        <v>189</v>
      </c>
      <c r="B416" s="104" t="s">
        <v>190</v>
      </c>
      <c r="C416" s="65">
        <f>SUM(C417:C418)</f>
        <v>6883130</v>
      </c>
      <c r="D416" s="65">
        <f>SUM(D417:D418)</f>
        <v>7379130</v>
      </c>
      <c r="E416" s="65">
        <f>SUM(E417:E418)</f>
        <v>856067.85</v>
      </c>
      <c r="F416" s="65">
        <f>SUM(F417:F418)</f>
        <v>1746402</v>
      </c>
      <c r="G416" s="97">
        <f t="shared" si="69"/>
        <v>0.004759500647268869</v>
      </c>
      <c r="H416" s="65">
        <f t="shared" si="71"/>
        <v>5632728</v>
      </c>
      <c r="I416" s="65">
        <f>SUM(I417:I418)</f>
        <v>757269.6199999999</v>
      </c>
      <c r="J416" s="65">
        <f>SUM(J417:J418)</f>
        <v>1456415.88</v>
      </c>
      <c r="K416" s="47">
        <f t="shared" si="70"/>
        <v>0.004734962016817995</v>
      </c>
      <c r="L416" s="99">
        <f t="shared" si="72"/>
        <v>5922714.12</v>
      </c>
    </row>
    <row r="417" spans="1:12" ht="14.25" customHeight="1">
      <c r="A417" s="62" t="s">
        <v>28</v>
      </c>
      <c r="B417" s="56" t="s">
        <v>33</v>
      </c>
      <c r="C417" s="111">
        <v>6883130</v>
      </c>
      <c r="D417" s="111">
        <v>7379130</v>
      </c>
      <c r="E417" s="66">
        <f>F417-890334.15</f>
        <v>856067.85</v>
      </c>
      <c r="F417" s="115">
        <v>1746402</v>
      </c>
      <c r="G417" s="58">
        <f t="shared" si="69"/>
        <v>0.004759500647268869</v>
      </c>
      <c r="H417" s="66">
        <f t="shared" si="71"/>
        <v>5632728</v>
      </c>
      <c r="I417" s="66">
        <f>J417-699146.26</f>
        <v>757269.6199999999</v>
      </c>
      <c r="J417" s="111">
        <v>1456415.88</v>
      </c>
      <c r="K417" s="51">
        <f t="shared" si="70"/>
        <v>0.004734962016817995</v>
      </c>
      <c r="L417" s="91">
        <f t="shared" si="72"/>
        <v>5922714.12</v>
      </c>
    </row>
    <row r="418" spans="1:12" ht="14.25" customHeight="1">
      <c r="A418" s="62" t="s">
        <v>185</v>
      </c>
      <c r="B418" s="56" t="s">
        <v>186</v>
      </c>
      <c r="C418" s="66">
        <v>0</v>
      </c>
      <c r="D418" s="66">
        <v>0</v>
      </c>
      <c r="E418" s="66">
        <f>F418-0</f>
        <v>0</v>
      </c>
      <c r="F418" s="66">
        <v>0</v>
      </c>
      <c r="G418" s="58">
        <f t="shared" si="69"/>
        <v>0</v>
      </c>
      <c r="H418" s="66">
        <f t="shared" si="71"/>
        <v>0</v>
      </c>
      <c r="I418" s="66">
        <f>J418-0</f>
        <v>0</v>
      </c>
      <c r="J418" s="66">
        <v>0</v>
      </c>
      <c r="K418" s="51">
        <f t="shared" si="70"/>
        <v>0</v>
      </c>
      <c r="L418" s="91">
        <f t="shared" si="72"/>
        <v>0</v>
      </c>
    </row>
    <row r="419" spans="1:12" ht="14.25" customHeight="1">
      <c r="A419" s="103" t="s">
        <v>278</v>
      </c>
      <c r="B419" s="105" t="s">
        <v>279</v>
      </c>
      <c r="C419" s="65">
        <f>SUM(C420:C421)</f>
        <v>454064</v>
      </c>
      <c r="D419" s="65">
        <f>SUM(D420:D421)</f>
        <v>454064</v>
      </c>
      <c r="E419" s="65">
        <f>SUM(E420:E421)</f>
        <v>0</v>
      </c>
      <c r="F419" s="65">
        <f>SUM(F420:F421)</f>
        <v>0</v>
      </c>
      <c r="G419" s="58">
        <f t="shared" si="69"/>
        <v>0</v>
      </c>
      <c r="H419" s="65">
        <f t="shared" si="71"/>
        <v>454064</v>
      </c>
      <c r="I419" s="65">
        <f>E419-G419</f>
        <v>0</v>
      </c>
      <c r="J419" s="65">
        <f>SUM(J420:J421)</f>
        <v>0</v>
      </c>
      <c r="K419" s="51">
        <f>(J419/$J$317)*100</f>
        <v>0</v>
      </c>
      <c r="L419" s="99">
        <f t="shared" si="72"/>
        <v>454064</v>
      </c>
    </row>
    <row r="420" spans="1:12" ht="14.25" customHeight="1">
      <c r="A420" s="62" t="s">
        <v>28</v>
      </c>
      <c r="B420" s="56" t="s">
        <v>33</v>
      </c>
      <c r="C420" s="111">
        <v>154064</v>
      </c>
      <c r="D420" s="111">
        <v>154064</v>
      </c>
      <c r="E420" s="66">
        <f>F420-0</f>
        <v>0</v>
      </c>
      <c r="F420" s="66">
        <v>0</v>
      </c>
      <c r="G420" s="58">
        <f t="shared" si="69"/>
        <v>0</v>
      </c>
      <c r="H420" s="66">
        <f t="shared" si="71"/>
        <v>154064</v>
      </c>
      <c r="I420" s="66">
        <f>J420-0</f>
        <v>0</v>
      </c>
      <c r="J420" s="66">
        <v>0</v>
      </c>
      <c r="K420" s="51">
        <f>(J420/$J$317)*100</f>
        <v>0</v>
      </c>
      <c r="L420" s="91">
        <f t="shared" si="72"/>
        <v>154064</v>
      </c>
    </row>
    <row r="421" spans="1:12" ht="14.25" customHeight="1">
      <c r="A421" s="62" t="s">
        <v>50</v>
      </c>
      <c r="B421" s="56" t="s">
        <v>57</v>
      </c>
      <c r="C421" s="111">
        <v>300000</v>
      </c>
      <c r="D421" s="111">
        <v>300000</v>
      </c>
      <c r="E421" s="66">
        <f>F421-0</f>
        <v>0</v>
      </c>
      <c r="F421" s="66">
        <v>0</v>
      </c>
      <c r="G421" s="58">
        <f t="shared" si="69"/>
        <v>0</v>
      </c>
      <c r="H421" s="66">
        <f t="shared" si="71"/>
        <v>300000</v>
      </c>
      <c r="I421" s="66">
        <f>J421-0</f>
        <v>0</v>
      </c>
      <c r="J421" s="66">
        <v>0</v>
      </c>
      <c r="K421" s="51">
        <f>(J421/$J$317)*100</f>
        <v>0</v>
      </c>
      <c r="L421" s="91">
        <f t="shared" si="72"/>
        <v>300000</v>
      </c>
    </row>
    <row r="422" spans="1:12" ht="14.25" customHeight="1">
      <c r="A422" s="103" t="s">
        <v>195</v>
      </c>
      <c r="B422" s="104" t="s">
        <v>196</v>
      </c>
      <c r="C422" s="65">
        <f>SUM(C423:C425)</f>
        <v>13847824</v>
      </c>
      <c r="D422" s="65">
        <f>SUM(D423:D425)</f>
        <v>14042324</v>
      </c>
      <c r="E422" s="65">
        <f>SUM(E423:E425)</f>
        <v>1342471.63</v>
      </c>
      <c r="F422" s="65">
        <f>SUM(F423:F425)</f>
        <v>2832430.94</v>
      </c>
      <c r="G422" s="97">
        <f t="shared" si="69"/>
        <v>0.0077192747673642</v>
      </c>
      <c r="H422" s="65">
        <f t="shared" si="71"/>
        <v>11209893.06</v>
      </c>
      <c r="I422" s="65">
        <f>SUM(I423:I425)</f>
        <v>1288176.54</v>
      </c>
      <c r="J422" s="65">
        <f>SUM(J423:J425)</f>
        <v>2558149.44</v>
      </c>
      <c r="K422" s="47">
        <f t="shared" si="70"/>
        <v>0.008316814309758985</v>
      </c>
      <c r="L422" s="99">
        <f t="shared" si="72"/>
        <v>11484174.56</v>
      </c>
    </row>
    <row r="423" spans="1:12" ht="14.25" customHeight="1">
      <c r="A423" s="62" t="s">
        <v>28</v>
      </c>
      <c r="B423" s="56" t="s">
        <v>33</v>
      </c>
      <c r="C423" s="111">
        <v>13847824</v>
      </c>
      <c r="D423" s="111">
        <v>14042324</v>
      </c>
      <c r="E423" s="66">
        <f>F423-1489959.31</f>
        <v>1342471.63</v>
      </c>
      <c r="F423" s="115">
        <v>2832430.94</v>
      </c>
      <c r="G423" s="58">
        <f t="shared" si="69"/>
        <v>0.0077192747673642</v>
      </c>
      <c r="H423" s="66">
        <f t="shared" si="71"/>
        <v>11209893.06</v>
      </c>
      <c r="I423" s="66">
        <f>J423-1269972.9</f>
        <v>1288176.54</v>
      </c>
      <c r="J423" s="111">
        <v>2558149.44</v>
      </c>
      <c r="K423" s="51">
        <f t="shared" si="70"/>
        <v>0.008316814309758985</v>
      </c>
      <c r="L423" s="91">
        <f t="shared" si="72"/>
        <v>11484174.56</v>
      </c>
    </row>
    <row r="424" spans="1:12" ht="14.25" customHeight="1">
      <c r="A424" s="62" t="s">
        <v>83</v>
      </c>
      <c r="B424" s="56" t="s">
        <v>85</v>
      </c>
      <c r="C424" s="66">
        <v>0</v>
      </c>
      <c r="D424" s="66">
        <v>0</v>
      </c>
      <c r="E424" s="66">
        <f>F424-0</f>
        <v>0</v>
      </c>
      <c r="F424" s="66">
        <v>0</v>
      </c>
      <c r="G424" s="97">
        <f t="shared" si="69"/>
        <v>0</v>
      </c>
      <c r="H424" s="66">
        <f t="shared" si="71"/>
        <v>0</v>
      </c>
      <c r="I424" s="66">
        <f>J424-0</f>
        <v>0</v>
      </c>
      <c r="J424" s="66">
        <v>0</v>
      </c>
      <c r="K424" s="51">
        <f t="shared" si="70"/>
        <v>0</v>
      </c>
      <c r="L424" s="91">
        <f t="shared" si="72"/>
        <v>0</v>
      </c>
    </row>
    <row r="425" spans="1:12" ht="14.25" customHeight="1">
      <c r="A425" s="62" t="s">
        <v>151</v>
      </c>
      <c r="B425" s="49" t="s">
        <v>152</v>
      </c>
      <c r="C425" s="66">
        <v>0</v>
      </c>
      <c r="D425" s="66">
        <v>0</v>
      </c>
      <c r="E425" s="66">
        <f>F425-0</f>
        <v>0</v>
      </c>
      <c r="F425" s="66">
        <v>0</v>
      </c>
      <c r="G425" s="97">
        <f t="shared" si="69"/>
        <v>0</v>
      </c>
      <c r="H425" s="66">
        <f t="shared" si="71"/>
        <v>0</v>
      </c>
      <c r="I425" s="66">
        <f>J425-0</f>
        <v>0</v>
      </c>
      <c r="J425" s="66">
        <v>0</v>
      </c>
      <c r="K425" s="51">
        <f t="shared" si="70"/>
        <v>0</v>
      </c>
      <c r="L425" s="91">
        <f t="shared" si="72"/>
        <v>0</v>
      </c>
    </row>
    <row r="426" spans="1:12" ht="14.25" customHeight="1">
      <c r="A426" s="103" t="s">
        <v>203</v>
      </c>
      <c r="B426" s="104" t="s">
        <v>204</v>
      </c>
      <c r="C426" s="65">
        <f>SUM(C427:C428)</f>
        <v>3974366</v>
      </c>
      <c r="D426" s="65">
        <f>SUM(D427:D428)</f>
        <v>3996528.75</v>
      </c>
      <c r="E426" s="65">
        <f>SUM(E427:E428)</f>
        <v>488728.09</v>
      </c>
      <c r="F426" s="65">
        <f>SUM(F427:F428)</f>
        <v>705478.71</v>
      </c>
      <c r="G426" s="97">
        <f t="shared" si="69"/>
        <v>0.0019226537629248059</v>
      </c>
      <c r="H426" s="65">
        <f t="shared" si="71"/>
        <v>3291050.04</v>
      </c>
      <c r="I426" s="65">
        <f>SUM(I427:I428)</f>
        <v>272173.26</v>
      </c>
      <c r="J426" s="65">
        <f>SUM(J427:J428)</f>
        <v>407808.73</v>
      </c>
      <c r="K426" s="47">
        <f t="shared" si="70"/>
        <v>0.001325829299991418</v>
      </c>
      <c r="L426" s="99">
        <f t="shared" si="72"/>
        <v>3588720.02</v>
      </c>
    </row>
    <row r="427" spans="1:12" ht="14.25" customHeight="1">
      <c r="A427" s="62" t="s">
        <v>28</v>
      </c>
      <c r="B427" s="56" t="s">
        <v>33</v>
      </c>
      <c r="C427" s="111">
        <v>1474366</v>
      </c>
      <c r="D427" s="111">
        <v>1496528.75</v>
      </c>
      <c r="E427" s="66">
        <f>F427-116750.62</f>
        <v>338728.09</v>
      </c>
      <c r="F427" s="115">
        <v>455478.71</v>
      </c>
      <c r="G427" s="58">
        <f t="shared" si="69"/>
        <v>0.0012413242856239225</v>
      </c>
      <c r="H427" s="66">
        <f t="shared" si="71"/>
        <v>1041050.04</v>
      </c>
      <c r="I427" s="66">
        <f>J427-116750.62</f>
        <v>228323.58000000002</v>
      </c>
      <c r="J427" s="111">
        <v>345074.2</v>
      </c>
      <c r="K427" s="51">
        <f t="shared" si="70"/>
        <v>0.0011218727098635153</v>
      </c>
      <c r="L427" s="91">
        <f t="shared" si="72"/>
        <v>1151454.55</v>
      </c>
    </row>
    <row r="428" spans="1:12" ht="14.25" customHeight="1">
      <c r="A428" s="62" t="s">
        <v>207</v>
      </c>
      <c r="B428" s="56" t="s">
        <v>208</v>
      </c>
      <c r="C428" s="111">
        <v>2500000</v>
      </c>
      <c r="D428" s="111">
        <v>2500000</v>
      </c>
      <c r="E428" s="66">
        <f>F428-100000</f>
        <v>150000</v>
      </c>
      <c r="F428" s="115">
        <v>250000</v>
      </c>
      <c r="G428" s="58">
        <f t="shared" si="69"/>
        <v>0.0006813294773008833</v>
      </c>
      <c r="H428" s="66">
        <f t="shared" si="71"/>
        <v>2250000</v>
      </c>
      <c r="I428" s="66">
        <f>J428-18884.85</f>
        <v>43849.68</v>
      </c>
      <c r="J428" s="111">
        <v>62734.53</v>
      </c>
      <c r="K428" s="51">
        <f t="shared" si="70"/>
        <v>0.0002039565901279029</v>
      </c>
      <c r="L428" s="91">
        <f t="shared" si="72"/>
        <v>2437265.47</v>
      </c>
    </row>
    <row r="429" spans="1:12" ht="14.25" customHeight="1">
      <c r="A429" s="103" t="s">
        <v>211</v>
      </c>
      <c r="B429" s="104" t="s">
        <v>212</v>
      </c>
      <c r="C429" s="65">
        <f>SUM(C430:C431)</f>
        <v>510000000</v>
      </c>
      <c r="D429" s="65">
        <f>SUM(D430:D431)</f>
        <v>510000000</v>
      </c>
      <c r="E429" s="65">
        <f>SUM(E430:E431)</f>
        <v>57590700.57</v>
      </c>
      <c r="F429" s="65">
        <f>SUM(F430:F431)</f>
        <v>118096131.39</v>
      </c>
      <c r="G429" s="97">
        <f t="shared" si="69"/>
        <v>0.3218495018848206</v>
      </c>
      <c r="H429" s="65">
        <f t="shared" si="71"/>
        <v>391903868.61</v>
      </c>
      <c r="I429" s="65">
        <f>SUM(I430:I431)</f>
        <v>57590700.57</v>
      </c>
      <c r="J429" s="65">
        <f>SUM(J430:J431)</f>
        <v>118096131.39</v>
      </c>
      <c r="K429" s="47">
        <f t="shared" si="70"/>
        <v>0.3839430097842639</v>
      </c>
      <c r="L429" s="99">
        <f t="shared" si="72"/>
        <v>391903868.61</v>
      </c>
    </row>
    <row r="430" spans="1:12" ht="14.25" customHeight="1">
      <c r="A430" s="62" t="s">
        <v>39</v>
      </c>
      <c r="B430" s="56" t="s">
        <v>41</v>
      </c>
      <c r="C430" s="111">
        <v>510000000</v>
      </c>
      <c r="D430" s="111">
        <v>510000000</v>
      </c>
      <c r="E430" s="66">
        <f>F430-60505430.82</f>
        <v>57590700.57</v>
      </c>
      <c r="F430" s="115">
        <v>118096131.39</v>
      </c>
      <c r="G430" s="58">
        <f t="shared" si="69"/>
        <v>0.3218495018848206</v>
      </c>
      <c r="H430" s="66">
        <f t="shared" si="71"/>
        <v>391903868.61</v>
      </c>
      <c r="I430" s="66">
        <f>J430-60505430.82</f>
        <v>57590700.57</v>
      </c>
      <c r="J430" s="111">
        <v>118096131.39</v>
      </c>
      <c r="K430" s="51">
        <f t="shared" si="70"/>
        <v>0.3839430097842639</v>
      </c>
      <c r="L430" s="91">
        <f t="shared" si="72"/>
        <v>391903868.61</v>
      </c>
    </row>
    <row r="431" spans="1:12" ht="14.25" customHeight="1">
      <c r="A431" s="55" t="s">
        <v>219</v>
      </c>
      <c r="B431" s="49" t="s">
        <v>220</v>
      </c>
      <c r="C431" s="66">
        <v>0</v>
      </c>
      <c r="D431" s="66">
        <v>0</v>
      </c>
      <c r="E431" s="66">
        <f>F431-0</f>
        <v>0</v>
      </c>
      <c r="F431" s="66">
        <v>0</v>
      </c>
      <c r="G431" s="58">
        <f t="shared" si="69"/>
        <v>0</v>
      </c>
      <c r="H431" s="66">
        <f t="shared" si="71"/>
        <v>0</v>
      </c>
      <c r="I431" s="66">
        <f>J431-0</f>
        <v>0</v>
      </c>
      <c r="J431" s="66">
        <v>0</v>
      </c>
      <c r="K431" s="51">
        <f t="shared" si="70"/>
        <v>0</v>
      </c>
      <c r="L431" s="91">
        <f t="shared" si="72"/>
        <v>0</v>
      </c>
    </row>
    <row r="432" spans="1:12" ht="14.25" customHeight="1">
      <c r="A432" s="106" t="s">
        <v>221</v>
      </c>
      <c r="B432" s="107" t="s">
        <v>222</v>
      </c>
      <c r="C432" s="108">
        <v>0</v>
      </c>
      <c r="D432" s="108">
        <v>0</v>
      </c>
      <c r="E432" s="109"/>
      <c r="F432" s="109"/>
      <c r="G432" s="109"/>
      <c r="H432" s="108">
        <f t="shared" si="71"/>
        <v>0</v>
      </c>
      <c r="I432" s="109"/>
      <c r="J432" s="109"/>
      <c r="K432" s="109"/>
      <c r="L432" s="110">
        <f t="shared" si="72"/>
        <v>0</v>
      </c>
    </row>
    <row r="433" spans="1:12" ht="15.75">
      <c r="A433" s="43" t="s">
        <v>259</v>
      </c>
      <c r="B433" s="25"/>
      <c r="C433" s="25"/>
      <c r="D433" s="25"/>
      <c r="E433" s="25"/>
      <c r="F433" s="44"/>
      <c r="G433" s="37"/>
      <c r="H433" s="25"/>
      <c r="I433" s="25"/>
      <c r="J433" s="25"/>
      <c r="K433" s="25"/>
      <c r="L433" s="64" t="s">
        <v>227</v>
      </c>
    </row>
    <row r="434" spans="1:12" ht="15.75">
      <c r="A434" s="43" t="s">
        <v>260</v>
      </c>
      <c r="B434" s="25"/>
      <c r="C434" s="25"/>
      <c r="D434" s="25"/>
      <c r="E434" s="25"/>
      <c r="F434" s="25"/>
      <c r="G434" s="25"/>
      <c r="H434" s="25"/>
      <c r="I434" s="44"/>
      <c r="J434" s="25"/>
      <c r="K434" s="25"/>
      <c r="L434" s="25"/>
    </row>
    <row r="435" spans="1:12" ht="15.75">
      <c r="A435" s="43" t="s">
        <v>288</v>
      </c>
      <c r="B435" s="25"/>
      <c r="C435" s="25"/>
      <c r="D435" s="25"/>
      <c r="E435" s="25"/>
      <c r="F435" s="25"/>
      <c r="G435" s="25"/>
      <c r="H435" s="25"/>
      <c r="I435" s="25"/>
      <c r="J435" s="44"/>
      <c r="K435" s="25"/>
      <c r="L435" s="25"/>
    </row>
    <row r="436" spans="1:12" ht="15.75">
      <c r="A436" s="43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</row>
    <row r="437" spans="1:12" ht="15.75">
      <c r="A437" s="43"/>
      <c r="B437" s="25"/>
      <c r="C437" s="81"/>
      <c r="D437" s="81"/>
      <c r="E437" s="81"/>
      <c r="F437" s="81"/>
      <c r="G437" s="81"/>
      <c r="H437" s="81"/>
      <c r="I437" s="81"/>
      <c r="J437" s="81"/>
      <c r="K437" s="81"/>
      <c r="L437" s="81"/>
    </row>
    <row r="438" spans="1:12" ht="15.75">
      <c r="A438" s="43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</row>
    <row r="439" spans="1:12" ht="15.75">
      <c r="A439" s="43"/>
      <c r="B439" s="25"/>
      <c r="C439" s="81"/>
      <c r="D439" s="81"/>
      <c r="E439" s="81"/>
      <c r="F439" s="81"/>
      <c r="G439" s="81"/>
      <c r="H439" s="81"/>
      <c r="I439" s="81"/>
      <c r="J439" s="81"/>
      <c r="K439" s="81"/>
      <c r="L439" s="81"/>
    </row>
    <row r="440" spans="1:12" ht="15.75">
      <c r="A440" s="43"/>
      <c r="B440" s="25"/>
      <c r="C440" s="81"/>
      <c r="D440" s="81"/>
      <c r="E440" s="81"/>
      <c r="F440" s="81"/>
      <c r="G440" s="81"/>
      <c r="H440" s="81"/>
      <c r="I440" s="81"/>
      <c r="J440" s="81"/>
      <c r="K440" s="81"/>
      <c r="L440" s="81"/>
    </row>
    <row r="441" spans="1:12" ht="15.75">
      <c r="A441" s="43"/>
      <c r="B441" s="25"/>
      <c r="C441" s="81"/>
      <c r="D441" s="81"/>
      <c r="E441" s="81"/>
      <c r="F441" s="81"/>
      <c r="G441" s="81"/>
      <c r="H441" s="81"/>
      <c r="I441" s="81"/>
      <c r="J441" s="81"/>
      <c r="K441" s="81"/>
      <c r="L441" s="81"/>
    </row>
    <row r="442" spans="1:12" ht="15.75">
      <c r="A442" s="43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</row>
    <row r="443" spans="1:13" ht="15.75">
      <c r="A443" s="85"/>
      <c r="B443" s="25"/>
      <c r="C443" s="25"/>
      <c r="D443" s="25"/>
      <c r="E443" s="44"/>
      <c r="F443" s="25"/>
      <c r="G443" s="25"/>
      <c r="H443" s="25"/>
      <c r="I443" s="44"/>
      <c r="J443" s="25"/>
      <c r="K443" s="25"/>
      <c r="L443" s="25"/>
      <c r="M443" s="113"/>
    </row>
    <row r="444" spans="1:13" ht="12.75">
      <c r="A444" s="38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113"/>
    </row>
    <row r="445" spans="1:13" ht="12.75">
      <c r="A445" s="38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113"/>
    </row>
    <row r="446" spans="1:13" ht="15.75">
      <c r="A446" s="123" t="s">
        <v>255</v>
      </c>
      <c r="B446" s="123"/>
      <c r="C446" s="118" t="s">
        <v>257</v>
      </c>
      <c r="D446" s="118"/>
      <c r="E446" s="118"/>
      <c r="F446" s="118"/>
      <c r="G446" s="118"/>
      <c r="H446" s="118"/>
      <c r="I446" s="118" t="s">
        <v>280</v>
      </c>
      <c r="J446" s="118"/>
      <c r="K446" s="118"/>
      <c r="L446" s="118"/>
      <c r="M446" s="113"/>
    </row>
    <row r="447" spans="1:13" ht="15.75">
      <c r="A447" s="123" t="s">
        <v>256</v>
      </c>
      <c r="B447" s="123"/>
      <c r="C447" s="118" t="s">
        <v>258</v>
      </c>
      <c r="D447" s="118"/>
      <c r="E447" s="118"/>
      <c r="F447" s="118"/>
      <c r="G447" s="118"/>
      <c r="H447" s="118"/>
      <c r="I447" s="126" t="s">
        <v>281</v>
      </c>
      <c r="J447" s="126"/>
      <c r="K447" s="126"/>
      <c r="L447" s="126"/>
      <c r="M447" s="113"/>
    </row>
    <row r="448" spans="1:13" ht="15.75">
      <c r="A448" s="123" t="s">
        <v>248</v>
      </c>
      <c r="B448" s="123"/>
      <c r="C448" s="118" t="s">
        <v>249</v>
      </c>
      <c r="D448" s="118"/>
      <c r="E448" s="118"/>
      <c r="F448" s="118"/>
      <c r="G448" s="118"/>
      <c r="H448" s="118"/>
      <c r="I448" s="118" t="s">
        <v>282</v>
      </c>
      <c r="J448" s="118"/>
      <c r="K448" s="118"/>
      <c r="L448" s="118"/>
      <c r="M448" s="113"/>
    </row>
    <row r="449" spans="1:13" ht="12.75">
      <c r="A449" s="38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113"/>
    </row>
    <row r="450" spans="1:13" ht="12.75">
      <c r="A450" s="38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113"/>
    </row>
    <row r="451" spans="1:12" ht="12.7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</row>
    <row r="452" spans="1:12" ht="12.7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</row>
    <row r="453" spans="1:12" ht="12.7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</row>
    <row r="454" spans="1:12" ht="15">
      <c r="A454" s="42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</row>
    <row r="455" spans="1:12" ht="12.75">
      <c r="A455" s="38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</row>
    <row r="456" spans="1:12" ht="12.75">
      <c r="A456" s="38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</row>
    <row r="457" spans="1:12" ht="12.75">
      <c r="A457" s="38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</row>
    <row r="458" spans="1:12" ht="12.75">
      <c r="A458" s="38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</row>
    <row r="459" spans="1:12" ht="12.75">
      <c r="A459" s="38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</row>
    <row r="460" spans="1:12" ht="12.75">
      <c r="A460" s="38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</row>
    <row r="461" spans="1:12" ht="12.75">
      <c r="A461" s="38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</row>
    <row r="462" spans="1:12" ht="12.75">
      <c r="A462" s="38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</row>
    <row r="463" spans="1:12" ht="12.75">
      <c r="A463" s="38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</row>
    <row r="464" spans="1:12" ht="12.75">
      <c r="A464" s="38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</row>
    <row r="465" spans="1:12" ht="12.75">
      <c r="A465" s="38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</row>
    <row r="466" spans="1:12" ht="12.75">
      <c r="A466" s="38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</row>
    <row r="467" spans="1:12" ht="12.75">
      <c r="A467" s="38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</row>
    <row r="468" spans="1:12" ht="12.75">
      <c r="A468" s="38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</row>
    <row r="469" spans="1:12" ht="12.75">
      <c r="A469" s="38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</row>
    <row r="470" spans="1:12" ht="12.75">
      <c r="A470" s="38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</row>
    <row r="471" spans="1:12" ht="12.75">
      <c r="A471" s="38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</row>
    <row r="472" spans="1:12" ht="12.75">
      <c r="A472" s="38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</row>
    <row r="473" spans="1:12" ht="12.75">
      <c r="A473" s="38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</row>
    <row r="474" spans="1:12" ht="12.75">
      <c r="A474" s="38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</row>
    <row r="475" spans="1:12" ht="12.75">
      <c r="A475" s="38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</row>
    <row r="476" spans="1:12" ht="12.75">
      <c r="A476" s="38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</row>
    <row r="477" spans="1:12" ht="12.75">
      <c r="A477" s="38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</row>
    <row r="478" spans="1:12" ht="12.75">
      <c r="A478" s="38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</row>
    <row r="479" spans="1:12" ht="12.75">
      <c r="A479" s="38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</row>
    <row r="480" spans="1:12" ht="12.75">
      <c r="A480" s="38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</row>
    <row r="481" spans="1:12" ht="12.75">
      <c r="A481" s="38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</row>
    <row r="482" spans="1:12" ht="12.75">
      <c r="A482" s="38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</row>
    <row r="483" spans="1:12" ht="12.75">
      <c r="A483" s="38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</row>
    <row r="484" spans="1:12" ht="12.75">
      <c r="A484" s="38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</row>
    <row r="485" spans="1:12" ht="12.75">
      <c r="A485" s="38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</row>
    <row r="486" spans="1:12" ht="12.75">
      <c r="A486" s="38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</row>
    <row r="487" spans="1:12" ht="12.75">
      <c r="A487" s="38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</row>
    <row r="488" spans="1:12" ht="12.75">
      <c r="A488" s="38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</row>
    <row r="489" spans="1:12" ht="12.75">
      <c r="A489" s="38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</row>
    <row r="490" spans="1:12" ht="12.75">
      <c r="A490" s="38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</row>
    <row r="491" spans="1:12" ht="12.75">
      <c r="A491" s="38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</row>
    <row r="492" spans="1:12" ht="12.75">
      <c r="A492" s="38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</row>
    <row r="493" spans="1:12" ht="12.75">
      <c r="A493" s="38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</row>
    <row r="494" spans="1:12" ht="12.75">
      <c r="A494" s="38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</row>
    <row r="495" spans="1:12" ht="12.75">
      <c r="A495" s="38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</row>
    <row r="496" spans="1:12" ht="12.75">
      <c r="A496" s="38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</row>
  </sheetData>
  <sheetProtection/>
  <mergeCells count="33">
    <mergeCell ref="A446:B446"/>
    <mergeCell ref="C446:H446"/>
    <mergeCell ref="I446:L446"/>
    <mergeCell ref="A447:B447"/>
    <mergeCell ref="C447:H447"/>
    <mergeCell ref="I447:L447"/>
    <mergeCell ref="A448:B448"/>
    <mergeCell ref="C448:H448"/>
    <mergeCell ref="I448:L448"/>
    <mergeCell ref="A317:B317"/>
    <mergeCell ref="E330:G330"/>
    <mergeCell ref="I330:K330"/>
    <mergeCell ref="A323:L323"/>
    <mergeCell ref="A324:L324"/>
    <mergeCell ref="A325:L325"/>
    <mergeCell ref="A326:L326"/>
    <mergeCell ref="A163:L163"/>
    <mergeCell ref="A164:L164"/>
    <mergeCell ref="A165:L165"/>
    <mergeCell ref="A166:L166"/>
    <mergeCell ref="A167:L167"/>
    <mergeCell ref="E170:G170"/>
    <mergeCell ref="I170:K170"/>
    <mergeCell ref="N351:O351"/>
    <mergeCell ref="M190:O190"/>
    <mergeCell ref="A3:L3"/>
    <mergeCell ref="A4:L4"/>
    <mergeCell ref="A5:L5"/>
    <mergeCell ref="A6:L6"/>
    <mergeCell ref="A7:L7"/>
    <mergeCell ref="E10:G10"/>
    <mergeCell ref="I10:K10"/>
    <mergeCell ref="A327:L327"/>
  </mergeCells>
  <printOptions horizontalCentered="1" verticalCentered="1"/>
  <pageMargins left="0.2362204724409449" right="0.2362204724409449" top="0" bottom="0" header="0" footer="0"/>
  <pageSetup fitToHeight="0" fitToWidth="1" horizontalDpi="600" verticalDpi="600" orientation="portrait" paperSize="9" scale="34" r:id="rId2"/>
  <rowBreaks count="2" manualBreakCount="2">
    <brk id="158" max="11" man="1"/>
    <brk id="318" max="11" man="1"/>
  </rowBreaks>
  <ignoredErrors>
    <ignoredError sqref="J278 I334:J334 J343 I335 C429:D429 J429 F429 J198" formulaRange="1"/>
    <ignoredError sqref="E25 E317 E29:F29 E35:F35 E108:F108 E153:F153 E248:F248 E287:F287 E362:F362 E366:F366 E368:F368 F397 J397 I368:J368 I366:J366 I362:J362 I356:J356 H317:J317 I248:J248 I101 I105 I108:J108 I153:J153 I112 I246 I120 E205 I87 E408 E406 I205 I287:J287 I232:I234 I274:I275 I278 I290 E278:E282 I406 I408 I411:J411 E411:F411 F51 E120 E216 I395:I397 E183:F183 I183:J183 E229:F229 I229 E393:F393 I393:J393 E390:F390 E389 I392 E392 I389:I390 E395:E397 E224 F195 E200:F200 I192:J192 E190:F192 I224 I62:I63 I306:J306 I300:J300 E306:F306 E300:F300 E294:F294 E302 E295 I295 I57 E194:E195 I194:I195 I200 E274:E275 E305 I305 E343:E344 E342:F342 E356:F356 E339:F339 F343 E354 I350:I351 J35 I51:I53 I29:J29 I24:I25 I35:I36 E236:F237 I302 E44:F44 I47 E78:E80 E85:E87 E96:E97 E226 I354 E263:F267 I267:J267 I269:I270 I272 E269:E270 E272:F272 I256:I258 E257:F258 E47 E350:E351 E51:E53 E62:E63 E89:E91 I44 E413 E57:E58 E101 I216 E252:F252 I252 E337:E338 E348 I348 I413 E416 I416 I190:I191 I294:J294 I236:I237 I261 E73 E129:E130 E126:K126 E152:K152 F129:K129 E123:K123 I203 E422 I422 I418:I419 E418:E419 E424:E426 I424:I426 G130:I130 E132:K132 I429 E60 E75 E93 G122:H122 E128:K128 G127:I127 G131:H131 E137:K137 G136:H136 E139:K139 G138:H138 E147:K147 G140:H144 G145:I145 G146:H146 G150:H151 K122 K130:K131 K136 K138 K150:K151 I263:I266 E372 E375 E383 I386 I383 I375 I372 E333 I282 I342 E125 G125:I125 K125 K127 E134:K135 E133 G133:K133 K140:K146 I401:I403 E402:E403" formula="1"/>
    <ignoredError sqref="A14:A20 A21:B21 A33:B33 A97:B97 A129:B129 A139:B139 A194:B194 A207:B207 A208:A214 A215:B215 A231:B231 A274:B274 A275:A280 A294:B294 A364:B364 M364:IV364 A153:A157 A223:A230 A281:B282 A205:A206 A232:A273 A287:A293 A295:A316 A432 A353:A363 A334:A351 A22:A32 A56:A96 A125:A128 A130:A138 A175:A193 A34:A54 A150:A151 A98:A123 A173 A195:A198 A200:A203 A220 A216:A218 A140:A147 A365:A387 A406:A430 A389:A403" numberStoredAsText="1"/>
    <ignoredError sqref="G317 K317 J205 J339 I338 I339 I343 I344 I337 E429" evalError="1" formula="1"/>
    <ignoredError sqref="G333 K333 K13" evalError="1"/>
    <ignoredError sqref="J205 J339 I338 I339 I343 I344 I337 E429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Renato Ferreira Costa</cp:lastModifiedBy>
  <cp:lastPrinted>2024-05-20T15:12:24Z</cp:lastPrinted>
  <dcterms:created xsi:type="dcterms:W3CDTF">2005-03-08T15:13:02Z</dcterms:created>
  <dcterms:modified xsi:type="dcterms:W3CDTF">2024-05-20T15:40:47Z</dcterms:modified>
  <cp:category/>
  <cp:version/>
  <cp:contentType/>
  <cp:contentStatus/>
</cp:coreProperties>
</file>