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0920" windowHeight="6585" activeTab="0"/>
  </bookViews>
  <sheets>
    <sheet name="Anexo 1 - Balanço Orçamentário" sheetId="1" r:id="rId1"/>
  </sheets>
  <externalReferences>
    <externalReference r:id="rId4"/>
  </externalReferences>
  <definedNames>
    <definedName name="_xlfn._FV" hidden="1">#NAME?</definedName>
    <definedName name="_xlnm.Print_Area" localSheetId="0">'Anexo 1 - Balanço Orçamentário'!$A$1:$L$241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<sst xmlns="http://schemas.openxmlformats.org/spreadsheetml/2006/main" count="292" uniqueCount="161">
  <si>
    <t>RELATÓRIO RESUMIDO DA EXECUÇÃO ORÇAMENTÁRIA</t>
  </si>
  <si>
    <t>BALANÇO ORÇAMENTÁRIO</t>
  </si>
  <si>
    <t>ORÇAMENTOS FISCAL E DA SEGURIDADE SOCIAL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</si>
  <si>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</si>
  <si>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</si>
  <si>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</si>
  <si>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</si>
  <si>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</si>
  <si>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</si>
  <si>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</si>
  <si>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</si>
  <si>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</si>
  <si>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</si>
  <si>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(c/a)</t>
  </si>
  <si>
    <t>(a-c)</t>
  </si>
  <si>
    <t>DOTAÇÃO</t>
  </si>
  <si>
    <t>DESPESAS EMPENHADAS</t>
  </si>
  <si>
    <t>DESPESAS LIQUIDADAS</t>
  </si>
  <si>
    <t>DESPESAS</t>
  </si>
  <si>
    <t>(d)</t>
  </si>
  <si>
    <t>(e)</t>
  </si>
  <si>
    <t>(h)</t>
  </si>
  <si>
    <t>(j)</t>
  </si>
  <si>
    <t xml:space="preserve">    Amortização da Dívida Interna</t>
  </si>
  <si>
    <t xml:space="preserve">        Dívida Mobiliária</t>
  </si>
  <si>
    <t xml:space="preserve">    Amortização da Dívida Externa</t>
  </si>
  <si>
    <t>GOVERNO DO ESTADO DO RIO DE JANEIRO</t>
  </si>
  <si>
    <t>SUBTOTAL DAS RECEITAS (III) = (I + II)</t>
  </si>
  <si>
    <t>SUBTOTAL DAS DESPESAS (X) = (VIII + IX)</t>
  </si>
  <si>
    <t>Continuação</t>
  </si>
  <si>
    <t xml:space="preserve">    RECEITAS CORRENTES</t>
  </si>
  <si>
    <t xml:space="preserve">            Impostos</t>
  </si>
  <si>
    <t xml:space="preserve">            Taxas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</si>
  <si>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</si>
  <si>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</si>
  <si>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</si>
  <si>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</si>
  <si>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</si>
  <si>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</si>
  <si>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</si>
  <si>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</si>
  <si>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</si>
  <si>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</si>
  <si>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</si>
  <si>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</si>
  <si>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</si>
  <si>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</si>
  <si>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</si>
  <si>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</si>
  <si>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</si>
  <si>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>RECEITAS (INTRA-ORÇAMENTÁRIAS) (II)</t>
  </si>
  <si>
    <t xml:space="preserve">        Mobiliária</t>
  </si>
  <si>
    <t xml:space="preserve">        Contratual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</si>
  <si>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</si>
  <si>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</si>
  <si>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</si>
  <si>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</si>
  <si>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</si>
  <si>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</si>
  <si>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</si>
  <si>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</si>
  <si>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</si>
  <si>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</si>
  <si>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SUPERÁVIT (XIII)</t>
  </si>
  <si>
    <t>RREO - Anexo 1 (LRF, Art. 52, inciso I, alíneas "a" e "b" do inciso II e §1º)</t>
  </si>
  <si>
    <t>PREVISÃO INICIAL</t>
  </si>
  <si>
    <t>SALDO</t>
  </si>
  <si>
    <t>( c )</t>
  </si>
  <si>
    <t>RECEITAS (EXCETO INTRA-ORÇAMENTÁRIAS) (I)</t>
  </si>
  <si>
    <t>OPERAÇÕES DE CRÉDITO / REFINANCIAMENTO  (IV)</t>
  </si>
  <si>
    <t>DESPESAS PAGAS ATÉ O BIMESTRE</t>
  </si>
  <si>
    <t xml:space="preserve">No </t>
  </si>
  <si>
    <t xml:space="preserve">Até o </t>
  </si>
  <si>
    <t>Bimestre</t>
  </si>
  <si>
    <t>(f)</t>
  </si>
  <si>
    <t xml:space="preserve">(g) = (e-f) </t>
  </si>
  <si>
    <t>(i) = (e-h)</t>
  </si>
  <si>
    <t>DESPESAS (EXCETO INTRA-ORÇAMENTÁRIAS) (VIII)</t>
  </si>
  <si>
    <t>AMORTIZAÇÃO DA DÍV. / REFINANCIAMENTO (XI)</t>
  </si>
  <si>
    <t>PREVISÃO</t>
  </si>
  <si>
    <t>RESERVA DO RPPS</t>
  </si>
  <si>
    <t xml:space="preserve">            Transferências de Outras Instituições Públicas</t>
  </si>
  <si>
    <t xml:space="preserve">    Recursos Arrecadados em Exercícios Anteriores - RPPS</t>
  </si>
  <si>
    <t xml:space="preserve">                                         Contador - CRC-RJ-097281/O-6</t>
  </si>
  <si>
    <t xml:space="preserve">                                          Coordenador - ID: 4.284.985-3</t>
  </si>
  <si>
    <t xml:space="preserve">        Ronald Marcio G. Rodrigues</t>
  </si>
  <si>
    <t xml:space="preserve">        Superintendente - ID: 1.943.584-3</t>
  </si>
  <si>
    <t xml:space="preserve">         Contador - CRC-RJ-079208/O-8</t>
  </si>
  <si>
    <t xml:space="preserve">            Contribuições Econômicas</t>
  </si>
  <si>
    <t>Continua (1/2)</t>
  </si>
  <si>
    <t>(2/2)</t>
  </si>
  <si>
    <t xml:space="preserve">                                           Renato Ferreira Costa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</si>
  <si>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</si>
  <si>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</si>
  <si>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</si>
  <si>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</si>
  <si>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</si>
  <si>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</si>
  <si>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</si>
  <si>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Pessoas Físicas</t>
  </si>
  <si>
    <t xml:space="preserve">            Transferências Provenientes de Depósitos Não Identificados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</si>
  <si>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</si>
  <si>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</si>
  <si>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</si>
  <si>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</si>
  <si>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</si>
  <si>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</si>
  <si>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</si>
  <si>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</si>
  <si>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</si>
  <si>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</si>
  <si>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</si>
  <si>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    Delegação de Serviços Públicos Mediante Concessão, Permissão, Autorização ou Licença</t>
  </si>
  <si>
    <t xml:space="preserve">            Demais Receitas Patrimoniais</t>
  </si>
  <si>
    <t xml:space="preserve">            Cessão de Direitos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</si>
  <si>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</si>
  <si>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</si>
  <si>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</si>
  <si>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</si>
  <si>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</si>
  <si>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</si>
  <si>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       </t>
  </si>
  <si>
    <t xml:space="preserve">     Operações de Crédito - Mercado Interno</t>
  </si>
  <si>
    <t xml:space="preserve">    Operações de Crédito - Mercado Externo</t>
  </si>
  <si>
    <t xml:space="preserve">    Superávit Financeiro Utilizado para Créditos Adicionais</t>
  </si>
  <si>
    <t>FONTE: Siafe-Rio - Secretaria de Estado de Fazenda.</t>
  </si>
  <si>
    <t xml:space="preserve">        IMPOSTOS, TAXAS E CONTRIBUIÇÕES DE MELHORIA</t>
  </si>
  <si>
    <t>Contribuição de Melhoria</t>
  </si>
  <si>
    <t>Obs.:  1 - Excluídas a Imprensa Oficial, a CEDAE e a AGERIO por não se enquadrarem no conceito de Empresa Dependente.</t>
  </si>
  <si>
    <t xml:space="preserve">  JUROS E ENCARGOS DA DÍVIDA</t>
  </si>
  <si>
    <t xml:space="preserve">        CONTRIBUIÇÕES</t>
  </si>
  <si>
    <t>TOTAL DAS RECEITAS (V) = (III + IV)</t>
  </si>
  <si>
    <r>
      <t>DÉFICIT (VI)</t>
    </r>
    <r>
      <rPr>
        <b/>
        <vertAlign val="superscript"/>
        <sz val="12"/>
        <rFont val="Times New Roman"/>
        <family val="1"/>
      </rPr>
      <t>1</t>
    </r>
  </si>
  <si>
    <t>TOTAL COM DÉFICIT (VII) = (V + VI)</t>
  </si>
  <si>
    <t>SALDOS DE EXERCÍCIOS ANTERIORES</t>
  </si>
  <si>
    <r>
      <t xml:space="preserve">           Transferências a Municípios</t>
    </r>
    <r>
      <rPr>
        <vertAlign val="superscript"/>
        <sz val="12"/>
        <rFont val="Times New Roman"/>
        <family val="1"/>
      </rPr>
      <t>2</t>
    </r>
  </si>
  <si>
    <r>
      <t xml:space="preserve">           Demais Despesas Correntes</t>
    </r>
    <r>
      <rPr>
        <vertAlign val="superscript"/>
        <sz val="12"/>
        <rFont val="Times New Roman"/>
        <family val="1"/>
      </rPr>
      <t>2</t>
    </r>
  </si>
  <si>
    <t>TOTAL DAS DESPESAS (XII) = (X + XI)</t>
  </si>
  <si>
    <t>TOTAL COM SUPERÁVIT (XIV) = (XII + XIII)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</si>
  <si>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O déficit será apurado pela diferença entre a receita realizada e a despesa liquidada nos cinco primeiros bimestres e a despesa empenhada no último bimestre.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</si>
  <si>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Essa linha será apresentada somente no Demonstrativo aplicado aos Estados.</t>
    </r>
  </si>
  <si>
    <t>Yasmim da Costa Monteiro</t>
  </si>
  <si>
    <t>Subsecretária de Contabilidade Geral - ID: 4.461.243-5</t>
  </si>
  <si>
    <t>Contadora - CRC-RJ-114428/O-0</t>
  </si>
  <si>
    <t xml:space="preserve">            Multas e Juros de Mora das Receitas de Capital</t>
  </si>
  <si>
    <t xml:space="preserve">    RESERVA DE CONTIGÊNCIA</t>
  </si>
  <si>
    <t xml:space="preserve">            Outras Transferências de Capital</t>
  </si>
  <si>
    <t xml:space="preserve">              Taxas</t>
  </si>
  <si>
    <t xml:space="preserve">              Impostos</t>
  </si>
  <si>
    <t xml:space="preserve">            Demais Transferências de Capital</t>
  </si>
  <si>
    <t>Essas linhas não constam mais</t>
  </si>
  <si>
    <t xml:space="preserve">        Dívida Contratual</t>
  </si>
  <si>
    <t>DESPESAS INTRA-ORÇAMENTÁRIAS</t>
  </si>
  <si>
    <t>não constam mais</t>
  </si>
  <si>
    <t xml:space="preserve">          2 - Imprensa Oficial, CEDAE e AGERIO não constam nos Orçamentos Fiscal e da Seguridade Social no exercício de 2024.</t>
  </si>
  <si>
    <t>RECEITAS INTRA-ORÇAMENTÁRIAS</t>
  </si>
  <si>
    <t xml:space="preserve">            Demais Transferências Correntes</t>
  </si>
  <si>
    <t xml:space="preserve">          4 -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</si>
  <si>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          3 - A diferença de R$ 8.528.349.036,00 (Oito bilhões, quinhentos e vinte e oito milhões, trezentos e quarenta e nove mil e trinta e seis reais) entre a Previsão Inicial da Receita e a Dotação Inicial da Despesa é referente ao "Déficit do Orçamento" considerado na Lei Orçamentária Anual de 2024.</t>
  </si>
  <si>
    <t>JANEIRO A ABRIL 2024/BIMESTRE MARÇO - ABRIL</t>
  </si>
  <si>
    <t>Emissão: 22/05/2024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</si>
</sst>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-* #,##0_-;\-* #,##0_-;_-* &quot;-&quot;??_-;_-@_-"/>
    <numFmt numFmtId="179" formatCode="_(* #,##0.0_);_(* \(#,##0.0\);_(* &quot;-&quot;_);_(@_)"/>
    <numFmt numFmtId="180" formatCode="_(* #,##0.00_);_(* \(#,##0.00\);_(* &quot;-&quot;_);_(@_)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(* #,##0.000_);_(* \(#,##0.000\);_(* &quot;-&quot;_);_(@_)"/>
    <numFmt numFmtId="186" formatCode="_(* #,##0.0000_);_(* \(#,##0.0000\);_(* &quot;-&quot;_);_(@_)"/>
    <numFmt numFmtId="187" formatCode="&quot;R$&quot;#,##0.00"/>
  </numFmts>
  <fonts count="5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49" applyNumberFormat="1" applyFont="1" applyFill="1" applyAlignment="1">
      <alignment/>
      <protection/>
    </xf>
    <xf numFmtId="0" fontId="2" fillId="0" borderId="0" xfId="49" applyNumberFormat="1" applyFont="1" applyFill="1" applyAlignment="1">
      <alignment/>
      <protection/>
    </xf>
    <xf numFmtId="0" fontId="3" fillId="0" borderId="0" xfId="49" applyNumberFormat="1" applyFont="1" applyFill="1" applyAlignment="1">
      <alignment/>
      <protection/>
    </xf>
    <xf numFmtId="0" fontId="4" fillId="0" borderId="0" xfId="49" applyNumberFormat="1" applyFont="1" applyFill="1" applyAlignment="1">
      <alignment/>
      <protection/>
    </xf>
    <xf numFmtId="49" fontId="4" fillId="0" borderId="0" xfId="49" applyNumberFormat="1" applyFont="1" applyFill="1" applyAlignment="1">
      <alignment horizontal="center"/>
      <protection/>
    </xf>
    <xf numFmtId="49" fontId="3" fillId="0" borderId="0" xfId="49" applyNumberFormat="1" applyFont="1" applyFill="1" applyAlignment="1">
      <alignment horizontal="center"/>
      <protection/>
    </xf>
    <xf numFmtId="0" fontId="3" fillId="0" borderId="0" xfId="49" applyNumberFormat="1" applyFont="1" applyFill="1" applyAlignment="1">
      <alignment horizontal="center"/>
      <protection/>
    </xf>
    <xf numFmtId="49" fontId="3" fillId="0" borderId="0" xfId="49" applyNumberFormat="1" applyFont="1" applyFill="1" applyAlignment="1">
      <alignment/>
      <protection/>
    </xf>
    <xf numFmtId="0" fontId="3" fillId="0" borderId="0" xfId="49" applyFont="1" applyFill="1" applyBorder="1" applyAlignment="1">
      <alignment/>
      <protection/>
    </xf>
    <xf numFmtId="0" fontId="3" fillId="0" borderId="0" xfId="49" applyFont="1" applyFill="1" applyAlignment="1">
      <alignment/>
      <protection/>
    </xf>
    <xf numFmtId="172" fontId="3" fillId="0" borderId="0" xfId="49" applyNumberFormat="1" applyFont="1" applyFill="1" applyAlignment="1">
      <alignment/>
      <protection/>
    </xf>
    <xf numFmtId="0" fontId="3" fillId="0" borderId="0" xfId="49" applyFont="1" applyFill="1" applyAlignment="1">
      <alignment horizontal="right"/>
      <protection/>
    </xf>
    <xf numFmtId="167" fontId="3" fillId="0" borderId="0" xfId="49" applyNumberFormat="1" applyFont="1" applyFill="1" applyAlignment="1">
      <alignment horizontal="right"/>
      <protection/>
    </xf>
    <xf numFmtId="169" fontId="1" fillId="33" borderId="10" xfId="66" applyNumberFormat="1" applyFont="1" applyFill="1" applyBorder="1" applyAlignment="1">
      <alignment horizontal="right"/>
    </xf>
    <xf numFmtId="169" fontId="1" fillId="33" borderId="0" xfId="66" applyNumberFormat="1" applyFont="1" applyFill="1" applyAlignment="1">
      <alignment horizontal="right"/>
    </xf>
    <xf numFmtId="180" fontId="1" fillId="33" borderId="10" xfId="65" applyNumberFormat="1" applyFont="1" applyFill="1" applyBorder="1" applyAlignment="1">
      <alignment horizontal="right"/>
    </xf>
    <xf numFmtId="3" fontId="3" fillId="0" borderId="0" xfId="49" applyNumberFormat="1" applyFont="1" applyFill="1" applyAlignment="1">
      <alignment/>
      <protection/>
    </xf>
    <xf numFmtId="180" fontId="1" fillId="33" borderId="11" xfId="65" applyNumberFormat="1" applyFont="1" applyFill="1" applyBorder="1" applyAlignment="1">
      <alignment horizontal="right"/>
    </xf>
    <xf numFmtId="174" fontId="3" fillId="0" borderId="0" xfId="49" applyNumberFormat="1" applyFont="1" applyFill="1" applyAlignment="1">
      <alignment/>
      <protection/>
    </xf>
    <xf numFmtId="169" fontId="3" fillId="33" borderId="12" xfId="66" applyNumberFormat="1" applyFont="1" applyFill="1" applyBorder="1" applyAlignment="1">
      <alignment horizontal="right"/>
    </xf>
    <xf numFmtId="169" fontId="3" fillId="33" borderId="11" xfId="66" applyNumberFormat="1" applyFont="1" applyFill="1" applyBorder="1" applyAlignment="1">
      <alignment horizontal="right"/>
    </xf>
    <xf numFmtId="169" fontId="3" fillId="33" borderId="0" xfId="66" applyNumberFormat="1" applyFont="1" applyFill="1" applyAlignment="1">
      <alignment horizontal="right"/>
    </xf>
    <xf numFmtId="180" fontId="3" fillId="33" borderId="11" xfId="65" applyNumberFormat="1" applyFont="1" applyFill="1" applyBorder="1" applyAlignment="1">
      <alignment horizontal="right"/>
    </xf>
    <xf numFmtId="174" fontId="53" fillId="0" borderId="0" xfId="49" applyNumberFormat="1" applyFont="1" applyFill="1" applyAlignment="1">
      <alignment/>
      <protection/>
    </xf>
    <xf numFmtId="169" fontId="3" fillId="0" borderId="0" xfId="49" applyNumberFormat="1" applyFont="1" applyFill="1" applyAlignment="1">
      <alignment/>
      <protection/>
    </xf>
    <xf numFmtId="180" fontId="1" fillId="33" borderId="13" xfId="65" applyNumberFormat="1" applyFont="1" applyFill="1" applyBorder="1" applyAlignment="1">
      <alignment horizontal="right"/>
    </xf>
    <xf numFmtId="169" fontId="1" fillId="33" borderId="14" xfId="66" applyNumberFormat="1" applyFont="1" applyFill="1" applyBorder="1" applyAlignment="1">
      <alignment horizontal="right"/>
    </xf>
    <xf numFmtId="169" fontId="3" fillId="33" borderId="0" xfId="66" applyNumberFormat="1" applyFont="1" applyFill="1" applyBorder="1" applyAlignment="1">
      <alignment horizontal="right"/>
    </xf>
    <xf numFmtId="169" fontId="3" fillId="33" borderId="15" xfId="66" applyNumberFormat="1" applyFont="1" applyFill="1" applyBorder="1" applyAlignment="1">
      <alignment horizontal="right"/>
    </xf>
    <xf numFmtId="169" fontId="3" fillId="33" borderId="16" xfId="66" applyNumberFormat="1" applyFont="1" applyFill="1" applyBorder="1" applyAlignment="1">
      <alignment horizontal="right"/>
    </xf>
    <xf numFmtId="180" fontId="3" fillId="33" borderId="16" xfId="65" applyNumberFormat="1" applyFont="1" applyFill="1" applyBorder="1" applyAlignment="1">
      <alignment horizontal="right"/>
    </xf>
    <xf numFmtId="180" fontId="1" fillId="33" borderId="16" xfId="65" applyNumberFormat="1" applyFont="1" applyFill="1" applyBorder="1" applyAlignment="1">
      <alignment horizontal="right"/>
    </xf>
    <xf numFmtId="169" fontId="53" fillId="0" borderId="0" xfId="49" applyNumberFormat="1" applyFont="1" applyFill="1" applyAlignment="1">
      <alignment/>
      <protection/>
    </xf>
    <xf numFmtId="169" fontId="53" fillId="33" borderId="0" xfId="49" applyNumberFormat="1" applyFont="1" applyFill="1" applyAlignment="1">
      <alignment wrapText="1"/>
      <protection/>
    </xf>
    <xf numFmtId="0" fontId="2" fillId="33" borderId="0" xfId="49" applyFont="1" applyFill="1" applyBorder="1">
      <alignment/>
      <protection/>
    </xf>
    <xf numFmtId="37" fontId="2" fillId="33" borderId="0" xfId="49" applyNumberFormat="1" applyFont="1" applyFill="1" applyBorder="1" applyAlignment="1">
      <alignment horizontal="center"/>
      <protection/>
    </xf>
    <xf numFmtId="0" fontId="2" fillId="33" borderId="0" xfId="49" applyNumberFormat="1" applyFont="1" applyFill="1" applyBorder="1" applyAlignment="1">
      <alignment horizontal="center"/>
      <protection/>
    </xf>
    <xf numFmtId="0" fontId="2" fillId="33" borderId="0" xfId="49" applyFont="1" applyFill="1" applyBorder="1" applyAlignment="1">
      <alignment horizontal="center"/>
      <protection/>
    </xf>
    <xf numFmtId="37" fontId="2" fillId="33" borderId="0" xfId="49" applyNumberFormat="1" applyFont="1" applyFill="1" applyBorder="1" applyAlignment="1">
      <alignment horizontal="center" vertical="center"/>
      <protection/>
    </xf>
    <xf numFmtId="37" fontId="3" fillId="33" borderId="0" xfId="49" applyNumberFormat="1" applyFont="1" applyFill="1" applyBorder="1" applyAlignment="1">
      <alignment horizontal="center" vertical="center"/>
      <protection/>
    </xf>
    <xf numFmtId="169" fontId="3" fillId="33" borderId="17" xfId="66" applyNumberFormat="1" applyFont="1" applyFill="1" applyBorder="1" applyAlignment="1">
      <alignment horizontal="right"/>
    </xf>
    <xf numFmtId="4" fontId="1" fillId="0" borderId="0" xfId="49" applyNumberFormat="1" applyFont="1" applyFill="1" applyAlignment="1">
      <alignment/>
      <protection/>
    </xf>
    <xf numFmtId="4" fontId="3" fillId="0" borderId="0" xfId="49" applyNumberFormat="1" applyFont="1" applyFill="1" applyAlignment="1">
      <alignment/>
      <protection/>
    </xf>
    <xf numFmtId="43" fontId="3" fillId="0" borderId="0" xfId="49" applyNumberFormat="1" applyFont="1" applyFill="1" applyAlignment="1">
      <alignment/>
      <protection/>
    </xf>
    <xf numFmtId="0" fontId="2" fillId="0" borderId="0" xfId="0" applyFont="1" applyAlignment="1">
      <alignment/>
    </xf>
    <xf numFmtId="169" fontId="3" fillId="33" borderId="18" xfId="66" applyNumberFormat="1" applyFont="1" applyFill="1" applyBorder="1" applyAlignment="1">
      <alignment horizontal="right"/>
    </xf>
    <xf numFmtId="171" fontId="3" fillId="0" borderId="0" xfId="65" applyFont="1" applyFill="1" applyAlignment="1">
      <alignment/>
    </xf>
    <xf numFmtId="0" fontId="6" fillId="33" borderId="0" xfId="49" applyFont="1" applyFill="1" applyBorder="1">
      <alignment/>
      <protection/>
    </xf>
    <xf numFmtId="37" fontId="6" fillId="33" borderId="0" xfId="49" applyNumberFormat="1" applyFont="1" applyFill="1" applyBorder="1" applyAlignment="1">
      <alignment horizontal="center"/>
      <protection/>
    </xf>
    <xf numFmtId="169" fontId="6" fillId="33" borderId="0" xfId="49" applyNumberFormat="1" applyFont="1" applyFill="1" applyBorder="1" applyAlignment="1">
      <alignment horizontal="center"/>
      <protection/>
    </xf>
    <xf numFmtId="37" fontId="6" fillId="33" borderId="0" xfId="49" applyNumberFormat="1" applyFont="1" applyFill="1" applyBorder="1" applyAlignment="1">
      <alignment horizontal="center" vertical="center"/>
      <protection/>
    </xf>
    <xf numFmtId="37" fontId="3" fillId="33" borderId="0" xfId="49" applyNumberFormat="1" applyFont="1" applyFill="1" applyBorder="1" applyAlignment="1">
      <alignment horizontal="right" vertical="center"/>
      <protection/>
    </xf>
    <xf numFmtId="49" fontId="4" fillId="33" borderId="0" xfId="49" applyNumberFormat="1" applyFont="1" applyFill="1" applyAlignment="1">
      <alignment horizontal="center"/>
      <protection/>
    </xf>
    <xf numFmtId="49" fontId="3" fillId="33" borderId="0" xfId="49" applyNumberFormat="1" applyFont="1" applyFill="1" applyAlignment="1">
      <alignment horizontal="center"/>
      <protection/>
    </xf>
    <xf numFmtId="0" fontId="3" fillId="33" borderId="0" xfId="49" applyNumberFormat="1" applyFont="1" applyFill="1" applyAlignment="1">
      <alignment horizontal="center"/>
      <protection/>
    </xf>
    <xf numFmtId="49" fontId="3" fillId="33" borderId="0" xfId="49" applyNumberFormat="1" applyFont="1" applyFill="1" applyAlignment="1">
      <alignment/>
      <protection/>
    </xf>
    <xf numFmtId="0" fontId="3" fillId="33" borderId="0" xfId="49" applyFont="1" applyFill="1" applyBorder="1" applyAlignment="1">
      <alignment/>
      <protection/>
    </xf>
    <xf numFmtId="167" fontId="3" fillId="33" borderId="0" xfId="49" applyNumberFormat="1" applyFont="1" applyFill="1" applyAlignment="1">
      <alignment horizontal="right"/>
      <protection/>
    </xf>
    <xf numFmtId="0" fontId="3" fillId="33" borderId="0" xfId="49" applyNumberFormat="1" applyFont="1" applyFill="1" applyAlignment="1">
      <alignment/>
      <protection/>
    </xf>
    <xf numFmtId="169" fontId="1" fillId="0" borderId="0" xfId="66" applyNumberFormat="1" applyFont="1" applyFill="1" applyBorder="1" applyAlignment="1">
      <alignment horizontal="right"/>
    </xf>
    <xf numFmtId="49" fontId="3" fillId="0" borderId="0" xfId="66" applyNumberFormat="1" applyFont="1" applyFill="1" applyBorder="1" applyAlignment="1">
      <alignment horizontal="right"/>
    </xf>
    <xf numFmtId="0" fontId="3" fillId="0" borderId="0" xfId="49" applyFont="1" applyFill="1" applyBorder="1" applyAlignment="1">
      <alignment horizontal="left" vertical="center"/>
      <protection/>
    </xf>
    <xf numFmtId="169" fontId="3" fillId="0" borderId="0" xfId="49" applyNumberFormat="1" applyFont="1" applyFill="1" applyBorder="1" applyAlignment="1">
      <alignment horizontal="left" vertical="center"/>
      <protection/>
    </xf>
    <xf numFmtId="171" fontId="3" fillId="0" borderId="0" xfId="65" applyFont="1" applyFill="1" applyBorder="1" applyAlignment="1">
      <alignment horizontal="right" vertical="center"/>
    </xf>
    <xf numFmtId="4" fontId="3" fillId="0" borderId="0" xfId="49" applyNumberFormat="1" applyFont="1" applyFill="1" applyBorder="1" applyAlignment="1">
      <alignment horizontal="left" vertical="center"/>
      <protection/>
    </xf>
    <xf numFmtId="171" fontId="3" fillId="0" borderId="0" xfId="65" applyFont="1" applyFill="1" applyBorder="1" applyAlignment="1">
      <alignment horizontal="left" vertical="center"/>
    </xf>
    <xf numFmtId="0" fontId="6" fillId="0" borderId="0" xfId="49" applyFont="1" applyFill="1" applyBorder="1" applyAlignment="1">
      <alignment horizontal="left" vertical="center"/>
      <protection/>
    </xf>
    <xf numFmtId="0" fontId="54" fillId="0" borderId="0" xfId="49" applyFont="1" applyFill="1" applyBorder="1" applyAlignment="1">
      <alignment horizontal="left" vertical="center"/>
      <protection/>
    </xf>
    <xf numFmtId="0" fontId="6" fillId="0" borderId="0" xfId="49" applyNumberFormat="1" applyFont="1" applyFill="1" applyAlignment="1">
      <alignment/>
      <protection/>
    </xf>
    <xf numFmtId="49" fontId="1" fillId="34" borderId="10" xfId="49" applyNumberFormat="1" applyFont="1" applyFill="1" applyBorder="1" applyAlignment="1">
      <alignment horizontal="center" vertical="center" wrapText="1"/>
      <protection/>
    </xf>
    <xf numFmtId="49" fontId="1" fillId="34" borderId="11" xfId="49" applyNumberFormat="1" applyFont="1" applyFill="1" applyBorder="1" applyAlignment="1">
      <alignment horizontal="center" vertical="center" wrapText="1"/>
      <protection/>
    </xf>
    <xf numFmtId="49" fontId="1" fillId="34" borderId="10" xfId="49" applyNumberFormat="1" applyFont="1" applyFill="1" applyBorder="1" applyAlignment="1">
      <alignment horizontal="center"/>
      <protection/>
    </xf>
    <xf numFmtId="49" fontId="1" fillId="34" borderId="16" xfId="49" applyNumberFormat="1" applyFont="1" applyFill="1" applyBorder="1" applyAlignment="1">
      <alignment horizontal="center"/>
      <protection/>
    </xf>
    <xf numFmtId="171" fontId="3" fillId="33" borderId="0" xfId="65" applyFont="1" applyFill="1" applyAlignment="1">
      <alignment horizontal="center"/>
    </xf>
    <xf numFmtId="171" fontId="6" fillId="33" borderId="0" xfId="65" applyFont="1" applyFill="1" applyBorder="1" applyAlignment="1">
      <alignment horizontal="center"/>
    </xf>
    <xf numFmtId="0" fontId="1" fillId="34" borderId="10" xfId="49" applyNumberFormat="1" applyFont="1" applyFill="1" applyBorder="1" applyAlignment="1">
      <alignment horizontal="center"/>
      <protection/>
    </xf>
    <xf numFmtId="0" fontId="1" fillId="34" borderId="19" xfId="49" applyNumberFormat="1" applyFont="1" applyFill="1" applyBorder="1" applyAlignment="1">
      <alignment horizontal="center"/>
      <protection/>
    </xf>
    <xf numFmtId="0" fontId="1" fillId="34" borderId="20" xfId="49" applyNumberFormat="1" applyFont="1" applyFill="1" applyBorder="1" applyAlignment="1">
      <alignment horizontal="center" vertical="center"/>
      <protection/>
    </xf>
    <xf numFmtId="0" fontId="1" fillId="34" borderId="11" xfId="49" applyNumberFormat="1" applyFont="1" applyFill="1" applyBorder="1" applyAlignment="1">
      <alignment horizontal="center"/>
      <protection/>
    </xf>
    <xf numFmtId="0" fontId="1" fillId="34" borderId="17" xfId="49" applyNumberFormat="1" applyFont="1" applyFill="1" applyBorder="1" applyAlignment="1">
      <alignment horizontal="center" wrapText="1"/>
      <protection/>
    </xf>
    <xf numFmtId="0" fontId="1" fillId="34" borderId="17" xfId="49" applyNumberFormat="1" applyFont="1" applyFill="1" applyBorder="1" applyAlignment="1">
      <alignment horizontal="center"/>
      <protection/>
    </xf>
    <xf numFmtId="0" fontId="3" fillId="34" borderId="12" xfId="49" applyNumberFormat="1" applyFont="1" applyFill="1" applyBorder="1" applyAlignment="1">
      <alignment horizontal="center" vertical="center"/>
      <protection/>
    </xf>
    <xf numFmtId="0" fontId="1" fillId="34" borderId="16" xfId="49" applyNumberFormat="1" applyFont="1" applyFill="1" applyBorder="1" applyAlignment="1">
      <alignment horizontal="center"/>
      <protection/>
    </xf>
    <xf numFmtId="0" fontId="1" fillId="34" borderId="18" xfId="49" applyNumberFormat="1" applyFont="1" applyFill="1" applyBorder="1" applyAlignment="1">
      <alignment horizontal="center"/>
      <protection/>
    </xf>
    <xf numFmtId="0" fontId="1" fillId="34" borderId="21" xfId="49" applyNumberFormat="1" applyFont="1" applyFill="1" applyBorder="1" applyAlignment="1">
      <alignment horizontal="center" vertical="center"/>
      <protection/>
    </xf>
    <xf numFmtId="0" fontId="6" fillId="0" borderId="0" xfId="49" applyNumberFormat="1" applyFont="1" applyFill="1" applyBorder="1" applyAlignment="1">
      <alignment/>
      <protection/>
    </xf>
    <xf numFmtId="178" fontId="6" fillId="0" borderId="0" xfId="49" applyNumberFormat="1" applyFont="1" applyFill="1" applyBorder="1" applyAlignment="1">
      <alignment horizontal="left" vertical="center"/>
      <protection/>
    </xf>
    <xf numFmtId="169" fontId="6" fillId="0" borderId="0" xfId="49" applyNumberFormat="1" applyFont="1" applyFill="1" applyBorder="1" applyAlignment="1">
      <alignment horizontal="left" vertical="center"/>
      <protection/>
    </xf>
    <xf numFmtId="169" fontId="6" fillId="0" borderId="0" xfId="49" applyNumberFormat="1" applyFont="1" applyFill="1" applyAlignment="1">
      <alignment/>
      <protection/>
    </xf>
    <xf numFmtId="169" fontId="2" fillId="0" borderId="0" xfId="49" applyNumberFormat="1" applyFont="1" applyFill="1" applyAlignment="1">
      <alignment/>
      <protection/>
    </xf>
    <xf numFmtId="0" fontId="3" fillId="33" borderId="0" xfId="49" applyNumberFormat="1" applyFont="1" applyFill="1" applyAlignment="1">
      <alignment horizontal="right"/>
      <protection/>
    </xf>
    <xf numFmtId="180" fontId="3" fillId="33" borderId="11" xfId="66" applyNumberFormat="1" applyFont="1" applyFill="1" applyBorder="1" applyAlignment="1">
      <alignment horizontal="right"/>
    </xf>
    <xf numFmtId="180" fontId="1" fillId="33" borderId="20" xfId="66" applyNumberFormat="1" applyFont="1" applyFill="1" applyBorder="1" applyAlignment="1">
      <alignment horizontal="right"/>
    </xf>
    <xf numFmtId="180" fontId="1" fillId="33" borderId="10" xfId="66" applyNumberFormat="1" applyFont="1" applyFill="1" applyBorder="1" applyAlignment="1">
      <alignment horizontal="right"/>
    </xf>
    <xf numFmtId="180" fontId="1" fillId="33" borderId="0" xfId="66" applyNumberFormat="1" applyFont="1" applyFill="1" applyAlignment="1">
      <alignment horizontal="right"/>
    </xf>
    <xf numFmtId="180" fontId="1" fillId="33" borderId="12" xfId="66" applyNumberFormat="1" applyFont="1" applyFill="1" applyBorder="1" applyAlignment="1">
      <alignment horizontal="right"/>
    </xf>
    <xf numFmtId="180" fontId="1" fillId="33" borderId="11" xfId="66" applyNumberFormat="1" applyFont="1" applyFill="1" applyBorder="1" applyAlignment="1">
      <alignment horizontal="right"/>
    </xf>
    <xf numFmtId="180" fontId="3" fillId="33" borderId="12" xfId="66" applyNumberFormat="1" applyFont="1" applyFill="1" applyBorder="1" applyAlignment="1">
      <alignment horizontal="right"/>
    </xf>
    <xf numFmtId="180" fontId="3" fillId="33" borderId="0" xfId="66" applyNumberFormat="1" applyFont="1" applyFill="1" applyAlignment="1">
      <alignment horizontal="right"/>
    </xf>
    <xf numFmtId="180" fontId="1" fillId="33" borderId="22" xfId="66" applyNumberFormat="1" applyFont="1" applyFill="1" applyBorder="1" applyAlignment="1">
      <alignment horizontal="right"/>
    </xf>
    <xf numFmtId="180" fontId="1" fillId="33" borderId="13" xfId="66" applyNumberFormat="1" applyFont="1" applyFill="1" applyBorder="1" applyAlignment="1">
      <alignment horizontal="right"/>
    </xf>
    <xf numFmtId="180" fontId="3" fillId="0" borderId="0" xfId="66" applyNumberFormat="1" applyFont="1" applyFill="1" applyAlignment="1">
      <alignment horizontal="right"/>
    </xf>
    <xf numFmtId="180" fontId="3" fillId="33" borderId="13" xfId="66" applyNumberFormat="1" applyFont="1" applyFill="1" applyBorder="1" applyAlignment="1">
      <alignment horizontal="right"/>
    </xf>
    <xf numFmtId="180" fontId="3" fillId="33" borderId="13" xfId="65" applyNumberFormat="1" applyFont="1" applyFill="1" applyBorder="1" applyAlignment="1">
      <alignment/>
    </xf>
    <xf numFmtId="180" fontId="1" fillId="33" borderId="17" xfId="66" applyNumberFormat="1" applyFont="1" applyFill="1" applyBorder="1" applyAlignment="1">
      <alignment horizontal="right"/>
    </xf>
    <xf numFmtId="180" fontId="1" fillId="33" borderId="23" xfId="66" applyNumberFormat="1" applyFont="1" applyFill="1" applyBorder="1" applyAlignment="1">
      <alignment horizontal="right"/>
    </xf>
    <xf numFmtId="180" fontId="1" fillId="33" borderId="19" xfId="66" applyNumberFormat="1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right"/>
    </xf>
    <xf numFmtId="180" fontId="3" fillId="33" borderId="18" xfId="66" applyNumberFormat="1" applyFont="1" applyFill="1" applyBorder="1" applyAlignment="1">
      <alignment horizontal="right"/>
    </xf>
    <xf numFmtId="180" fontId="1" fillId="33" borderId="16" xfId="66" applyNumberFormat="1" applyFont="1" applyFill="1" applyBorder="1" applyAlignment="1">
      <alignment horizontal="right"/>
    </xf>
    <xf numFmtId="180" fontId="1" fillId="33" borderId="18" xfId="66" applyNumberFormat="1" applyFont="1" applyFill="1" applyBorder="1" applyAlignment="1">
      <alignment horizontal="right"/>
    </xf>
    <xf numFmtId="180" fontId="3" fillId="33" borderId="16" xfId="66" applyNumberFormat="1" applyFont="1" applyFill="1" applyBorder="1" applyAlignment="1">
      <alignment horizontal="right"/>
    </xf>
    <xf numFmtId="180" fontId="1" fillId="33" borderId="21" xfId="66" applyNumberFormat="1" applyFont="1" applyFill="1" applyBorder="1" applyAlignment="1">
      <alignment horizontal="right"/>
    </xf>
    <xf numFmtId="180" fontId="3" fillId="33" borderId="16" xfId="49" applyNumberFormat="1" applyFont="1" applyFill="1" applyBorder="1" applyAlignment="1">
      <alignment/>
      <protection/>
    </xf>
    <xf numFmtId="180" fontId="3" fillId="33" borderId="21" xfId="66" applyNumberFormat="1" applyFont="1" applyFill="1" applyBorder="1" applyAlignment="1">
      <alignment horizontal="right"/>
    </xf>
    <xf numFmtId="180" fontId="3" fillId="33" borderId="15" xfId="66" applyNumberFormat="1" applyFont="1" applyFill="1" applyBorder="1" applyAlignment="1">
      <alignment horizontal="right"/>
    </xf>
    <xf numFmtId="171" fontId="1" fillId="33" borderId="19" xfId="65" applyFont="1" applyFill="1" applyBorder="1" applyAlignment="1">
      <alignment horizontal="right"/>
    </xf>
    <xf numFmtId="171" fontId="3" fillId="33" borderId="11" xfId="65" applyFont="1" applyFill="1" applyBorder="1" applyAlignment="1">
      <alignment horizontal="right"/>
    </xf>
    <xf numFmtId="180" fontId="1" fillId="0" borderId="23" xfId="66" applyNumberFormat="1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right"/>
    </xf>
    <xf numFmtId="180" fontId="3" fillId="33" borderId="0" xfId="49" applyNumberFormat="1" applyFont="1" applyFill="1" applyAlignment="1">
      <alignment/>
      <protection/>
    </xf>
    <xf numFmtId="0" fontId="6" fillId="0" borderId="0" xfId="49" applyFont="1" applyFill="1" applyBorder="1" applyAlignment="1">
      <alignment horizontal="left" vertical="center" wrapText="1"/>
      <protection/>
    </xf>
    <xf numFmtId="180" fontId="1" fillId="33" borderId="17" xfId="66" applyNumberFormat="1" applyFont="1" applyFill="1" applyBorder="1" applyAlignment="1">
      <alignment horizontal="right"/>
    </xf>
    <xf numFmtId="171" fontId="1" fillId="33" borderId="23" xfId="65" applyFont="1" applyFill="1" applyBorder="1" applyAlignment="1">
      <alignment horizontal="right"/>
    </xf>
    <xf numFmtId="171" fontId="2" fillId="35" borderId="13" xfId="65" applyFont="1" applyFill="1" applyBorder="1" applyAlignment="1">
      <alignment/>
    </xf>
    <xf numFmtId="171" fontId="2" fillId="35" borderId="23" xfId="65" applyFont="1" applyFill="1" applyBorder="1" applyAlignment="1">
      <alignment/>
    </xf>
    <xf numFmtId="171" fontId="2" fillId="35" borderId="11" xfId="65" applyFont="1" applyFill="1" applyBorder="1" applyAlignment="1">
      <alignment/>
    </xf>
    <xf numFmtId="171" fontId="1" fillId="33" borderId="22" xfId="65" applyFont="1" applyFill="1" applyBorder="1" applyAlignment="1">
      <alignment horizontal="right"/>
    </xf>
    <xf numFmtId="171" fontId="1" fillId="33" borderId="16" xfId="65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right"/>
    </xf>
    <xf numFmtId="180" fontId="3" fillId="0" borderId="12" xfId="66" applyNumberFormat="1" applyFont="1" applyFill="1" applyBorder="1" applyAlignment="1">
      <alignment horizontal="right"/>
    </xf>
    <xf numFmtId="180" fontId="3" fillId="0" borderId="11" xfId="66" applyNumberFormat="1" applyFont="1" applyFill="1" applyBorder="1" applyAlignment="1">
      <alignment horizontal="right"/>
    </xf>
    <xf numFmtId="180" fontId="3" fillId="0" borderId="11" xfId="65" applyNumberFormat="1" applyFont="1" applyFill="1" applyBorder="1" applyAlignment="1">
      <alignment horizontal="right"/>
    </xf>
    <xf numFmtId="180" fontId="3" fillId="0" borderId="12" xfId="65" applyNumberFormat="1" applyFont="1" applyFill="1" applyBorder="1" applyAlignment="1">
      <alignment horizontal="right"/>
    </xf>
    <xf numFmtId="180" fontId="1" fillId="0" borderId="12" xfId="66" applyNumberFormat="1" applyFont="1" applyFill="1" applyBorder="1" applyAlignment="1">
      <alignment horizontal="right"/>
    </xf>
    <xf numFmtId="180" fontId="1" fillId="0" borderId="11" xfId="66" applyNumberFormat="1" applyFont="1" applyFill="1" applyBorder="1" applyAlignment="1">
      <alignment horizontal="right"/>
    </xf>
    <xf numFmtId="180" fontId="1" fillId="0" borderId="0" xfId="66" applyNumberFormat="1" applyFont="1" applyFill="1" applyAlignment="1">
      <alignment horizontal="right"/>
    </xf>
    <xf numFmtId="180" fontId="1" fillId="0" borderId="11" xfId="65" applyNumberFormat="1" applyFont="1" applyFill="1" applyBorder="1" applyAlignment="1">
      <alignment horizontal="right"/>
    </xf>
    <xf numFmtId="180" fontId="1" fillId="33" borderId="17" xfId="66" applyNumberFormat="1" applyFont="1" applyFill="1" applyBorder="1" applyAlignment="1">
      <alignment horizontal="right"/>
    </xf>
    <xf numFmtId="43" fontId="2" fillId="0" borderId="0" xfId="49" applyNumberFormat="1" applyFont="1" applyFill="1" applyAlignment="1">
      <alignment/>
      <protection/>
    </xf>
    <xf numFmtId="43" fontId="4" fillId="33" borderId="0" xfId="49" applyNumberFormat="1" applyFont="1" applyFill="1" applyAlignment="1">
      <alignment horizontal="center"/>
      <protection/>
    </xf>
    <xf numFmtId="171" fontId="1" fillId="0" borderId="18" xfId="65" applyFont="1" applyFill="1" applyBorder="1" applyAlignment="1">
      <alignment horizontal="right"/>
    </xf>
    <xf numFmtId="0" fontId="10" fillId="0" borderId="0" xfId="49" applyNumberFormat="1" applyFont="1" applyFill="1" applyAlignment="1">
      <alignment vertical="center" wrapText="1"/>
      <protection/>
    </xf>
    <xf numFmtId="180" fontId="3" fillId="36" borderId="12" xfId="66" applyNumberFormat="1" applyFont="1" applyFill="1" applyBorder="1" applyAlignment="1">
      <alignment horizontal="right"/>
    </xf>
    <xf numFmtId="180" fontId="3" fillId="36" borderId="11" xfId="66" applyNumberFormat="1" applyFont="1" applyFill="1" applyBorder="1" applyAlignment="1">
      <alignment horizontal="right"/>
    </xf>
    <xf numFmtId="180" fontId="3" fillId="36" borderId="0" xfId="66" applyNumberFormat="1" applyFont="1" applyFill="1" applyAlignment="1">
      <alignment horizontal="right"/>
    </xf>
    <xf numFmtId="180" fontId="3" fillId="36" borderId="11" xfId="65" applyNumberFormat="1" applyFont="1" applyFill="1" applyBorder="1" applyAlignment="1">
      <alignment horizontal="right"/>
    </xf>
    <xf numFmtId="180" fontId="1" fillId="0" borderId="0" xfId="66" applyNumberFormat="1" applyFont="1" applyFill="1" applyBorder="1" applyAlignment="1">
      <alignment horizontal="right"/>
    </xf>
    <xf numFmtId="4" fontId="3" fillId="37" borderId="24" xfId="0" applyNumberFormat="1" applyFont="1" applyFill="1" applyBorder="1" applyAlignment="1">
      <alignment horizontal="right" vertical="top" wrapText="1"/>
    </xf>
    <xf numFmtId="4" fontId="3" fillId="37" borderId="25" xfId="0" applyNumberFormat="1" applyFont="1" applyFill="1" applyBorder="1" applyAlignment="1">
      <alignment horizontal="right" vertical="top" wrapText="1"/>
    </xf>
    <xf numFmtId="0" fontId="1" fillId="0" borderId="0" xfId="49" applyNumberFormat="1" applyFont="1" applyFill="1" applyBorder="1" applyAlignment="1">
      <alignment wrapText="1"/>
      <protection/>
    </xf>
    <xf numFmtId="0" fontId="1" fillId="0" borderId="0" xfId="49" applyNumberFormat="1" applyFont="1" applyFill="1" applyBorder="1" applyAlignment="1">
      <alignment/>
      <protection/>
    </xf>
    <xf numFmtId="0" fontId="3" fillId="0" borderId="0" xfId="49" applyNumberFormat="1" applyFont="1" applyFill="1" applyBorder="1" applyAlignment="1">
      <alignment/>
      <protection/>
    </xf>
    <xf numFmtId="49" fontId="3" fillId="0" borderId="12" xfId="49" applyNumberFormat="1" applyFont="1" applyFill="1" applyBorder="1" applyAlignment="1">
      <alignment/>
      <protection/>
    </xf>
    <xf numFmtId="0" fontId="1" fillId="0" borderId="26" xfId="49" applyNumberFormat="1" applyFont="1" applyFill="1" applyBorder="1" applyAlignment="1">
      <alignment/>
      <protection/>
    </xf>
    <xf numFmtId="0" fontId="1" fillId="0" borderId="20" xfId="49" applyNumberFormat="1" applyFont="1" applyFill="1" applyBorder="1" applyAlignment="1">
      <alignment wrapText="1"/>
      <protection/>
    </xf>
    <xf numFmtId="0" fontId="1" fillId="0" borderId="15" xfId="49" applyNumberFormat="1" applyFont="1" applyFill="1" applyBorder="1" applyAlignment="1">
      <alignment/>
      <protection/>
    </xf>
    <xf numFmtId="4" fontId="3" fillId="37" borderId="11" xfId="0" applyNumberFormat="1" applyFont="1" applyFill="1" applyBorder="1" applyAlignment="1">
      <alignment horizontal="right" vertical="top" wrapText="1"/>
    </xf>
    <xf numFmtId="0" fontId="3" fillId="0" borderId="0" xfId="49" applyNumberFormat="1" applyFont="1" applyFill="1" applyBorder="1" applyAlignment="1">
      <alignment horizontal="left" indent="2"/>
      <protection/>
    </xf>
    <xf numFmtId="0" fontId="1" fillId="0" borderId="21" xfId="49" applyNumberFormat="1" applyFont="1" applyFill="1" applyBorder="1" applyAlignment="1">
      <alignment/>
      <protection/>
    </xf>
    <xf numFmtId="4" fontId="3" fillId="37" borderId="24" xfId="0" applyNumberFormat="1" applyFont="1" applyFill="1" applyBorder="1" applyAlignment="1">
      <alignment horizontal="right" vertical="top" wrapText="1"/>
    </xf>
    <xf numFmtId="4" fontId="3" fillId="37" borderId="25" xfId="0" applyNumberFormat="1" applyFont="1" applyFill="1" applyBorder="1" applyAlignment="1">
      <alignment horizontal="right" vertical="top" wrapText="1"/>
    </xf>
    <xf numFmtId="43" fontId="6" fillId="0" borderId="0" xfId="49" applyNumberFormat="1" applyFont="1" applyFill="1" applyBorder="1" applyAlignment="1">
      <alignment horizontal="left" vertical="center"/>
      <protection/>
    </xf>
    <xf numFmtId="43" fontId="3" fillId="0" borderId="0" xfId="49" applyNumberFormat="1" applyFont="1" applyFill="1" applyBorder="1" applyAlignment="1">
      <alignment horizontal="left" vertical="center"/>
      <protection/>
    </xf>
    <xf numFmtId="49" fontId="3" fillId="0" borderId="12" xfId="49" applyNumberFormat="1" applyFont="1" applyFill="1" applyBorder="1" applyAlignment="1">
      <alignment horizontal="left"/>
      <protection/>
    </xf>
    <xf numFmtId="49" fontId="3" fillId="0" borderId="0" xfId="49" applyNumberFormat="1" applyFont="1" applyFill="1" applyBorder="1" applyAlignment="1">
      <alignment horizontal="left"/>
      <protection/>
    </xf>
    <xf numFmtId="180" fontId="3" fillId="33" borderId="17" xfId="66" applyNumberFormat="1" applyFont="1" applyFill="1" applyBorder="1" applyAlignment="1">
      <alignment horizontal="right"/>
    </xf>
    <xf numFmtId="180" fontId="3" fillId="33" borderId="0" xfId="66" applyNumberFormat="1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center"/>
    </xf>
    <xf numFmtId="180" fontId="3" fillId="33" borderId="12" xfId="66" applyNumberFormat="1" applyFont="1" applyFill="1" applyBorder="1" applyAlignment="1">
      <alignment horizontal="center"/>
    </xf>
    <xf numFmtId="180" fontId="3" fillId="33" borderId="0" xfId="66" applyNumberFormat="1" applyFont="1" applyFill="1" applyBorder="1" applyAlignment="1">
      <alignment horizontal="center"/>
    </xf>
    <xf numFmtId="49" fontId="3" fillId="0" borderId="12" xfId="49" applyNumberFormat="1" applyFont="1" applyFill="1" applyBorder="1" applyAlignment="1">
      <alignment horizontal="left"/>
      <protection/>
    </xf>
    <xf numFmtId="180" fontId="3" fillId="0" borderId="17" xfId="66" applyNumberFormat="1" applyFont="1" applyFill="1" applyBorder="1" applyAlignment="1">
      <alignment horizontal="center"/>
    </xf>
    <xf numFmtId="180" fontId="3" fillId="0" borderId="0" xfId="66" applyNumberFormat="1" applyFont="1" applyFill="1" applyBorder="1" applyAlignment="1">
      <alignment horizontal="center"/>
    </xf>
    <xf numFmtId="180" fontId="3" fillId="0" borderId="17" xfId="65" applyNumberFormat="1" applyFont="1" applyFill="1" applyBorder="1" applyAlignment="1">
      <alignment horizontal="center"/>
    </xf>
    <xf numFmtId="180" fontId="3" fillId="0" borderId="12" xfId="65" applyNumberFormat="1" applyFont="1" applyFill="1" applyBorder="1" applyAlignment="1">
      <alignment horizontal="center"/>
    </xf>
    <xf numFmtId="171" fontId="3" fillId="0" borderId="17" xfId="65" applyNumberFormat="1" applyFont="1" applyFill="1" applyBorder="1" applyAlignment="1">
      <alignment horizontal="center"/>
    </xf>
    <xf numFmtId="171" fontId="3" fillId="0" borderId="12" xfId="65" applyNumberFormat="1" applyFont="1" applyFill="1" applyBorder="1" applyAlignment="1">
      <alignment horizontal="center"/>
    </xf>
    <xf numFmtId="180" fontId="3" fillId="0" borderId="17" xfId="66" applyNumberFormat="1" applyFont="1" applyFill="1" applyBorder="1" applyAlignment="1">
      <alignment horizontal="right"/>
    </xf>
    <xf numFmtId="180" fontId="3" fillId="0" borderId="0" xfId="66" applyNumberFormat="1" applyFont="1" applyFill="1" applyBorder="1" applyAlignment="1">
      <alignment horizontal="right"/>
    </xf>
    <xf numFmtId="49" fontId="3" fillId="0" borderId="0" xfId="49" applyNumberFormat="1" applyFont="1" applyFill="1" applyBorder="1" applyAlignment="1">
      <alignment horizontal="left"/>
      <protection/>
    </xf>
    <xf numFmtId="37" fontId="6" fillId="33" borderId="26" xfId="49" applyNumberFormat="1" applyFont="1" applyFill="1" applyBorder="1" applyAlignment="1">
      <alignment horizontal="center" vertical="center"/>
      <protection/>
    </xf>
    <xf numFmtId="0" fontId="1" fillId="34" borderId="19" xfId="49" applyNumberFormat="1" applyFont="1" applyFill="1" applyBorder="1" applyAlignment="1">
      <alignment horizontal="center" vertical="center" wrapText="1"/>
      <protection/>
    </xf>
    <xf numFmtId="0" fontId="1" fillId="34" borderId="14" xfId="49" applyNumberFormat="1" applyFont="1" applyFill="1" applyBorder="1" applyAlignment="1">
      <alignment horizontal="center" vertical="center" wrapText="1"/>
      <protection/>
    </xf>
    <xf numFmtId="0" fontId="1" fillId="34" borderId="17" xfId="49" applyNumberFormat="1" applyFont="1" applyFill="1" applyBorder="1" applyAlignment="1">
      <alignment horizontal="center" vertical="center" wrapText="1"/>
      <protection/>
    </xf>
    <xf numFmtId="0" fontId="1" fillId="34" borderId="0" xfId="49" applyNumberFormat="1" applyFont="1" applyFill="1" applyBorder="1" applyAlignment="1">
      <alignment horizontal="center" vertical="center" wrapText="1"/>
      <protection/>
    </xf>
    <xf numFmtId="0" fontId="1" fillId="34" borderId="19" xfId="49" applyNumberFormat="1" applyFont="1" applyFill="1" applyBorder="1" applyAlignment="1">
      <alignment horizontal="center"/>
      <protection/>
    </xf>
    <xf numFmtId="0" fontId="1" fillId="34" borderId="20" xfId="49" applyNumberFormat="1" applyFont="1" applyFill="1" applyBorder="1" applyAlignment="1">
      <alignment horizontal="center"/>
      <protection/>
    </xf>
    <xf numFmtId="0" fontId="1" fillId="34" borderId="17" xfId="49" applyNumberFormat="1" applyFont="1" applyFill="1" applyBorder="1" applyAlignment="1">
      <alignment horizontal="center"/>
      <protection/>
    </xf>
    <xf numFmtId="0" fontId="1" fillId="34" borderId="12" xfId="49" applyNumberFormat="1" applyFont="1" applyFill="1" applyBorder="1" applyAlignment="1">
      <alignment horizontal="center"/>
      <protection/>
    </xf>
    <xf numFmtId="180" fontId="3" fillId="33" borderId="18" xfId="66" applyNumberFormat="1" applyFont="1" applyFill="1" applyBorder="1" applyAlignment="1">
      <alignment horizontal="right"/>
    </xf>
    <xf numFmtId="180" fontId="3" fillId="33" borderId="15" xfId="66" applyNumberFormat="1" applyFont="1" applyFill="1" applyBorder="1" applyAlignment="1">
      <alignment horizontal="right"/>
    </xf>
    <xf numFmtId="171" fontId="3" fillId="33" borderId="17" xfId="65" applyNumberFormat="1" applyFont="1" applyFill="1" applyBorder="1" applyAlignment="1">
      <alignment horizontal="center"/>
    </xf>
    <xf numFmtId="171" fontId="3" fillId="33" borderId="12" xfId="65" applyNumberFormat="1" applyFont="1" applyFill="1" applyBorder="1" applyAlignment="1">
      <alignment horizontal="center"/>
    </xf>
    <xf numFmtId="49" fontId="3" fillId="0" borderId="21" xfId="49" applyNumberFormat="1" applyFont="1" applyFill="1" applyBorder="1" applyAlignment="1">
      <alignment horizontal="left"/>
      <protection/>
    </xf>
    <xf numFmtId="171" fontId="3" fillId="0" borderId="17" xfId="66" applyNumberFormat="1" applyFont="1" applyFill="1" applyBorder="1" applyAlignment="1">
      <alignment horizontal="center"/>
    </xf>
    <xf numFmtId="171" fontId="3" fillId="0" borderId="12" xfId="66" applyNumberFormat="1" applyFont="1" applyFill="1" applyBorder="1" applyAlignment="1">
      <alignment horizontal="center"/>
    </xf>
    <xf numFmtId="171" fontId="1" fillId="0" borderId="17" xfId="65" applyNumberFormat="1" applyFont="1" applyFill="1" applyBorder="1" applyAlignment="1">
      <alignment horizontal="center"/>
    </xf>
    <xf numFmtId="171" fontId="1" fillId="0" borderId="12" xfId="65" applyNumberFormat="1" applyFont="1" applyFill="1" applyBorder="1" applyAlignment="1">
      <alignment horizontal="center"/>
    </xf>
    <xf numFmtId="0" fontId="1" fillId="34" borderId="20" xfId="49" applyNumberFormat="1" applyFont="1" applyFill="1" applyBorder="1" applyAlignment="1">
      <alignment horizontal="center" vertical="center"/>
      <protection/>
    </xf>
    <xf numFmtId="0" fontId="1" fillId="34" borderId="12" xfId="49" applyNumberFormat="1" applyFont="1" applyFill="1" applyBorder="1" applyAlignment="1">
      <alignment horizontal="center" vertical="center"/>
      <protection/>
    </xf>
    <xf numFmtId="0" fontId="1" fillId="34" borderId="21" xfId="49" applyNumberFormat="1" applyFont="1" applyFill="1" applyBorder="1" applyAlignment="1">
      <alignment horizontal="center" vertical="center"/>
      <protection/>
    </xf>
    <xf numFmtId="49" fontId="1" fillId="0" borderId="12" xfId="49" applyNumberFormat="1" applyFont="1" applyFill="1" applyBorder="1" applyAlignment="1">
      <alignment horizontal="left"/>
      <protection/>
    </xf>
    <xf numFmtId="0" fontId="1" fillId="34" borderId="23" xfId="49" applyNumberFormat="1" applyFont="1" applyFill="1" applyBorder="1" applyAlignment="1">
      <alignment horizontal="center"/>
      <protection/>
    </xf>
    <xf numFmtId="0" fontId="1" fillId="34" borderId="26" xfId="49" applyNumberFormat="1" applyFont="1" applyFill="1" applyBorder="1" applyAlignment="1">
      <alignment horizontal="center"/>
      <protection/>
    </xf>
    <xf numFmtId="0" fontId="1" fillId="34" borderId="22" xfId="49" applyNumberFormat="1" applyFont="1" applyFill="1" applyBorder="1" applyAlignment="1">
      <alignment horizontal="center"/>
      <protection/>
    </xf>
    <xf numFmtId="171" fontId="3" fillId="33" borderId="18" xfId="65" applyNumberFormat="1" applyFont="1" applyFill="1" applyBorder="1" applyAlignment="1">
      <alignment horizontal="center"/>
    </xf>
    <xf numFmtId="171" fontId="3" fillId="33" borderId="21" xfId="65" applyNumberFormat="1" applyFont="1" applyFill="1" applyBorder="1" applyAlignment="1">
      <alignment horizontal="center"/>
    </xf>
    <xf numFmtId="180" fontId="1" fillId="33" borderId="18" xfId="66" applyNumberFormat="1" applyFont="1" applyFill="1" applyBorder="1" applyAlignment="1">
      <alignment horizontal="center"/>
    </xf>
    <xf numFmtId="180" fontId="1" fillId="33" borderId="21" xfId="66" applyNumberFormat="1" applyFont="1" applyFill="1" applyBorder="1" applyAlignment="1">
      <alignment horizontal="center"/>
    </xf>
    <xf numFmtId="180" fontId="1" fillId="33" borderId="15" xfId="66" applyNumberFormat="1" applyFont="1" applyFill="1" applyBorder="1" applyAlignment="1">
      <alignment horizontal="center"/>
    </xf>
    <xf numFmtId="0" fontId="4" fillId="33" borderId="0" xfId="49" applyNumberFormat="1" applyFont="1" applyFill="1" applyAlignment="1">
      <alignment horizontal="center"/>
      <protection/>
    </xf>
    <xf numFmtId="49" fontId="4" fillId="33" borderId="0" xfId="49" applyNumberFormat="1" applyFont="1" applyFill="1" applyAlignment="1">
      <alignment horizontal="center"/>
      <protection/>
    </xf>
    <xf numFmtId="180" fontId="1" fillId="33" borderId="17" xfId="66" applyNumberFormat="1" applyFont="1" applyFill="1" applyBorder="1" applyAlignment="1">
      <alignment horizontal="center"/>
    </xf>
    <xf numFmtId="180" fontId="1" fillId="33" borderId="12" xfId="66" applyNumberFormat="1" applyFont="1" applyFill="1" applyBorder="1" applyAlignment="1">
      <alignment horizontal="center"/>
    </xf>
    <xf numFmtId="180" fontId="1" fillId="33" borderId="0" xfId="66" applyNumberFormat="1" applyFont="1" applyFill="1" applyBorder="1" applyAlignment="1">
      <alignment horizontal="center"/>
    </xf>
    <xf numFmtId="0" fontId="1" fillId="34" borderId="18" xfId="49" applyNumberFormat="1" applyFont="1" applyFill="1" applyBorder="1" applyAlignment="1">
      <alignment horizontal="center"/>
      <protection/>
    </xf>
    <xf numFmtId="0" fontId="1" fillId="34" borderId="21" xfId="49" applyNumberFormat="1" applyFont="1" applyFill="1" applyBorder="1" applyAlignment="1">
      <alignment horizontal="center"/>
      <protection/>
    </xf>
    <xf numFmtId="0" fontId="1" fillId="34" borderId="15" xfId="49" applyNumberFormat="1" applyFont="1" applyFill="1" applyBorder="1" applyAlignment="1">
      <alignment horizontal="center"/>
      <protection/>
    </xf>
    <xf numFmtId="180" fontId="1" fillId="0" borderId="17" xfId="66" applyNumberFormat="1" applyFont="1" applyFill="1" applyBorder="1" applyAlignment="1">
      <alignment horizontal="right"/>
    </xf>
    <xf numFmtId="180" fontId="1" fillId="0" borderId="0" xfId="66" applyNumberFormat="1" applyFont="1" applyFill="1" applyBorder="1" applyAlignment="1">
      <alignment horizontal="right"/>
    </xf>
    <xf numFmtId="171" fontId="3" fillId="33" borderId="17" xfId="65" applyNumberFormat="1" applyFont="1" applyFill="1" applyBorder="1" applyAlignment="1">
      <alignment horizontal="right"/>
    </xf>
    <xf numFmtId="171" fontId="3" fillId="33" borderId="12" xfId="65" applyNumberFormat="1" applyFont="1" applyFill="1" applyBorder="1" applyAlignment="1">
      <alignment horizontal="right"/>
    </xf>
    <xf numFmtId="180" fontId="3" fillId="36" borderId="17" xfId="66" applyNumberFormat="1" applyFont="1" applyFill="1" applyBorder="1" applyAlignment="1">
      <alignment horizontal="center"/>
    </xf>
    <xf numFmtId="180" fontId="3" fillId="36" borderId="0" xfId="66" applyNumberFormat="1" applyFont="1" applyFill="1" applyBorder="1" applyAlignment="1">
      <alignment horizontal="center"/>
    </xf>
    <xf numFmtId="180" fontId="3" fillId="33" borderId="17" xfId="65" applyNumberFormat="1" applyFont="1" applyFill="1" applyBorder="1" applyAlignment="1">
      <alignment horizontal="center"/>
    </xf>
    <xf numFmtId="180" fontId="3" fillId="33" borderId="12" xfId="65" applyNumberFormat="1" applyFont="1" applyFill="1" applyBorder="1" applyAlignment="1">
      <alignment horizontal="center"/>
    </xf>
    <xf numFmtId="49" fontId="3" fillId="0" borderId="12" xfId="49" applyNumberFormat="1" applyFont="1" applyFill="1" applyBorder="1" applyAlignment="1">
      <alignment horizontal="left" indent="4"/>
      <protection/>
    </xf>
    <xf numFmtId="171" fontId="1" fillId="33" borderId="17" xfId="65" applyNumberFormat="1" applyFont="1" applyFill="1" applyBorder="1" applyAlignment="1">
      <alignment horizontal="right"/>
    </xf>
    <xf numFmtId="171" fontId="1" fillId="33" borderId="12" xfId="65" applyNumberFormat="1" applyFont="1" applyFill="1" applyBorder="1" applyAlignment="1">
      <alignment horizontal="right"/>
    </xf>
    <xf numFmtId="180" fontId="1" fillId="33" borderId="17" xfId="66" applyNumberFormat="1" applyFont="1" applyFill="1" applyBorder="1" applyAlignment="1">
      <alignment horizontal="right"/>
    </xf>
    <xf numFmtId="180" fontId="1" fillId="33" borderId="0" xfId="66" applyNumberFormat="1" applyFont="1" applyFill="1" applyBorder="1" applyAlignment="1">
      <alignment horizontal="right"/>
    </xf>
    <xf numFmtId="49" fontId="1" fillId="34" borderId="18" xfId="49" applyNumberFormat="1" applyFont="1" applyFill="1" applyBorder="1" applyAlignment="1">
      <alignment horizontal="center"/>
      <protection/>
    </xf>
    <xf numFmtId="49" fontId="1" fillId="34" borderId="21" xfId="49" applyNumberFormat="1" applyFont="1" applyFill="1" applyBorder="1" applyAlignment="1">
      <alignment horizontal="center"/>
      <protection/>
    </xf>
    <xf numFmtId="49" fontId="1" fillId="34" borderId="15" xfId="49" applyNumberFormat="1" applyFont="1" applyFill="1" applyBorder="1" applyAlignment="1">
      <alignment horizontal="center"/>
      <protection/>
    </xf>
    <xf numFmtId="0" fontId="1" fillId="0" borderId="0" xfId="49" applyFont="1" applyFill="1" applyBorder="1" applyAlignment="1">
      <alignment horizontal="left" wrapText="1"/>
      <protection/>
    </xf>
    <xf numFmtId="0" fontId="1" fillId="0" borderId="12" xfId="49" applyFont="1" applyFill="1" applyBorder="1" applyAlignment="1">
      <alignment horizontal="left" wrapText="1"/>
      <protection/>
    </xf>
    <xf numFmtId="171" fontId="1" fillId="33" borderId="19" xfId="65" applyNumberFormat="1" applyFont="1" applyFill="1" applyBorder="1" applyAlignment="1">
      <alignment horizontal="right"/>
    </xf>
    <xf numFmtId="171" fontId="1" fillId="33" borderId="20" xfId="65" applyNumberFormat="1" applyFont="1" applyFill="1" applyBorder="1" applyAlignment="1">
      <alignment horizontal="right"/>
    </xf>
    <xf numFmtId="180" fontId="1" fillId="33" borderId="19" xfId="66" applyNumberFormat="1" applyFont="1" applyFill="1" applyBorder="1" applyAlignment="1">
      <alignment horizontal="right"/>
    </xf>
    <xf numFmtId="180" fontId="1" fillId="33" borderId="14" xfId="66" applyNumberFormat="1" applyFont="1" applyFill="1" applyBorder="1" applyAlignment="1">
      <alignment horizontal="right"/>
    </xf>
    <xf numFmtId="49" fontId="1" fillId="34" borderId="10" xfId="49" applyNumberFormat="1" applyFont="1" applyFill="1" applyBorder="1" applyAlignment="1">
      <alignment horizontal="center" vertical="center" wrapText="1"/>
      <protection/>
    </xf>
    <xf numFmtId="49" fontId="1" fillId="34" borderId="11" xfId="49" applyNumberFormat="1" applyFont="1" applyFill="1" applyBorder="1" applyAlignment="1">
      <alignment horizontal="center" vertical="center" wrapText="1"/>
      <protection/>
    </xf>
    <xf numFmtId="49" fontId="1" fillId="34" borderId="16" xfId="49" applyNumberFormat="1" applyFont="1" applyFill="1" applyBorder="1" applyAlignment="1">
      <alignment horizontal="center" vertical="center" wrapText="1"/>
      <protection/>
    </xf>
    <xf numFmtId="0" fontId="1" fillId="34" borderId="23" xfId="49" applyFont="1" applyFill="1" applyBorder="1" applyAlignment="1">
      <alignment horizontal="center" vertical="center"/>
      <protection/>
    </xf>
    <xf numFmtId="0" fontId="1" fillId="34" borderId="26" xfId="49" applyFont="1" applyFill="1" applyBorder="1" applyAlignment="1">
      <alignment horizontal="center" vertical="center"/>
      <protection/>
    </xf>
    <xf numFmtId="0" fontId="1" fillId="34" borderId="22" xfId="49" applyFont="1" applyFill="1" applyBorder="1" applyAlignment="1">
      <alignment horizontal="center" vertical="center"/>
      <protection/>
    </xf>
    <xf numFmtId="49" fontId="1" fillId="34" borderId="19" xfId="49" applyNumberFormat="1" applyFont="1" applyFill="1" applyBorder="1" applyAlignment="1">
      <alignment horizontal="center"/>
      <protection/>
    </xf>
    <xf numFmtId="49" fontId="1" fillId="34" borderId="20" xfId="49" applyNumberFormat="1" applyFont="1" applyFill="1" applyBorder="1" applyAlignment="1">
      <alignment horizontal="center"/>
      <protection/>
    </xf>
    <xf numFmtId="49" fontId="1" fillId="34" borderId="17" xfId="49" applyNumberFormat="1" applyFont="1" applyFill="1" applyBorder="1" applyAlignment="1">
      <alignment horizontal="center"/>
      <protection/>
    </xf>
    <xf numFmtId="49" fontId="1" fillId="34" borderId="0" xfId="49" applyNumberFormat="1" applyFont="1" applyFill="1" applyBorder="1" applyAlignment="1">
      <alignment horizontal="center"/>
      <protection/>
    </xf>
    <xf numFmtId="0" fontId="1" fillId="34" borderId="14" xfId="49" applyFont="1" applyFill="1" applyBorder="1" applyAlignment="1">
      <alignment horizontal="center" vertical="center"/>
      <protection/>
    </xf>
    <xf numFmtId="0" fontId="1" fillId="34" borderId="20" xfId="49" applyFont="1" applyFill="1" applyBorder="1" applyAlignment="1">
      <alignment horizontal="center" vertical="center"/>
      <protection/>
    </xf>
    <xf numFmtId="0" fontId="1" fillId="34" borderId="0" xfId="49" applyFont="1" applyFill="1" applyBorder="1" applyAlignment="1">
      <alignment horizontal="center" vertical="center"/>
      <protection/>
    </xf>
    <xf numFmtId="0" fontId="1" fillId="34" borderId="12" xfId="49" applyFont="1" applyFill="1" applyBorder="1" applyAlignment="1">
      <alignment horizontal="center" vertical="center"/>
      <protection/>
    </xf>
    <xf numFmtId="0" fontId="1" fillId="34" borderId="15" xfId="49" applyFont="1" applyFill="1" applyBorder="1" applyAlignment="1">
      <alignment horizontal="center" vertical="center"/>
      <protection/>
    </xf>
    <xf numFmtId="0" fontId="1" fillId="34" borderId="21" xfId="49" applyFont="1" applyFill="1" applyBorder="1" applyAlignment="1">
      <alignment horizontal="center" vertical="center"/>
      <protection/>
    </xf>
    <xf numFmtId="171" fontId="1" fillId="33" borderId="17" xfId="65" applyFont="1" applyFill="1" applyBorder="1" applyAlignment="1">
      <alignment horizontal="center"/>
    </xf>
    <xf numFmtId="171" fontId="1" fillId="33" borderId="0" xfId="65" applyFont="1" applyFill="1" applyBorder="1" applyAlignment="1">
      <alignment horizontal="center"/>
    </xf>
    <xf numFmtId="171" fontId="2" fillId="35" borderId="23" xfId="65" applyFont="1" applyFill="1" applyBorder="1" applyAlignment="1">
      <alignment horizontal="center"/>
    </xf>
    <xf numFmtId="171" fontId="2" fillId="35" borderId="26" xfId="65" applyFont="1" applyFill="1" applyBorder="1" applyAlignment="1">
      <alignment horizontal="center"/>
    </xf>
    <xf numFmtId="171" fontId="2" fillId="35" borderId="13" xfId="65" applyFont="1" applyFill="1" applyBorder="1" applyAlignment="1">
      <alignment horizontal="center"/>
    </xf>
    <xf numFmtId="169" fontId="3" fillId="33" borderId="17" xfId="66" applyNumberFormat="1" applyFont="1" applyFill="1" applyBorder="1" applyAlignment="1">
      <alignment horizontal="right"/>
    </xf>
    <xf numFmtId="169" fontId="3" fillId="33" borderId="0" xfId="66" applyNumberFormat="1" applyFont="1" applyFill="1" applyBorder="1" applyAlignment="1">
      <alignment horizontal="right"/>
    </xf>
    <xf numFmtId="0" fontId="5" fillId="33" borderId="0" xfId="49" applyNumberFormat="1" applyFont="1" applyFill="1" applyAlignment="1">
      <alignment horizontal="center"/>
      <protection/>
    </xf>
    <xf numFmtId="171" fontId="3" fillId="33" borderId="0" xfId="65" applyFont="1" applyFill="1" applyBorder="1" applyAlignment="1">
      <alignment horizontal="right"/>
    </xf>
    <xf numFmtId="180" fontId="1" fillId="33" borderId="23" xfId="66" applyNumberFormat="1" applyFont="1" applyFill="1" applyBorder="1" applyAlignment="1">
      <alignment horizontal="right"/>
    </xf>
    <xf numFmtId="180" fontId="1" fillId="33" borderId="22" xfId="66" applyNumberFormat="1" applyFont="1" applyFill="1" applyBorder="1" applyAlignment="1">
      <alignment horizontal="right"/>
    </xf>
    <xf numFmtId="171" fontId="1" fillId="33" borderId="23" xfId="65" applyFont="1" applyFill="1" applyBorder="1" applyAlignment="1">
      <alignment horizontal="right"/>
    </xf>
    <xf numFmtId="171" fontId="1" fillId="33" borderId="26" xfId="65" applyFont="1" applyFill="1" applyBorder="1" applyAlignment="1">
      <alignment horizontal="right"/>
    </xf>
    <xf numFmtId="49" fontId="1" fillId="34" borderId="14" xfId="49" applyNumberFormat="1" applyFont="1" applyFill="1" applyBorder="1" applyAlignment="1">
      <alignment horizontal="center"/>
      <protection/>
    </xf>
    <xf numFmtId="171" fontId="3" fillId="33" borderId="15" xfId="65" applyFont="1" applyFill="1" applyBorder="1" applyAlignment="1">
      <alignment horizontal="right"/>
    </xf>
    <xf numFmtId="169" fontId="3" fillId="33" borderId="18" xfId="66" applyNumberFormat="1" applyFont="1" applyFill="1" applyBorder="1" applyAlignment="1">
      <alignment horizontal="center"/>
    </xf>
    <xf numFmtId="169" fontId="3" fillId="33" borderId="15" xfId="66" applyNumberFormat="1" applyFont="1" applyFill="1" applyBorder="1" applyAlignment="1">
      <alignment horizontal="center"/>
    </xf>
    <xf numFmtId="180" fontId="1" fillId="0" borderId="23" xfId="66" applyNumberFormat="1" applyFont="1" applyFill="1" applyBorder="1" applyAlignment="1">
      <alignment horizontal="right"/>
    </xf>
    <xf numFmtId="180" fontId="1" fillId="0" borderId="22" xfId="66" applyNumberFormat="1" applyFont="1" applyFill="1" applyBorder="1" applyAlignment="1">
      <alignment horizontal="right"/>
    </xf>
    <xf numFmtId="171" fontId="1" fillId="33" borderId="14" xfId="65" applyFont="1" applyFill="1" applyBorder="1" applyAlignment="1">
      <alignment horizontal="right"/>
    </xf>
    <xf numFmtId="171" fontId="2" fillId="35" borderId="17" xfId="65" applyFont="1" applyFill="1" applyBorder="1" applyAlignment="1">
      <alignment horizontal="center"/>
    </xf>
    <xf numFmtId="171" fontId="2" fillId="35" borderId="12" xfId="65" applyFont="1" applyFill="1" applyBorder="1" applyAlignment="1">
      <alignment horizontal="center"/>
    </xf>
    <xf numFmtId="171" fontId="2" fillId="35" borderId="0" xfId="65" applyFont="1" applyFill="1" applyBorder="1" applyAlignment="1">
      <alignment horizontal="center"/>
    </xf>
    <xf numFmtId="171" fontId="3" fillId="33" borderId="17" xfId="65" applyFont="1" applyFill="1" applyBorder="1" applyAlignment="1">
      <alignment horizontal="center"/>
    </xf>
    <xf numFmtId="171" fontId="3" fillId="33" borderId="0" xfId="65" applyFont="1" applyFill="1" applyBorder="1" applyAlignment="1">
      <alignment horizontal="center"/>
    </xf>
    <xf numFmtId="180" fontId="1" fillId="33" borderId="19" xfId="66" applyNumberFormat="1" applyFont="1" applyFill="1" applyBorder="1" applyAlignment="1">
      <alignment horizontal="center"/>
    </xf>
    <xf numFmtId="180" fontId="1" fillId="33" borderId="20" xfId="66" applyNumberFormat="1" applyFont="1" applyFill="1" applyBorder="1" applyAlignment="1">
      <alignment horizontal="center"/>
    </xf>
    <xf numFmtId="171" fontId="1" fillId="33" borderId="19" xfId="65" applyFont="1" applyFill="1" applyBorder="1" applyAlignment="1">
      <alignment horizontal="right"/>
    </xf>
    <xf numFmtId="171" fontId="1" fillId="33" borderId="17" xfId="65" applyFont="1" applyFill="1" applyBorder="1" applyAlignment="1">
      <alignment horizontal="right"/>
    </xf>
    <xf numFmtId="171" fontId="1" fillId="33" borderId="0" xfId="65" applyFont="1" applyFill="1" applyBorder="1" applyAlignment="1">
      <alignment horizontal="right"/>
    </xf>
    <xf numFmtId="180" fontId="3" fillId="33" borderId="23" xfId="65" applyNumberFormat="1" applyFont="1" applyFill="1" applyBorder="1" applyAlignment="1">
      <alignment horizontal="center" wrapText="1"/>
    </xf>
    <xf numFmtId="180" fontId="3" fillId="33" borderId="22" xfId="65" applyNumberFormat="1" applyFont="1" applyFill="1" applyBorder="1" applyAlignment="1">
      <alignment horizontal="center" wrapText="1"/>
    </xf>
    <xf numFmtId="49" fontId="1" fillId="0" borderId="26" xfId="49" applyNumberFormat="1" applyFont="1" applyFill="1" applyBorder="1" applyAlignment="1">
      <alignment horizontal="left" vertical="center" wrapText="1"/>
      <protection/>
    </xf>
    <xf numFmtId="0" fontId="3" fillId="0" borderId="26" xfId="49" applyFont="1" applyFill="1" applyBorder="1" applyAlignment="1">
      <alignment horizontal="left"/>
      <protection/>
    </xf>
    <xf numFmtId="171" fontId="2" fillId="35" borderId="22" xfId="65" applyFont="1" applyFill="1" applyBorder="1" applyAlignment="1">
      <alignment horizontal="center"/>
    </xf>
    <xf numFmtId="49" fontId="1" fillId="0" borderId="26" xfId="49" applyNumberFormat="1" applyFont="1" applyFill="1" applyBorder="1" applyAlignment="1">
      <alignment horizontal="left"/>
      <protection/>
    </xf>
    <xf numFmtId="49" fontId="1" fillId="0" borderId="22" xfId="49" applyNumberFormat="1" applyFont="1" applyFill="1" applyBorder="1" applyAlignment="1">
      <alignment horizontal="left"/>
      <protection/>
    </xf>
    <xf numFmtId="180" fontId="1" fillId="33" borderId="23" xfId="65" applyNumberFormat="1" applyFont="1" applyFill="1" applyBorder="1" applyAlignment="1">
      <alignment horizontal="center"/>
    </xf>
    <xf numFmtId="180" fontId="1" fillId="33" borderId="22" xfId="65" applyNumberFormat="1" applyFont="1" applyFill="1" applyBorder="1" applyAlignment="1">
      <alignment horizontal="center"/>
    </xf>
    <xf numFmtId="49" fontId="1" fillId="0" borderId="14" xfId="49" applyNumberFormat="1" applyFont="1" applyFill="1" applyBorder="1" applyAlignment="1">
      <alignment horizontal="left"/>
      <protection/>
    </xf>
    <xf numFmtId="49" fontId="1" fillId="0" borderId="20" xfId="49" applyNumberFormat="1" applyFont="1" applyFill="1" applyBorder="1" applyAlignment="1">
      <alignment horizontal="left"/>
      <protection/>
    </xf>
    <xf numFmtId="169" fontId="3" fillId="33" borderId="12" xfId="66" applyNumberFormat="1" applyFont="1" applyFill="1" applyBorder="1" applyAlignment="1">
      <alignment horizontal="right"/>
    </xf>
    <xf numFmtId="0" fontId="3" fillId="0" borderId="0" xfId="49" applyFont="1" applyFill="1" applyBorder="1" applyAlignment="1">
      <alignment horizontal="left"/>
      <protection/>
    </xf>
    <xf numFmtId="0" fontId="3" fillId="0" borderId="12" xfId="49" applyFont="1" applyFill="1" applyBorder="1" applyAlignment="1">
      <alignment horizontal="left"/>
      <protection/>
    </xf>
    <xf numFmtId="169" fontId="1" fillId="33" borderId="19" xfId="66" applyNumberFormat="1" applyFont="1" applyFill="1" applyBorder="1" applyAlignment="1">
      <alignment horizontal="right"/>
    </xf>
    <xf numFmtId="169" fontId="1" fillId="33" borderId="14" xfId="66" applyNumberFormat="1" applyFont="1" applyFill="1" applyBorder="1" applyAlignment="1">
      <alignment horizontal="right"/>
    </xf>
    <xf numFmtId="0" fontId="1" fillId="0" borderId="12" xfId="49" applyFont="1" applyFill="1" applyBorder="1" applyAlignment="1">
      <alignment horizontal="left"/>
      <protection/>
    </xf>
    <xf numFmtId="0" fontId="3" fillId="0" borderId="22" xfId="49" applyFont="1" applyFill="1" applyBorder="1" applyAlignment="1">
      <alignment horizontal="left"/>
      <protection/>
    </xf>
    <xf numFmtId="180" fontId="1" fillId="33" borderId="26" xfId="66" applyNumberFormat="1" applyFont="1" applyFill="1" applyBorder="1" applyAlignment="1">
      <alignment horizontal="right"/>
    </xf>
    <xf numFmtId="0" fontId="3" fillId="0" borderId="15" xfId="49" applyFont="1" applyFill="1" applyBorder="1" applyAlignment="1">
      <alignment horizontal="left"/>
      <protection/>
    </xf>
    <xf numFmtId="0" fontId="3" fillId="0" borderId="21" xfId="49" applyFont="1" applyFill="1" applyBorder="1" applyAlignment="1">
      <alignment horizontal="left"/>
      <protection/>
    </xf>
    <xf numFmtId="169" fontId="3" fillId="33" borderId="18" xfId="66" applyNumberFormat="1" applyFont="1" applyFill="1" applyBorder="1" applyAlignment="1">
      <alignment horizontal="right"/>
    </xf>
    <xf numFmtId="169" fontId="3" fillId="33" borderId="21" xfId="66" applyNumberFormat="1" applyFont="1" applyFill="1" applyBorder="1" applyAlignment="1">
      <alignment horizontal="right"/>
    </xf>
    <xf numFmtId="0" fontId="1" fillId="0" borderId="14" xfId="49" applyNumberFormat="1" applyFont="1" applyFill="1" applyBorder="1" applyAlignment="1">
      <alignment horizontal="left"/>
      <protection/>
    </xf>
    <xf numFmtId="0" fontId="3" fillId="0" borderId="20" xfId="49" applyFont="1" applyFill="1" applyBorder="1" applyAlignment="1">
      <alignment horizontal="left"/>
      <protection/>
    </xf>
    <xf numFmtId="169" fontId="1" fillId="33" borderId="20" xfId="66" applyNumberFormat="1" applyFont="1" applyFill="1" applyBorder="1" applyAlignment="1">
      <alignment horizontal="right"/>
    </xf>
    <xf numFmtId="180" fontId="3" fillId="0" borderId="12" xfId="66" applyNumberFormat="1" applyFont="1" applyFill="1" applyBorder="1" applyAlignment="1">
      <alignment horizontal="center"/>
    </xf>
    <xf numFmtId="180" fontId="3" fillId="36" borderId="12" xfId="66" applyNumberFormat="1" applyFont="1" applyFill="1" applyBorder="1" applyAlignment="1">
      <alignment horizontal="center"/>
    </xf>
    <xf numFmtId="180" fontId="3" fillId="36" borderId="17" xfId="66" applyNumberFormat="1" applyFont="1" applyFill="1" applyBorder="1" applyAlignment="1">
      <alignment horizontal="right"/>
    </xf>
    <xf numFmtId="180" fontId="3" fillId="36" borderId="0" xfId="66" applyNumberFormat="1" applyFont="1" applyFill="1" applyBorder="1" applyAlignment="1">
      <alignment horizontal="right"/>
    </xf>
    <xf numFmtId="49" fontId="3" fillId="0" borderId="0" xfId="49" applyNumberFormat="1" applyFont="1" applyFill="1" applyBorder="1" applyAlignment="1">
      <alignment horizontal="left" vertical="top"/>
      <protection/>
    </xf>
    <xf numFmtId="49" fontId="3" fillId="0" borderId="12" xfId="49" applyNumberFormat="1" applyFont="1" applyFill="1" applyBorder="1" applyAlignment="1">
      <alignment horizontal="left" vertical="top"/>
      <protection/>
    </xf>
    <xf numFmtId="180" fontId="3" fillId="33" borderId="17" xfId="65" applyNumberFormat="1" applyFont="1" applyFill="1" applyBorder="1" applyAlignment="1">
      <alignment horizontal="right"/>
    </xf>
    <xf numFmtId="180" fontId="3" fillId="33" borderId="12" xfId="65" applyNumberFormat="1" applyFont="1" applyFill="1" applyBorder="1" applyAlignment="1">
      <alignment horizontal="right"/>
    </xf>
    <xf numFmtId="180" fontId="1" fillId="33" borderId="19" xfId="65" applyNumberFormat="1" applyFont="1" applyFill="1" applyBorder="1" applyAlignment="1">
      <alignment horizontal="right"/>
    </xf>
    <xf numFmtId="180" fontId="1" fillId="33" borderId="20" xfId="65" applyNumberFormat="1" applyFont="1" applyFill="1" applyBorder="1" applyAlignment="1">
      <alignment horizontal="right"/>
    </xf>
    <xf numFmtId="180" fontId="1" fillId="33" borderId="17" xfId="65" applyNumberFormat="1" applyFont="1" applyFill="1" applyBorder="1" applyAlignment="1">
      <alignment horizontal="right"/>
    </xf>
    <xf numFmtId="180" fontId="1" fillId="33" borderId="12" xfId="65" applyNumberFormat="1" applyFont="1" applyFill="1" applyBorder="1" applyAlignment="1">
      <alignment horizontal="right"/>
    </xf>
    <xf numFmtId="0" fontId="55" fillId="33" borderId="0" xfId="49" applyFont="1" applyFill="1" applyBorder="1" applyAlignment="1">
      <alignment horizontal="center" vertical="center"/>
      <protection/>
    </xf>
    <xf numFmtId="0" fontId="4" fillId="0" borderId="0" xfId="49" applyNumberFormat="1" applyFont="1" applyFill="1" applyAlignment="1">
      <alignment horizontal="center"/>
      <protection/>
    </xf>
    <xf numFmtId="49" fontId="4" fillId="0" borderId="0" xfId="49" applyNumberFormat="1" applyFont="1" applyFill="1" applyAlignment="1">
      <alignment horizontal="center"/>
      <protection/>
    </xf>
    <xf numFmtId="0" fontId="5" fillId="0" borderId="0" xfId="49" applyFont="1" applyFill="1" applyAlignment="1">
      <alignment horizontal="center"/>
      <protection/>
    </xf>
    <xf numFmtId="0" fontId="4" fillId="0" borderId="0" xfId="49" applyFont="1" applyFill="1" applyAlignment="1">
      <alignment horizont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left" vertical="center" wrapText="1"/>
      <protection/>
    </xf>
    <xf numFmtId="180" fontId="1" fillId="33" borderId="23" xfId="66" applyNumberFormat="1" applyFont="1" applyFill="1" applyBorder="1" applyAlignment="1">
      <alignment horizontal="center"/>
    </xf>
    <xf numFmtId="180" fontId="1" fillId="33" borderId="22" xfId="66" applyNumberFormat="1" applyFont="1" applyFill="1" applyBorder="1" applyAlignment="1">
      <alignment horizontal="center"/>
    </xf>
    <xf numFmtId="0" fontId="1" fillId="0" borderId="0" xfId="49" applyNumberFormat="1" applyFont="1" applyFill="1" applyAlignment="1">
      <alignment horizontal="center"/>
      <protection/>
    </xf>
    <xf numFmtId="0" fontId="10" fillId="0" borderId="0" xfId="49" applyNumberFormat="1" applyFont="1" applyFill="1" applyAlignment="1">
      <alignment horizontal="center" vertical="center" wrapText="1"/>
      <protection/>
    </xf>
    <xf numFmtId="0" fontId="3" fillId="36" borderId="0" xfId="49" applyNumberFormat="1" applyFont="1" applyFill="1" applyAlignment="1">
      <alignment horizontal="center" vertical="center"/>
      <protection/>
    </xf>
    <xf numFmtId="0" fontId="3" fillId="0" borderId="0" xfId="49" applyNumberFormat="1" applyFont="1" applyFill="1" applyAlignment="1">
      <alignment horizontal="center"/>
      <protection/>
    </xf>
    <xf numFmtId="0" fontId="6" fillId="33" borderId="0" xfId="49" applyFont="1" applyFill="1" applyAlignment="1">
      <alignment horizontal="left" vertical="center" wrapText="1"/>
      <protection/>
    </xf>
    <xf numFmtId="0" fontId="11" fillId="36" borderId="0" xfId="49" applyNumberFormat="1" applyFont="1" applyFill="1" applyAlignment="1">
      <alignment horizontal="center"/>
      <protection/>
    </xf>
    <xf numFmtId="3" fontId="3" fillId="0" borderId="0" xfId="49" applyNumberFormat="1" applyFont="1" applyFill="1" applyAlignment="1">
      <alignment horizontal="center"/>
      <protection/>
    </xf>
    <xf numFmtId="43" fontId="3" fillId="0" borderId="0" xfId="49" applyNumberFormat="1" applyFont="1" applyFill="1" applyAlignment="1">
      <alignment horizontal="center" vertical="center"/>
      <protection/>
    </xf>
    <xf numFmtId="0" fontId="3" fillId="0" borderId="0" xfId="49" applyNumberFormat="1" applyFont="1" applyFill="1" applyAlignment="1">
      <alignment horizontal="center" vertical="center"/>
      <protection/>
    </xf>
    <xf numFmtId="0" fontId="2" fillId="0" borderId="0" xfId="49" applyNumberFormat="1" applyFont="1" applyFill="1" applyAlignment="1">
      <alignment horizontal="center"/>
      <protection/>
    </xf>
    <xf numFmtId="169" fontId="53" fillId="0" borderId="0" xfId="49" applyNumberFormat="1" applyFont="1" applyFill="1" applyAlignment="1">
      <alignment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828675</xdr:colOff>
      <xdr:row>0</xdr:row>
      <xdr:rowOff>76200</xdr:rowOff>
    </xdr:from>
    <xdr:to>
      <xdr:col>4</xdr:col>
      <xdr:colOff>28575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7620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129</xdr:row>
      <xdr:rowOff>38100</xdr:rowOff>
    </xdr:from>
    <xdr:to>
      <xdr:col>4</xdr:col>
      <xdr:colOff>38100</xdr:colOff>
      <xdr:row>132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2506980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%20-%20DREFI\13-%20DIVERSOS\EXCEL\2015\Anexos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Balanço Orçamentário"/>
      <sheetName val="Anexo 2 - Função e Subfunção"/>
      <sheetName val="Anexo 4 - RPPS"/>
      <sheetName val="Anexo 5 - Resultado Nominal"/>
      <sheetName val="Anexo 6 - Primário Estados"/>
      <sheetName val="Anexo 7 - RP Poder e Órgão"/>
      <sheetName val="Anexo 8 - MDE - Estados"/>
      <sheetName val="Anexo 12 - Saúde (Estados)"/>
      <sheetName val="Anexo 14 - Simplif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253"/>
  <sheetViews>
    <sheetView showGridLines="0" tabSelected="1" zoomScale="90" zoomScaleNormal="90" zoomScaleSheetLayoutView="70" workbookViewId="0" topLeftCell="C201">
      <selection activeCell="M202" sqref="M202:P202"/>
    </sheetView>
  </sheetViews>
  <sheetFormatPr defaultColWidth="9.140625" defaultRowHeight="11.25" customHeight="1"/>
  <cols>
    <col min="1" max="1" width="80.00390625" style="2" customWidth="1"/>
    <col min="2" max="2" width="20.8515625" style="2" customWidth="1"/>
    <col min="3" max="3" width="22.57421875" style="2" bestFit="1" customWidth="1"/>
    <col min="4" max="4" width="22.28125" style="2" bestFit="1" customWidth="1"/>
    <col min="5" max="5" width="23.421875" style="2" bestFit="1" customWidth="1"/>
    <col min="6" max="6" width="20.28125" style="2" customWidth="1"/>
    <col min="7" max="7" width="21.28125" style="2" customWidth="1"/>
    <col min="8" max="8" width="12.8515625" style="2" bestFit="1" customWidth="1"/>
    <col min="9" max="9" width="12.00390625" style="2" bestFit="1" customWidth="1"/>
    <col min="10" max="10" width="22.57421875" style="2" bestFit="1" customWidth="1"/>
    <col min="11" max="11" width="6.421875" style="2" customWidth="1"/>
    <col min="12" max="12" width="23.140625" style="2" bestFit="1" customWidth="1"/>
    <col min="13" max="13" width="5.00390625" style="2" customWidth="1"/>
    <col min="14" max="14" width="18.57421875" style="2" customWidth="1"/>
    <col min="15" max="15" width="6.57421875" style="2" customWidth="1"/>
    <col min="16" max="16" width="16.421875" style="2" customWidth="1"/>
    <col min="17" max="17" width="15.421875" style="2" customWidth="1"/>
    <col min="18" max="18" width="22.00390625" style="2" customWidth="1"/>
    <col min="19" max="19" width="13.421875" style="2" customWidth="1"/>
    <col min="20" max="16384" width="9.140625" style="2" customWidth="1"/>
  </cols>
  <sheetData>
    <row r="4" ht="15.75">
      <c r="A4" s="1"/>
    </row>
    <row r="5" s="3" customFormat="1" ht="11.25" customHeight="1">
      <c r="A5" s="1"/>
    </row>
    <row r="6" spans="1:12" s="4" customFormat="1" ht="15.75" customHeight="1">
      <c r="A6" s="327" t="s">
        <v>26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</row>
    <row r="7" spans="1:12" s="4" customFormat="1" ht="15.75" customHeight="1">
      <c r="A7" s="328" t="s">
        <v>0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</row>
    <row r="8" spans="1:12" s="4" customFormat="1" ht="15.75" customHeight="1">
      <c r="A8" s="329" t="s">
        <v>1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</row>
    <row r="9" spans="1:12" s="4" customFormat="1" ht="15.75" customHeight="1">
      <c r="A9" s="330" t="s">
        <v>2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</row>
    <row r="10" spans="1:12" s="4" customFormat="1" ht="16.5">
      <c r="A10" s="213" t="s">
        <v>159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</row>
    <row r="11" spans="1:12" s="4" customFormat="1" ht="16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5.75">
      <c r="A12" s="6"/>
      <c r="B12" s="6"/>
      <c r="C12" s="6"/>
      <c r="D12" s="6"/>
      <c r="E12" s="6"/>
      <c r="F12" s="6"/>
      <c r="G12" s="6"/>
      <c r="H12" s="6"/>
      <c r="I12" s="7"/>
      <c r="J12" s="7"/>
      <c r="K12" s="7"/>
      <c r="L12" s="91" t="s">
        <v>160</v>
      </c>
    </row>
    <row r="13" spans="1:12" s="3" customFormat="1" ht="15.75">
      <c r="A13" s="8" t="s">
        <v>64</v>
      </c>
      <c r="B13" s="9"/>
      <c r="C13" s="10"/>
      <c r="D13" s="10"/>
      <c r="E13" s="11"/>
      <c r="F13" s="10"/>
      <c r="G13" s="10"/>
      <c r="H13" s="12"/>
      <c r="I13" s="7"/>
      <c r="J13" s="13"/>
      <c r="L13" s="13">
        <v>1</v>
      </c>
    </row>
    <row r="14" spans="1:12" s="3" customFormat="1" ht="20.25" customHeight="1">
      <c r="A14" s="252" t="s">
        <v>4</v>
      </c>
      <c r="B14" s="253"/>
      <c r="C14" s="242" t="s">
        <v>65</v>
      </c>
      <c r="D14" s="70" t="s">
        <v>79</v>
      </c>
      <c r="E14" s="245" t="s">
        <v>3</v>
      </c>
      <c r="F14" s="246"/>
      <c r="G14" s="246"/>
      <c r="H14" s="246"/>
      <c r="I14" s="247"/>
      <c r="J14" s="248" t="s">
        <v>66</v>
      </c>
      <c r="K14" s="271"/>
      <c r="L14" s="271"/>
    </row>
    <row r="15" spans="1:12" s="3" customFormat="1" ht="15.75" customHeight="1">
      <c r="A15" s="254"/>
      <c r="B15" s="255"/>
      <c r="C15" s="243"/>
      <c r="D15" s="71" t="s">
        <v>6</v>
      </c>
      <c r="E15" s="70" t="s">
        <v>7</v>
      </c>
      <c r="F15" s="72" t="s">
        <v>8</v>
      </c>
      <c r="G15" s="248" t="s">
        <v>9</v>
      </c>
      <c r="H15" s="249"/>
      <c r="I15" s="72" t="s">
        <v>8</v>
      </c>
      <c r="J15" s="250"/>
      <c r="K15" s="251"/>
      <c r="L15" s="251"/>
    </row>
    <row r="16" spans="1:12" s="3" customFormat="1" ht="16.5" customHeight="1">
      <c r="A16" s="256"/>
      <c r="B16" s="257"/>
      <c r="C16" s="244"/>
      <c r="D16" s="73" t="s">
        <v>10</v>
      </c>
      <c r="E16" s="73" t="s">
        <v>11</v>
      </c>
      <c r="F16" s="73" t="s">
        <v>12</v>
      </c>
      <c r="G16" s="233" t="s">
        <v>67</v>
      </c>
      <c r="H16" s="234"/>
      <c r="I16" s="73" t="s">
        <v>13</v>
      </c>
      <c r="J16" s="233" t="s">
        <v>14</v>
      </c>
      <c r="K16" s="235"/>
      <c r="L16" s="235"/>
    </row>
    <row r="17" spans="1:13" s="3" customFormat="1" ht="15.75" customHeight="1">
      <c r="A17" s="236" t="s">
        <v>68</v>
      </c>
      <c r="B17" s="237"/>
      <c r="C17" s="93">
        <f>C18+C58</f>
        <v>97078140498</v>
      </c>
      <c r="D17" s="94">
        <f>D18+D58</f>
        <v>97769107686.48</v>
      </c>
      <c r="E17" s="95">
        <f>E18+E58</f>
        <v>13465258050.379995</v>
      </c>
      <c r="F17" s="16">
        <f>(E17/D17)*100</f>
        <v>13.772507869826903</v>
      </c>
      <c r="G17" s="322">
        <f>G18+G58</f>
        <v>30733254224.620003</v>
      </c>
      <c r="H17" s="323"/>
      <c r="I17" s="16">
        <f aca="true" t="shared" si="0" ref="I17:I79">(G17/D17)*100</f>
        <v>31.43452461811713</v>
      </c>
      <c r="J17" s="240">
        <f>D17-G17</f>
        <v>67035853461.85999</v>
      </c>
      <c r="K17" s="241"/>
      <c r="L17" s="241"/>
      <c r="M17" s="17"/>
    </row>
    <row r="18" spans="1:13" s="3" customFormat="1" ht="15.75" customHeight="1">
      <c r="A18" s="203" t="s">
        <v>30</v>
      </c>
      <c r="B18" s="203"/>
      <c r="C18" s="96">
        <f>C19+C23+C28+C36+C37+C38+C44+C52</f>
        <v>94614955249</v>
      </c>
      <c r="D18" s="97">
        <f>D19+D23+D28+D36+D37+D38+D44+D52</f>
        <v>96284351455.68</v>
      </c>
      <c r="E18" s="95">
        <f>E19+E23+E28+E36+E37+E38+E44+E52</f>
        <v>13414334647.749996</v>
      </c>
      <c r="F18" s="18">
        <f aca="true" t="shared" si="1" ref="F18:F79">(E18/D18)*100</f>
        <v>13.931998756749852</v>
      </c>
      <c r="G18" s="324">
        <f>G19+G23+G28+G36+G37+G38+G44+G52</f>
        <v>30632952666.74</v>
      </c>
      <c r="H18" s="325"/>
      <c r="I18" s="18">
        <f t="shared" si="0"/>
        <v>31.815089579577688</v>
      </c>
      <c r="J18" s="231">
        <f aca="true" t="shared" si="2" ref="J18:J82">D18-G18</f>
        <v>65651398788.93999</v>
      </c>
      <c r="K18" s="232"/>
      <c r="L18" s="232"/>
      <c r="M18" s="19"/>
    </row>
    <row r="19" spans="1:13" s="3" customFormat="1" ht="15.75" customHeight="1">
      <c r="A19" s="172" t="s">
        <v>126</v>
      </c>
      <c r="B19" s="172"/>
      <c r="C19" s="98">
        <f>C20+C21+C22</f>
        <v>47554049753</v>
      </c>
      <c r="D19" s="92">
        <f>D20+D21+D22</f>
        <v>48909119224.149994</v>
      </c>
      <c r="E19" s="99">
        <f>E20+E21+E22</f>
        <v>8247166035.759999</v>
      </c>
      <c r="F19" s="23">
        <f t="shared" si="1"/>
        <v>16.862225627011032</v>
      </c>
      <c r="G19" s="320">
        <f>G20+G21+H22</f>
        <v>16874739922.439999</v>
      </c>
      <c r="H19" s="321" t="e">
        <f>G20+G21+#REF!</f>
        <v>#REF!</v>
      </c>
      <c r="I19" s="23">
        <f t="shared" si="0"/>
        <v>34.50223637253257</v>
      </c>
      <c r="J19" s="167">
        <f t="shared" si="2"/>
        <v>32034379301.709995</v>
      </c>
      <c r="K19" s="168"/>
      <c r="L19" s="168"/>
      <c r="M19" s="19"/>
    </row>
    <row r="20" spans="1:12" s="3" customFormat="1" ht="15.75" customHeight="1">
      <c r="A20" s="172" t="s">
        <v>148</v>
      </c>
      <c r="B20" s="172"/>
      <c r="C20" s="98">
        <v>43482373787</v>
      </c>
      <c r="D20" s="92">
        <v>44811716771.34</v>
      </c>
      <c r="E20" s="99">
        <f>G20-7806033154.96</f>
        <v>7424214988.749999</v>
      </c>
      <c r="F20" s="23">
        <f t="shared" si="1"/>
        <v>16.56757545494947</v>
      </c>
      <c r="G20" s="226">
        <v>15230248143.71</v>
      </c>
      <c r="H20" s="227"/>
      <c r="I20" s="23">
        <f t="shared" si="0"/>
        <v>33.987200761410534</v>
      </c>
      <c r="J20" s="167">
        <f t="shared" si="2"/>
        <v>29581468627.629997</v>
      </c>
      <c r="K20" s="168"/>
      <c r="L20" s="168"/>
    </row>
    <row r="21" spans="1:12" s="3" customFormat="1" ht="15.75" customHeight="1">
      <c r="A21" s="172" t="s">
        <v>147</v>
      </c>
      <c r="B21" s="172"/>
      <c r="C21" s="98">
        <v>4071675966</v>
      </c>
      <c r="D21" s="92">
        <v>4097402452.81</v>
      </c>
      <c r="E21" s="99">
        <f>G21-821540731.72</f>
        <v>822951047.01</v>
      </c>
      <c r="F21" s="23">
        <f t="shared" si="1"/>
        <v>20.08470138064226</v>
      </c>
      <c r="G21" s="226">
        <v>1644491778.73</v>
      </c>
      <c r="H21" s="227"/>
      <c r="I21" s="23">
        <f t="shared" si="0"/>
        <v>40.13498302082108</v>
      </c>
      <c r="J21" s="167">
        <f t="shared" si="2"/>
        <v>2452910674.08</v>
      </c>
      <c r="K21" s="168"/>
      <c r="L21" s="168"/>
    </row>
    <row r="22" spans="1:12" s="3" customFormat="1" ht="15.75" customHeight="1">
      <c r="A22" s="228" t="s">
        <v>127</v>
      </c>
      <c r="B22" s="228"/>
      <c r="C22" s="98">
        <v>0</v>
      </c>
      <c r="D22" s="92">
        <v>0</v>
      </c>
      <c r="E22" s="99">
        <f>G22-0</f>
        <v>0</v>
      </c>
      <c r="F22" s="23">
        <v>0</v>
      </c>
      <c r="G22" s="320">
        <v>0</v>
      </c>
      <c r="H22" s="321"/>
      <c r="I22" s="23">
        <v>0</v>
      </c>
      <c r="J22" s="167">
        <f t="shared" si="2"/>
        <v>0</v>
      </c>
      <c r="K22" s="168"/>
      <c r="L22" s="168"/>
    </row>
    <row r="23" spans="1:13" s="3" customFormat="1" ht="17.25" customHeight="1">
      <c r="A23" s="172" t="s">
        <v>130</v>
      </c>
      <c r="B23" s="172"/>
      <c r="C23" s="98">
        <f>C25+C24+C26+C27</f>
        <v>4088013296</v>
      </c>
      <c r="D23" s="92">
        <f>D25+D24+D26+D27</f>
        <v>4088013296</v>
      </c>
      <c r="E23" s="99">
        <f>E25+E24+E26+E27</f>
        <v>614205855.5</v>
      </c>
      <c r="F23" s="23">
        <f t="shared" si="1"/>
        <v>15.024556209271195</v>
      </c>
      <c r="G23" s="320">
        <f>SUM(G24:H27)</f>
        <v>1010829269.02</v>
      </c>
      <c r="H23" s="321"/>
      <c r="I23" s="23">
        <f t="shared" si="0"/>
        <v>24.726662949190175</v>
      </c>
      <c r="J23" s="167">
        <f t="shared" si="2"/>
        <v>3077184026.98</v>
      </c>
      <c r="K23" s="168"/>
      <c r="L23" s="168"/>
      <c r="M23" s="19"/>
    </row>
    <row r="24" spans="1:12" s="3" customFormat="1" ht="15.75" customHeight="1">
      <c r="A24" s="172" t="s">
        <v>33</v>
      </c>
      <c r="B24" s="172"/>
      <c r="C24" s="98">
        <v>4088013296</v>
      </c>
      <c r="D24" s="92">
        <v>4088013296</v>
      </c>
      <c r="E24" s="99">
        <f>G24-396623413.52</f>
        <v>614205855.5</v>
      </c>
      <c r="F24" s="23">
        <f t="shared" si="1"/>
        <v>15.024556209271195</v>
      </c>
      <c r="G24" s="226">
        <v>1010829269.02</v>
      </c>
      <c r="H24" s="227"/>
      <c r="I24" s="23">
        <f t="shared" si="0"/>
        <v>24.726662949190175</v>
      </c>
      <c r="J24" s="167">
        <f t="shared" si="2"/>
        <v>3077184026.98</v>
      </c>
      <c r="K24" s="168"/>
      <c r="L24" s="168"/>
    </row>
    <row r="25" spans="1:12" s="3" customFormat="1" ht="15.75" customHeight="1">
      <c r="A25" s="172" t="s">
        <v>88</v>
      </c>
      <c r="B25" s="172"/>
      <c r="C25" s="98">
        <v>0</v>
      </c>
      <c r="D25" s="92">
        <v>0</v>
      </c>
      <c r="E25" s="99">
        <f>G25</f>
        <v>0</v>
      </c>
      <c r="F25" s="23">
        <v>0</v>
      </c>
      <c r="G25" s="320">
        <v>0</v>
      </c>
      <c r="H25" s="321"/>
      <c r="I25" s="23">
        <v>0</v>
      </c>
      <c r="J25" s="167">
        <f t="shared" si="2"/>
        <v>0</v>
      </c>
      <c r="K25" s="168"/>
      <c r="L25" s="168"/>
    </row>
    <row r="26" spans="1:12" s="3" customFormat="1" ht="15.75" customHeight="1">
      <c r="A26" s="172" t="s">
        <v>106</v>
      </c>
      <c r="B26" s="172"/>
      <c r="C26" s="98">
        <v>0</v>
      </c>
      <c r="D26" s="92">
        <v>0</v>
      </c>
      <c r="E26" s="99">
        <f>G26</f>
        <v>0</v>
      </c>
      <c r="F26" s="23">
        <v>0</v>
      </c>
      <c r="G26" s="320">
        <v>0</v>
      </c>
      <c r="H26" s="321"/>
      <c r="I26" s="23">
        <v>0</v>
      </c>
      <c r="J26" s="169">
        <f t="shared" si="2"/>
        <v>0</v>
      </c>
      <c r="K26" s="171"/>
      <c r="L26" s="171"/>
    </row>
    <row r="27" spans="1:12" s="3" customFormat="1" ht="15.75" customHeight="1">
      <c r="A27" s="172" t="s">
        <v>107</v>
      </c>
      <c r="B27" s="172"/>
      <c r="C27" s="98">
        <v>0</v>
      </c>
      <c r="D27" s="92">
        <v>0</v>
      </c>
      <c r="E27" s="99">
        <f>G27</f>
        <v>0</v>
      </c>
      <c r="F27" s="23">
        <v>0</v>
      </c>
      <c r="G27" s="320">
        <v>0</v>
      </c>
      <c r="H27" s="321"/>
      <c r="I27" s="23">
        <v>0</v>
      </c>
      <c r="J27" s="169">
        <f t="shared" si="2"/>
        <v>0</v>
      </c>
      <c r="K27" s="171"/>
      <c r="L27" s="171"/>
    </row>
    <row r="28" spans="1:13" s="3" customFormat="1" ht="15.75" customHeight="1">
      <c r="A28" s="172" t="s">
        <v>34</v>
      </c>
      <c r="B28" s="172"/>
      <c r="C28" s="98">
        <f>SUM(C29:C35)</f>
        <v>29635277256</v>
      </c>
      <c r="D28" s="92">
        <f>SUM(D29:D35)</f>
        <v>30627147203.36</v>
      </c>
      <c r="E28" s="99">
        <f>SUM(E29:E35)</f>
        <v>2458031451.5399995</v>
      </c>
      <c r="F28" s="23">
        <f t="shared" si="1"/>
        <v>8.025662446518483</v>
      </c>
      <c r="G28" s="320">
        <f>SUM(G29:H35)</f>
        <v>8396755869.459999</v>
      </c>
      <c r="H28" s="321">
        <f>SUM(H29:H35)</f>
        <v>0</v>
      </c>
      <c r="I28" s="23">
        <f t="shared" si="0"/>
        <v>27.41605613381719</v>
      </c>
      <c r="J28" s="167">
        <f t="shared" si="2"/>
        <v>22230391333.9</v>
      </c>
      <c r="K28" s="168"/>
      <c r="L28" s="168"/>
      <c r="M28" s="24"/>
    </row>
    <row r="29" spans="1:12" s="3" customFormat="1" ht="15.75" customHeight="1">
      <c r="A29" s="172" t="s">
        <v>108</v>
      </c>
      <c r="B29" s="172"/>
      <c r="C29" s="98">
        <v>107575759</v>
      </c>
      <c r="D29" s="92">
        <v>107428333.62</v>
      </c>
      <c r="E29" s="99">
        <f>G29-13292276.9</f>
        <v>13279445.110000001</v>
      </c>
      <c r="F29" s="23">
        <f t="shared" si="1"/>
        <v>12.361212971032959</v>
      </c>
      <c r="G29" s="226">
        <v>26571722.01</v>
      </c>
      <c r="H29" s="227"/>
      <c r="I29" s="23">
        <f t="shared" si="0"/>
        <v>24.734370453879148</v>
      </c>
      <c r="J29" s="167">
        <f t="shared" si="2"/>
        <v>80856611.61</v>
      </c>
      <c r="K29" s="168"/>
      <c r="L29" s="168"/>
    </row>
    <row r="30" spans="1:12" s="3" customFormat="1" ht="15.75" customHeight="1">
      <c r="A30" s="172" t="s">
        <v>109</v>
      </c>
      <c r="B30" s="172"/>
      <c r="C30" s="98">
        <v>1516527489</v>
      </c>
      <c r="D30" s="92">
        <v>1549166996.4</v>
      </c>
      <c r="E30" s="99">
        <f>G30-532995198.47</f>
        <v>563158275.8799999</v>
      </c>
      <c r="F30" s="23">
        <f t="shared" si="1"/>
        <v>36.35232852163025</v>
      </c>
      <c r="G30" s="226">
        <v>1096153474.35</v>
      </c>
      <c r="H30" s="227"/>
      <c r="I30" s="23">
        <f t="shared" si="0"/>
        <v>70.75760566144731</v>
      </c>
      <c r="J30" s="167">
        <f t="shared" si="2"/>
        <v>453013522.0500002</v>
      </c>
      <c r="K30" s="168"/>
      <c r="L30" s="168"/>
    </row>
    <row r="31" spans="1:12" s="3" customFormat="1" ht="15.75" customHeight="1">
      <c r="A31" s="172" t="s">
        <v>112</v>
      </c>
      <c r="B31" s="172"/>
      <c r="C31" s="98">
        <v>66181024</v>
      </c>
      <c r="D31" s="92">
        <v>67783881.4</v>
      </c>
      <c r="E31" s="99">
        <f>G31-5568211.66</f>
        <v>5309490.01</v>
      </c>
      <c r="F31" s="23">
        <f t="shared" si="1"/>
        <v>7.83296839947557</v>
      </c>
      <c r="G31" s="226">
        <v>10877701.67</v>
      </c>
      <c r="H31" s="227"/>
      <c r="I31" s="23">
        <f t="shared" si="0"/>
        <v>16.047622894017397</v>
      </c>
      <c r="J31" s="167">
        <f t="shared" si="2"/>
        <v>56906179.730000004</v>
      </c>
      <c r="K31" s="168"/>
      <c r="L31" s="168"/>
    </row>
    <row r="32" spans="1:12" s="3" customFormat="1" ht="15.75" customHeight="1">
      <c r="A32" s="172" t="s">
        <v>110</v>
      </c>
      <c r="B32" s="172"/>
      <c r="C32" s="98">
        <v>2748172448</v>
      </c>
      <c r="D32" s="92">
        <v>2246193080.06</v>
      </c>
      <c r="E32" s="99">
        <f>G32-24934584.34</f>
        <v>23491217.19</v>
      </c>
      <c r="F32" s="23">
        <f t="shared" si="1"/>
        <v>1.0458235936410467</v>
      </c>
      <c r="G32" s="226">
        <v>48425801.53</v>
      </c>
      <c r="H32" s="227"/>
      <c r="I32" s="23">
        <f t="shared" si="0"/>
        <v>2.1559055612755453</v>
      </c>
      <c r="J32" s="167">
        <f t="shared" si="2"/>
        <v>2197767278.5299997</v>
      </c>
      <c r="K32" s="168"/>
      <c r="L32" s="168"/>
    </row>
    <row r="33" spans="1:12" s="3" customFormat="1" ht="15.75" customHeight="1">
      <c r="A33" s="172" t="s">
        <v>111</v>
      </c>
      <c r="B33" s="172"/>
      <c r="C33" s="98">
        <v>0</v>
      </c>
      <c r="D33" s="92">
        <v>0</v>
      </c>
      <c r="E33" s="99">
        <f>G33</f>
        <v>0</v>
      </c>
      <c r="F33" s="23">
        <v>0</v>
      </c>
      <c r="G33" s="226">
        <v>0</v>
      </c>
      <c r="H33" s="227"/>
      <c r="I33" s="23">
        <v>0</v>
      </c>
      <c r="J33" s="167">
        <f t="shared" si="2"/>
        <v>0</v>
      </c>
      <c r="K33" s="168"/>
      <c r="L33" s="168"/>
    </row>
    <row r="34" spans="1:12" s="3" customFormat="1" ht="15.75" customHeight="1">
      <c r="A34" s="172" t="s">
        <v>114</v>
      </c>
      <c r="B34" s="172"/>
      <c r="C34" s="98">
        <v>522877328</v>
      </c>
      <c r="D34" s="92">
        <v>522877328</v>
      </c>
      <c r="E34" s="99">
        <f>G34-25860000</f>
        <v>0</v>
      </c>
      <c r="F34" s="23">
        <f t="shared" si="1"/>
        <v>0</v>
      </c>
      <c r="G34" s="226">
        <v>25860000</v>
      </c>
      <c r="H34" s="227"/>
      <c r="I34" s="23">
        <f t="shared" si="0"/>
        <v>4.945710707885197</v>
      </c>
      <c r="J34" s="167">
        <f t="shared" si="2"/>
        <v>497017328</v>
      </c>
      <c r="K34" s="168"/>
      <c r="L34" s="168"/>
    </row>
    <row r="35" spans="1:12" s="3" customFormat="1" ht="15.75" customHeight="1">
      <c r="A35" s="172" t="s">
        <v>113</v>
      </c>
      <c r="B35" s="172"/>
      <c r="C35" s="98">
        <v>24673943208</v>
      </c>
      <c r="D35" s="92">
        <v>26133697583.88</v>
      </c>
      <c r="E35" s="99">
        <f>G35-5336074146.55</f>
        <v>1852793023.3499994</v>
      </c>
      <c r="F35" s="23">
        <f t="shared" si="1"/>
        <v>7.0896704050515</v>
      </c>
      <c r="G35" s="226">
        <v>7188867169.9</v>
      </c>
      <c r="H35" s="227"/>
      <c r="I35" s="23">
        <f t="shared" si="0"/>
        <v>27.50803688160184</v>
      </c>
      <c r="J35" s="167">
        <f t="shared" si="2"/>
        <v>18944830413.980003</v>
      </c>
      <c r="K35" s="168"/>
      <c r="L35" s="168"/>
    </row>
    <row r="36" spans="1:13" s="3" customFormat="1" ht="15.75" customHeight="1">
      <c r="A36" s="172" t="s">
        <v>35</v>
      </c>
      <c r="B36" s="172"/>
      <c r="C36" s="98">
        <v>127680</v>
      </c>
      <c r="D36" s="92">
        <v>127680</v>
      </c>
      <c r="E36" s="99">
        <f>G36-0</f>
        <v>0</v>
      </c>
      <c r="F36" s="23">
        <f t="shared" si="1"/>
        <v>0</v>
      </c>
      <c r="G36" s="226">
        <v>0</v>
      </c>
      <c r="H36" s="227"/>
      <c r="I36" s="23">
        <f t="shared" si="0"/>
        <v>0</v>
      </c>
      <c r="J36" s="167">
        <f t="shared" si="2"/>
        <v>127680</v>
      </c>
      <c r="K36" s="168"/>
      <c r="L36" s="168"/>
      <c r="M36" s="19"/>
    </row>
    <row r="37" spans="1:13" s="3" customFormat="1" ht="15.75" customHeight="1">
      <c r="A37" s="172" t="s">
        <v>36</v>
      </c>
      <c r="B37" s="172"/>
      <c r="C37" s="98">
        <v>36003700</v>
      </c>
      <c r="D37" s="92">
        <v>36003700</v>
      </c>
      <c r="E37" s="99">
        <f>G37-37457.51</f>
        <v>39196.01</v>
      </c>
      <c r="F37" s="23">
        <f t="shared" si="1"/>
        <v>0.10886661648663888</v>
      </c>
      <c r="G37" s="226">
        <v>76653.52</v>
      </c>
      <c r="H37" s="227"/>
      <c r="I37" s="23">
        <f t="shared" si="0"/>
        <v>0.21290456258662305</v>
      </c>
      <c r="J37" s="167">
        <f t="shared" si="2"/>
        <v>35927046.48</v>
      </c>
      <c r="K37" s="168"/>
      <c r="L37" s="168"/>
      <c r="M37" s="19"/>
    </row>
    <row r="38" spans="1:13" s="3" customFormat="1" ht="15.75" customHeight="1">
      <c r="A38" s="172" t="s">
        <v>37</v>
      </c>
      <c r="B38" s="172"/>
      <c r="C38" s="98">
        <f>SUM(C39:C43)</f>
        <v>498205698</v>
      </c>
      <c r="D38" s="92">
        <f>SUM(D39:D43)</f>
        <v>492882288.31000006</v>
      </c>
      <c r="E38" s="99">
        <f>SUM(E39:E43)</f>
        <v>64404731.14999999</v>
      </c>
      <c r="F38" s="23">
        <f t="shared" si="1"/>
        <v>13.066959936992584</v>
      </c>
      <c r="G38" s="320">
        <f>SUM(G39:H43)</f>
        <v>123416142.76999998</v>
      </c>
      <c r="H38" s="321"/>
      <c r="I38" s="23">
        <f t="shared" si="0"/>
        <v>25.039678985660153</v>
      </c>
      <c r="J38" s="167">
        <f t="shared" si="2"/>
        <v>369466145.5400001</v>
      </c>
      <c r="K38" s="168"/>
      <c r="L38" s="168"/>
      <c r="M38" s="19"/>
    </row>
    <row r="39" spans="1:12" s="3" customFormat="1" ht="15.75" customHeight="1">
      <c r="A39" s="172" t="s">
        <v>101</v>
      </c>
      <c r="B39" s="172"/>
      <c r="C39" s="98">
        <v>291915757</v>
      </c>
      <c r="D39" s="92">
        <v>291916563.98</v>
      </c>
      <c r="E39" s="99">
        <f>G39-48025113.86</f>
        <v>53175484.91</v>
      </c>
      <c r="F39" s="23">
        <f t="shared" si="1"/>
        <v>18.215987535960167</v>
      </c>
      <c r="G39" s="226">
        <v>101200598.77</v>
      </c>
      <c r="H39" s="227"/>
      <c r="I39" s="23">
        <f t="shared" si="0"/>
        <v>34.66764523061923</v>
      </c>
      <c r="J39" s="167">
        <f t="shared" si="2"/>
        <v>190715965.21000004</v>
      </c>
      <c r="K39" s="168"/>
      <c r="L39" s="168"/>
    </row>
    <row r="40" spans="1:12" s="3" customFormat="1" ht="15.75" customHeight="1">
      <c r="A40" s="172" t="s">
        <v>102</v>
      </c>
      <c r="B40" s="172"/>
      <c r="C40" s="98">
        <v>37637057</v>
      </c>
      <c r="D40" s="92">
        <v>36468176.98</v>
      </c>
      <c r="E40" s="99">
        <f>G40-3077986.89</f>
        <v>3068046.2899999996</v>
      </c>
      <c r="F40" s="23">
        <f t="shared" si="1"/>
        <v>8.412941210860602</v>
      </c>
      <c r="G40" s="226">
        <v>6146033.18</v>
      </c>
      <c r="H40" s="227"/>
      <c r="I40" s="23">
        <f t="shared" si="0"/>
        <v>16.85314070777552</v>
      </c>
      <c r="J40" s="169">
        <f t="shared" si="2"/>
        <v>30322143.799999997</v>
      </c>
      <c r="K40" s="171"/>
      <c r="L40" s="171"/>
    </row>
    <row r="41" spans="1:12" s="3" customFormat="1" ht="15.75" customHeight="1">
      <c r="A41" s="172" t="s">
        <v>103</v>
      </c>
      <c r="B41" s="172"/>
      <c r="C41" s="98">
        <v>112260125</v>
      </c>
      <c r="D41" s="92">
        <v>112260125</v>
      </c>
      <c r="E41" s="99">
        <f>G41-80888.4</f>
        <v>146881.33000000002</v>
      </c>
      <c r="F41" s="23">
        <f t="shared" si="1"/>
        <v>0.13084016252431574</v>
      </c>
      <c r="G41" s="226">
        <v>227769.73</v>
      </c>
      <c r="H41" s="227"/>
      <c r="I41" s="23">
        <f t="shared" si="0"/>
        <v>0.20289459859411346</v>
      </c>
      <c r="J41" s="169">
        <f t="shared" si="2"/>
        <v>112032355.27</v>
      </c>
      <c r="K41" s="171"/>
      <c r="L41" s="171"/>
    </row>
    <row r="42" spans="1:12" s="3" customFormat="1" ht="15.75" customHeight="1">
      <c r="A42" s="172" t="s">
        <v>104</v>
      </c>
      <c r="B42" s="172"/>
      <c r="C42" s="98">
        <v>9133341</v>
      </c>
      <c r="D42" s="92">
        <v>4974602.62</v>
      </c>
      <c r="E42" s="99">
        <f>G42-1229976.59</f>
        <v>1091454.7299999997</v>
      </c>
      <c r="F42" s="23">
        <f t="shared" si="1"/>
        <v>21.940541051699114</v>
      </c>
      <c r="G42" s="226">
        <v>2321431.32</v>
      </c>
      <c r="H42" s="227"/>
      <c r="I42" s="23">
        <f t="shared" si="0"/>
        <v>46.66566351786305</v>
      </c>
      <c r="J42" s="169">
        <f t="shared" si="2"/>
        <v>2653171.3000000003</v>
      </c>
      <c r="K42" s="171"/>
      <c r="L42" s="171"/>
    </row>
    <row r="43" spans="1:12" s="3" customFormat="1" ht="15.75" customHeight="1">
      <c r="A43" s="172" t="s">
        <v>105</v>
      </c>
      <c r="B43" s="172"/>
      <c r="C43" s="98">
        <v>47259418</v>
      </c>
      <c r="D43" s="92">
        <v>47262819.73</v>
      </c>
      <c r="E43" s="99">
        <f>G43-6597445.88</f>
        <v>6922863.89</v>
      </c>
      <c r="F43" s="23">
        <f t="shared" si="1"/>
        <v>14.647589647736831</v>
      </c>
      <c r="G43" s="226">
        <v>13520309.77</v>
      </c>
      <c r="H43" s="227"/>
      <c r="I43" s="23">
        <f t="shared" si="0"/>
        <v>28.606650739921903</v>
      </c>
      <c r="J43" s="169">
        <f t="shared" si="2"/>
        <v>33742509.95999999</v>
      </c>
      <c r="K43" s="171"/>
      <c r="L43" s="171"/>
    </row>
    <row r="44" spans="1:13" s="3" customFormat="1" ht="15.75" customHeight="1">
      <c r="A44" s="172" t="s">
        <v>38</v>
      </c>
      <c r="B44" s="172"/>
      <c r="C44" s="98">
        <f>SUM(C45:C51)</f>
        <v>10593102413</v>
      </c>
      <c r="D44" s="92">
        <f>SUM(D45:D51)</f>
        <v>9944144696.2</v>
      </c>
      <c r="E44" s="99">
        <f>SUM(E45:E51)</f>
        <v>1677599839.8200002</v>
      </c>
      <c r="F44" s="23">
        <f t="shared" si="1"/>
        <v>16.87022756679183</v>
      </c>
      <c r="G44" s="320">
        <f>SUM(G45:H51)</f>
        <v>3441866565.4900002</v>
      </c>
      <c r="H44" s="321">
        <f>SUM(H45:H49)</f>
        <v>0</v>
      </c>
      <c r="I44" s="23">
        <f t="shared" si="0"/>
        <v>34.611991987659394</v>
      </c>
      <c r="J44" s="167">
        <f t="shared" si="2"/>
        <v>6502278130.710001</v>
      </c>
      <c r="K44" s="168"/>
      <c r="L44" s="168"/>
      <c r="M44" s="19"/>
    </row>
    <row r="45" spans="1:12" s="3" customFormat="1" ht="15.75" customHeight="1">
      <c r="A45" s="172" t="s">
        <v>96</v>
      </c>
      <c r="B45" s="172"/>
      <c r="C45" s="98">
        <v>5977147582</v>
      </c>
      <c r="D45" s="92">
        <v>5328189865.2</v>
      </c>
      <c r="E45" s="99">
        <f>G45-944024688.28</f>
        <v>1007605170.05</v>
      </c>
      <c r="F45" s="23">
        <f t="shared" si="1"/>
        <v>18.91083455248039</v>
      </c>
      <c r="G45" s="226">
        <v>1951629858.33</v>
      </c>
      <c r="H45" s="227"/>
      <c r="I45" s="23">
        <f t="shared" si="0"/>
        <v>36.62838426754793</v>
      </c>
      <c r="J45" s="167">
        <f t="shared" si="2"/>
        <v>3376560006.87</v>
      </c>
      <c r="K45" s="168"/>
      <c r="L45" s="168"/>
    </row>
    <row r="46" spans="1:12" s="3" customFormat="1" ht="15.75" customHeight="1">
      <c r="A46" s="172" t="s">
        <v>97</v>
      </c>
      <c r="B46" s="172"/>
      <c r="C46" s="98">
        <v>3455784</v>
      </c>
      <c r="D46" s="92">
        <v>3455784</v>
      </c>
      <c r="E46" s="99">
        <f>G46-280270.4</f>
        <v>126941.48999999999</v>
      </c>
      <c r="F46" s="23">
        <v>0</v>
      </c>
      <c r="G46" s="226">
        <v>407211.89</v>
      </c>
      <c r="H46" s="227"/>
      <c r="I46" s="23">
        <v>0</v>
      </c>
      <c r="J46" s="167">
        <f t="shared" si="2"/>
        <v>3048572.11</v>
      </c>
      <c r="K46" s="168"/>
      <c r="L46" s="168"/>
    </row>
    <row r="47" spans="1:12" s="3" customFormat="1" ht="15.75" customHeight="1">
      <c r="A47" s="172" t="s">
        <v>98</v>
      </c>
      <c r="B47" s="172"/>
      <c r="C47" s="98">
        <v>139446200</v>
      </c>
      <c r="D47" s="92">
        <v>139446200</v>
      </c>
      <c r="E47" s="99">
        <f>G47-16974674.07</f>
        <v>18271698.659999996</v>
      </c>
      <c r="F47" s="23">
        <f t="shared" si="1"/>
        <v>13.103045231781143</v>
      </c>
      <c r="G47" s="226">
        <v>35246372.73</v>
      </c>
      <c r="H47" s="227"/>
      <c r="I47" s="23">
        <f t="shared" si="0"/>
        <v>25.275965017332847</v>
      </c>
      <c r="J47" s="167">
        <f t="shared" si="2"/>
        <v>104199827.27000001</v>
      </c>
      <c r="K47" s="168"/>
      <c r="L47" s="168"/>
    </row>
    <row r="48" spans="1:12" s="3" customFormat="1" ht="15.75" customHeight="1">
      <c r="A48" s="172" t="s">
        <v>39</v>
      </c>
      <c r="B48" s="172"/>
      <c r="C48" s="98">
        <v>54708513</v>
      </c>
      <c r="D48" s="92">
        <v>54708513</v>
      </c>
      <c r="E48" s="99">
        <f>G48-6573874</f>
        <v>3030071.8900000006</v>
      </c>
      <c r="F48" s="23">
        <f t="shared" si="1"/>
        <v>5.538574755267065</v>
      </c>
      <c r="G48" s="226">
        <v>9603945.89</v>
      </c>
      <c r="H48" s="227"/>
      <c r="I48" s="23">
        <f t="shared" si="0"/>
        <v>17.554755856734765</v>
      </c>
      <c r="J48" s="167">
        <f t="shared" si="2"/>
        <v>45104567.11</v>
      </c>
      <c r="K48" s="168"/>
      <c r="L48" s="168"/>
    </row>
    <row r="49" spans="1:12" s="3" customFormat="1" ht="15.75" customHeight="1">
      <c r="A49" s="172" t="s">
        <v>81</v>
      </c>
      <c r="B49" s="172"/>
      <c r="C49" s="98">
        <v>4401834334</v>
      </c>
      <c r="D49" s="92">
        <v>4401834334</v>
      </c>
      <c r="E49" s="99">
        <f>G49-796326460.9</f>
        <v>647318163.2500001</v>
      </c>
      <c r="F49" s="23">
        <f t="shared" si="1"/>
        <v>14.705645740687709</v>
      </c>
      <c r="G49" s="226">
        <v>1443644624.15</v>
      </c>
      <c r="H49" s="227"/>
      <c r="I49" s="23">
        <f t="shared" si="0"/>
        <v>32.796432455424615</v>
      </c>
      <c r="J49" s="167">
        <f t="shared" si="2"/>
        <v>2958189709.85</v>
      </c>
      <c r="K49" s="168"/>
      <c r="L49" s="168"/>
    </row>
    <row r="50" spans="1:12" s="3" customFormat="1" ht="15.75" customHeight="1">
      <c r="A50" s="172" t="s">
        <v>40</v>
      </c>
      <c r="B50" s="172"/>
      <c r="C50" s="20">
        <v>0</v>
      </c>
      <c r="D50" s="92">
        <v>0</v>
      </c>
      <c r="E50" s="99">
        <f>G50-0</f>
        <v>0</v>
      </c>
      <c r="F50" s="23">
        <v>0</v>
      </c>
      <c r="G50" s="169">
        <v>0</v>
      </c>
      <c r="H50" s="170"/>
      <c r="I50" s="23">
        <v>0</v>
      </c>
      <c r="J50" s="169">
        <f t="shared" si="2"/>
        <v>0</v>
      </c>
      <c r="K50" s="171"/>
      <c r="L50" s="171"/>
    </row>
    <row r="51" spans="1:14" s="3" customFormat="1" ht="15.75" customHeight="1">
      <c r="A51" s="172" t="s">
        <v>156</v>
      </c>
      <c r="B51" s="172"/>
      <c r="C51" s="131">
        <v>16510000</v>
      </c>
      <c r="D51" s="132">
        <v>16510000</v>
      </c>
      <c r="E51" s="102">
        <f>G51-86758.02</f>
        <v>1247794.48</v>
      </c>
      <c r="F51" s="133">
        <f t="shared" si="1"/>
        <v>7.557810296789825</v>
      </c>
      <c r="G51" s="175">
        <v>1334552.5</v>
      </c>
      <c r="H51" s="176"/>
      <c r="I51" s="133">
        <f t="shared" si="0"/>
        <v>8.083298001211386</v>
      </c>
      <c r="J51" s="173">
        <f t="shared" si="2"/>
        <v>15175447.5</v>
      </c>
      <c r="K51" s="174"/>
      <c r="L51" s="174"/>
      <c r="M51" s="338"/>
      <c r="N51" s="338"/>
    </row>
    <row r="52" spans="1:13" s="3" customFormat="1" ht="15.75" customHeight="1">
      <c r="A52" s="172" t="s">
        <v>41</v>
      </c>
      <c r="B52" s="172"/>
      <c r="C52" s="131">
        <f>SUM(C53:C57)</f>
        <v>2210175453</v>
      </c>
      <c r="D52" s="132">
        <f>SUM(D53:D57)</f>
        <v>2186913367.66</v>
      </c>
      <c r="E52" s="102">
        <f>SUM(E53:E57)</f>
        <v>352887537.97</v>
      </c>
      <c r="F52" s="133">
        <f t="shared" si="1"/>
        <v>16.136329092340322</v>
      </c>
      <c r="G52" s="173">
        <f>SUM(G53:H57)</f>
        <v>785268244.04</v>
      </c>
      <c r="H52" s="314">
        <f>SUM(H53:H57)</f>
        <v>0</v>
      </c>
      <c r="I52" s="133">
        <f t="shared" si="0"/>
        <v>35.90760638498625</v>
      </c>
      <c r="J52" s="179">
        <f t="shared" si="2"/>
        <v>1401645123.62</v>
      </c>
      <c r="K52" s="180"/>
      <c r="L52" s="180"/>
      <c r="M52" s="25"/>
    </row>
    <row r="53" spans="1:12" s="3" customFormat="1" ht="15.75" customHeight="1">
      <c r="A53" s="172" t="s">
        <v>92</v>
      </c>
      <c r="B53" s="172"/>
      <c r="C53" s="131">
        <v>401381252</v>
      </c>
      <c r="D53" s="132">
        <v>386945117.64</v>
      </c>
      <c r="E53" s="102">
        <f>G53-92497400.62</f>
        <v>74427347.32999998</v>
      </c>
      <c r="F53" s="133">
        <f t="shared" si="1"/>
        <v>19.234600447716346</v>
      </c>
      <c r="G53" s="173">
        <v>166924747.95</v>
      </c>
      <c r="H53" s="314"/>
      <c r="I53" s="133">
        <f t="shared" si="0"/>
        <v>43.13912757656264</v>
      </c>
      <c r="J53" s="179">
        <f t="shared" si="2"/>
        <v>220020369.69</v>
      </c>
      <c r="K53" s="180"/>
      <c r="L53" s="180"/>
    </row>
    <row r="54" spans="1:12" s="3" customFormat="1" ht="15.75" customHeight="1">
      <c r="A54" s="172" t="s">
        <v>93</v>
      </c>
      <c r="B54" s="172"/>
      <c r="C54" s="131">
        <v>329574932</v>
      </c>
      <c r="D54" s="132">
        <v>297846190.22</v>
      </c>
      <c r="E54" s="102">
        <f>G54-132755233.34</f>
        <v>62382745.78</v>
      </c>
      <c r="F54" s="133">
        <f t="shared" si="1"/>
        <v>20.94461766790498</v>
      </c>
      <c r="G54" s="173">
        <v>195137979.12</v>
      </c>
      <c r="H54" s="314"/>
      <c r="I54" s="133">
        <f t="shared" si="0"/>
        <v>65.5163589555616</v>
      </c>
      <c r="J54" s="179">
        <f t="shared" si="2"/>
        <v>102708211.10000002</v>
      </c>
      <c r="K54" s="180"/>
      <c r="L54" s="180"/>
    </row>
    <row r="55" spans="1:12" s="3" customFormat="1" ht="15.75" customHeight="1">
      <c r="A55" s="172" t="s">
        <v>94</v>
      </c>
      <c r="B55" s="172"/>
      <c r="C55" s="131">
        <v>285000</v>
      </c>
      <c r="D55" s="133">
        <v>285000</v>
      </c>
      <c r="E55" s="102">
        <f>G55-0</f>
        <v>25191</v>
      </c>
      <c r="F55" s="133">
        <f t="shared" si="1"/>
        <v>8.838947368421053</v>
      </c>
      <c r="G55" s="173">
        <v>25191</v>
      </c>
      <c r="H55" s="314"/>
      <c r="I55" s="133">
        <f t="shared" si="0"/>
        <v>8.838947368421053</v>
      </c>
      <c r="J55" s="179">
        <f t="shared" si="2"/>
        <v>259809</v>
      </c>
      <c r="K55" s="180"/>
      <c r="L55" s="180"/>
    </row>
    <row r="56" spans="1:14" s="3" customFormat="1" ht="15.75" customHeight="1">
      <c r="A56" s="172" t="s">
        <v>144</v>
      </c>
      <c r="B56" s="172"/>
      <c r="C56" s="131">
        <v>0</v>
      </c>
      <c r="D56" s="134">
        <v>0</v>
      </c>
      <c r="E56" s="102">
        <f>G56-0</f>
        <v>0</v>
      </c>
      <c r="F56" s="133">
        <v>0</v>
      </c>
      <c r="G56" s="175">
        <v>0</v>
      </c>
      <c r="H56" s="176"/>
      <c r="I56" s="133">
        <v>0</v>
      </c>
      <c r="J56" s="173">
        <f t="shared" si="2"/>
        <v>0</v>
      </c>
      <c r="K56" s="174"/>
      <c r="L56" s="174"/>
      <c r="M56" s="338"/>
      <c r="N56" s="338"/>
    </row>
    <row r="57" spans="1:20" s="3" customFormat="1" ht="15.75" customHeight="1">
      <c r="A57" s="172" t="s">
        <v>95</v>
      </c>
      <c r="B57" s="172"/>
      <c r="C57" s="98">
        <v>1478934269</v>
      </c>
      <c r="D57" s="98">
        <v>1501837059.8</v>
      </c>
      <c r="E57" s="99">
        <f>G57-207128072.11</f>
        <v>216052253.86</v>
      </c>
      <c r="F57" s="23">
        <f t="shared" si="1"/>
        <v>14.385865127657175</v>
      </c>
      <c r="G57" s="169">
        <v>423180325.97</v>
      </c>
      <c r="H57" s="170"/>
      <c r="I57" s="23">
        <f t="shared" si="0"/>
        <v>28.17751254762318</v>
      </c>
      <c r="J57" s="167">
        <f t="shared" si="2"/>
        <v>1078656733.83</v>
      </c>
      <c r="K57" s="168"/>
      <c r="L57" s="168"/>
      <c r="M57" s="335"/>
      <c r="N57" s="335"/>
      <c r="O57" s="335"/>
      <c r="P57" s="335"/>
      <c r="Q57" s="335"/>
      <c r="R57" s="335"/>
      <c r="S57" s="335"/>
      <c r="T57" s="335"/>
    </row>
    <row r="58" spans="1:20" s="3" customFormat="1" ht="15.75" customHeight="1">
      <c r="A58" s="203" t="s">
        <v>42</v>
      </c>
      <c r="B58" s="203"/>
      <c r="C58" s="96">
        <f>C59+C62+C66+C67+C79</f>
        <v>2463185249</v>
      </c>
      <c r="D58" s="97">
        <f>D59+D62+D66+D67+D79</f>
        <v>1484756230.8</v>
      </c>
      <c r="E58" s="95">
        <f>E59+E62+E66+E67+E79</f>
        <v>50923402.63</v>
      </c>
      <c r="F58" s="18">
        <f t="shared" si="1"/>
        <v>3.4297483703814478</v>
      </c>
      <c r="G58" s="214">
        <f>G59+G62+G66+G67+G79</f>
        <v>100301557.88</v>
      </c>
      <c r="H58" s="215"/>
      <c r="I58" s="18">
        <f t="shared" si="0"/>
        <v>6.755422593913388</v>
      </c>
      <c r="J58" s="231">
        <f t="shared" si="2"/>
        <v>1384454672.92</v>
      </c>
      <c r="K58" s="232"/>
      <c r="L58" s="232"/>
      <c r="M58" s="341"/>
      <c r="N58" s="341"/>
      <c r="O58" s="342"/>
      <c r="P58" s="343"/>
      <c r="Q58" s="1"/>
      <c r="R58" s="1"/>
      <c r="S58" s="1"/>
      <c r="T58" s="1"/>
    </row>
    <row r="59" spans="1:13" s="3" customFormat="1" ht="15.75" customHeight="1">
      <c r="A59" s="172" t="s">
        <v>43</v>
      </c>
      <c r="B59" s="172"/>
      <c r="C59" s="98">
        <f>C60+C61</f>
        <v>51541821</v>
      </c>
      <c r="D59" s="92">
        <f>D60+D61</f>
        <v>18400216</v>
      </c>
      <c r="E59" s="99">
        <f>E60+E61</f>
        <v>0</v>
      </c>
      <c r="F59" s="23">
        <f t="shared" si="1"/>
        <v>0</v>
      </c>
      <c r="G59" s="169">
        <f>G60+G61</f>
        <v>0</v>
      </c>
      <c r="H59" s="170"/>
      <c r="I59" s="23">
        <f t="shared" si="0"/>
        <v>0</v>
      </c>
      <c r="J59" s="167">
        <f t="shared" si="2"/>
        <v>18400216</v>
      </c>
      <c r="K59" s="168"/>
      <c r="L59" s="168"/>
      <c r="M59" s="25"/>
    </row>
    <row r="60" spans="1:12" s="3" customFormat="1" ht="15.75" customHeight="1">
      <c r="A60" s="172" t="s">
        <v>115</v>
      </c>
      <c r="B60" s="172"/>
      <c r="C60" s="98">
        <v>51541821</v>
      </c>
      <c r="D60" s="92">
        <v>18400216</v>
      </c>
      <c r="E60" s="99">
        <f>G60</f>
        <v>0</v>
      </c>
      <c r="F60" s="23">
        <f t="shared" si="1"/>
        <v>0</v>
      </c>
      <c r="G60" s="169">
        <v>0</v>
      </c>
      <c r="H60" s="170"/>
      <c r="I60" s="23">
        <f t="shared" si="0"/>
        <v>0</v>
      </c>
      <c r="J60" s="167">
        <f t="shared" si="2"/>
        <v>18400216</v>
      </c>
      <c r="K60" s="168"/>
      <c r="L60" s="168"/>
    </row>
    <row r="61" spans="1:12" s="3" customFormat="1" ht="15.75" customHeight="1">
      <c r="A61" s="172" t="s">
        <v>116</v>
      </c>
      <c r="B61" s="172"/>
      <c r="C61" s="98">
        <v>0</v>
      </c>
      <c r="D61" s="92">
        <v>0</v>
      </c>
      <c r="E61" s="99">
        <f>G61</f>
        <v>0</v>
      </c>
      <c r="F61" s="23">
        <v>0</v>
      </c>
      <c r="G61" s="169">
        <v>0</v>
      </c>
      <c r="H61" s="170"/>
      <c r="I61" s="23">
        <v>0</v>
      </c>
      <c r="J61" s="167">
        <f t="shared" si="2"/>
        <v>0</v>
      </c>
      <c r="K61" s="168"/>
      <c r="L61" s="168"/>
    </row>
    <row r="62" spans="1:12" s="3" customFormat="1" ht="15.75" customHeight="1">
      <c r="A62" s="172" t="s">
        <v>44</v>
      </c>
      <c r="B62" s="172"/>
      <c r="C62" s="98">
        <f>C63+C64+C65</f>
        <v>5329791</v>
      </c>
      <c r="D62" s="92">
        <f>D63+D64+D65</f>
        <v>5329791</v>
      </c>
      <c r="E62" s="99">
        <f>E63+E64+E65</f>
        <v>662888.8900000001</v>
      </c>
      <c r="F62" s="23">
        <f t="shared" si="1"/>
        <v>12.437427471358635</v>
      </c>
      <c r="G62" s="169">
        <f>SUM(G63:H65)</f>
        <v>2985170.25</v>
      </c>
      <c r="H62" s="170"/>
      <c r="I62" s="23">
        <f t="shared" si="0"/>
        <v>56.00914276000692</v>
      </c>
      <c r="J62" s="167">
        <f t="shared" si="2"/>
        <v>2344620.75</v>
      </c>
      <c r="K62" s="168"/>
      <c r="L62" s="168"/>
    </row>
    <row r="63" spans="1:12" s="3" customFormat="1" ht="15.75" customHeight="1">
      <c r="A63" s="172" t="s">
        <v>45</v>
      </c>
      <c r="B63" s="172"/>
      <c r="C63" s="98">
        <v>740607</v>
      </c>
      <c r="D63" s="92">
        <v>740607</v>
      </c>
      <c r="E63" s="99">
        <f>G63-2322281.36</f>
        <v>662888.8900000001</v>
      </c>
      <c r="F63" s="23">
        <f t="shared" si="1"/>
        <v>89.50616048727599</v>
      </c>
      <c r="G63" s="169">
        <v>2985170.25</v>
      </c>
      <c r="H63" s="170"/>
      <c r="I63" s="23">
        <f t="shared" si="0"/>
        <v>403.07075817538856</v>
      </c>
      <c r="J63" s="167">
        <f t="shared" si="2"/>
        <v>-2244563.25</v>
      </c>
      <c r="K63" s="168"/>
      <c r="L63" s="168"/>
    </row>
    <row r="64" spans="1:12" s="3" customFormat="1" ht="15.75" customHeight="1">
      <c r="A64" s="172" t="s">
        <v>46</v>
      </c>
      <c r="B64" s="172"/>
      <c r="C64" s="98">
        <v>4589184</v>
      </c>
      <c r="D64" s="92">
        <v>4589184</v>
      </c>
      <c r="E64" s="99">
        <f>G64-0</f>
        <v>0</v>
      </c>
      <c r="F64" s="23">
        <f t="shared" si="1"/>
        <v>0</v>
      </c>
      <c r="G64" s="169">
        <v>0</v>
      </c>
      <c r="H64" s="170"/>
      <c r="I64" s="23">
        <f t="shared" si="0"/>
        <v>0</v>
      </c>
      <c r="J64" s="167">
        <f t="shared" si="2"/>
        <v>4589184</v>
      </c>
      <c r="K64" s="168"/>
      <c r="L64" s="168"/>
    </row>
    <row r="65" spans="1:12" s="3" customFormat="1" ht="15.75" customHeight="1">
      <c r="A65" s="172" t="s">
        <v>117</v>
      </c>
      <c r="B65" s="172"/>
      <c r="C65" s="98">
        <v>0</v>
      </c>
      <c r="D65" s="92">
        <v>0</v>
      </c>
      <c r="E65" s="99">
        <f>G65</f>
        <v>0</v>
      </c>
      <c r="F65" s="23">
        <v>0</v>
      </c>
      <c r="G65" s="169">
        <v>0</v>
      </c>
      <c r="H65" s="170"/>
      <c r="I65" s="23">
        <v>0</v>
      </c>
      <c r="J65" s="169">
        <f t="shared" si="2"/>
        <v>0</v>
      </c>
      <c r="K65" s="171"/>
      <c r="L65" s="171"/>
    </row>
    <row r="66" spans="1:12" s="3" customFormat="1" ht="15.75" customHeight="1">
      <c r="A66" s="172" t="s">
        <v>47</v>
      </c>
      <c r="B66" s="172"/>
      <c r="C66" s="161">
        <v>247875336</v>
      </c>
      <c r="D66" s="162">
        <v>250599880.75</v>
      </c>
      <c r="E66" s="99">
        <f>G66-36993318.23</f>
        <v>35678169.07</v>
      </c>
      <c r="F66" s="23">
        <f t="shared" si="1"/>
        <v>14.237105366220332</v>
      </c>
      <c r="G66" s="169">
        <v>72671487.3</v>
      </c>
      <c r="H66" s="170"/>
      <c r="I66" s="23">
        <f t="shared" si="0"/>
        <v>28.999011125826325</v>
      </c>
      <c r="J66" s="167">
        <f t="shared" si="2"/>
        <v>177928393.45</v>
      </c>
      <c r="K66" s="168"/>
      <c r="L66" s="168"/>
    </row>
    <row r="67" spans="1:12" s="3" customFormat="1" ht="15.75" customHeight="1">
      <c r="A67" s="172" t="s">
        <v>48</v>
      </c>
      <c r="B67" s="172"/>
      <c r="C67" s="98">
        <f>SUM(C68:C78)</f>
        <v>431186691</v>
      </c>
      <c r="D67" s="98">
        <f>SUM(D68:D78)</f>
        <v>431186691</v>
      </c>
      <c r="E67" s="99">
        <f>SUM(E68:E78)</f>
        <v>14582344.67</v>
      </c>
      <c r="F67" s="23">
        <f t="shared" si="1"/>
        <v>3.3819097329235515</v>
      </c>
      <c r="G67" s="169">
        <f>SUM(G68:H78)</f>
        <v>24644900.33</v>
      </c>
      <c r="H67" s="170">
        <f>SUM(H68:H77)</f>
        <v>0</v>
      </c>
      <c r="I67" s="23">
        <f t="shared" si="0"/>
        <v>5.715598566561508</v>
      </c>
      <c r="J67" s="167">
        <f t="shared" si="2"/>
        <v>406541790.67</v>
      </c>
      <c r="K67" s="168"/>
      <c r="L67" s="168"/>
    </row>
    <row r="68" spans="1:12" s="3" customFormat="1" ht="15.75" customHeight="1">
      <c r="A68" s="172" t="s">
        <v>96</v>
      </c>
      <c r="B68" s="172"/>
      <c r="C68" s="98">
        <v>426470155</v>
      </c>
      <c r="D68" s="92">
        <v>426470155</v>
      </c>
      <c r="E68" s="99">
        <f>G68-10062555.66</f>
        <v>13586722</v>
      </c>
      <c r="F68" s="23">
        <f t="shared" si="1"/>
        <v>3.1858552915619622</v>
      </c>
      <c r="G68" s="169">
        <v>23649277.66</v>
      </c>
      <c r="H68" s="170"/>
      <c r="I68" s="23">
        <f t="shared" si="0"/>
        <v>5.545353498417727</v>
      </c>
      <c r="J68" s="167">
        <f t="shared" si="2"/>
        <v>402820877.34</v>
      </c>
      <c r="K68" s="168"/>
      <c r="L68" s="168"/>
    </row>
    <row r="69" spans="1:12" s="3" customFormat="1" ht="15.75" customHeight="1">
      <c r="A69" s="172" t="s">
        <v>97</v>
      </c>
      <c r="B69" s="172"/>
      <c r="C69" s="98">
        <v>0</v>
      </c>
      <c r="D69" s="92">
        <v>0</v>
      </c>
      <c r="E69" s="99">
        <f>G69</f>
        <v>142892.83</v>
      </c>
      <c r="F69" s="23">
        <v>0</v>
      </c>
      <c r="G69" s="169">
        <v>142892.83</v>
      </c>
      <c r="H69" s="170"/>
      <c r="I69" s="23">
        <v>0</v>
      </c>
      <c r="J69" s="167">
        <f t="shared" si="2"/>
        <v>-142892.83</v>
      </c>
      <c r="K69" s="168"/>
      <c r="L69" s="168"/>
    </row>
    <row r="70" spans="1:12" s="3" customFormat="1" ht="15.75" customHeight="1">
      <c r="A70" s="172" t="s">
        <v>98</v>
      </c>
      <c r="B70" s="172"/>
      <c r="C70" s="98">
        <v>0</v>
      </c>
      <c r="D70" s="92">
        <v>0</v>
      </c>
      <c r="E70" s="99">
        <f>G70</f>
        <v>1770.48</v>
      </c>
      <c r="F70" s="23">
        <v>0</v>
      </c>
      <c r="G70" s="169">
        <v>1770.48</v>
      </c>
      <c r="H70" s="170"/>
      <c r="I70" s="23">
        <v>0</v>
      </c>
      <c r="J70" s="167">
        <f t="shared" si="2"/>
        <v>-1770.48</v>
      </c>
      <c r="K70" s="168"/>
      <c r="L70" s="168"/>
    </row>
    <row r="71" spans="1:12" s="3" customFormat="1" ht="15.75" customHeight="1">
      <c r="A71" s="172" t="s">
        <v>39</v>
      </c>
      <c r="B71" s="172"/>
      <c r="C71" s="98">
        <v>0</v>
      </c>
      <c r="D71" s="92">
        <v>0</v>
      </c>
      <c r="E71" s="102">
        <f>G71-0</f>
        <v>0</v>
      </c>
      <c r="F71" s="23">
        <v>0</v>
      </c>
      <c r="G71" s="169">
        <v>0</v>
      </c>
      <c r="H71" s="170"/>
      <c r="I71" s="23">
        <v>0</v>
      </c>
      <c r="J71" s="167">
        <f t="shared" si="2"/>
        <v>0</v>
      </c>
      <c r="K71" s="168"/>
      <c r="L71" s="168"/>
    </row>
    <row r="72" spans="1:12" s="3" customFormat="1" ht="15.75" customHeight="1">
      <c r="A72" s="172" t="s">
        <v>81</v>
      </c>
      <c r="B72" s="172"/>
      <c r="C72" s="98">
        <v>0</v>
      </c>
      <c r="D72" s="92">
        <v>0</v>
      </c>
      <c r="E72" s="99">
        <f>G72</f>
        <v>0</v>
      </c>
      <c r="F72" s="23">
        <v>0</v>
      </c>
      <c r="G72" s="169">
        <v>0</v>
      </c>
      <c r="H72" s="170"/>
      <c r="I72" s="23">
        <v>0</v>
      </c>
      <c r="J72" s="167">
        <f t="shared" si="2"/>
        <v>0</v>
      </c>
      <c r="K72" s="168"/>
      <c r="L72" s="168"/>
    </row>
    <row r="73" spans="1:12" s="3" customFormat="1" ht="15.75" customHeight="1">
      <c r="A73" s="172" t="s">
        <v>40</v>
      </c>
      <c r="B73" s="172"/>
      <c r="C73" s="98">
        <v>0</v>
      </c>
      <c r="D73" s="92">
        <v>0</v>
      </c>
      <c r="E73" s="99">
        <f>G73</f>
        <v>0</v>
      </c>
      <c r="F73" s="23">
        <v>0</v>
      </c>
      <c r="G73" s="169">
        <v>0</v>
      </c>
      <c r="H73" s="170"/>
      <c r="I73" s="23">
        <v>0</v>
      </c>
      <c r="J73" s="167">
        <f t="shared" si="2"/>
        <v>0</v>
      </c>
      <c r="K73" s="168"/>
      <c r="L73" s="168"/>
    </row>
    <row r="74" spans="1:16" s="3" customFormat="1" ht="15.75" customHeight="1">
      <c r="A74" s="166" t="s">
        <v>99</v>
      </c>
      <c r="B74" s="165"/>
      <c r="C74" s="98">
        <v>0</v>
      </c>
      <c r="D74" s="98">
        <v>0</v>
      </c>
      <c r="E74" s="99">
        <v>850959.36</v>
      </c>
      <c r="F74" s="23">
        <v>0</v>
      </c>
      <c r="G74" s="169">
        <v>850959.36</v>
      </c>
      <c r="H74" s="170"/>
      <c r="I74" s="23">
        <v>0</v>
      </c>
      <c r="J74" s="167">
        <f>D74-G74</f>
        <v>-850959.36</v>
      </c>
      <c r="K74" s="168"/>
      <c r="L74" s="168"/>
      <c r="M74" s="338"/>
      <c r="N74" s="338"/>
      <c r="O74" s="338"/>
      <c r="P74" s="338"/>
    </row>
    <row r="75" spans="1:16" s="3" customFormat="1" ht="15.75" customHeight="1">
      <c r="A75" s="318" t="s">
        <v>149</v>
      </c>
      <c r="B75" s="319"/>
      <c r="C75" s="98">
        <v>4716536</v>
      </c>
      <c r="D75" s="98">
        <v>4716536</v>
      </c>
      <c r="E75" s="99">
        <f>G75-0</f>
        <v>0</v>
      </c>
      <c r="F75" s="23">
        <v>0</v>
      </c>
      <c r="G75" s="169">
        <v>0</v>
      </c>
      <c r="H75" s="170"/>
      <c r="I75" s="23">
        <v>0</v>
      </c>
      <c r="J75" s="169">
        <f t="shared" si="2"/>
        <v>4716536</v>
      </c>
      <c r="K75" s="171"/>
      <c r="L75" s="171"/>
      <c r="M75" s="338"/>
      <c r="N75" s="338"/>
      <c r="O75" s="338"/>
      <c r="P75" s="338"/>
    </row>
    <row r="76" spans="1:16" s="3" customFormat="1" ht="15.75" customHeight="1" hidden="1">
      <c r="A76" s="172" t="s">
        <v>99</v>
      </c>
      <c r="B76" s="172"/>
      <c r="C76" s="144"/>
      <c r="D76" s="145"/>
      <c r="E76" s="146">
        <f>G76-0</f>
        <v>0</v>
      </c>
      <c r="F76" s="147" t="e">
        <f t="shared" si="1"/>
        <v>#DIV/0!</v>
      </c>
      <c r="G76" s="224"/>
      <c r="H76" s="315"/>
      <c r="I76" s="147" t="e">
        <f t="shared" si="0"/>
        <v>#DIV/0!</v>
      </c>
      <c r="J76" s="224">
        <f t="shared" si="2"/>
        <v>0</v>
      </c>
      <c r="K76" s="225"/>
      <c r="L76" s="225"/>
      <c r="M76" s="337" t="s">
        <v>150</v>
      </c>
      <c r="N76" s="337"/>
      <c r="O76" s="337"/>
      <c r="P76" s="337"/>
    </row>
    <row r="77" spans="1:17" s="3" customFormat="1" ht="15.75" customHeight="1" hidden="1">
      <c r="A77" s="172" t="s">
        <v>100</v>
      </c>
      <c r="B77" s="172"/>
      <c r="C77" s="144">
        <v>0</v>
      </c>
      <c r="D77" s="145">
        <v>0</v>
      </c>
      <c r="E77" s="146">
        <f>G77-0</f>
        <v>0</v>
      </c>
      <c r="F77" s="147" t="e">
        <f t="shared" si="1"/>
        <v>#DIV/0!</v>
      </c>
      <c r="G77" s="224">
        <v>0</v>
      </c>
      <c r="H77" s="315"/>
      <c r="I77" s="147" t="e">
        <f t="shared" si="0"/>
        <v>#DIV/0!</v>
      </c>
      <c r="J77" s="224">
        <f t="shared" si="2"/>
        <v>0</v>
      </c>
      <c r="K77" s="225"/>
      <c r="L77" s="225"/>
      <c r="M77" s="337"/>
      <c r="N77" s="337"/>
      <c r="O77" s="337"/>
      <c r="P77" s="337"/>
      <c r="Q77" s="143"/>
    </row>
    <row r="78" spans="1:17" s="3" customFormat="1" ht="15.75" customHeight="1" hidden="1">
      <c r="A78" s="172" t="s">
        <v>146</v>
      </c>
      <c r="B78" s="172"/>
      <c r="C78" s="144">
        <v>0</v>
      </c>
      <c r="D78" s="145">
        <v>0</v>
      </c>
      <c r="E78" s="146">
        <f>G78-0</f>
        <v>0</v>
      </c>
      <c r="F78" s="147" t="e">
        <f t="shared" si="1"/>
        <v>#DIV/0!</v>
      </c>
      <c r="G78" s="224"/>
      <c r="H78" s="315"/>
      <c r="I78" s="147" t="e">
        <f t="shared" si="0"/>
        <v>#DIV/0!</v>
      </c>
      <c r="J78" s="316">
        <f t="shared" si="2"/>
        <v>0</v>
      </c>
      <c r="K78" s="317"/>
      <c r="L78" s="317"/>
      <c r="M78" s="337"/>
      <c r="N78" s="337"/>
      <c r="O78" s="337"/>
      <c r="P78" s="337"/>
      <c r="Q78" s="143"/>
    </row>
    <row r="79" spans="1:17" s="3" customFormat="1" ht="15.75" customHeight="1">
      <c r="A79" s="181" t="s">
        <v>49</v>
      </c>
      <c r="B79" s="172"/>
      <c r="C79" s="98">
        <f>SUM(C80:C83)</f>
        <v>1727251610</v>
      </c>
      <c r="D79" s="92">
        <f>SUM(D80:D83)</f>
        <v>779239652.05</v>
      </c>
      <c r="E79" s="99">
        <f>SUM(E80:E83)</f>
        <v>0</v>
      </c>
      <c r="F79" s="23">
        <f t="shared" si="1"/>
        <v>0</v>
      </c>
      <c r="G79" s="169">
        <f>SUM(G80:H83)</f>
        <v>0</v>
      </c>
      <c r="H79" s="170">
        <f>SUM(H81:H83)</f>
        <v>0</v>
      </c>
      <c r="I79" s="23">
        <f t="shared" si="0"/>
        <v>0</v>
      </c>
      <c r="J79" s="167">
        <f t="shared" si="2"/>
        <v>779239652.05</v>
      </c>
      <c r="K79" s="168"/>
      <c r="L79" s="168"/>
      <c r="N79" s="143"/>
      <c r="O79" s="143"/>
      <c r="P79" s="143"/>
      <c r="Q79" s="143"/>
    </row>
    <row r="80" spans="1:17" s="3" customFormat="1" ht="15.75" customHeight="1">
      <c r="A80" s="172" t="s">
        <v>118</v>
      </c>
      <c r="B80" s="172"/>
      <c r="C80" s="98">
        <v>0</v>
      </c>
      <c r="D80" s="92">
        <v>0</v>
      </c>
      <c r="E80" s="99">
        <f>G80</f>
        <v>0</v>
      </c>
      <c r="F80" s="23">
        <v>0</v>
      </c>
      <c r="G80" s="169">
        <v>0</v>
      </c>
      <c r="H80" s="170"/>
      <c r="I80" s="23">
        <v>0</v>
      </c>
      <c r="J80" s="167">
        <f t="shared" si="2"/>
        <v>0</v>
      </c>
      <c r="K80" s="168"/>
      <c r="L80" s="168"/>
      <c r="N80" s="143"/>
      <c r="O80" s="143"/>
      <c r="P80" s="143"/>
      <c r="Q80" s="143"/>
    </row>
    <row r="81" spans="1:12" s="3" customFormat="1" ht="15.75" customHeight="1">
      <c r="A81" s="172" t="s">
        <v>119</v>
      </c>
      <c r="B81" s="172"/>
      <c r="C81" s="98">
        <v>0</v>
      </c>
      <c r="D81" s="92">
        <v>0</v>
      </c>
      <c r="E81" s="99">
        <f>G81</f>
        <v>0</v>
      </c>
      <c r="F81" s="23">
        <v>0</v>
      </c>
      <c r="G81" s="169">
        <v>0</v>
      </c>
      <c r="H81" s="170"/>
      <c r="I81" s="23">
        <v>0</v>
      </c>
      <c r="J81" s="167">
        <f t="shared" si="2"/>
        <v>0</v>
      </c>
      <c r="K81" s="168"/>
      <c r="L81" s="168"/>
    </row>
    <row r="82" spans="1:12" s="3" customFormat="1" ht="15.75" customHeight="1">
      <c r="A82" s="172" t="s">
        <v>120</v>
      </c>
      <c r="B82" s="172"/>
      <c r="C82" s="98">
        <v>0</v>
      </c>
      <c r="D82" s="92">
        <v>0</v>
      </c>
      <c r="E82" s="99">
        <f>G82</f>
        <v>0</v>
      </c>
      <c r="F82" s="23">
        <v>0</v>
      </c>
      <c r="G82" s="169">
        <v>0</v>
      </c>
      <c r="H82" s="170"/>
      <c r="I82" s="23">
        <v>0</v>
      </c>
      <c r="J82" s="167">
        <f t="shared" si="2"/>
        <v>0</v>
      </c>
      <c r="K82" s="168"/>
      <c r="L82" s="168"/>
    </row>
    <row r="83" spans="1:17" s="3" customFormat="1" ht="15.75" customHeight="1">
      <c r="A83" s="172" t="s">
        <v>121</v>
      </c>
      <c r="B83" s="172"/>
      <c r="C83" s="131">
        <v>1727251610</v>
      </c>
      <c r="D83" s="132">
        <v>779239652.05</v>
      </c>
      <c r="E83" s="102">
        <f>G83-0</f>
        <v>0</v>
      </c>
      <c r="F83" s="133">
        <f>(E83/D83)*100</f>
        <v>0</v>
      </c>
      <c r="G83" s="173"/>
      <c r="H83" s="314"/>
      <c r="I83" s="133">
        <f>(G83/D83)*100</f>
        <v>0</v>
      </c>
      <c r="J83" s="179">
        <f>D83-G83</f>
        <v>779239652.05</v>
      </c>
      <c r="K83" s="180"/>
      <c r="L83" s="180"/>
      <c r="N83" s="336"/>
      <c r="O83" s="336"/>
      <c r="P83" s="336"/>
      <c r="Q83" s="336"/>
    </row>
    <row r="84" spans="1:17" s="3" customFormat="1" ht="15.75" customHeight="1">
      <c r="A84" s="304" t="s">
        <v>50</v>
      </c>
      <c r="B84" s="301"/>
      <c r="C84" s="96">
        <f>C145</f>
        <v>7534120647</v>
      </c>
      <c r="D84" s="97">
        <f>D145</f>
        <v>7545956627.28</v>
      </c>
      <c r="E84" s="95">
        <f>E145</f>
        <v>1557718764.23</v>
      </c>
      <c r="F84" s="18">
        <f>(E84/D84)*100</f>
        <v>20.643091938781684</v>
      </c>
      <c r="G84" s="209">
        <f>G145</f>
        <v>2279432774.93</v>
      </c>
      <c r="H84" s="210"/>
      <c r="I84" s="18">
        <f>(G84/D84)*100</f>
        <v>30.2073400036443</v>
      </c>
      <c r="J84" s="231">
        <f>D84-G84</f>
        <v>5266523852.35</v>
      </c>
      <c r="K84" s="232"/>
      <c r="L84" s="232"/>
      <c r="N84" s="336"/>
      <c r="O84" s="336"/>
      <c r="P84" s="336"/>
      <c r="Q84" s="336"/>
    </row>
    <row r="85" spans="1:17" s="3" customFormat="1" ht="15.75" customHeight="1">
      <c r="A85" s="293" t="s">
        <v>27</v>
      </c>
      <c r="B85" s="305"/>
      <c r="C85" s="100">
        <f>C17+C84</f>
        <v>104612261145</v>
      </c>
      <c r="D85" s="101">
        <f>D17+D84</f>
        <v>105315064313.76</v>
      </c>
      <c r="E85" s="100">
        <f>E17+E84</f>
        <v>15022976814.609995</v>
      </c>
      <c r="F85" s="26">
        <f>(E85/D85)*100</f>
        <v>14.264793847395637</v>
      </c>
      <c r="G85" s="333">
        <f>G17+G84</f>
        <v>33012686999.550003</v>
      </c>
      <c r="H85" s="334"/>
      <c r="I85" s="26">
        <f>(G85/D85)*100</f>
        <v>31.346595299222273</v>
      </c>
      <c r="J85" s="267">
        <f>D85-G85</f>
        <v>72302377314.20999</v>
      </c>
      <c r="K85" s="306"/>
      <c r="L85" s="306"/>
      <c r="N85" s="336"/>
      <c r="O85" s="336"/>
      <c r="P85" s="336"/>
      <c r="Q85" s="336"/>
    </row>
    <row r="86" spans="1:12" s="3" customFormat="1" ht="15.75" customHeight="1">
      <c r="A86" s="311" t="s">
        <v>69</v>
      </c>
      <c r="B86" s="312"/>
      <c r="C86" s="27">
        <v>0</v>
      </c>
      <c r="D86" s="14">
        <v>0</v>
      </c>
      <c r="E86" s="15">
        <v>0</v>
      </c>
      <c r="F86" s="16">
        <v>0</v>
      </c>
      <c r="G86" s="302">
        <v>0</v>
      </c>
      <c r="H86" s="313"/>
      <c r="I86" s="16">
        <v>0</v>
      </c>
      <c r="J86" s="302">
        <v>0</v>
      </c>
      <c r="K86" s="303"/>
      <c r="L86" s="303"/>
    </row>
    <row r="87" spans="1:12" s="3" customFormat="1" ht="15.75" customHeight="1">
      <c r="A87" s="172" t="s">
        <v>122</v>
      </c>
      <c r="B87" s="301"/>
      <c r="C87" s="28">
        <v>0</v>
      </c>
      <c r="D87" s="21">
        <v>0</v>
      </c>
      <c r="E87" s="22">
        <v>0</v>
      </c>
      <c r="F87" s="23">
        <v>0</v>
      </c>
      <c r="G87" s="263">
        <v>0</v>
      </c>
      <c r="H87" s="299"/>
      <c r="I87" s="23">
        <v>0</v>
      </c>
      <c r="J87" s="263">
        <v>0</v>
      </c>
      <c r="K87" s="264"/>
      <c r="L87" s="264"/>
    </row>
    <row r="88" spans="1:14" s="3" customFormat="1" ht="15.75" customHeight="1">
      <c r="A88" s="172" t="s">
        <v>51</v>
      </c>
      <c r="B88" s="301"/>
      <c r="C88" s="28">
        <v>0</v>
      </c>
      <c r="D88" s="21">
        <v>0</v>
      </c>
      <c r="E88" s="22">
        <v>0</v>
      </c>
      <c r="F88" s="23">
        <v>0</v>
      </c>
      <c r="G88" s="263">
        <v>0</v>
      </c>
      <c r="H88" s="299"/>
      <c r="I88" s="23">
        <v>0</v>
      </c>
      <c r="J88" s="263">
        <v>0</v>
      </c>
      <c r="K88" s="264"/>
      <c r="L88" s="264"/>
      <c r="N88" s="44"/>
    </row>
    <row r="89" spans="1:12" s="3" customFormat="1" ht="15.75" customHeight="1">
      <c r="A89" s="300" t="s">
        <v>52</v>
      </c>
      <c r="B89" s="301"/>
      <c r="C89" s="28">
        <v>0</v>
      </c>
      <c r="D89" s="21">
        <v>0</v>
      </c>
      <c r="E89" s="22">
        <v>0</v>
      </c>
      <c r="F89" s="23">
        <v>0</v>
      </c>
      <c r="G89" s="263">
        <v>0</v>
      </c>
      <c r="H89" s="299"/>
      <c r="I89" s="23">
        <v>0</v>
      </c>
      <c r="J89" s="263">
        <v>0</v>
      </c>
      <c r="K89" s="264"/>
      <c r="L89" s="264"/>
    </row>
    <row r="90" spans="1:12" s="3" customFormat="1" ht="15.75" customHeight="1">
      <c r="A90" s="172" t="s">
        <v>123</v>
      </c>
      <c r="B90" s="301"/>
      <c r="C90" s="28">
        <v>0</v>
      </c>
      <c r="D90" s="21">
        <v>0</v>
      </c>
      <c r="E90" s="22">
        <v>0</v>
      </c>
      <c r="F90" s="23">
        <v>0</v>
      </c>
      <c r="G90" s="263">
        <v>0</v>
      </c>
      <c r="H90" s="299"/>
      <c r="I90" s="23">
        <v>0</v>
      </c>
      <c r="J90" s="263">
        <v>0</v>
      </c>
      <c r="K90" s="264"/>
      <c r="L90" s="264"/>
    </row>
    <row r="91" spans="1:12" s="3" customFormat="1" ht="15.75" customHeight="1">
      <c r="A91" s="172" t="s">
        <v>51</v>
      </c>
      <c r="B91" s="301"/>
      <c r="C91" s="28">
        <v>0</v>
      </c>
      <c r="D91" s="21">
        <v>0</v>
      </c>
      <c r="E91" s="22">
        <v>0</v>
      </c>
      <c r="F91" s="23">
        <v>0</v>
      </c>
      <c r="G91" s="263">
        <v>0</v>
      </c>
      <c r="H91" s="299"/>
      <c r="I91" s="23">
        <v>0</v>
      </c>
      <c r="J91" s="263">
        <v>0</v>
      </c>
      <c r="K91" s="264"/>
      <c r="L91" s="264"/>
    </row>
    <row r="92" spans="1:14" s="3" customFormat="1" ht="15.75" customHeight="1">
      <c r="A92" s="307" t="s">
        <v>52</v>
      </c>
      <c r="B92" s="308"/>
      <c r="C92" s="29">
        <v>0</v>
      </c>
      <c r="D92" s="30">
        <v>0</v>
      </c>
      <c r="E92" s="22">
        <v>0</v>
      </c>
      <c r="F92" s="31">
        <v>0</v>
      </c>
      <c r="G92" s="309">
        <v>0</v>
      </c>
      <c r="H92" s="310"/>
      <c r="I92" s="31">
        <v>0</v>
      </c>
      <c r="J92" s="263">
        <v>0</v>
      </c>
      <c r="K92" s="264"/>
      <c r="L92" s="264"/>
      <c r="N92" s="44"/>
    </row>
    <row r="93" spans="1:13" s="3" customFormat="1" ht="15.75" customHeight="1">
      <c r="A93" s="293" t="s">
        <v>131</v>
      </c>
      <c r="B93" s="305"/>
      <c r="C93" s="148">
        <f>C85+C86</f>
        <v>104612261145</v>
      </c>
      <c r="D93" s="101">
        <f>D85+D86</f>
        <v>105315064313.76</v>
      </c>
      <c r="E93" s="100">
        <f>E85+E86</f>
        <v>15022976814.609995</v>
      </c>
      <c r="F93" s="32">
        <f>(E93/D93)*100</f>
        <v>14.264793847395637</v>
      </c>
      <c r="G93" s="267">
        <f>G85+G86</f>
        <v>33012686999.550003</v>
      </c>
      <c r="H93" s="268">
        <f>H85+H86</f>
        <v>0</v>
      </c>
      <c r="I93" s="18">
        <f>(G93/D93)*100</f>
        <v>31.346595299222273</v>
      </c>
      <c r="J93" s="267">
        <f>D93-G93</f>
        <v>72302377314.20999</v>
      </c>
      <c r="K93" s="306">
        <f>K85+K86</f>
        <v>0</v>
      </c>
      <c r="L93" s="306">
        <f>L85+L86</f>
        <v>0</v>
      </c>
      <c r="M93" s="33"/>
    </row>
    <row r="94" spans="1:13" s="3" customFormat="1" ht="15.75" customHeight="1">
      <c r="A94" s="293" t="s">
        <v>132</v>
      </c>
      <c r="B94" s="294"/>
      <c r="C94" s="125"/>
      <c r="D94" s="125"/>
      <c r="E94" s="125"/>
      <c r="F94" s="125"/>
      <c r="G94" s="275">
        <v>0</v>
      </c>
      <c r="H94" s="276"/>
      <c r="I94" s="126"/>
      <c r="J94" s="260"/>
      <c r="K94" s="261"/>
      <c r="L94" s="261"/>
      <c r="M94" s="25"/>
    </row>
    <row r="95" spans="1:17" s="3" customFormat="1" ht="15.75" customHeight="1">
      <c r="A95" s="297" t="s">
        <v>133</v>
      </c>
      <c r="B95" s="298"/>
      <c r="C95" s="100">
        <f>C93+C94</f>
        <v>104612261145</v>
      </c>
      <c r="D95" s="101">
        <f>D93+D94</f>
        <v>105315064313.76</v>
      </c>
      <c r="E95" s="100">
        <f>E93+E94</f>
        <v>15022976814.609995</v>
      </c>
      <c r="F95" s="32">
        <f>(E95/D95)*100</f>
        <v>14.264793847395637</v>
      </c>
      <c r="G95" s="267">
        <f>G93+G94</f>
        <v>33012686999.550003</v>
      </c>
      <c r="H95" s="268"/>
      <c r="I95" s="26">
        <f>(G95/D95)*100</f>
        <v>31.346595299222273</v>
      </c>
      <c r="J95" s="260"/>
      <c r="K95" s="261"/>
      <c r="L95" s="261"/>
      <c r="N95" s="345"/>
      <c r="O95" s="345"/>
      <c r="P95" s="345"/>
      <c r="Q95" s="345"/>
    </row>
    <row r="96" spans="1:17" s="3" customFormat="1" ht="15.75" customHeight="1">
      <c r="A96" s="290" t="s">
        <v>134</v>
      </c>
      <c r="B96" s="290"/>
      <c r="C96" s="26">
        <f>SUM(C97:C98)</f>
        <v>0</v>
      </c>
      <c r="D96" s="26">
        <f>SUM(D97:D98)</f>
        <v>1996466185.78</v>
      </c>
      <c r="E96" s="125"/>
      <c r="F96" s="125"/>
      <c r="G96" s="295">
        <f>SUM(G97:H98)</f>
        <v>1996466185.78</v>
      </c>
      <c r="H96" s="296">
        <f>SUM(H97:H98)</f>
        <v>0</v>
      </c>
      <c r="I96" s="126"/>
      <c r="J96" s="260"/>
      <c r="K96" s="261"/>
      <c r="L96" s="261"/>
      <c r="M96" s="34"/>
      <c r="N96" s="345"/>
      <c r="O96" s="345"/>
      <c r="P96" s="345"/>
      <c r="Q96" s="345"/>
    </row>
    <row r="97" spans="1:17" s="3" customFormat="1" ht="15.75" customHeight="1">
      <c r="A97" s="291" t="s">
        <v>82</v>
      </c>
      <c r="B97" s="291"/>
      <c r="C97" s="103">
        <v>0</v>
      </c>
      <c r="D97" s="104">
        <f>G97</f>
        <v>0</v>
      </c>
      <c r="E97" s="125"/>
      <c r="F97" s="125"/>
      <c r="G97" s="260"/>
      <c r="H97" s="292"/>
      <c r="I97" s="126"/>
      <c r="J97" s="260"/>
      <c r="K97" s="261"/>
      <c r="L97" s="261"/>
      <c r="M97" s="34"/>
      <c r="N97" s="345"/>
      <c r="O97" s="345"/>
      <c r="P97" s="345"/>
      <c r="Q97" s="345"/>
    </row>
    <row r="98" spans="1:17" s="3" customFormat="1" ht="15.75" customHeight="1">
      <c r="A98" s="291" t="s">
        <v>124</v>
      </c>
      <c r="B98" s="291"/>
      <c r="C98" s="125"/>
      <c r="D98" s="104">
        <f>G98</f>
        <v>1996466185.78</v>
      </c>
      <c r="E98" s="125"/>
      <c r="F98" s="125"/>
      <c r="G98" s="288">
        <f>1996466185.78</f>
        <v>1996466185.78</v>
      </c>
      <c r="H98" s="289"/>
      <c r="I98" s="126"/>
      <c r="J98" s="260"/>
      <c r="K98" s="261"/>
      <c r="L98" s="261"/>
      <c r="M98" s="34"/>
      <c r="N98" s="345"/>
      <c r="O98" s="345"/>
      <c r="P98" s="345"/>
      <c r="Q98" s="345"/>
    </row>
    <row r="99" spans="1:17" ht="12.75" customHeight="1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45"/>
      <c r="O99" s="345"/>
      <c r="P99" s="345"/>
      <c r="Q99" s="345"/>
    </row>
    <row r="100" spans="1:12" s="3" customFormat="1" ht="17.25" customHeight="1">
      <c r="A100" s="200" t="s">
        <v>18</v>
      </c>
      <c r="B100" s="76" t="s">
        <v>15</v>
      </c>
      <c r="C100" s="76" t="s">
        <v>15</v>
      </c>
      <c r="D100" s="204" t="s">
        <v>16</v>
      </c>
      <c r="E100" s="205"/>
      <c r="F100" s="77" t="s">
        <v>66</v>
      </c>
      <c r="G100" s="204" t="s">
        <v>17</v>
      </c>
      <c r="H100" s="205"/>
      <c r="I100" s="206"/>
      <c r="J100" s="78" t="s">
        <v>66</v>
      </c>
      <c r="K100" s="183" t="s">
        <v>70</v>
      </c>
      <c r="L100" s="184"/>
    </row>
    <row r="101" spans="1:12" s="3" customFormat="1" ht="14.25" customHeight="1">
      <c r="A101" s="201"/>
      <c r="B101" s="79" t="s">
        <v>5</v>
      </c>
      <c r="C101" s="79" t="s">
        <v>6</v>
      </c>
      <c r="D101" s="80" t="s">
        <v>71</v>
      </c>
      <c r="E101" s="80" t="s">
        <v>72</v>
      </c>
      <c r="F101" s="81"/>
      <c r="G101" s="80" t="s">
        <v>71</v>
      </c>
      <c r="H101" s="187" t="s">
        <v>72</v>
      </c>
      <c r="I101" s="188"/>
      <c r="J101" s="82"/>
      <c r="K101" s="185"/>
      <c r="L101" s="186"/>
    </row>
    <row r="102" spans="1:12" s="3" customFormat="1" ht="14.25" customHeight="1">
      <c r="A102" s="201"/>
      <c r="B102" s="79"/>
      <c r="C102" s="79"/>
      <c r="D102" s="81" t="s">
        <v>73</v>
      </c>
      <c r="E102" s="81" t="s">
        <v>73</v>
      </c>
      <c r="F102" s="81"/>
      <c r="G102" s="81" t="s">
        <v>73</v>
      </c>
      <c r="H102" s="189" t="s">
        <v>73</v>
      </c>
      <c r="I102" s="190"/>
      <c r="J102" s="82"/>
      <c r="K102" s="185"/>
      <c r="L102" s="186"/>
    </row>
    <row r="103" spans="1:12" s="3" customFormat="1" ht="16.5" customHeight="1">
      <c r="A103" s="202"/>
      <c r="B103" s="83" t="s">
        <v>19</v>
      </c>
      <c r="C103" s="83" t="s">
        <v>20</v>
      </c>
      <c r="D103" s="83"/>
      <c r="E103" s="83" t="s">
        <v>74</v>
      </c>
      <c r="F103" s="84" t="s">
        <v>75</v>
      </c>
      <c r="G103" s="83"/>
      <c r="H103" s="217" t="s">
        <v>21</v>
      </c>
      <c r="I103" s="218"/>
      <c r="J103" s="85" t="s">
        <v>76</v>
      </c>
      <c r="K103" s="217" t="s">
        <v>22</v>
      </c>
      <c r="L103" s="219"/>
    </row>
    <row r="104" spans="1:13" s="3" customFormat="1" ht="15.75" customHeight="1">
      <c r="A104" s="151" t="s">
        <v>77</v>
      </c>
      <c r="B104" s="97">
        <f>B105+B111+B115</f>
        <v>103371342608</v>
      </c>
      <c r="C104" s="97">
        <f>C105+C111+C115</f>
        <v>104842535485.70999</v>
      </c>
      <c r="D104" s="97">
        <f>D105+D111+D115</f>
        <v>16259684884.299997</v>
      </c>
      <c r="E104" s="97">
        <f>E105+E111+E115</f>
        <v>33052824588.01</v>
      </c>
      <c r="F104" s="97">
        <f>C104-E104</f>
        <v>71789710897.7</v>
      </c>
      <c r="G104" s="105">
        <f>G105+G111+G115</f>
        <v>15067311384.569998</v>
      </c>
      <c r="H104" s="283">
        <f>H105+H111+H115</f>
        <v>27548730246.55</v>
      </c>
      <c r="I104" s="284"/>
      <c r="J104" s="94">
        <f aca="true" t="shared" si="3" ref="J104:J109">C104-H104</f>
        <v>77293805239.15999</v>
      </c>
      <c r="K104" s="285">
        <f>K105+K111+K115</f>
        <v>25019043374.46</v>
      </c>
      <c r="L104" s="277" t="e">
        <f>L105+L111+L115+#REF!</f>
        <v>#REF!</v>
      </c>
      <c r="M104" s="17"/>
    </row>
    <row r="105" spans="1:13" s="3" customFormat="1" ht="15.75" customHeight="1">
      <c r="A105" s="152" t="s">
        <v>53</v>
      </c>
      <c r="B105" s="97">
        <f>SUM(B106:B108)</f>
        <v>95918917840</v>
      </c>
      <c r="C105" s="97">
        <f>SUM(C106:C108)</f>
        <v>95997608130.12</v>
      </c>
      <c r="D105" s="97">
        <f>SUM(D106:D108)</f>
        <v>15125385154.149998</v>
      </c>
      <c r="E105" s="97">
        <f>SUM(E106:E108)</f>
        <v>31568642601.07</v>
      </c>
      <c r="F105" s="97">
        <f>C105-E105</f>
        <v>64428965529.049995</v>
      </c>
      <c r="G105" s="105">
        <f>SUM(G106:G108)</f>
        <v>14436720313.919998</v>
      </c>
      <c r="H105" s="214">
        <f>SUM(H106:H108)</f>
        <v>26832764408.01</v>
      </c>
      <c r="I105" s="215"/>
      <c r="J105" s="97">
        <f t="shared" si="3"/>
        <v>69164843722.11</v>
      </c>
      <c r="K105" s="286">
        <f>SUM(K106:K108)</f>
        <v>24346430239.54</v>
      </c>
      <c r="L105" s="287">
        <f>SUM(L106:L108)</f>
        <v>0</v>
      </c>
      <c r="M105" s="25"/>
    </row>
    <row r="106" spans="1:13" s="1" customFormat="1" ht="15.75" customHeight="1">
      <c r="A106" s="153" t="s">
        <v>54</v>
      </c>
      <c r="B106" s="92">
        <v>64181371669</v>
      </c>
      <c r="C106" s="92">
        <v>63820011501.17</v>
      </c>
      <c r="D106" s="92">
        <f>E106-10619446605.54</f>
        <v>9168376980.969997</v>
      </c>
      <c r="E106" s="92">
        <v>19787823586.51</v>
      </c>
      <c r="F106" s="92">
        <f>C106-E106</f>
        <v>44032187914.66</v>
      </c>
      <c r="G106" s="108">
        <f>H106-9029259124.08</f>
        <v>9249511767.929998</v>
      </c>
      <c r="H106" s="169">
        <v>18278770892.01</v>
      </c>
      <c r="I106" s="170"/>
      <c r="J106" s="92">
        <f>C106-H106</f>
        <v>45541240609.16</v>
      </c>
      <c r="K106" s="281">
        <v>16281400366.18</v>
      </c>
      <c r="L106" s="282"/>
      <c r="M106" s="42"/>
    </row>
    <row r="107" spans="1:13" s="3" customFormat="1" ht="15.75" customHeight="1">
      <c r="A107" s="153" t="s">
        <v>55</v>
      </c>
      <c r="B107" s="92">
        <v>3840906426</v>
      </c>
      <c r="C107" s="92">
        <v>3300990988</v>
      </c>
      <c r="D107" s="92">
        <f>E107-764526069.91</f>
        <v>971448547.11</v>
      </c>
      <c r="E107" s="92">
        <v>1735974617.02</v>
      </c>
      <c r="F107" s="92">
        <f aca="true" t="shared" si="4" ref="F107:F115">C107-E107</f>
        <v>1565016370.98</v>
      </c>
      <c r="G107" s="108">
        <f>H107-764525615.5</f>
        <v>971366590.8699999</v>
      </c>
      <c r="H107" s="169">
        <v>1735892206.37</v>
      </c>
      <c r="I107" s="170"/>
      <c r="J107" s="92">
        <f>C107-H107</f>
        <v>1565098781.63</v>
      </c>
      <c r="K107" s="281">
        <v>1735588261.79</v>
      </c>
      <c r="L107" s="282"/>
      <c r="M107" s="43"/>
    </row>
    <row r="108" spans="1:13" s="3" customFormat="1" ht="15.75" customHeight="1">
      <c r="A108" s="153" t="s">
        <v>56</v>
      </c>
      <c r="B108" s="92">
        <v>27896639745</v>
      </c>
      <c r="C108" s="92">
        <v>28876605640.95</v>
      </c>
      <c r="D108" s="92">
        <f>D109+D110</f>
        <v>4985559626.070001</v>
      </c>
      <c r="E108" s="92">
        <f>E109+E110</f>
        <v>10044844397.54</v>
      </c>
      <c r="F108" s="92">
        <f t="shared" si="4"/>
        <v>18831761243.41</v>
      </c>
      <c r="G108" s="108">
        <f>G109+G110</f>
        <v>4215841955.12</v>
      </c>
      <c r="H108" s="169">
        <f>H109+H110</f>
        <v>6818101309.63</v>
      </c>
      <c r="I108" s="170"/>
      <c r="J108" s="92">
        <f>C108-H108</f>
        <v>22058504331.32</v>
      </c>
      <c r="K108" s="281">
        <v>6329441611.57</v>
      </c>
      <c r="L108" s="282"/>
      <c r="M108" s="44"/>
    </row>
    <row r="109" spans="1:12" s="3" customFormat="1" ht="15.75" customHeight="1">
      <c r="A109" s="154" t="s">
        <v>135</v>
      </c>
      <c r="B109" s="92">
        <v>0</v>
      </c>
      <c r="C109" s="92">
        <v>0</v>
      </c>
      <c r="D109" s="92">
        <f>E109</f>
        <v>0</v>
      </c>
      <c r="E109" s="92">
        <v>0</v>
      </c>
      <c r="F109" s="92">
        <f t="shared" si="4"/>
        <v>0</v>
      </c>
      <c r="G109" s="108">
        <f>H109</f>
        <v>0</v>
      </c>
      <c r="H109" s="169">
        <v>0</v>
      </c>
      <c r="I109" s="170"/>
      <c r="J109" s="92">
        <f t="shared" si="3"/>
        <v>0</v>
      </c>
      <c r="K109" s="281">
        <v>0</v>
      </c>
      <c r="L109" s="282"/>
    </row>
    <row r="110" spans="1:12" s="3" customFormat="1" ht="15.75" customHeight="1">
      <c r="A110" s="154" t="s">
        <v>136</v>
      </c>
      <c r="B110" s="92">
        <v>27896639745</v>
      </c>
      <c r="C110" s="92">
        <v>28876605640.95</v>
      </c>
      <c r="D110" s="92">
        <f>E110-5059284771.47</f>
        <v>4985559626.070001</v>
      </c>
      <c r="E110" s="92">
        <v>10044844397.54</v>
      </c>
      <c r="F110" s="92">
        <f t="shared" si="4"/>
        <v>18831761243.41</v>
      </c>
      <c r="G110" s="108">
        <f>H110-2602259354.51</f>
        <v>4215841955.12</v>
      </c>
      <c r="H110" s="169">
        <v>6818101309.63</v>
      </c>
      <c r="I110" s="170"/>
      <c r="J110" s="92">
        <f aca="true" t="shared" si="5" ref="J110:J118">C110-H110</f>
        <v>22058504331.32</v>
      </c>
      <c r="K110" s="281">
        <v>6329441611.57</v>
      </c>
      <c r="L110" s="282"/>
    </row>
    <row r="111" spans="1:14" s="1" customFormat="1" ht="15.75">
      <c r="A111" s="152" t="s">
        <v>57</v>
      </c>
      <c r="B111" s="97">
        <f>SUM(B112:B114)</f>
        <v>6613754390</v>
      </c>
      <c r="C111" s="97">
        <f>SUM(C112:C114)</f>
        <v>8006256977.59</v>
      </c>
      <c r="D111" s="97">
        <f>SUM(D112:D114)</f>
        <v>1134299730.15</v>
      </c>
      <c r="E111" s="97">
        <f>SUM(E112:E114)</f>
        <v>1484181986.94</v>
      </c>
      <c r="F111" s="97">
        <f t="shared" si="4"/>
        <v>6522074990.65</v>
      </c>
      <c r="G111" s="105">
        <f>SUM(G112:G114)</f>
        <v>630591070.65</v>
      </c>
      <c r="H111" s="214">
        <f>SUM(H112:I114)</f>
        <v>715965838.54</v>
      </c>
      <c r="I111" s="215"/>
      <c r="J111" s="97">
        <f t="shared" si="5"/>
        <v>7290291139.05</v>
      </c>
      <c r="K111" s="258">
        <f>SUM(K112:K114)</f>
        <v>672613134.92</v>
      </c>
      <c r="L111" s="259"/>
      <c r="N111" s="42"/>
    </row>
    <row r="112" spans="1:14" s="3" customFormat="1" ht="15.75" customHeight="1">
      <c r="A112" s="153" t="s">
        <v>58</v>
      </c>
      <c r="B112" s="92">
        <v>6239873992</v>
      </c>
      <c r="C112" s="92">
        <v>6756491463.32</v>
      </c>
      <c r="D112" s="92">
        <f>E112-301109219.26</f>
        <v>1085190191.38</v>
      </c>
      <c r="E112" s="92">
        <v>1386299410.64</v>
      </c>
      <c r="F112" s="92">
        <f t="shared" si="4"/>
        <v>5370192052.679999</v>
      </c>
      <c r="G112" s="108">
        <f>H112-37345564.83</f>
        <v>581672316.76</v>
      </c>
      <c r="H112" s="169">
        <v>619017881.59</v>
      </c>
      <c r="I112" s="170"/>
      <c r="J112" s="92">
        <f t="shared" si="5"/>
        <v>6137473581.73</v>
      </c>
      <c r="K112" s="281">
        <v>575688010.73</v>
      </c>
      <c r="L112" s="282"/>
      <c r="N112" s="43"/>
    </row>
    <row r="113" spans="1:12" s="3" customFormat="1" ht="15.75" customHeight="1">
      <c r="A113" s="153" t="s">
        <v>59</v>
      </c>
      <c r="B113" s="92">
        <v>219714226</v>
      </c>
      <c r="C113" s="92">
        <v>227210664.1</v>
      </c>
      <c r="D113" s="92">
        <f>E113-863060</f>
        <v>837470</v>
      </c>
      <c r="E113" s="92">
        <v>1700530</v>
      </c>
      <c r="F113" s="92">
        <f t="shared" si="4"/>
        <v>225510134.1</v>
      </c>
      <c r="G113" s="108">
        <f>H113-172873.51</f>
        <v>752015.8</v>
      </c>
      <c r="H113" s="169">
        <v>924889.31</v>
      </c>
      <c r="I113" s="170"/>
      <c r="J113" s="92">
        <f t="shared" si="5"/>
        <v>226285774.79</v>
      </c>
      <c r="K113" s="281">
        <v>924889.31</v>
      </c>
      <c r="L113" s="282"/>
    </row>
    <row r="114" spans="1:14" s="3" customFormat="1" ht="15.75" customHeight="1">
      <c r="A114" s="153" t="s">
        <v>60</v>
      </c>
      <c r="B114" s="92">
        <v>154166172</v>
      </c>
      <c r="C114" s="92">
        <v>1022554850.17</v>
      </c>
      <c r="D114" s="92">
        <f>E114-47909977.53</f>
        <v>48272068.769999996</v>
      </c>
      <c r="E114" s="92">
        <v>96182046.3</v>
      </c>
      <c r="F114" s="92">
        <f>C114-E114</f>
        <v>926372803.87</v>
      </c>
      <c r="G114" s="120">
        <f>H114-47856329.55</f>
        <v>48166738.09</v>
      </c>
      <c r="H114" s="169">
        <v>96023067.64</v>
      </c>
      <c r="I114" s="170"/>
      <c r="J114" s="92">
        <f t="shared" si="5"/>
        <v>926531782.53</v>
      </c>
      <c r="K114" s="281">
        <v>96000234.88</v>
      </c>
      <c r="L114" s="282"/>
      <c r="N114" s="43"/>
    </row>
    <row r="115" spans="1:12" s="3" customFormat="1" ht="15.75" customHeight="1">
      <c r="A115" s="152" t="s">
        <v>61</v>
      </c>
      <c r="B115" s="105">
        <v>838670378</v>
      </c>
      <c r="C115" s="105">
        <v>838670378</v>
      </c>
      <c r="D115" s="127"/>
      <c r="E115" s="127"/>
      <c r="F115" s="105">
        <f t="shared" si="4"/>
        <v>838670378</v>
      </c>
      <c r="G115" s="127"/>
      <c r="H115" s="278"/>
      <c r="I115" s="279"/>
      <c r="J115" s="123">
        <f t="shared" si="5"/>
        <v>838670378</v>
      </c>
      <c r="K115" s="278"/>
      <c r="L115" s="280"/>
    </row>
    <row r="116" spans="1:12" s="3" customFormat="1" ht="15.75" customHeight="1">
      <c r="A116" s="152" t="s">
        <v>62</v>
      </c>
      <c r="B116" s="105">
        <f>B215</f>
        <v>7534120647</v>
      </c>
      <c r="C116" s="105">
        <f>C215</f>
        <v>8100654538.5</v>
      </c>
      <c r="D116" s="105">
        <f>D215</f>
        <v>1366195918.13</v>
      </c>
      <c r="E116" s="105">
        <f>E215</f>
        <v>2830165335.62</v>
      </c>
      <c r="F116" s="105">
        <f>C116-E116</f>
        <v>5270489202.88</v>
      </c>
      <c r="G116" s="105">
        <f>G215</f>
        <v>1326530108.7100003</v>
      </c>
      <c r="H116" s="214">
        <f>H215</f>
        <v>2400058569.7000003</v>
      </c>
      <c r="I116" s="215"/>
      <c r="J116" s="97">
        <f>C116-H116</f>
        <v>5700595968.799999</v>
      </c>
      <c r="K116" s="258">
        <f>K215</f>
        <v>2139006414.84</v>
      </c>
      <c r="L116" s="259"/>
    </row>
    <row r="117" spans="1:17" s="3" customFormat="1" ht="15.75" customHeight="1">
      <c r="A117" s="155" t="s">
        <v>28</v>
      </c>
      <c r="B117" s="106">
        <f>B104+B116</f>
        <v>110905463255</v>
      </c>
      <c r="C117" s="106">
        <f>C104+C116</f>
        <v>112943190024.20999</v>
      </c>
      <c r="D117" s="119">
        <f>D104+D116</f>
        <v>17625880802.429996</v>
      </c>
      <c r="E117" s="119">
        <f>E104+E116</f>
        <v>35882989923.63</v>
      </c>
      <c r="F117" s="106">
        <f>C117-E117</f>
        <v>77060200100.57999</v>
      </c>
      <c r="G117" s="106">
        <f>G104+G116</f>
        <v>16393841493.279999</v>
      </c>
      <c r="H117" s="267">
        <f>H104+H116</f>
        <v>29948788816.25</v>
      </c>
      <c r="I117" s="268" t="e">
        <f>I104+#REF!</f>
        <v>#REF!</v>
      </c>
      <c r="J117" s="94">
        <f t="shared" si="5"/>
        <v>82994401207.95999</v>
      </c>
      <c r="K117" s="269">
        <f>K104+K116</f>
        <v>27158049789.3</v>
      </c>
      <c r="L117" s="270" t="e">
        <f>L104+#REF!</f>
        <v>#REF!</v>
      </c>
      <c r="M117" s="45"/>
      <c r="N117" s="45"/>
      <c r="O117" s="45"/>
      <c r="P117" s="45"/>
      <c r="Q117" s="45"/>
    </row>
    <row r="118" spans="1:17" s="3" customFormat="1" ht="15.75" customHeight="1">
      <c r="A118" s="156" t="s">
        <v>78</v>
      </c>
      <c r="B118" s="107">
        <f>B119+B122</f>
        <v>2235146926</v>
      </c>
      <c r="C118" s="107">
        <f>C119+C122</f>
        <v>2235146926</v>
      </c>
      <c r="D118" s="117">
        <f>D119+D122</f>
        <v>462842847.46999997</v>
      </c>
      <c r="E118" s="107">
        <f>E119+E122</f>
        <v>809977037.14</v>
      </c>
      <c r="F118" s="107">
        <f aca="true" t="shared" si="6" ref="F118:F123">C118-E118</f>
        <v>1425169888.8600001</v>
      </c>
      <c r="G118" s="107">
        <f>G119+G122</f>
        <v>462842847.46999997</v>
      </c>
      <c r="H118" s="240">
        <f>H119+H122</f>
        <v>809977037.14</v>
      </c>
      <c r="I118" s="241">
        <f>I119+I122</f>
        <v>0</v>
      </c>
      <c r="J118" s="94">
        <f t="shared" si="5"/>
        <v>1425169888.8600001</v>
      </c>
      <c r="K118" s="277">
        <f>K119+K122</f>
        <v>809977037.14</v>
      </c>
      <c r="L118" s="277"/>
      <c r="M118" s="45"/>
      <c r="N118" s="45"/>
      <c r="O118" s="45"/>
      <c r="P118" s="45"/>
      <c r="Q118" s="45"/>
    </row>
    <row r="119" spans="1:17" s="3" customFormat="1" ht="15.75" customHeight="1">
      <c r="A119" s="154" t="s">
        <v>23</v>
      </c>
      <c r="B119" s="108">
        <f>B120+B121</f>
        <v>2235146926</v>
      </c>
      <c r="C119" s="108">
        <f>C120+C121</f>
        <v>2235146926</v>
      </c>
      <c r="D119" s="118">
        <f>D120+D121</f>
        <v>462842847.46999997</v>
      </c>
      <c r="E119" s="92">
        <f>E120+E121</f>
        <v>809977037.14</v>
      </c>
      <c r="F119" s="92">
        <f t="shared" si="6"/>
        <v>1425169888.8600001</v>
      </c>
      <c r="G119" s="108">
        <f>G120+G121</f>
        <v>462842847.46999997</v>
      </c>
      <c r="H119" s="167">
        <f>H120+H121</f>
        <v>809977037.14</v>
      </c>
      <c r="I119" s="168">
        <f>I120+I121</f>
        <v>0</v>
      </c>
      <c r="J119" s="92">
        <f aca="true" t="shared" si="7" ref="J119:J124">C119-H119</f>
        <v>1425169888.8600001</v>
      </c>
      <c r="K119" s="266">
        <f>K120+K121</f>
        <v>809977037.14</v>
      </c>
      <c r="L119" s="266"/>
      <c r="M119" s="45"/>
      <c r="N119" s="45"/>
      <c r="O119" s="45"/>
      <c r="P119" s="45"/>
      <c r="Q119" s="45"/>
    </row>
    <row r="120" spans="1:12" s="3" customFormat="1" ht="15.75" customHeight="1">
      <c r="A120" s="154" t="s">
        <v>24</v>
      </c>
      <c r="B120" s="108">
        <v>0</v>
      </c>
      <c r="C120" s="41">
        <v>0</v>
      </c>
      <c r="D120" s="118">
        <f>E120</f>
        <v>0</v>
      </c>
      <c r="E120" s="108">
        <v>0</v>
      </c>
      <c r="F120" s="92">
        <f t="shared" si="6"/>
        <v>0</v>
      </c>
      <c r="G120" s="108">
        <f>H120</f>
        <v>0</v>
      </c>
      <c r="H120" s="263">
        <v>0</v>
      </c>
      <c r="I120" s="264"/>
      <c r="J120" s="92">
        <f t="shared" si="7"/>
        <v>0</v>
      </c>
      <c r="K120" s="266">
        <v>0</v>
      </c>
      <c r="L120" s="266"/>
    </row>
    <row r="121" spans="1:12" s="3" customFormat="1" ht="15.75" customHeight="1">
      <c r="A121" s="154" t="s">
        <v>151</v>
      </c>
      <c r="B121" s="120">
        <v>2235146926</v>
      </c>
      <c r="C121" s="120">
        <v>2235146926</v>
      </c>
      <c r="D121" s="118">
        <f>E121-347134189.67</f>
        <v>462842847.46999997</v>
      </c>
      <c r="E121" s="92">
        <v>809977037.14</v>
      </c>
      <c r="F121" s="92">
        <f t="shared" si="6"/>
        <v>1425169888.8600001</v>
      </c>
      <c r="G121" s="121">
        <f>H121-347134189.67</f>
        <v>462842847.46999997</v>
      </c>
      <c r="H121" s="169">
        <v>809977037.14</v>
      </c>
      <c r="I121" s="171"/>
      <c r="J121" s="92">
        <f>C121-H121</f>
        <v>1425169888.8600001</v>
      </c>
      <c r="K121" s="266">
        <v>809977037.14</v>
      </c>
      <c r="L121" s="266"/>
    </row>
    <row r="122" spans="1:12" s="3" customFormat="1" ht="15.75" customHeight="1">
      <c r="A122" s="154" t="s">
        <v>25</v>
      </c>
      <c r="B122" s="108">
        <f>B123+B124</f>
        <v>0</v>
      </c>
      <c r="C122" s="41">
        <f>C123+C124</f>
        <v>0</v>
      </c>
      <c r="D122" s="21">
        <f>D123+D124</f>
        <v>0</v>
      </c>
      <c r="E122" s="108">
        <f>E123+E124</f>
        <v>0</v>
      </c>
      <c r="F122" s="92">
        <f t="shared" si="6"/>
        <v>0</v>
      </c>
      <c r="G122" s="108">
        <f>G123+G124</f>
        <v>0</v>
      </c>
      <c r="H122" s="263">
        <f>H123+H124</f>
        <v>0</v>
      </c>
      <c r="I122" s="264">
        <f>I123+I124</f>
        <v>0</v>
      </c>
      <c r="J122" s="92">
        <f t="shared" si="7"/>
        <v>0</v>
      </c>
      <c r="K122" s="266">
        <f>K123+K124</f>
        <v>0</v>
      </c>
      <c r="L122" s="266"/>
    </row>
    <row r="123" spans="1:12" s="3" customFormat="1" ht="15.75" customHeight="1">
      <c r="A123" s="154" t="s">
        <v>24</v>
      </c>
      <c r="B123" s="108">
        <v>0</v>
      </c>
      <c r="C123" s="41">
        <v>0</v>
      </c>
      <c r="D123" s="21">
        <f>E123-0</f>
        <v>0</v>
      </c>
      <c r="E123" s="108">
        <v>0</v>
      </c>
      <c r="F123" s="92">
        <f t="shared" si="6"/>
        <v>0</v>
      </c>
      <c r="G123" s="108">
        <f>H123-0</f>
        <v>0</v>
      </c>
      <c r="H123" s="263">
        <v>0</v>
      </c>
      <c r="I123" s="264"/>
      <c r="J123" s="92">
        <f t="shared" si="7"/>
        <v>0</v>
      </c>
      <c r="K123" s="266">
        <v>0</v>
      </c>
      <c r="L123" s="266"/>
    </row>
    <row r="124" spans="1:12" s="3" customFormat="1" ht="15.75" customHeight="1">
      <c r="A124" s="154" t="s">
        <v>151</v>
      </c>
      <c r="B124" s="109">
        <v>0</v>
      </c>
      <c r="C124" s="46">
        <v>0</v>
      </c>
      <c r="D124" s="30">
        <f>E124-0</f>
        <v>0</v>
      </c>
      <c r="E124" s="112">
        <v>0</v>
      </c>
      <c r="F124" s="112">
        <v>0</v>
      </c>
      <c r="G124" s="114">
        <f>H124-0</f>
        <v>0</v>
      </c>
      <c r="H124" s="273">
        <v>0</v>
      </c>
      <c r="I124" s="274"/>
      <c r="J124" s="112">
        <f t="shared" si="7"/>
        <v>0</v>
      </c>
      <c r="K124" s="272">
        <v>0</v>
      </c>
      <c r="L124" s="272"/>
    </row>
    <row r="125" spans="1:13" s="3" customFormat="1" ht="15.75" customHeight="1">
      <c r="A125" s="155" t="s">
        <v>137</v>
      </c>
      <c r="B125" s="101">
        <f aca="true" t="shared" si="8" ref="B125:L125">B117+B118</f>
        <v>113140610181</v>
      </c>
      <c r="C125" s="111">
        <f>C117+C118</f>
        <v>115178336950.20999</v>
      </c>
      <c r="D125" s="111">
        <f t="shared" si="8"/>
        <v>18088723649.899998</v>
      </c>
      <c r="E125" s="111">
        <f t="shared" si="8"/>
        <v>36692966960.77</v>
      </c>
      <c r="F125" s="111">
        <f>F117+F118</f>
        <v>78485369989.43999</v>
      </c>
      <c r="G125" s="111">
        <f t="shared" si="8"/>
        <v>16856684340.749998</v>
      </c>
      <c r="H125" s="267">
        <f t="shared" si="8"/>
        <v>30758765853.39</v>
      </c>
      <c r="I125" s="268" t="e">
        <f t="shared" si="8"/>
        <v>#REF!</v>
      </c>
      <c r="J125" s="113">
        <f t="shared" si="8"/>
        <v>84419571096.81999</v>
      </c>
      <c r="K125" s="269">
        <f t="shared" si="8"/>
        <v>27968026826.44</v>
      </c>
      <c r="L125" s="270" t="e">
        <f t="shared" si="8"/>
        <v>#REF!</v>
      </c>
      <c r="M125" s="47"/>
    </row>
    <row r="126" spans="1:13" s="3" customFormat="1" ht="15.75" customHeight="1">
      <c r="A126" s="155" t="s">
        <v>63</v>
      </c>
      <c r="B126" s="125"/>
      <c r="C126" s="125"/>
      <c r="D126" s="125"/>
      <c r="E126" s="119">
        <v>0</v>
      </c>
      <c r="F126" s="125"/>
      <c r="G126" s="125"/>
      <c r="H126" s="275">
        <f>G93-H125</f>
        <v>2253921146.1600037</v>
      </c>
      <c r="I126" s="276"/>
      <c r="J126" s="125"/>
      <c r="K126" s="269">
        <f>G93-K125</f>
        <v>5044660173.110004</v>
      </c>
      <c r="L126" s="270"/>
      <c r="M126" s="25"/>
    </row>
    <row r="127" spans="1:12" s="3" customFormat="1" ht="15.75" customHeight="1">
      <c r="A127" s="157" t="s">
        <v>138</v>
      </c>
      <c r="B127" s="110">
        <f aca="true" t="shared" si="9" ref="B127:H127">B125+B126</f>
        <v>113140610181</v>
      </c>
      <c r="C127" s="111">
        <f t="shared" si="9"/>
        <v>115178336950.20999</v>
      </c>
      <c r="D127" s="111">
        <f>D125+D126</f>
        <v>18088723649.899998</v>
      </c>
      <c r="E127" s="111">
        <f t="shared" si="9"/>
        <v>36692966960.77</v>
      </c>
      <c r="F127" s="125"/>
      <c r="G127" s="106">
        <f>G125+G126</f>
        <v>16856684340.749998</v>
      </c>
      <c r="H127" s="267">
        <f t="shared" si="9"/>
        <v>33012686999.550003</v>
      </c>
      <c r="I127" s="268"/>
      <c r="J127" s="125"/>
      <c r="K127" s="269">
        <f>K125+K126</f>
        <v>33012686999.550003</v>
      </c>
      <c r="L127" s="270"/>
    </row>
    <row r="128" spans="1:12" s="3" customFormat="1" ht="15.75" customHeight="1">
      <c r="A128" s="157" t="s">
        <v>80</v>
      </c>
      <c r="B128" s="129">
        <v>601711833</v>
      </c>
      <c r="C128" s="142">
        <v>601711833</v>
      </c>
      <c r="D128" s="125"/>
      <c r="E128" s="125"/>
      <c r="F128" s="124">
        <f>C128-E128</f>
        <v>601711833</v>
      </c>
      <c r="G128" s="125"/>
      <c r="H128" s="262"/>
      <c r="I128" s="262"/>
      <c r="J128" s="128">
        <f>C128-H128</f>
        <v>601711833</v>
      </c>
      <c r="K128" s="260"/>
      <c r="L128" s="261"/>
    </row>
    <row r="129" spans="1:13" ht="15.75">
      <c r="A129" s="48"/>
      <c r="B129" s="49"/>
      <c r="C129" s="49"/>
      <c r="D129" s="50"/>
      <c r="E129" s="50"/>
      <c r="F129" s="49"/>
      <c r="G129" s="50"/>
      <c r="H129" s="51"/>
      <c r="I129" s="51"/>
      <c r="J129" s="51"/>
      <c r="K129" s="51"/>
      <c r="L129" s="52" t="s">
        <v>89</v>
      </c>
      <c r="M129" s="140"/>
    </row>
    <row r="130" spans="1:12" ht="15">
      <c r="A130" s="48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</row>
    <row r="131" spans="1:13" ht="12.75">
      <c r="A131" s="35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2" ht="15.75">
      <c r="A132" s="35"/>
      <c r="B132" s="36"/>
      <c r="C132" s="36"/>
      <c r="D132" s="37"/>
      <c r="E132" s="37"/>
      <c r="F132" s="36"/>
      <c r="G132" s="38"/>
      <c r="H132" s="39"/>
      <c r="I132" s="39"/>
      <c r="J132" s="39"/>
      <c r="K132" s="39"/>
      <c r="L132" s="40"/>
    </row>
    <row r="133" spans="1:12" ht="15.75">
      <c r="A133" s="35"/>
      <c r="B133" s="36"/>
      <c r="C133" s="36"/>
      <c r="D133" s="37"/>
      <c r="E133" s="37"/>
      <c r="F133" s="36"/>
      <c r="G133" s="38"/>
      <c r="H133" s="39"/>
      <c r="I133" s="39"/>
      <c r="J133" s="39"/>
      <c r="K133" s="39"/>
      <c r="L133" s="52" t="s">
        <v>29</v>
      </c>
    </row>
    <row r="134" spans="1:12" ht="16.5">
      <c r="A134" s="212" t="str">
        <f>A6</f>
        <v>GOVERNO DO ESTADO DO RIO DE JANEIRO</v>
      </c>
      <c r="B134" s="212"/>
      <c r="C134" s="212"/>
      <c r="D134" s="212"/>
      <c r="E134" s="212"/>
      <c r="F134" s="212"/>
      <c r="G134" s="212"/>
      <c r="H134" s="212"/>
      <c r="I134" s="212"/>
      <c r="J134" s="212"/>
      <c r="K134" s="212"/>
      <c r="L134" s="212"/>
    </row>
    <row r="135" spans="1:12" ht="16.5">
      <c r="A135" s="213" t="str">
        <f>A7</f>
        <v>RELATÓRIO RESUMIDO DA EXECUÇÃO ORÇAMENTÁRIA</v>
      </c>
      <c r="B135" s="212"/>
      <c r="C135" s="212"/>
      <c r="D135" s="212"/>
      <c r="E135" s="212"/>
      <c r="F135" s="212"/>
      <c r="G135" s="212"/>
      <c r="H135" s="212"/>
      <c r="I135" s="212"/>
      <c r="J135" s="212"/>
      <c r="K135" s="212"/>
      <c r="L135" s="212"/>
    </row>
    <row r="136" spans="1:12" ht="16.5">
      <c r="A136" s="265" t="str">
        <f>A8</f>
        <v>BALANÇO ORÇAMENTÁRIO</v>
      </c>
      <c r="B136" s="265"/>
      <c r="C136" s="265"/>
      <c r="D136" s="265"/>
      <c r="E136" s="265"/>
      <c r="F136" s="265"/>
      <c r="G136" s="265"/>
      <c r="H136" s="265"/>
      <c r="I136" s="265"/>
      <c r="J136" s="265"/>
      <c r="K136" s="265"/>
      <c r="L136" s="265"/>
    </row>
    <row r="137" spans="1:12" ht="16.5">
      <c r="A137" s="212" t="str">
        <f>A9</f>
        <v>ORÇAMENTOS FISCAL E DA SEGURIDADE SOCIAL</v>
      </c>
      <c r="B137" s="212"/>
      <c r="C137" s="212"/>
      <c r="D137" s="212"/>
      <c r="E137" s="212"/>
      <c r="F137" s="212"/>
      <c r="G137" s="212"/>
      <c r="H137" s="212"/>
      <c r="I137" s="212"/>
      <c r="J137" s="212"/>
      <c r="K137" s="212"/>
      <c r="L137" s="212"/>
    </row>
    <row r="138" spans="1:12" ht="16.5">
      <c r="A138" s="213" t="str">
        <f>A10</f>
        <v>JANEIRO A ABRIL 2024/BIMESTRE MARÇO - ABRIL</v>
      </c>
      <c r="B138" s="212"/>
      <c r="C138" s="212"/>
      <c r="D138" s="212"/>
      <c r="E138" s="212"/>
      <c r="F138" s="212"/>
      <c r="G138" s="212"/>
      <c r="H138" s="212"/>
      <c r="I138" s="212"/>
      <c r="J138" s="212"/>
      <c r="K138" s="212"/>
      <c r="L138" s="212"/>
    </row>
    <row r="139" spans="1:13" ht="16.5">
      <c r="A139" s="53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</row>
    <row r="140" spans="1:12" ht="15.75">
      <c r="A140" s="54"/>
      <c r="B140" s="54"/>
      <c r="C140" s="74"/>
      <c r="D140" s="74"/>
      <c r="E140" s="74"/>
      <c r="F140" s="74"/>
      <c r="G140" s="74"/>
      <c r="H140" s="74"/>
      <c r="I140" s="74"/>
      <c r="J140" s="55"/>
      <c r="K140" s="55"/>
      <c r="L140" s="91" t="str">
        <f>L12</f>
        <v>Emissão: 22/05/2024</v>
      </c>
    </row>
    <row r="141" spans="1:12" ht="15.75">
      <c r="A141" s="56" t="str">
        <f>A13</f>
        <v>RREO - Anexo 1 (LRF, Art. 52, inciso I, alíneas "a" e "b" do inciso II e §1º)</v>
      </c>
      <c r="B141" s="57"/>
      <c r="C141" s="90"/>
      <c r="D141" s="90"/>
      <c r="E141" s="90"/>
      <c r="F141" s="90"/>
      <c r="G141" s="90"/>
      <c r="H141" s="90"/>
      <c r="I141" s="55"/>
      <c r="J141" s="58"/>
      <c r="K141" s="59"/>
      <c r="L141" s="58">
        <v>1</v>
      </c>
    </row>
    <row r="142" spans="1:12" ht="15.75">
      <c r="A142" s="252" t="s">
        <v>155</v>
      </c>
      <c r="B142" s="253"/>
      <c r="C142" s="242" t="s">
        <v>65</v>
      </c>
      <c r="D142" s="70" t="s">
        <v>79</v>
      </c>
      <c r="E142" s="245" t="s">
        <v>3</v>
      </c>
      <c r="F142" s="246"/>
      <c r="G142" s="246"/>
      <c r="H142" s="246"/>
      <c r="I142" s="247"/>
      <c r="J142" s="248" t="s">
        <v>66</v>
      </c>
      <c r="K142" s="271"/>
      <c r="L142" s="271"/>
    </row>
    <row r="143" spans="1:12" ht="15.75">
      <c r="A143" s="254"/>
      <c r="B143" s="255"/>
      <c r="C143" s="243"/>
      <c r="D143" s="71" t="s">
        <v>6</v>
      </c>
      <c r="E143" s="70" t="s">
        <v>7</v>
      </c>
      <c r="F143" s="72" t="s">
        <v>8</v>
      </c>
      <c r="G143" s="248" t="s">
        <v>9</v>
      </c>
      <c r="H143" s="249"/>
      <c r="I143" s="72" t="s">
        <v>8</v>
      </c>
      <c r="J143" s="250"/>
      <c r="K143" s="251"/>
      <c r="L143" s="251"/>
    </row>
    <row r="144" spans="1:12" ht="15.75">
      <c r="A144" s="256"/>
      <c r="B144" s="257"/>
      <c r="C144" s="244"/>
      <c r="D144" s="73" t="s">
        <v>10</v>
      </c>
      <c r="E144" s="73" t="s">
        <v>11</v>
      </c>
      <c r="F144" s="73" t="s">
        <v>12</v>
      </c>
      <c r="G144" s="233" t="s">
        <v>67</v>
      </c>
      <c r="H144" s="234"/>
      <c r="I144" s="73" t="s">
        <v>13</v>
      </c>
      <c r="J144" s="233" t="s">
        <v>14</v>
      </c>
      <c r="K144" s="235"/>
      <c r="L144" s="235"/>
    </row>
    <row r="145" spans="1:12" ht="15.75">
      <c r="A145" s="236" t="s">
        <v>50</v>
      </c>
      <c r="B145" s="237"/>
      <c r="C145" s="93">
        <f>C146+C186</f>
        <v>7534120647</v>
      </c>
      <c r="D145" s="94">
        <f>D146+D186</f>
        <v>7545956627.28</v>
      </c>
      <c r="E145" s="95">
        <f>E146+E186</f>
        <v>1557718764.23</v>
      </c>
      <c r="F145" s="16">
        <f aca="true" t="shared" si="10" ref="F145:F151">(E145/D145)*100</f>
        <v>20.643091938781684</v>
      </c>
      <c r="G145" s="238">
        <f>G146+G186</f>
        <v>2279432774.93</v>
      </c>
      <c r="H145" s="239"/>
      <c r="I145" s="16">
        <f>(G145/D145)*100</f>
        <v>30.2073400036443</v>
      </c>
      <c r="J145" s="240">
        <f aca="true" t="shared" si="11" ref="J145:J160">D145-G145</f>
        <v>5266523852.35</v>
      </c>
      <c r="K145" s="241"/>
      <c r="L145" s="241"/>
    </row>
    <row r="146" spans="1:12" ht="15.75">
      <c r="A146" s="203" t="s">
        <v>30</v>
      </c>
      <c r="B146" s="203"/>
      <c r="C146" s="96">
        <f>C147+C151+C156+C164+C165+C166+C172+C180</f>
        <v>7534120647</v>
      </c>
      <c r="D146" s="97">
        <f>D147+D151+D156+D164+D165+D166+D172+D180</f>
        <v>7545935156.29</v>
      </c>
      <c r="E146" s="95">
        <f>E147+E151+E156+E164+E165+E166+E172+E180</f>
        <v>1557698663.99</v>
      </c>
      <c r="F146" s="18">
        <f t="shared" si="10"/>
        <v>20.642884304294114</v>
      </c>
      <c r="G146" s="229">
        <f>G147+G151+G156+G164+G165+G166+G172+G180</f>
        <v>2279399803.79</v>
      </c>
      <c r="H146" s="230"/>
      <c r="I146" s="18">
        <f>(G146/D146)*100</f>
        <v>30.20698901566866</v>
      </c>
      <c r="J146" s="231">
        <f t="shared" si="11"/>
        <v>5266535352.5</v>
      </c>
      <c r="K146" s="232"/>
      <c r="L146" s="232"/>
    </row>
    <row r="147" spans="1:12" ht="15.75">
      <c r="A147" s="172" t="s">
        <v>126</v>
      </c>
      <c r="B147" s="172"/>
      <c r="C147" s="98">
        <f>C148+C149+C150</f>
        <v>0</v>
      </c>
      <c r="D147" s="92">
        <f>D148+D149+D150</f>
        <v>0</v>
      </c>
      <c r="E147" s="99">
        <f>E148+E149+E150</f>
        <v>0</v>
      </c>
      <c r="F147" s="23">
        <v>0</v>
      </c>
      <c r="G147" s="222">
        <f>G148+G149+G150</f>
        <v>0</v>
      </c>
      <c r="H147" s="223" t="e">
        <f>H148+H149+#REF!</f>
        <v>#REF!</v>
      </c>
      <c r="I147" s="23">
        <v>0</v>
      </c>
      <c r="J147" s="167">
        <f t="shared" si="11"/>
        <v>0</v>
      </c>
      <c r="K147" s="168"/>
      <c r="L147" s="168"/>
    </row>
    <row r="148" spans="1:12" ht="15.75">
      <c r="A148" s="172" t="s">
        <v>31</v>
      </c>
      <c r="B148" s="172"/>
      <c r="C148" s="98">
        <v>0</v>
      </c>
      <c r="D148" s="92">
        <v>0</v>
      </c>
      <c r="E148" s="99">
        <f>G148</f>
        <v>0</v>
      </c>
      <c r="F148" s="23">
        <v>0</v>
      </c>
      <c r="G148" s="193">
        <v>0</v>
      </c>
      <c r="H148" s="194"/>
      <c r="I148" s="23">
        <v>0</v>
      </c>
      <c r="J148" s="167">
        <f t="shared" si="11"/>
        <v>0</v>
      </c>
      <c r="K148" s="168"/>
      <c r="L148" s="168"/>
    </row>
    <row r="149" spans="1:12" ht="15.75">
      <c r="A149" s="172" t="s">
        <v>32</v>
      </c>
      <c r="B149" s="172"/>
      <c r="C149" s="98">
        <v>0</v>
      </c>
      <c r="D149" s="92">
        <v>0</v>
      </c>
      <c r="E149" s="99">
        <f>G149</f>
        <v>0</v>
      </c>
      <c r="F149" s="23">
        <v>0</v>
      </c>
      <c r="G149" s="193">
        <v>0</v>
      </c>
      <c r="H149" s="194"/>
      <c r="I149" s="23">
        <v>0</v>
      </c>
      <c r="J149" s="167">
        <f t="shared" si="11"/>
        <v>0</v>
      </c>
      <c r="K149" s="168"/>
      <c r="L149" s="168"/>
    </row>
    <row r="150" spans="1:12" ht="15.75">
      <c r="A150" s="228" t="s">
        <v>127</v>
      </c>
      <c r="B150" s="228"/>
      <c r="C150" s="98">
        <v>0</v>
      </c>
      <c r="D150" s="92">
        <v>0</v>
      </c>
      <c r="E150" s="99">
        <f>G150</f>
        <v>0</v>
      </c>
      <c r="F150" s="23">
        <v>0</v>
      </c>
      <c r="G150" s="193">
        <v>0</v>
      </c>
      <c r="H150" s="194"/>
      <c r="I150" s="23">
        <v>0</v>
      </c>
      <c r="J150" s="167">
        <f>D150-G150</f>
        <v>0</v>
      </c>
      <c r="K150" s="168"/>
      <c r="L150" s="168"/>
    </row>
    <row r="151" spans="1:12" ht="15.75">
      <c r="A151" s="172" t="s">
        <v>130</v>
      </c>
      <c r="B151" s="172"/>
      <c r="C151" s="98">
        <f>C153+C152+C154+C155</f>
        <v>4462208422</v>
      </c>
      <c r="D151" s="92">
        <f>D153+D152+D154+D155</f>
        <v>4462208422</v>
      </c>
      <c r="E151" s="99">
        <f>E153+E152+E154+E155</f>
        <v>576352180.25</v>
      </c>
      <c r="F151" s="23">
        <f t="shared" si="10"/>
        <v>12.916298965517035</v>
      </c>
      <c r="G151" s="222">
        <f>G152+G153+G154+G155</f>
        <v>945445110.65</v>
      </c>
      <c r="H151" s="223"/>
      <c r="I151" s="23">
        <f>(G151/D151)*100</f>
        <v>21.187829461050665</v>
      </c>
      <c r="J151" s="167">
        <f t="shared" si="11"/>
        <v>3516763311.35</v>
      </c>
      <c r="K151" s="168"/>
      <c r="L151" s="168"/>
    </row>
    <row r="152" spans="1:12" ht="15.75">
      <c r="A152" s="172" t="s">
        <v>33</v>
      </c>
      <c r="B152" s="172"/>
      <c r="C152" s="149">
        <v>4462208422</v>
      </c>
      <c r="D152" s="150">
        <v>4462208422</v>
      </c>
      <c r="E152" s="99">
        <f>G152-369092930.4</f>
        <v>576352180.25</v>
      </c>
      <c r="F152" s="23">
        <f aca="true" t="shared" si="12" ref="F152:F157">(E152/D152)*100</f>
        <v>12.916298965517035</v>
      </c>
      <c r="G152" s="193">
        <v>945445110.65</v>
      </c>
      <c r="H152" s="194"/>
      <c r="I152" s="23">
        <f>(G152/D152)*100</f>
        <v>21.187829461050665</v>
      </c>
      <c r="J152" s="167">
        <f t="shared" si="11"/>
        <v>3516763311.35</v>
      </c>
      <c r="K152" s="168"/>
      <c r="L152" s="168"/>
    </row>
    <row r="153" spans="1:12" ht="15.75">
      <c r="A153" s="172" t="s">
        <v>88</v>
      </c>
      <c r="B153" s="172"/>
      <c r="C153" s="98">
        <v>0</v>
      </c>
      <c r="D153" s="92">
        <v>0</v>
      </c>
      <c r="E153" s="99">
        <f>G153</f>
        <v>0</v>
      </c>
      <c r="F153" s="23">
        <v>0</v>
      </c>
      <c r="G153" s="193">
        <v>0</v>
      </c>
      <c r="H153" s="194"/>
      <c r="I153" s="23">
        <v>0</v>
      </c>
      <c r="J153" s="167">
        <f t="shared" si="11"/>
        <v>0</v>
      </c>
      <c r="K153" s="168"/>
      <c r="L153" s="168"/>
    </row>
    <row r="154" spans="1:12" ht="15.75">
      <c r="A154" s="172" t="s">
        <v>106</v>
      </c>
      <c r="B154" s="172"/>
      <c r="C154" s="98">
        <v>0</v>
      </c>
      <c r="D154" s="92">
        <v>0</v>
      </c>
      <c r="E154" s="99">
        <f>G154</f>
        <v>0</v>
      </c>
      <c r="F154" s="23">
        <v>0</v>
      </c>
      <c r="G154" s="193">
        <v>0</v>
      </c>
      <c r="H154" s="194"/>
      <c r="I154" s="23">
        <v>0</v>
      </c>
      <c r="J154" s="169">
        <f t="shared" si="11"/>
        <v>0</v>
      </c>
      <c r="K154" s="171"/>
      <c r="L154" s="171"/>
    </row>
    <row r="155" spans="1:12" ht="15.75">
      <c r="A155" s="172" t="s">
        <v>107</v>
      </c>
      <c r="B155" s="172"/>
      <c r="C155" s="98">
        <v>0</v>
      </c>
      <c r="D155" s="92">
        <v>0</v>
      </c>
      <c r="E155" s="99">
        <f>G155</f>
        <v>0</v>
      </c>
      <c r="F155" s="23">
        <v>0</v>
      </c>
      <c r="G155" s="193">
        <v>0</v>
      </c>
      <c r="H155" s="194"/>
      <c r="I155" s="23">
        <v>0</v>
      </c>
      <c r="J155" s="169">
        <f t="shared" si="11"/>
        <v>0</v>
      </c>
      <c r="K155" s="171"/>
      <c r="L155" s="171"/>
    </row>
    <row r="156" spans="1:12" ht="15.75">
      <c r="A156" s="172" t="s">
        <v>34</v>
      </c>
      <c r="B156" s="172"/>
      <c r="C156" s="98">
        <f>SUM(C157:C163)</f>
        <v>17235462</v>
      </c>
      <c r="D156" s="92">
        <f>SUM(D157:D163)</f>
        <v>17235462</v>
      </c>
      <c r="E156" s="99">
        <f>SUM(E157:E163)</f>
        <v>2924633.3899999997</v>
      </c>
      <c r="F156" s="23">
        <f t="shared" si="12"/>
        <v>16.968697386817944</v>
      </c>
      <c r="G156" s="222">
        <f>SUM(G157:H163)</f>
        <v>4124490.51</v>
      </c>
      <c r="H156" s="223">
        <f>SUM(H157:H163)</f>
        <v>0</v>
      </c>
      <c r="I156" s="23">
        <f>(G156/D156)*100</f>
        <v>23.93025791823857</v>
      </c>
      <c r="J156" s="167">
        <f t="shared" si="11"/>
        <v>13110971.49</v>
      </c>
      <c r="K156" s="168"/>
      <c r="L156" s="168"/>
    </row>
    <row r="157" spans="1:12" ht="15.75">
      <c r="A157" s="172" t="s">
        <v>108</v>
      </c>
      <c r="B157" s="172"/>
      <c r="C157" s="149">
        <v>17235462</v>
      </c>
      <c r="D157" s="150">
        <v>17235462</v>
      </c>
      <c r="E157" s="99">
        <f>G157-1199857.12</f>
        <v>2924633.3899999997</v>
      </c>
      <c r="F157" s="23">
        <f t="shared" si="12"/>
        <v>16.968697386817944</v>
      </c>
      <c r="G157" s="193">
        <v>4124490.51</v>
      </c>
      <c r="H157" s="194"/>
      <c r="I157" s="23">
        <f>(G157/D157)*100</f>
        <v>23.93025791823857</v>
      </c>
      <c r="J157" s="167">
        <f t="shared" si="11"/>
        <v>13110971.49</v>
      </c>
      <c r="K157" s="168"/>
      <c r="L157" s="168"/>
    </row>
    <row r="158" spans="1:12" ht="15.75">
      <c r="A158" s="172" t="s">
        <v>109</v>
      </c>
      <c r="B158" s="172"/>
      <c r="C158" s="98">
        <v>0</v>
      </c>
      <c r="D158" s="92">
        <v>0</v>
      </c>
      <c r="E158" s="99">
        <f aca="true" t="shared" si="13" ref="E158:E165">G158</f>
        <v>0</v>
      </c>
      <c r="F158" s="23">
        <v>0</v>
      </c>
      <c r="G158" s="193">
        <v>0</v>
      </c>
      <c r="H158" s="194"/>
      <c r="I158" s="23">
        <v>0</v>
      </c>
      <c r="J158" s="167">
        <f t="shared" si="11"/>
        <v>0</v>
      </c>
      <c r="K158" s="168"/>
      <c r="L158" s="168"/>
    </row>
    <row r="159" spans="1:12" ht="15.75">
      <c r="A159" s="172" t="s">
        <v>112</v>
      </c>
      <c r="B159" s="172"/>
      <c r="C159" s="98">
        <v>0</v>
      </c>
      <c r="D159" s="92">
        <v>0</v>
      </c>
      <c r="E159" s="99">
        <f t="shared" si="13"/>
        <v>0</v>
      </c>
      <c r="F159" s="23">
        <v>0</v>
      </c>
      <c r="G159" s="193">
        <v>0</v>
      </c>
      <c r="H159" s="194"/>
      <c r="I159" s="23">
        <v>0</v>
      </c>
      <c r="J159" s="167">
        <f t="shared" si="11"/>
        <v>0</v>
      </c>
      <c r="K159" s="168"/>
      <c r="L159" s="168"/>
    </row>
    <row r="160" spans="1:12" ht="15.75">
      <c r="A160" s="172" t="s">
        <v>110</v>
      </c>
      <c r="B160" s="172"/>
      <c r="C160" s="98">
        <v>0</v>
      </c>
      <c r="D160" s="92">
        <v>0</v>
      </c>
      <c r="E160" s="99">
        <f>G160-0</f>
        <v>0</v>
      </c>
      <c r="F160" s="23">
        <v>0</v>
      </c>
      <c r="G160" s="193">
        <v>0</v>
      </c>
      <c r="H160" s="194"/>
      <c r="I160" s="23">
        <v>0</v>
      </c>
      <c r="J160" s="167">
        <f t="shared" si="11"/>
        <v>0</v>
      </c>
      <c r="K160" s="168"/>
      <c r="L160" s="168"/>
    </row>
    <row r="161" spans="1:12" ht="15" customHeight="1">
      <c r="A161" s="172" t="s">
        <v>111</v>
      </c>
      <c r="B161" s="172"/>
      <c r="C161" s="98">
        <v>0</v>
      </c>
      <c r="D161" s="92">
        <v>0</v>
      </c>
      <c r="E161" s="99">
        <f t="shared" si="13"/>
        <v>0</v>
      </c>
      <c r="F161" s="23">
        <v>0</v>
      </c>
      <c r="G161" s="193">
        <v>0</v>
      </c>
      <c r="H161" s="194"/>
      <c r="I161" s="23">
        <v>0</v>
      </c>
      <c r="J161" s="167">
        <f aca="true" t="shared" si="14" ref="J161:J179">D161-G161</f>
        <v>0</v>
      </c>
      <c r="K161" s="168"/>
      <c r="L161" s="168"/>
    </row>
    <row r="162" spans="1:18" ht="15.75">
      <c r="A162" s="172" t="s">
        <v>114</v>
      </c>
      <c r="B162" s="172"/>
      <c r="C162" s="98">
        <v>0</v>
      </c>
      <c r="D162" s="92">
        <v>0</v>
      </c>
      <c r="E162" s="99">
        <f t="shared" si="13"/>
        <v>0</v>
      </c>
      <c r="F162" s="23">
        <v>0</v>
      </c>
      <c r="G162" s="193">
        <v>0</v>
      </c>
      <c r="H162" s="194"/>
      <c r="I162" s="23">
        <v>0</v>
      </c>
      <c r="J162" s="167">
        <f t="shared" si="14"/>
        <v>0</v>
      </c>
      <c r="K162" s="168"/>
      <c r="L162" s="168"/>
      <c r="N162"/>
      <c r="O162"/>
      <c r="P162"/>
      <c r="Q162"/>
      <c r="R162"/>
    </row>
    <row r="163" spans="1:18" ht="15.75" customHeight="1">
      <c r="A163" s="172" t="s">
        <v>113</v>
      </c>
      <c r="B163" s="172"/>
      <c r="C163" s="98">
        <v>0</v>
      </c>
      <c r="D163" s="92">
        <v>0</v>
      </c>
      <c r="E163" s="99">
        <f>G163-0</f>
        <v>0</v>
      </c>
      <c r="F163" s="23">
        <v>0</v>
      </c>
      <c r="G163" s="193">
        <v>0</v>
      </c>
      <c r="H163" s="194"/>
      <c r="I163" s="23">
        <v>0</v>
      </c>
      <c r="J163" s="167">
        <f t="shared" si="14"/>
        <v>0</v>
      </c>
      <c r="K163" s="168"/>
      <c r="L163" s="168"/>
      <c r="N163"/>
      <c r="O163"/>
      <c r="P163"/>
      <c r="Q163"/>
      <c r="R163"/>
    </row>
    <row r="164" spans="1:18" ht="15.75">
      <c r="A164" s="172" t="s">
        <v>35</v>
      </c>
      <c r="B164" s="172"/>
      <c r="C164" s="98">
        <v>0</v>
      </c>
      <c r="D164" s="92">
        <v>0</v>
      </c>
      <c r="E164" s="99">
        <f t="shared" si="13"/>
        <v>0</v>
      </c>
      <c r="F164" s="23">
        <v>0</v>
      </c>
      <c r="G164" s="222">
        <v>0</v>
      </c>
      <c r="H164" s="223"/>
      <c r="I164" s="23">
        <v>0</v>
      </c>
      <c r="J164" s="167">
        <f t="shared" si="14"/>
        <v>0</v>
      </c>
      <c r="K164" s="168"/>
      <c r="L164" s="168"/>
      <c r="N164"/>
      <c r="O164"/>
      <c r="P164"/>
      <c r="Q164"/>
      <c r="R164"/>
    </row>
    <row r="165" spans="1:12" ht="15.75">
      <c r="A165" s="172" t="s">
        <v>36</v>
      </c>
      <c r="B165" s="172"/>
      <c r="C165" s="98">
        <v>0</v>
      </c>
      <c r="D165" s="92">
        <v>0</v>
      </c>
      <c r="E165" s="99">
        <f t="shared" si="13"/>
        <v>0</v>
      </c>
      <c r="F165" s="23">
        <v>0</v>
      </c>
      <c r="G165" s="222">
        <v>0</v>
      </c>
      <c r="H165" s="223"/>
      <c r="I165" s="23">
        <v>0</v>
      </c>
      <c r="J165" s="167">
        <f t="shared" si="14"/>
        <v>0</v>
      </c>
      <c r="K165" s="168"/>
      <c r="L165" s="168"/>
    </row>
    <row r="166" spans="1:12" ht="15.75">
      <c r="A166" s="172" t="s">
        <v>37</v>
      </c>
      <c r="B166" s="172"/>
      <c r="C166" s="98">
        <f>SUM(C167:C171)</f>
        <v>2449176909</v>
      </c>
      <c r="D166" s="92">
        <f>SUM(D167:D171)</f>
        <v>2449176909</v>
      </c>
      <c r="E166" s="99">
        <f>SUM(E167:E171)</f>
        <v>903664220.17</v>
      </c>
      <c r="F166" s="23">
        <f aca="true" t="shared" si="15" ref="F166:F174">(E166/D166)*100</f>
        <v>36.896649517203166</v>
      </c>
      <c r="G166" s="222">
        <f>SUM(G167:H171)</f>
        <v>1183412344.3000002</v>
      </c>
      <c r="H166" s="223"/>
      <c r="I166" s="23">
        <f aca="true" t="shared" si="16" ref="I166:I174">(G166/D166)*100</f>
        <v>48.31877762489554</v>
      </c>
      <c r="J166" s="167">
        <f t="shared" si="14"/>
        <v>1265764564.6999998</v>
      </c>
      <c r="K166" s="168"/>
      <c r="L166" s="168"/>
    </row>
    <row r="167" spans="1:12" ht="15.75">
      <c r="A167" s="172" t="s">
        <v>101</v>
      </c>
      <c r="B167" s="172"/>
      <c r="C167" s="149">
        <v>11258692</v>
      </c>
      <c r="D167" s="150">
        <v>11258692</v>
      </c>
      <c r="E167" s="99">
        <f>G167-60357.13</f>
        <v>97598014.05000001</v>
      </c>
      <c r="F167" s="23">
        <f t="shared" si="15"/>
        <v>866.8681410771342</v>
      </c>
      <c r="G167" s="193">
        <v>97658371.18</v>
      </c>
      <c r="H167" s="194"/>
      <c r="I167" s="23">
        <f t="shared" si="16"/>
        <v>867.4042347015088</v>
      </c>
      <c r="J167" s="167">
        <f t="shared" si="14"/>
        <v>-86399679.18</v>
      </c>
      <c r="K167" s="168"/>
      <c r="L167" s="168"/>
    </row>
    <row r="168" spans="1:12" ht="15.75">
      <c r="A168" s="172" t="s">
        <v>102</v>
      </c>
      <c r="B168" s="172"/>
      <c r="C168" s="98">
        <v>0</v>
      </c>
      <c r="D168" s="92">
        <v>0</v>
      </c>
      <c r="E168" s="99">
        <f>G168</f>
        <v>0</v>
      </c>
      <c r="F168" s="23">
        <v>0</v>
      </c>
      <c r="G168" s="193">
        <v>0</v>
      </c>
      <c r="H168" s="194"/>
      <c r="I168" s="23">
        <v>0</v>
      </c>
      <c r="J168" s="169">
        <f t="shared" si="14"/>
        <v>0</v>
      </c>
      <c r="K168" s="171"/>
      <c r="L168" s="171"/>
    </row>
    <row r="169" spans="1:12" ht="15.75">
      <c r="A169" s="172" t="s">
        <v>103</v>
      </c>
      <c r="B169" s="172"/>
      <c r="C169" s="149">
        <v>2366134379</v>
      </c>
      <c r="D169" s="150">
        <v>2366134379</v>
      </c>
      <c r="E169" s="99">
        <f>G169-272591832.27</f>
        <v>786361160.97</v>
      </c>
      <c r="F169" s="23">
        <f t="shared" si="15"/>
        <v>33.23400259719569</v>
      </c>
      <c r="G169" s="193">
        <v>1058952993.24</v>
      </c>
      <c r="H169" s="194"/>
      <c r="I169" s="23">
        <f t="shared" si="16"/>
        <v>44.75455843245663</v>
      </c>
      <c r="J169" s="169">
        <f t="shared" si="14"/>
        <v>1307181385.76</v>
      </c>
      <c r="K169" s="171"/>
      <c r="L169" s="171"/>
    </row>
    <row r="170" spans="1:12" ht="15.75">
      <c r="A170" s="172" t="s">
        <v>104</v>
      </c>
      <c r="B170" s="172"/>
      <c r="C170" s="98">
        <v>0</v>
      </c>
      <c r="D170" s="92">
        <v>0</v>
      </c>
      <c r="E170" s="99">
        <f>G170</f>
        <v>0</v>
      </c>
      <c r="F170" s="23">
        <v>0</v>
      </c>
      <c r="G170" s="193">
        <v>0</v>
      </c>
      <c r="H170" s="194"/>
      <c r="I170" s="23">
        <v>0</v>
      </c>
      <c r="J170" s="169">
        <f t="shared" si="14"/>
        <v>0</v>
      </c>
      <c r="K170" s="171"/>
      <c r="L170" s="171"/>
    </row>
    <row r="171" spans="1:12" ht="15.75">
      <c r="A171" s="172" t="s">
        <v>105</v>
      </c>
      <c r="B171" s="172"/>
      <c r="C171" s="98">
        <v>71783838</v>
      </c>
      <c r="D171" s="92">
        <v>71783838</v>
      </c>
      <c r="E171" s="99">
        <f>G171-7095934.73</f>
        <v>19705045.15</v>
      </c>
      <c r="F171" s="23">
        <f t="shared" si="15"/>
        <v>27.450531622452395</v>
      </c>
      <c r="G171" s="193">
        <v>26800979.88</v>
      </c>
      <c r="H171" s="194"/>
      <c r="I171" s="23">
        <f t="shared" si="16"/>
        <v>37.33567419451715</v>
      </c>
      <c r="J171" s="169">
        <f t="shared" si="14"/>
        <v>44982858.120000005</v>
      </c>
      <c r="K171" s="171"/>
      <c r="L171" s="171"/>
    </row>
    <row r="172" spans="1:12" ht="15.75">
      <c r="A172" s="172" t="s">
        <v>38</v>
      </c>
      <c r="B172" s="172"/>
      <c r="C172" s="98">
        <f>SUM(C173:C179)</f>
        <v>158774791</v>
      </c>
      <c r="D172" s="92">
        <f>SUM(D173:D179)</f>
        <v>158774791</v>
      </c>
      <c r="E172" s="99">
        <f>SUM(E173:E179)</f>
        <v>0</v>
      </c>
      <c r="F172" s="23">
        <f t="shared" si="15"/>
        <v>0</v>
      </c>
      <c r="G172" s="222">
        <f>SUM(G173:H179)</f>
        <v>0</v>
      </c>
      <c r="H172" s="223">
        <f>SUM(H173:H177)</f>
        <v>0</v>
      </c>
      <c r="I172" s="23">
        <f t="shared" si="16"/>
        <v>0</v>
      </c>
      <c r="J172" s="167">
        <f t="shared" si="14"/>
        <v>158774791</v>
      </c>
      <c r="K172" s="168"/>
      <c r="L172" s="168"/>
    </row>
    <row r="173" spans="1:12" ht="15.75">
      <c r="A173" s="172" t="s">
        <v>96</v>
      </c>
      <c r="B173" s="172"/>
      <c r="C173" s="98">
        <v>0</v>
      </c>
      <c r="D173" s="92">
        <v>0</v>
      </c>
      <c r="E173" s="99">
        <f aca="true" t="shared" si="17" ref="E173:E179">G173</f>
        <v>0</v>
      </c>
      <c r="F173" s="23">
        <v>0</v>
      </c>
      <c r="G173" s="193">
        <v>0</v>
      </c>
      <c r="H173" s="194"/>
      <c r="I173" s="23">
        <v>0</v>
      </c>
      <c r="J173" s="167">
        <f t="shared" si="14"/>
        <v>0</v>
      </c>
      <c r="K173" s="168"/>
      <c r="L173" s="168"/>
    </row>
    <row r="174" spans="1:12" ht="15.75">
      <c r="A174" s="172" t="s">
        <v>97</v>
      </c>
      <c r="B174" s="172"/>
      <c r="C174" s="149">
        <v>158774791</v>
      </c>
      <c r="D174" s="150">
        <v>158774791</v>
      </c>
      <c r="E174" s="99">
        <f>G174-0</f>
        <v>0</v>
      </c>
      <c r="F174" s="23">
        <f t="shared" si="15"/>
        <v>0</v>
      </c>
      <c r="G174" s="193">
        <v>0</v>
      </c>
      <c r="H174" s="194"/>
      <c r="I174" s="23">
        <f t="shared" si="16"/>
        <v>0</v>
      </c>
      <c r="J174" s="167">
        <f t="shared" si="14"/>
        <v>158774791</v>
      </c>
      <c r="K174" s="168"/>
      <c r="L174" s="168"/>
    </row>
    <row r="175" spans="1:12" ht="15.75">
      <c r="A175" s="172" t="s">
        <v>98</v>
      </c>
      <c r="B175" s="172"/>
      <c r="C175" s="131">
        <v>0</v>
      </c>
      <c r="D175" s="132">
        <v>0</v>
      </c>
      <c r="E175" s="99">
        <f t="shared" si="17"/>
        <v>0</v>
      </c>
      <c r="F175" s="23">
        <v>0</v>
      </c>
      <c r="G175" s="193">
        <v>0</v>
      </c>
      <c r="H175" s="194"/>
      <c r="I175" s="23">
        <v>0</v>
      </c>
      <c r="J175" s="167">
        <f t="shared" si="14"/>
        <v>0</v>
      </c>
      <c r="K175" s="168"/>
      <c r="L175" s="168"/>
    </row>
    <row r="176" spans="1:12" ht="15.75">
      <c r="A176" s="172" t="s">
        <v>39</v>
      </c>
      <c r="B176" s="172"/>
      <c r="C176" s="131">
        <v>0</v>
      </c>
      <c r="D176" s="132">
        <v>0</v>
      </c>
      <c r="E176" s="102">
        <f t="shared" si="17"/>
        <v>0</v>
      </c>
      <c r="F176" s="133">
        <v>0</v>
      </c>
      <c r="G176" s="177">
        <v>0</v>
      </c>
      <c r="H176" s="178"/>
      <c r="I176" s="133">
        <v>0</v>
      </c>
      <c r="J176" s="179">
        <f t="shared" si="14"/>
        <v>0</v>
      </c>
      <c r="K176" s="180"/>
      <c r="L176" s="180"/>
    </row>
    <row r="177" spans="1:12" ht="15.75">
      <c r="A177" s="172" t="s">
        <v>81</v>
      </c>
      <c r="B177" s="172"/>
      <c r="C177" s="131">
        <v>0</v>
      </c>
      <c r="D177" s="132">
        <v>0</v>
      </c>
      <c r="E177" s="102">
        <f t="shared" si="17"/>
        <v>0</v>
      </c>
      <c r="F177" s="133">
        <v>0</v>
      </c>
      <c r="G177" s="177">
        <v>0</v>
      </c>
      <c r="H177" s="178"/>
      <c r="I177" s="133">
        <v>0</v>
      </c>
      <c r="J177" s="179">
        <f t="shared" si="14"/>
        <v>0</v>
      </c>
      <c r="K177" s="180"/>
      <c r="L177" s="180"/>
    </row>
    <row r="178" spans="1:12" ht="15.75">
      <c r="A178" s="172" t="s">
        <v>40</v>
      </c>
      <c r="B178" s="172"/>
      <c r="C178" s="131">
        <v>0</v>
      </c>
      <c r="D178" s="132">
        <v>0</v>
      </c>
      <c r="E178" s="102">
        <f t="shared" si="17"/>
        <v>0</v>
      </c>
      <c r="F178" s="133">
        <v>0</v>
      </c>
      <c r="G178" s="177">
        <v>0</v>
      </c>
      <c r="H178" s="178"/>
      <c r="I178" s="133">
        <v>0</v>
      </c>
      <c r="J178" s="173">
        <f t="shared" si="14"/>
        <v>0</v>
      </c>
      <c r="K178" s="174"/>
      <c r="L178" s="174"/>
    </row>
    <row r="179" spans="1:14" ht="15.75">
      <c r="A179" s="172" t="s">
        <v>156</v>
      </c>
      <c r="B179" s="172"/>
      <c r="C179" s="131">
        <v>0</v>
      </c>
      <c r="D179" s="132">
        <v>0</v>
      </c>
      <c r="E179" s="102">
        <f t="shared" si="17"/>
        <v>0</v>
      </c>
      <c r="F179" s="133">
        <v>0</v>
      </c>
      <c r="G179" s="177">
        <v>0</v>
      </c>
      <c r="H179" s="178"/>
      <c r="I179" s="133">
        <v>0</v>
      </c>
      <c r="J179" s="173">
        <f t="shared" si="14"/>
        <v>0</v>
      </c>
      <c r="K179" s="174"/>
      <c r="L179" s="174"/>
      <c r="M179" s="344"/>
      <c r="N179" s="344"/>
    </row>
    <row r="180" spans="1:12" ht="15.75">
      <c r="A180" s="172" t="s">
        <v>41</v>
      </c>
      <c r="B180" s="172"/>
      <c r="C180" s="131">
        <f>SUM(C181:C185)</f>
        <v>446725063</v>
      </c>
      <c r="D180" s="132">
        <f>SUM(D181:D185)</f>
        <v>458539572.29</v>
      </c>
      <c r="E180" s="102">
        <f>SUM(E181:E185)</f>
        <v>74757630.18</v>
      </c>
      <c r="F180" s="133">
        <f>(E180/D180)*100</f>
        <v>16.303419529671494</v>
      </c>
      <c r="G180" s="196">
        <f>SUM(G181:H185)</f>
        <v>146417858.33</v>
      </c>
      <c r="H180" s="197">
        <f>SUM(H181:H185)</f>
        <v>0</v>
      </c>
      <c r="I180" s="133">
        <f>(G180/D180)*100</f>
        <v>31.931346208304813</v>
      </c>
      <c r="J180" s="179">
        <f aca="true" t="shared" si="18" ref="J180:J185">D180-G180</f>
        <v>312121713.96000004</v>
      </c>
      <c r="K180" s="180"/>
      <c r="L180" s="180"/>
    </row>
    <row r="181" spans="1:12" ht="15.75">
      <c r="A181" s="172" t="s">
        <v>92</v>
      </c>
      <c r="B181" s="172"/>
      <c r="C181" s="131">
        <v>0</v>
      </c>
      <c r="D181" s="132">
        <v>0</v>
      </c>
      <c r="E181" s="102">
        <f>G181-0</f>
        <v>0</v>
      </c>
      <c r="F181" s="133">
        <v>0</v>
      </c>
      <c r="G181" s="177"/>
      <c r="H181" s="178"/>
      <c r="I181" s="133">
        <v>0</v>
      </c>
      <c r="J181" s="179">
        <f t="shared" si="18"/>
        <v>0</v>
      </c>
      <c r="K181" s="180"/>
      <c r="L181" s="180"/>
    </row>
    <row r="182" spans="1:12" ht="15.75">
      <c r="A182" s="172" t="s">
        <v>93</v>
      </c>
      <c r="B182" s="172"/>
      <c r="C182" s="131">
        <v>446725063</v>
      </c>
      <c r="D182" s="132">
        <v>458539572.29</v>
      </c>
      <c r="E182" s="102">
        <f>G182-71660228.15</f>
        <v>74757630.18</v>
      </c>
      <c r="F182" s="133">
        <f>(E182/D182)*100</f>
        <v>16.303419529671494</v>
      </c>
      <c r="G182" s="196">
        <v>146417858.33</v>
      </c>
      <c r="H182" s="197"/>
      <c r="I182" s="133">
        <f>(G182/D182)*100</f>
        <v>31.931346208304813</v>
      </c>
      <c r="J182" s="179">
        <f t="shared" si="18"/>
        <v>312121713.96000004</v>
      </c>
      <c r="K182" s="180"/>
      <c r="L182" s="180"/>
    </row>
    <row r="183" spans="1:12" ht="15.75">
      <c r="A183" s="172" t="s">
        <v>94</v>
      </c>
      <c r="B183" s="172"/>
      <c r="C183" s="131">
        <v>0</v>
      </c>
      <c r="D183" s="133">
        <v>0</v>
      </c>
      <c r="E183" s="102">
        <f>G183</f>
        <v>0</v>
      </c>
      <c r="F183" s="133">
        <v>0</v>
      </c>
      <c r="G183" s="177">
        <v>0</v>
      </c>
      <c r="H183" s="178"/>
      <c r="I183" s="133">
        <v>0</v>
      </c>
      <c r="J183" s="179">
        <f t="shared" si="18"/>
        <v>0</v>
      </c>
      <c r="K183" s="180"/>
      <c r="L183" s="180"/>
    </row>
    <row r="184" spans="1:14" ht="15.75">
      <c r="A184" s="172" t="s">
        <v>144</v>
      </c>
      <c r="B184" s="172"/>
      <c r="C184" s="131">
        <v>0</v>
      </c>
      <c r="D184" s="133">
        <v>0</v>
      </c>
      <c r="E184" s="102">
        <f>G184</f>
        <v>0</v>
      </c>
      <c r="F184" s="133">
        <v>0</v>
      </c>
      <c r="G184" s="177">
        <v>0</v>
      </c>
      <c r="H184" s="178"/>
      <c r="I184" s="133">
        <v>0</v>
      </c>
      <c r="J184" s="179">
        <f t="shared" si="18"/>
        <v>0</v>
      </c>
      <c r="K184" s="180"/>
      <c r="L184" s="180"/>
      <c r="M184" s="344"/>
      <c r="N184" s="344"/>
    </row>
    <row r="185" spans="1:12" ht="15" customHeight="1">
      <c r="A185" s="172" t="s">
        <v>95</v>
      </c>
      <c r="B185" s="172"/>
      <c r="C185" s="131">
        <v>0</v>
      </c>
      <c r="D185" s="131">
        <v>0</v>
      </c>
      <c r="E185" s="102">
        <f>G185-0</f>
        <v>0</v>
      </c>
      <c r="F185" s="133">
        <v>0</v>
      </c>
      <c r="G185" s="177">
        <v>0</v>
      </c>
      <c r="H185" s="178"/>
      <c r="I185" s="133">
        <v>0</v>
      </c>
      <c r="J185" s="179">
        <f t="shared" si="18"/>
        <v>0</v>
      </c>
      <c r="K185" s="180"/>
      <c r="L185" s="180"/>
    </row>
    <row r="186" spans="1:12" ht="15.75">
      <c r="A186" s="203" t="s">
        <v>42</v>
      </c>
      <c r="B186" s="203"/>
      <c r="C186" s="135">
        <f>C187+C190+C194+C195+C205</f>
        <v>0</v>
      </c>
      <c r="D186" s="136">
        <f>D187+D190+D194+D195+D205</f>
        <v>21470.99</v>
      </c>
      <c r="E186" s="137">
        <f>E187+E190+E194+E195+E205</f>
        <v>20100.239999999998</v>
      </c>
      <c r="F186" s="138">
        <v>0</v>
      </c>
      <c r="G186" s="198">
        <f>G187+G190+G194+G195+G205</f>
        <v>32971.14</v>
      </c>
      <c r="H186" s="199"/>
      <c r="I186" s="138">
        <v>0</v>
      </c>
      <c r="J186" s="220">
        <f aca="true" t="shared" si="19" ref="J186:J204">D186-G186</f>
        <v>-11500.149999999998</v>
      </c>
      <c r="K186" s="221"/>
      <c r="L186" s="221"/>
    </row>
    <row r="187" spans="1:12" ht="15.75">
      <c r="A187" s="172" t="s">
        <v>43</v>
      </c>
      <c r="B187" s="172"/>
      <c r="C187" s="98">
        <f>C188+C189</f>
        <v>0</v>
      </c>
      <c r="D187" s="92">
        <f>D188+D189</f>
        <v>0</v>
      </c>
      <c r="E187" s="99">
        <f>E188+E189</f>
        <v>0</v>
      </c>
      <c r="F187" s="23">
        <v>0</v>
      </c>
      <c r="G187" s="193">
        <f>G188+G189</f>
        <v>0</v>
      </c>
      <c r="H187" s="194"/>
      <c r="I187" s="23">
        <v>0</v>
      </c>
      <c r="J187" s="167">
        <f t="shared" si="19"/>
        <v>0</v>
      </c>
      <c r="K187" s="168"/>
      <c r="L187" s="168"/>
    </row>
    <row r="188" spans="1:12" ht="15.75">
      <c r="A188" s="172" t="s">
        <v>115</v>
      </c>
      <c r="B188" s="172"/>
      <c r="C188" s="98">
        <v>0</v>
      </c>
      <c r="D188" s="92">
        <v>0</v>
      </c>
      <c r="E188" s="99">
        <f>G188</f>
        <v>0</v>
      </c>
      <c r="F188" s="23">
        <v>0</v>
      </c>
      <c r="G188" s="193">
        <v>0</v>
      </c>
      <c r="H188" s="194"/>
      <c r="I188" s="23">
        <v>0</v>
      </c>
      <c r="J188" s="167">
        <f t="shared" si="19"/>
        <v>0</v>
      </c>
      <c r="K188" s="168"/>
      <c r="L188" s="168"/>
    </row>
    <row r="189" spans="1:12" ht="15.75">
      <c r="A189" s="172" t="s">
        <v>116</v>
      </c>
      <c r="B189" s="172"/>
      <c r="C189" s="98">
        <v>0</v>
      </c>
      <c r="D189" s="92">
        <v>0</v>
      </c>
      <c r="E189" s="99">
        <f>G189</f>
        <v>0</v>
      </c>
      <c r="F189" s="23">
        <v>0</v>
      </c>
      <c r="G189" s="193">
        <v>0</v>
      </c>
      <c r="H189" s="194"/>
      <c r="I189" s="23">
        <v>0</v>
      </c>
      <c r="J189" s="167">
        <f t="shared" si="19"/>
        <v>0</v>
      </c>
      <c r="K189" s="168"/>
      <c r="L189" s="168"/>
    </row>
    <row r="190" spans="1:12" ht="15.75">
      <c r="A190" s="172" t="s">
        <v>44</v>
      </c>
      <c r="B190" s="172"/>
      <c r="C190" s="98">
        <f>C191+C192+C193</f>
        <v>0</v>
      </c>
      <c r="D190" s="92">
        <f>D191+D192+D193</f>
        <v>0</v>
      </c>
      <c r="E190" s="99">
        <f>E191+E192+E193</f>
        <v>0</v>
      </c>
      <c r="F190" s="23">
        <v>0</v>
      </c>
      <c r="G190" s="193">
        <f>SUM(G191:H193)</f>
        <v>0</v>
      </c>
      <c r="H190" s="194"/>
      <c r="I190" s="23">
        <v>0</v>
      </c>
      <c r="J190" s="167">
        <f t="shared" si="19"/>
        <v>0</v>
      </c>
      <c r="K190" s="168"/>
      <c r="L190" s="168"/>
    </row>
    <row r="191" spans="1:12" ht="15.75">
      <c r="A191" s="172" t="s">
        <v>45</v>
      </c>
      <c r="B191" s="172"/>
      <c r="C191" s="98">
        <v>0</v>
      </c>
      <c r="D191" s="92">
        <v>0</v>
      </c>
      <c r="E191" s="99">
        <f>G191</f>
        <v>0</v>
      </c>
      <c r="F191" s="23">
        <v>0</v>
      </c>
      <c r="G191" s="193">
        <v>0</v>
      </c>
      <c r="H191" s="194"/>
      <c r="I191" s="23">
        <v>0</v>
      </c>
      <c r="J191" s="167">
        <f t="shared" si="19"/>
        <v>0</v>
      </c>
      <c r="K191" s="168"/>
      <c r="L191" s="168"/>
    </row>
    <row r="192" spans="1:12" ht="15.75">
      <c r="A192" s="172" t="s">
        <v>46</v>
      </c>
      <c r="B192" s="172"/>
      <c r="C192" s="98">
        <v>0</v>
      </c>
      <c r="D192" s="92">
        <v>0</v>
      </c>
      <c r="E192" s="99">
        <f>G192</f>
        <v>0</v>
      </c>
      <c r="F192" s="23">
        <v>0</v>
      </c>
      <c r="G192" s="193">
        <v>0</v>
      </c>
      <c r="H192" s="194"/>
      <c r="I192" s="23">
        <v>0</v>
      </c>
      <c r="J192" s="167">
        <f t="shared" si="19"/>
        <v>0</v>
      </c>
      <c r="K192" s="168"/>
      <c r="L192" s="168"/>
    </row>
    <row r="193" spans="1:12" ht="15.75">
      <c r="A193" s="172" t="s">
        <v>117</v>
      </c>
      <c r="B193" s="172"/>
      <c r="C193" s="98">
        <v>0</v>
      </c>
      <c r="D193" s="92">
        <v>0</v>
      </c>
      <c r="E193" s="99">
        <f>G193</f>
        <v>0</v>
      </c>
      <c r="F193" s="23">
        <v>0</v>
      </c>
      <c r="G193" s="193">
        <v>0</v>
      </c>
      <c r="H193" s="194"/>
      <c r="I193" s="23">
        <v>0</v>
      </c>
      <c r="J193" s="169">
        <f t="shared" si="19"/>
        <v>0</v>
      </c>
      <c r="K193" s="171"/>
      <c r="L193" s="171"/>
    </row>
    <row r="194" spans="1:12" ht="15.75">
      <c r="A194" s="172" t="s">
        <v>47</v>
      </c>
      <c r="B194" s="172"/>
      <c r="C194" s="98">
        <v>0</v>
      </c>
      <c r="D194" s="158">
        <v>21470.99</v>
      </c>
      <c r="E194" s="99">
        <f>G194-12870.9</f>
        <v>20100.239999999998</v>
      </c>
      <c r="F194" s="23">
        <v>0</v>
      </c>
      <c r="G194" s="193">
        <v>32971.14</v>
      </c>
      <c r="H194" s="194"/>
      <c r="I194" s="23">
        <v>0</v>
      </c>
      <c r="J194" s="167">
        <f t="shared" si="19"/>
        <v>-11500.149999999998</v>
      </c>
      <c r="K194" s="168"/>
      <c r="L194" s="168"/>
    </row>
    <row r="195" spans="1:12" ht="15.75">
      <c r="A195" s="172" t="s">
        <v>48</v>
      </c>
      <c r="B195" s="172"/>
      <c r="C195" s="98">
        <f>SUM(C196:C204)</f>
        <v>0</v>
      </c>
      <c r="D195" s="98">
        <f>SUM(D196:D204)</f>
        <v>0</v>
      </c>
      <c r="E195" s="99">
        <f>SUM(E196:E204)</f>
        <v>0</v>
      </c>
      <c r="F195" s="23">
        <v>0</v>
      </c>
      <c r="G195" s="193">
        <f>SUM(G196:H204)</f>
        <v>0</v>
      </c>
      <c r="H195" s="194">
        <f>SUM(H196:H204)</f>
        <v>0</v>
      </c>
      <c r="I195" s="23">
        <v>0</v>
      </c>
      <c r="J195" s="167">
        <f t="shared" si="19"/>
        <v>0</v>
      </c>
      <c r="K195" s="168"/>
      <c r="L195" s="168"/>
    </row>
    <row r="196" spans="1:12" ht="15.75">
      <c r="A196" s="172" t="s">
        <v>96</v>
      </c>
      <c r="B196" s="172"/>
      <c r="C196" s="98">
        <v>0</v>
      </c>
      <c r="D196" s="92">
        <v>0</v>
      </c>
      <c r="E196" s="99">
        <f aca="true" t="shared" si="20" ref="E196:E204">G196</f>
        <v>0</v>
      </c>
      <c r="F196" s="23">
        <v>0</v>
      </c>
      <c r="G196" s="193">
        <v>0</v>
      </c>
      <c r="H196" s="194"/>
      <c r="I196" s="23">
        <v>0</v>
      </c>
      <c r="J196" s="167">
        <f t="shared" si="19"/>
        <v>0</v>
      </c>
      <c r="K196" s="168"/>
      <c r="L196" s="168"/>
    </row>
    <row r="197" spans="1:12" ht="15.75">
      <c r="A197" s="172" t="s">
        <v>97</v>
      </c>
      <c r="B197" s="172"/>
      <c r="C197" s="98">
        <v>0</v>
      </c>
      <c r="D197" s="92">
        <v>0</v>
      </c>
      <c r="E197" s="99">
        <f t="shared" si="20"/>
        <v>0</v>
      </c>
      <c r="F197" s="23">
        <v>0</v>
      </c>
      <c r="G197" s="193">
        <v>0</v>
      </c>
      <c r="H197" s="194"/>
      <c r="I197" s="23">
        <v>0</v>
      </c>
      <c r="J197" s="167">
        <f t="shared" si="19"/>
        <v>0</v>
      </c>
      <c r="K197" s="168"/>
      <c r="L197" s="168"/>
    </row>
    <row r="198" spans="1:12" ht="15.75">
      <c r="A198" s="172" t="s">
        <v>98</v>
      </c>
      <c r="B198" s="172"/>
      <c r="C198" s="98">
        <v>0</v>
      </c>
      <c r="D198" s="92">
        <v>0</v>
      </c>
      <c r="E198" s="99">
        <f t="shared" si="20"/>
        <v>0</v>
      </c>
      <c r="F198" s="23">
        <v>0</v>
      </c>
      <c r="G198" s="193">
        <v>0</v>
      </c>
      <c r="H198" s="194"/>
      <c r="I198" s="23">
        <v>0</v>
      </c>
      <c r="J198" s="167">
        <f t="shared" si="19"/>
        <v>0</v>
      </c>
      <c r="K198" s="168"/>
      <c r="L198" s="168"/>
    </row>
    <row r="199" spans="1:12" ht="15.75">
      <c r="A199" s="172" t="s">
        <v>39</v>
      </c>
      <c r="B199" s="172"/>
      <c r="C199" s="98">
        <v>0</v>
      </c>
      <c r="D199" s="92">
        <v>0</v>
      </c>
      <c r="E199" s="99">
        <f t="shared" si="20"/>
        <v>0</v>
      </c>
      <c r="F199" s="23">
        <v>0</v>
      </c>
      <c r="G199" s="193">
        <v>0</v>
      </c>
      <c r="H199" s="194"/>
      <c r="I199" s="23">
        <v>0</v>
      </c>
      <c r="J199" s="167">
        <f t="shared" si="19"/>
        <v>0</v>
      </c>
      <c r="K199" s="168"/>
      <c r="L199" s="168"/>
    </row>
    <row r="200" spans="1:12" ht="15.75">
      <c r="A200" s="172" t="s">
        <v>81</v>
      </c>
      <c r="B200" s="172"/>
      <c r="C200" s="98">
        <v>0</v>
      </c>
      <c r="D200" s="92">
        <v>0</v>
      </c>
      <c r="E200" s="99">
        <f t="shared" si="20"/>
        <v>0</v>
      </c>
      <c r="F200" s="23">
        <v>0</v>
      </c>
      <c r="G200" s="193">
        <v>0</v>
      </c>
      <c r="H200" s="194"/>
      <c r="I200" s="23">
        <v>0</v>
      </c>
      <c r="J200" s="167">
        <f t="shared" si="19"/>
        <v>0</v>
      </c>
      <c r="K200" s="168"/>
      <c r="L200" s="168"/>
    </row>
    <row r="201" spans="1:12" ht="15.75">
      <c r="A201" s="172" t="s">
        <v>40</v>
      </c>
      <c r="B201" s="172"/>
      <c r="C201" s="98">
        <v>0</v>
      </c>
      <c r="D201" s="92">
        <v>0</v>
      </c>
      <c r="E201" s="99">
        <f t="shared" si="20"/>
        <v>0</v>
      </c>
      <c r="F201" s="23">
        <v>0</v>
      </c>
      <c r="G201" s="193">
        <v>0</v>
      </c>
      <c r="H201" s="194"/>
      <c r="I201" s="23">
        <v>0</v>
      </c>
      <c r="J201" s="167">
        <f t="shared" si="19"/>
        <v>0</v>
      </c>
      <c r="K201" s="168"/>
      <c r="L201" s="168"/>
    </row>
    <row r="202" spans="1:16" ht="15.75">
      <c r="A202" s="181" t="s">
        <v>149</v>
      </c>
      <c r="B202" s="172"/>
      <c r="C202" s="98">
        <v>0</v>
      </c>
      <c r="D202" s="92">
        <v>0</v>
      </c>
      <c r="E202" s="99">
        <f>G202-0</f>
        <v>0</v>
      </c>
      <c r="F202" s="23">
        <v>0</v>
      </c>
      <c r="G202" s="193">
        <v>0</v>
      </c>
      <c r="H202" s="194"/>
      <c r="I202" s="23">
        <v>0</v>
      </c>
      <c r="J202" s="167">
        <f>D202-G202</f>
        <v>0</v>
      </c>
      <c r="K202" s="168"/>
      <c r="L202" s="168"/>
      <c r="M202" s="338"/>
      <c r="N202" s="338"/>
      <c r="O202" s="338"/>
      <c r="P202" s="338"/>
    </row>
    <row r="203" spans="1:14" ht="15.75" hidden="1">
      <c r="A203" s="172" t="s">
        <v>99</v>
      </c>
      <c r="B203" s="172"/>
      <c r="C203" s="98">
        <v>0</v>
      </c>
      <c r="D203" s="92">
        <v>0</v>
      </c>
      <c r="E203" s="99">
        <f t="shared" si="20"/>
        <v>0</v>
      </c>
      <c r="F203" s="23">
        <v>0</v>
      </c>
      <c r="G203" s="193">
        <v>0</v>
      </c>
      <c r="H203" s="194"/>
      <c r="I203" s="23">
        <v>0</v>
      </c>
      <c r="J203" s="169">
        <f t="shared" si="19"/>
        <v>0</v>
      </c>
      <c r="K203" s="171"/>
      <c r="L203" s="171"/>
      <c r="N203" s="340" t="s">
        <v>153</v>
      </c>
    </row>
    <row r="204" spans="1:14" ht="15.75" hidden="1">
      <c r="A204" s="172" t="s">
        <v>100</v>
      </c>
      <c r="B204" s="172"/>
      <c r="C204" s="98">
        <v>0</v>
      </c>
      <c r="D204" s="92">
        <v>0</v>
      </c>
      <c r="E204" s="99">
        <f t="shared" si="20"/>
        <v>0</v>
      </c>
      <c r="F204" s="23">
        <v>0</v>
      </c>
      <c r="G204" s="193">
        <v>0</v>
      </c>
      <c r="H204" s="194"/>
      <c r="I204" s="23">
        <v>0</v>
      </c>
      <c r="J204" s="169">
        <f t="shared" si="19"/>
        <v>0</v>
      </c>
      <c r="K204" s="171"/>
      <c r="L204" s="171"/>
      <c r="N204" s="340"/>
    </row>
    <row r="205" spans="1:12" ht="15.75">
      <c r="A205" s="181" t="s">
        <v>49</v>
      </c>
      <c r="B205" s="172"/>
      <c r="C205" s="98">
        <f>SUM(C206:C209)</f>
        <v>0</v>
      </c>
      <c r="D205" s="92">
        <f>SUM(D206:D209)</f>
        <v>0</v>
      </c>
      <c r="E205" s="99">
        <f>SUM(E206:E209)</f>
        <v>0</v>
      </c>
      <c r="F205" s="23">
        <v>0</v>
      </c>
      <c r="G205" s="193">
        <f>SUM(G206:H209)</f>
        <v>0</v>
      </c>
      <c r="H205" s="194">
        <f>SUM(H207:H209)</f>
        <v>0</v>
      </c>
      <c r="I205" s="23">
        <v>0</v>
      </c>
      <c r="J205" s="167">
        <f>D205-G205</f>
        <v>0</v>
      </c>
      <c r="K205" s="168"/>
      <c r="L205" s="168"/>
    </row>
    <row r="206" spans="1:12" ht="15.75">
      <c r="A206" s="172" t="s">
        <v>118</v>
      </c>
      <c r="B206" s="172"/>
      <c r="C206" s="98">
        <v>0</v>
      </c>
      <c r="D206" s="92">
        <v>0</v>
      </c>
      <c r="E206" s="99">
        <f>G206</f>
        <v>0</v>
      </c>
      <c r="F206" s="23">
        <v>0</v>
      </c>
      <c r="G206" s="193">
        <v>0</v>
      </c>
      <c r="H206" s="194"/>
      <c r="I206" s="23">
        <v>0</v>
      </c>
      <c r="J206" s="167">
        <f>D206-G206</f>
        <v>0</v>
      </c>
      <c r="K206" s="168"/>
      <c r="L206" s="168"/>
    </row>
    <row r="207" spans="1:12" ht="15.75">
      <c r="A207" s="172" t="s">
        <v>119</v>
      </c>
      <c r="B207" s="172"/>
      <c r="C207" s="98">
        <v>0</v>
      </c>
      <c r="D207" s="92">
        <v>0</v>
      </c>
      <c r="E207" s="99">
        <f>G207</f>
        <v>0</v>
      </c>
      <c r="F207" s="23">
        <v>0</v>
      </c>
      <c r="G207" s="193">
        <v>0</v>
      </c>
      <c r="H207" s="194"/>
      <c r="I207" s="23">
        <v>0</v>
      </c>
      <c r="J207" s="167">
        <f>D207-G207</f>
        <v>0</v>
      </c>
      <c r="K207" s="168"/>
      <c r="L207" s="168"/>
    </row>
    <row r="208" spans="1:12" ht="15.75">
      <c r="A208" s="172" t="s">
        <v>120</v>
      </c>
      <c r="B208" s="172"/>
      <c r="C208" s="98">
        <v>0</v>
      </c>
      <c r="D208" s="92">
        <v>0</v>
      </c>
      <c r="E208" s="99">
        <f>G208</f>
        <v>0</v>
      </c>
      <c r="F208" s="23">
        <v>0</v>
      </c>
      <c r="G208" s="193">
        <v>0</v>
      </c>
      <c r="H208" s="194"/>
      <c r="I208" s="23">
        <v>0</v>
      </c>
      <c r="J208" s="167">
        <f>D208-G208</f>
        <v>0</v>
      </c>
      <c r="K208" s="168"/>
      <c r="L208" s="168"/>
    </row>
    <row r="209" spans="1:12" ht="15.75">
      <c r="A209" s="195" t="s">
        <v>121</v>
      </c>
      <c r="B209" s="195"/>
      <c r="C209" s="115">
        <v>0</v>
      </c>
      <c r="D209" s="112">
        <v>0</v>
      </c>
      <c r="E209" s="116">
        <f>G209</f>
        <v>0</v>
      </c>
      <c r="F209" s="31">
        <v>0</v>
      </c>
      <c r="G209" s="207">
        <v>0</v>
      </c>
      <c r="H209" s="208"/>
      <c r="I209" s="31">
        <v>0</v>
      </c>
      <c r="J209" s="191">
        <f>D209-G209</f>
        <v>0</v>
      </c>
      <c r="K209" s="192"/>
      <c r="L209" s="192"/>
    </row>
    <row r="210" spans="1:12" ht="15.75" customHeight="1">
      <c r="A210" s="48"/>
      <c r="B210" s="49"/>
      <c r="C210" s="49"/>
      <c r="D210" s="50"/>
      <c r="E210" s="75"/>
      <c r="F210" s="49"/>
      <c r="G210" s="75"/>
      <c r="H210" s="182"/>
      <c r="I210" s="182"/>
      <c r="J210" s="51"/>
      <c r="K210" s="182"/>
      <c r="L210" s="182"/>
    </row>
    <row r="211" spans="1:12" ht="15.75">
      <c r="A211" s="200" t="s">
        <v>152</v>
      </c>
      <c r="B211" s="76" t="s">
        <v>15</v>
      </c>
      <c r="C211" s="76" t="s">
        <v>15</v>
      </c>
      <c r="D211" s="204" t="s">
        <v>16</v>
      </c>
      <c r="E211" s="205"/>
      <c r="F211" s="77" t="s">
        <v>66</v>
      </c>
      <c r="G211" s="204" t="s">
        <v>17</v>
      </c>
      <c r="H211" s="205"/>
      <c r="I211" s="206"/>
      <c r="J211" s="78" t="s">
        <v>66</v>
      </c>
      <c r="K211" s="183" t="s">
        <v>70</v>
      </c>
      <c r="L211" s="184"/>
    </row>
    <row r="212" spans="1:12" ht="15.75">
      <c r="A212" s="201"/>
      <c r="B212" s="79" t="s">
        <v>5</v>
      </c>
      <c r="C212" s="79" t="s">
        <v>6</v>
      </c>
      <c r="D212" s="80" t="s">
        <v>71</v>
      </c>
      <c r="E212" s="80" t="s">
        <v>72</v>
      </c>
      <c r="F212" s="81"/>
      <c r="G212" s="80" t="s">
        <v>71</v>
      </c>
      <c r="H212" s="187" t="s">
        <v>72</v>
      </c>
      <c r="I212" s="188"/>
      <c r="J212" s="82"/>
      <c r="K212" s="185"/>
      <c r="L212" s="186"/>
    </row>
    <row r="213" spans="1:12" ht="15.75">
      <c r="A213" s="201"/>
      <c r="B213" s="79"/>
      <c r="C213" s="79"/>
      <c r="D213" s="81" t="s">
        <v>73</v>
      </c>
      <c r="E213" s="81" t="s">
        <v>73</v>
      </c>
      <c r="F213" s="81"/>
      <c r="G213" s="81" t="s">
        <v>73</v>
      </c>
      <c r="H213" s="189" t="s">
        <v>73</v>
      </c>
      <c r="I213" s="190"/>
      <c r="J213" s="82"/>
      <c r="K213" s="185"/>
      <c r="L213" s="186"/>
    </row>
    <row r="214" spans="1:12" ht="15.75">
      <c r="A214" s="202"/>
      <c r="B214" s="83" t="s">
        <v>19</v>
      </c>
      <c r="C214" s="83" t="s">
        <v>20</v>
      </c>
      <c r="D214" s="83"/>
      <c r="E214" s="83" t="s">
        <v>74</v>
      </c>
      <c r="F214" s="84" t="s">
        <v>75</v>
      </c>
      <c r="G214" s="83"/>
      <c r="H214" s="217" t="s">
        <v>21</v>
      </c>
      <c r="I214" s="218"/>
      <c r="J214" s="85" t="s">
        <v>76</v>
      </c>
      <c r="K214" s="217" t="s">
        <v>22</v>
      </c>
      <c r="L214" s="219"/>
    </row>
    <row r="215" spans="1:12" s="3" customFormat="1" ht="15.75">
      <c r="A215" s="152" t="s">
        <v>62</v>
      </c>
      <c r="B215" s="105">
        <f>B216+B220</f>
        <v>7534120647</v>
      </c>
      <c r="C215" s="105">
        <f>C216+C220</f>
        <v>8100654538.5</v>
      </c>
      <c r="D215" s="105">
        <f>D216+D220</f>
        <v>1366195918.13</v>
      </c>
      <c r="E215" s="105">
        <f>E216+E220</f>
        <v>2830165335.62</v>
      </c>
      <c r="F215" s="105">
        <f>C215-E215</f>
        <v>5270489202.88</v>
      </c>
      <c r="G215" s="105">
        <f>G216+G220</f>
        <v>1326530108.7100003</v>
      </c>
      <c r="H215" s="214">
        <f>H216+H220</f>
        <v>2400058569.7000003</v>
      </c>
      <c r="I215" s="215"/>
      <c r="J215" s="97">
        <f aca="true" t="shared" si="21" ref="J215:J224">C215-H215</f>
        <v>5700595968.799999</v>
      </c>
      <c r="K215" s="214">
        <f>K216+K220</f>
        <v>2139006414.84</v>
      </c>
      <c r="L215" s="216"/>
    </row>
    <row r="216" spans="1:12" s="3" customFormat="1" ht="15.75">
      <c r="A216" s="152" t="s">
        <v>53</v>
      </c>
      <c r="B216" s="105">
        <f>SUM(B217:B219)</f>
        <v>7533830699</v>
      </c>
      <c r="C216" s="105">
        <f>SUM(C217:C219)</f>
        <v>8100397926.5</v>
      </c>
      <c r="D216" s="105">
        <f>SUM(D217:D219)</f>
        <v>1366175817.89</v>
      </c>
      <c r="E216" s="105">
        <f>SUM(E217:E219)</f>
        <v>2830132364.48</v>
      </c>
      <c r="F216" s="105">
        <f aca="true" t="shared" si="22" ref="F216:F224">C216-E216</f>
        <v>5270265562.02</v>
      </c>
      <c r="G216" s="105">
        <f>SUM(G217:G219)</f>
        <v>1326510008.4700003</v>
      </c>
      <c r="H216" s="214">
        <f>SUM(H217:I219)</f>
        <v>2400025598.5600004</v>
      </c>
      <c r="I216" s="215">
        <f>SUM(I217:I219)</f>
        <v>0</v>
      </c>
      <c r="J216" s="97">
        <f t="shared" si="21"/>
        <v>5700372327.94</v>
      </c>
      <c r="K216" s="214">
        <f>SUM(K217:L219)</f>
        <v>2138984943.85</v>
      </c>
      <c r="L216" s="216"/>
    </row>
    <row r="217" spans="1:12" s="3" customFormat="1" ht="15.75" customHeight="1">
      <c r="A217" s="153" t="s">
        <v>54</v>
      </c>
      <c r="B217" s="108">
        <v>3277371112</v>
      </c>
      <c r="C217" s="108">
        <v>3600857240.3</v>
      </c>
      <c r="D217" s="108">
        <f>E217-864821329.92</f>
        <v>546231583.15</v>
      </c>
      <c r="E217" s="149">
        <v>1411052913.07</v>
      </c>
      <c r="F217" s="108">
        <f t="shared" si="22"/>
        <v>2189804327.2300005</v>
      </c>
      <c r="G217" s="108">
        <f>H217-554490069.22</f>
        <v>584395887.1800001</v>
      </c>
      <c r="H217" s="169">
        <v>1138885956.4</v>
      </c>
      <c r="I217" s="170"/>
      <c r="J217" s="92">
        <f t="shared" si="21"/>
        <v>2461971283.9</v>
      </c>
      <c r="K217" s="169">
        <v>911174876.76</v>
      </c>
      <c r="L217" s="171"/>
    </row>
    <row r="218" spans="1:12" s="3" customFormat="1" ht="15.75" customHeight="1">
      <c r="A218" s="159" t="s">
        <v>129</v>
      </c>
      <c r="B218" s="108">
        <v>0</v>
      </c>
      <c r="C218" s="108">
        <v>0</v>
      </c>
      <c r="D218" s="108">
        <f>E218</f>
        <v>0</v>
      </c>
      <c r="E218" s="108">
        <v>0</v>
      </c>
      <c r="F218" s="108">
        <f t="shared" si="22"/>
        <v>0</v>
      </c>
      <c r="G218" s="108">
        <f>H218</f>
        <v>0</v>
      </c>
      <c r="H218" s="169">
        <v>0</v>
      </c>
      <c r="I218" s="170"/>
      <c r="J218" s="92">
        <f t="shared" si="21"/>
        <v>0</v>
      </c>
      <c r="K218" s="169">
        <v>0</v>
      </c>
      <c r="L218" s="171"/>
    </row>
    <row r="219" spans="1:12" s="3" customFormat="1" ht="15.75" customHeight="1">
      <c r="A219" s="153" t="s">
        <v>56</v>
      </c>
      <c r="B219" s="149">
        <v>4256459587</v>
      </c>
      <c r="C219" s="149">
        <v>4499540686.2</v>
      </c>
      <c r="D219" s="108">
        <f>E219-599135216.67</f>
        <v>819944234.7400001</v>
      </c>
      <c r="E219" s="149">
        <v>1419079451.41</v>
      </c>
      <c r="F219" s="108">
        <f t="shared" si="22"/>
        <v>3080461234.79</v>
      </c>
      <c r="G219" s="108">
        <f>H219-519025520.87</f>
        <v>742114121.2900001</v>
      </c>
      <c r="H219" s="169">
        <v>1261139642.16</v>
      </c>
      <c r="I219" s="170"/>
      <c r="J219" s="92">
        <f t="shared" si="21"/>
        <v>3238401044.04</v>
      </c>
      <c r="K219" s="169">
        <v>1227810067.09</v>
      </c>
      <c r="L219" s="171"/>
    </row>
    <row r="220" spans="1:12" s="3" customFormat="1" ht="15.75" customHeight="1">
      <c r="A220" s="152" t="s">
        <v>57</v>
      </c>
      <c r="B220" s="105">
        <f>B221+B222+B223</f>
        <v>289948</v>
      </c>
      <c r="C220" s="139">
        <f>C221+C222+C223</f>
        <v>256612</v>
      </c>
      <c r="D220" s="139">
        <f>D221+D222+D223</f>
        <v>20100.239999999998</v>
      </c>
      <c r="E220" s="139">
        <f>E221+E222+E223</f>
        <v>32971.14</v>
      </c>
      <c r="F220" s="105">
        <f t="shared" si="22"/>
        <v>223640.86</v>
      </c>
      <c r="G220" s="105">
        <f>G221+G222+G223</f>
        <v>20100.239999999998</v>
      </c>
      <c r="H220" s="214">
        <f>H221+H222+H223</f>
        <v>32971.14</v>
      </c>
      <c r="I220" s="215"/>
      <c r="J220" s="97">
        <f t="shared" si="21"/>
        <v>223640.86</v>
      </c>
      <c r="K220" s="214">
        <f>K221+K222+K223</f>
        <v>21470.99</v>
      </c>
      <c r="L220" s="216"/>
    </row>
    <row r="221" spans="1:12" s="3" customFormat="1" ht="15.75" customHeight="1">
      <c r="A221" s="153" t="s">
        <v>58</v>
      </c>
      <c r="B221" s="108">
        <v>40000</v>
      </c>
      <c r="C221" s="108">
        <v>6664</v>
      </c>
      <c r="D221" s="108">
        <f>E221</f>
        <v>0</v>
      </c>
      <c r="E221" s="108">
        <v>0</v>
      </c>
      <c r="F221" s="108">
        <f t="shared" si="22"/>
        <v>6664</v>
      </c>
      <c r="G221" s="92">
        <f>H221</f>
        <v>0</v>
      </c>
      <c r="H221" s="171">
        <v>0</v>
      </c>
      <c r="I221" s="170"/>
      <c r="J221" s="92">
        <f t="shared" si="21"/>
        <v>6664</v>
      </c>
      <c r="K221" s="171">
        <v>0</v>
      </c>
      <c r="L221" s="171"/>
    </row>
    <row r="222" spans="1:12" s="3" customFormat="1" ht="15.75" customHeight="1">
      <c r="A222" s="153" t="s">
        <v>59</v>
      </c>
      <c r="B222" s="108">
        <v>0</v>
      </c>
      <c r="C222" s="108">
        <v>0</v>
      </c>
      <c r="D222" s="108">
        <f>E222</f>
        <v>0</v>
      </c>
      <c r="E222" s="108">
        <v>0</v>
      </c>
      <c r="F222" s="108">
        <f t="shared" si="22"/>
        <v>0</v>
      </c>
      <c r="G222" s="92">
        <f>H222</f>
        <v>0</v>
      </c>
      <c r="H222" s="169">
        <v>0</v>
      </c>
      <c r="I222" s="170"/>
      <c r="J222" s="92">
        <f t="shared" si="21"/>
        <v>0</v>
      </c>
      <c r="K222" s="169">
        <v>0</v>
      </c>
      <c r="L222" s="171"/>
    </row>
    <row r="223" spans="1:12" s="3" customFormat="1" ht="15.75" customHeight="1">
      <c r="A223" s="153" t="s">
        <v>60</v>
      </c>
      <c r="B223" s="130">
        <v>249948</v>
      </c>
      <c r="C223" s="130">
        <v>249948</v>
      </c>
      <c r="D223" s="130">
        <f>E223-12870.9</f>
        <v>20100.239999999998</v>
      </c>
      <c r="E223" s="149">
        <v>32971.14</v>
      </c>
      <c r="F223" s="130">
        <v>0</v>
      </c>
      <c r="G223" s="130">
        <f>H223-12870.9</f>
        <v>20100.239999999998</v>
      </c>
      <c r="H223" s="169">
        <v>32971.14</v>
      </c>
      <c r="I223" s="170"/>
      <c r="J223" s="92">
        <f t="shared" si="21"/>
        <v>216976.86</v>
      </c>
      <c r="K223" s="169">
        <v>21470.99</v>
      </c>
      <c r="L223" s="171"/>
    </row>
    <row r="224" spans="1:12" s="3" customFormat="1" ht="15.75" customHeight="1">
      <c r="A224" s="160" t="s">
        <v>145</v>
      </c>
      <c r="B224" s="111">
        <v>0</v>
      </c>
      <c r="C224" s="111">
        <v>0</v>
      </c>
      <c r="D224" s="111">
        <f>E224-0</f>
        <v>0</v>
      </c>
      <c r="E224" s="111">
        <v>0</v>
      </c>
      <c r="F224" s="111">
        <f t="shared" si="22"/>
        <v>0</v>
      </c>
      <c r="G224" s="111">
        <f>H224-0</f>
        <v>0</v>
      </c>
      <c r="H224" s="209">
        <v>0</v>
      </c>
      <c r="I224" s="210"/>
      <c r="J224" s="112">
        <f t="shared" si="21"/>
        <v>0</v>
      </c>
      <c r="K224" s="209">
        <v>0</v>
      </c>
      <c r="L224" s="211"/>
    </row>
    <row r="225" spans="1:12" s="3" customFormat="1" ht="15.75">
      <c r="A225" s="86" t="s">
        <v>125</v>
      </c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1" t="s">
        <v>90</v>
      </c>
    </row>
    <row r="226" spans="1:12" s="3" customFormat="1" ht="18">
      <c r="A226" s="86" t="s">
        <v>139</v>
      </c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1"/>
    </row>
    <row r="227" spans="1:12" s="3" customFormat="1" ht="18">
      <c r="A227" s="86" t="s">
        <v>140</v>
      </c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1"/>
    </row>
    <row r="228" spans="1:12" s="3" customFormat="1" ht="15.75" customHeight="1">
      <c r="A228" s="67" t="s">
        <v>128</v>
      </c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89"/>
    </row>
    <row r="229" spans="1:12" s="3" customFormat="1" ht="15.75" customHeight="1">
      <c r="A229" s="67" t="s">
        <v>154</v>
      </c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69"/>
    </row>
    <row r="230" spans="1:12" s="3" customFormat="1" ht="15.75" customHeight="1">
      <c r="A230" s="339" t="s">
        <v>158</v>
      </c>
      <c r="B230" s="339"/>
      <c r="C230" s="339"/>
      <c r="D230" s="339"/>
      <c r="E230" s="339"/>
      <c r="F230" s="339"/>
      <c r="G230" s="339"/>
      <c r="H230" s="339"/>
      <c r="I230" s="339"/>
      <c r="J230" s="339"/>
      <c r="K230" s="339"/>
      <c r="L230" s="339"/>
    </row>
    <row r="231" spans="1:12" s="3" customFormat="1" ht="15.75">
      <c r="A231" s="332" t="s">
        <v>157</v>
      </c>
      <c r="B231" s="332"/>
      <c r="C231" s="332"/>
      <c r="D231" s="332"/>
      <c r="E231" s="332"/>
      <c r="F231" s="332"/>
      <c r="G231" s="332"/>
      <c r="H231" s="332"/>
      <c r="I231" s="332"/>
      <c r="J231" s="332"/>
      <c r="K231" s="332"/>
      <c r="L231" s="332"/>
    </row>
    <row r="232" spans="1:12" s="3" customFormat="1" ht="15.75" customHeight="1">
      <c r="A232" s="163"/>
      <c r="B232" s="67"/>
      <c r="C232" s="87"/>
      <c r="D232" s="67"/>
      <c r="E232" s="88"/>
      <c r="F232" s="67"/>
      <c r="G232" s="88"/>
      <c r="H232" s="67"/>
      <c r="I232" s="67"/>
      <c r="J232" s="67"/>
      <c r="K232" s="67"/>
      <c r="L232" s="67"/>
    </row>
    <row r="233" spans="1:12" s="3" customFormat="1" ht="15.75" customHeight="1">
      <c r="A233" s="164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</row>
    <row r="234" spans="1:13" s="3" customFormat="1" ht="15.75" customHeight="1">
      <c r="A234" s="64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5"/>
    </row>
    <row r="235" spans="1:13" s="3" customFormat="1" ht="15.75" customHeight="1">
      <c r="A235" s="66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</row>
    <row r="236" spans="1:12" s="3" customFormat="1" ht="15.75" customHeight="1">
      <c r="A236" s="66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</row>
    <row r="237" spans="1:12" s="3" customFormat="1" ht="15.7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</row>
    <row r="238" spans="1:12" s="3" customFormat="1" ht="15.7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</row>
    <row r="239" spans="1:12" s="3" customFormat="1" ht="15.75" customHeight="1">
      <c r="A239" s="331" t="s">
        <v>91</v>
      </c>
      <c r="B239" s="331"/>
      <c r="C239" s="331" t="s">
        <v>85</v>
      </c>
      <c r="D239" s="331"/>
      <c r="E239" s="331"/>
      <c r="F239" s="331"/>
      <c r="G239" s="326" t="s">
        <v>141</v>
      </c>
      <c r="H239" s="326"/>
      <c r="I239" s="326"/>
      <c r="J239" s="326"/>
      <c r="K239" s="326"/>
      <c r="L239" s="326"/>
    </row>
    <row r="240" spans="1:12" s="3" customFormat="1" ht="15.75" customHeight="1">
      <c r="A240" s="331" t="s">
        <v>84</v>
      </c>
      <c r="B240" s="331"/>
      <c r="C240" s="331" t="s">
        <v>86</v>
      </c>
      <c r="D240" s="331"/>
      <c r="E240" s="331"/>
      <c r="F240" s="331"/>
      <c r="G240" s="326" t="s">
        <v>142</v>
      </c>
      <c r="H240" s="326"/>
      <c r="I240" s="326"/>
      <c r="J240" s="326"/>
      <c r="K240" s="326"/>
      <c r="L240" s="326"/>
    </row>
    <row r="241" spans="1:12" s="3" customFormat="1" ht="15.75" customHeight="1">
      <c r="A241" s="331" t="s">
        <v>83</v>
      </c>
      <c r="B241" s="331"/>
      <c r="C241" s="331" t="s">
        <v>87</v>
      </c>
      <c r="D241" s="331"/>
      <c r="E241" s="331"/>
      <c r="F241" s="331"/>
      <c r="G241" s="326" t="s">
        <v>143</v>
      </c>
      <c r="H241" s="326"/>
      <c r="I241" s="326"/>
      <c r="J241" s="326"/>
      <c r="K241" s="326"/>
      <c r="L241" s="326"/>
    </row>
    <row r="242" spans="1:12" ht="15.75" customHeight="1">
      <c r="A242" s="67"/>
      <c r="B242" s="67"/>
      <c r="C242" s="67"/>
      <c r="D242" s="67"/>
      <c r="E242" s="67"/>
      <c r="F242" s="67"/>
      <c r="G242" s="68"/>
      <c r="H242" s="68"/>
      <c r="I242" s="68"/>
      <c r="J242" s="68"/>
      <c r="K242" s="68"/>
      <c r="L242" s="67"/>
    </row>
    <row r="243" spans="1:12" ht="11.2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</row>
    <row r="244" spans="1:12" ht="11.2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</row>
    <row r="245" spans="1:12" ht="11.25" customHeight="1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</row>
    <row r="246" spans="1:12" ht="11.25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</row>
    <row r="247" spans="1:12" ht="11.25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</row>
    <row r="248" spans="1:12" ht="11.25" customHeight="1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</row>
    <row r="249" spans="1:12" ht="11.25" customHeight="1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</row>
    <row r="250" spans="1:12" ht="11.2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</row>
    <row r="251" spans="1:12" ht="11.2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</row>
    <row r="252" spans="1:12" ht="11.25" customHeight="1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</row>
    <row r="253" spans="1:12" ht="11.25" customHeight="1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</row>
  </sheetData>
  <sheetProtection/>
  <mergeCells count="580">
    <mergeCell ref="A230:L230"/>
    <mergeCell ref="M202:P202"/>
    <mergeCell ref="N203:N204"/>
    <mergeCell ref="M57:N57"/>
    <mergeCell ref="M58:N58"/>
    <mergeCell ref="O57:P57"/>
    <mergeCell ref="O58:P58"/>
    <mergeCell ref="M179:N179"/>
    <mergeCell ref="M184:N184"/>
    <mergeCell ref="J70:L70"/>
    <mergeCell ref="Q57:T57"/>
    <mergeCell ref="N83:Q85"/>
    <mergeCell ref="M75:P75"/>
    <mergeCell ref="M76:P78"/>
    <mergeCell ref="M51:N51"/>
    <mergeCell ref="M56:N56"/>
    <mergeCell ref="M74:P74"/>
    <mergeCell ref="G240:L240"/>
    <mergeCell ref="G239:L239"/>
    <mergeCell ref="G82:H82"/>
    <mergeCell ref="G65:H65"/>
    <mergeCell ref="G68:H68"/>
    <mergeCell ref="G66:H66"/>
    <mergeCell ref="J73:L73"/>
    <mergeCell ref="G70:H70"/>
    <mergeCell ref="G72:H72"/>
    <mergeCell ref="J66:L66"/>
    <mergeCell ref="A240:B240"/>
    <mergeCell ref="A80:B80"/>
    <mergeCell ref="J80:L80"/>
    <mergeCell ref="G80:H80"/>
    <mergeCell ref="J85:L85"/>
    <mergeCell ref="A85:B85"/>
    <mergeCell ref="G81:H81"/>
    <mergeCell ref="G85:H85"/>
    <mergeCell ref="A88:B88"/>
    <mergeCell ref="G202:H202"/>
    <mergeCell ref="G69:H69"/>
    <mergeCell ref="J71:L71"/>
    <mergeCell ref="A239:B239"/>
    <mergeCell ref="J75:L75"/>
    <mergeCell ref="J202:L202"/>
    <mergeCell ref="A79:B79"/>
    <mergeCell ref="G79:H79"/>
    <mergeCell ref="J77:L77"/>
    <mergeCell ref="A78:B78"/>
    <mergeCell ref="J72:L72"/>
    <mergeCell ref="A241:B241"/>
    <mergeCell ref="H218:I218"/>
    <mergeCell ref="K218:L218"/>
    <mergeCell ref="C239:F239"/>
    <mergeCell ref="C240:F240"/>
    <mergeCell ref="C241:F241"/>
    <mergeCell ref="A231:L231"/>
    <mergeCell ref="H221:I221"/>
    <mergeCell ref="K221:L221"/>
    <mergeCell ref="H222:I222"/>
    <mergeCell ref="G241:L241"/>
    <mergeCell ref="A6:L6"/>
    <mergeCell ref="A7:L7"/>
    <mergeCell ref="A8:L8"/>
    <mergeCell ref="A9:L9"/>
    <mergeCell ref="A10:L10"/>
    <mergeCell ref="C14:C16"/>
    <mergeCell ref="E14:I14"/>
    <mergeCell ref="J15:L15"/>
    <mergeCell ref="G16:H16"/>
    <mergeCell ref="J16:L16"/>
    <mergeCell ref="J25:L25"/>
    <mergeCell ref="A24:B24"/>
    <mergeCell ref="G24:H24"/>
    <mergeCell ref="A14:B16"/>
    <mergeCell ref="A18:B18"/>
    <mergeCell ref="G18:H18"/>
    <mergeCell ref="J14:L14"/>
    <mergeCell ref="G15:H15"/>
    <mergeCell ref="A19:B19"/>
    <mergeCell ref="G19:H19"/>
    <mergeCell ref="J19:L19"/>
    <mergeCell ref="A17:B17"/>
    <mergeCell ref="G17:H17"/>
    <mergeCell ref="A20:B20"/>
    <mergeCell ref="G20:H20"/>
    <mergeCell ref="J20:L20"/>
    <mergeCell ref="J17:L17"/>
    <mergeCell ref="J18:L18"/>
    <mergeCell ref="J22:L22"/>
    <mergeCell ref="J30:L30"/>
    <mergeCell ref="A21:B21"/>
    <mergeCell ref="G21:H21"/>
    <mergeCell ref="J21:L21"/>
    <mergeCell ref="A23:B23"/>
    <mergeCell ref="A28:B28"/>
    <mergeCell ref="G23:H23"/>
    <mergeCell ref="J23:L23"/>
    <mergeCell ref="A22:B22"/>
    <mergeCell ref="A26:B26"/>
    <mergeCell ref="A30:B30"/>
    <mergeCell ref="A31:B31"/>
    <mergeCell ref="A29:B29"/>
    <mergeCell ref="J29:L29"/>
    <mergeCell ref="J26:L26"/>
    <mergeCell ref="J27:L27"/>
    <mergeCell ref="G28:H28"/>
    <mergeCell ref="J28:L28"/>
    <mergeCell ref="G29:H29"/>
    <mergeCell ref="G22:H22"/>
    <mergeCell ref="A25:B25"/>
    <mergeCell ref="G25:H25"/>
    <mergeCell ref="J24:L24"/>
    <mergeCell ref="G26:H26"/>
    <mergeCell ref="A33:B33"/>
    <mergeCell ref="J33:L33"/>
    <mergeCell ref="G32:H32"/>
    <mergeCell ref="G33:H33"/>
    <mergeCell ref="A27:B27"/>
    <mergeCell ref="G27:H27"/>
    <mergeCell ref="J31:L31"/>
    <mergeCell ref="G30:H30"/>
    <mergeCell ref="A34:B34"/>
    <mergeCell ref="J34:L34"/>
    <mergeCell ref="A32:B32"/>
    <mergeCell ref="J32:L32"/>
    <mergeCell ref="G34:H34"/>
    <mergeCell ref="G31:H31"/>
    <mergeCell ref="A37:B37"/>
    <mergeCell ref="G37:H37"/>
    <mergeCell ref="J37:L37"/>
    <mergeCell ref="A35:B35"/>
    <mergeCell ref="J35:L35"/>
    <mergeCell ref="G35:H35"/>
    <mergeCell ref="A36:B36"/>
    <mergeCell ref="G36:H36"/>
    <mergeCell ref="J36:L36"/>
    <mergeCell ref="G45:H45"/>
    <mergeCell ref="G46:H46"/>
    <mergeCell ref="J39:L39"/>
    <mergeCell ref="A39:B39"/>
    <mergeCell ref="A38:B38"/>
    <mergeCell ref="A44:B44"/>
    <mergeCell ref="G44:H44"/>
    <mergeCell ref="J44:L44"/>
    <mergeCell ref="J43:L43"/>
    <mergeCell ref="G38:H38"/>
    <mergeCell ref="G47:H47"/>
    <mergeCell ref="G48:H48"/>
    <mergeCell ref="J48:L48"/>
    <mergeCell ref="A47:B47"/>
    <mergeCell ref="J47:L47"/>
    <mergeCell ref="J46:L46"/>
    <mergeCell ref="J38:L38"/>
    <mergeCell ref="G39:H39"/>
    <mergeCell ref="A45:B45"/>
    <mergeCell ref="J45:L45"/>
    <mergeCell ref="A46:B46"/>
    <mergeCell ref="G41:H41"/>
    <mergeCell ref="G42:H42"/>
    <mergeCell ref="G43:H43"/>
    <mergeCell ref="J41:L41"/>
    <mergeCell ref="J42:L42"/>
    <mergeCell ref="J49:L49"/>
    <mergeCell ref="G49:H49"/>
    <mergeCell ref="G55:H55"/>
    <mergeCell ref="A52:B52"/>
    <mergeCell ref="J52:L52"/>
    <mergeCell ref="G50:H50"/>
    <mergeCell ref="G52:H52"/>
    <mergeCell ref="J55:L55"/>
    <mergeCell ref="J51:L51"/>
    <mergeCell ref="G51:H51"/>
    <mergeCell ref="G57:H57"/>
    <mergeCell ref="J54:L54"/>
    <mergeCell ref="G53:H53"/>
    <mergeCell ref="G54:H54"/>
    <mergeCell ref="A59:B59"/>
    <mergeCell ref="J59:L59"/>
    <mergeCell ref="J57:L57"/>
    <mergeCell ref="J53:L53"/>
    <mergeCell ref="A57:B57"/>
    <mergeCell ref="A53:B53"/>
    <mergeCell ref="A60:B60"/>
    <mergeCell ref="J58:L58"/>
    <mergeCell ref="G60:H60"/>
    <mergeCell ref="G58:H58"/>
    <mergeCell ref="G59:H59"/>
    <mergeCell ref="A58:B58"/>
    <mergeCell ref="J60:L60"/>
    <mergeCell ref="A61:B61"/>
    <mergeCell ref="J61:L61"/>
    <mergeCell ref="A62:B62"/>
    <mergeCell ref="J63:L63"/>
    <mergeCell ref="G61:H61"/>
    <mergeCell ref="G63:H63"/>
    <mergeCell ref="J62:L62"/>
    <mergeCell ref="A64:B64"/>
    <mergeCell ref="G62:H62"/>
    <mergeCell ref="A67:B67"/>
    <mergeCell ref="G64:H64"/>
    <mergeCell ref="J64:L64"/>
    <mergeCell ref="A68:B68"/>
    <mergeCell ref="A63:B63"/>
    <mergeCell ref="J65:L65"/>
    <mergeCell ref="G77:H77"/>
    <mergeCell ref="G76:H76"/>
    <mergeCell ref="J87:L87"/>
    <mergeCell ref="A82:B82"/>
    <mergeCell ref="J67:L67"/>
    <mergeCell ref="A69:B69"/>
    <mergeCell ref="J69:L69"/>
    <mergeCell ref="A70:B70"/>
    <mergeCell ref="J68:L68"/>
    <mergeCell ref="J79:L79"/>
    <mergeCell ref="A73:B73"/>
    <mergeCell ref="G87:H87"/>
    <mergeCell ref="J83:L83"/>
    <mergeCell ref="A81:B81"/>
    <mergeCell ref="G73:H73"/>
    <mergeCell ref="G78:H78"/>
    <mergeCell ref="J78:L78"/>
    <mergeCell ref="A77:B77"/>
    <mergeCell ref="A75:B75"/>
    <mergeCell ref="A76:B76"/>
    <mergeCell ref="G88:H88"/>
    <mergeCell ref="J82:L82"/>
    <mergeCell ref="J88:L88"/>
    <mergeCell ref="A86:B86"/>
    <mergeCell ref="G86:H86"/>
    <mergeCell ref="J81:L81"/>
    <mergeCell ref="G83:H83"/>
    <mergeCell ref="A87:B87"/>
    <mergeCell ref="A93:B93"/>
    <mergeCell ref="G93:H93"/>
    <mergeCell ref="J93:L93"/>
    <mergeCell ref="A90:B90"/>
    <mergeCell ref="G90:H90"/>
    <mergeCell ref="J90:L90"/>
    <mergeCell ref="A92:B92"/>
    <mergeCell ref="G92:H92"/>
    <mergeCell ref="J92:L92"/>
    <mergeCell ref="A91:B91"/>
    <mergeCell ref="G91:H91"/>
    <mergeCell ref="J91:L91"/>
    <mergeCell ref="A89:B89"/>
    <mergeCell ref="G89:H89"/>
    <mergeCell ref="J89:L89"/>
    <mergeCell ref="A83:B83"/>
    <mergeCell ref="J84:L84"/>
    <mergeCell ref="J86:L86"/>
    <mergeCell ref="A84:B84"/>
    <mergeCell ref="G84:H84"/>
    <mergeCell ref="A94:B94"/>
    <mergeCell ref="G94:H94"/>
    <mergeCell ref="J94:L94"/>
    <mergeCell ref="G96:H96"/>
    <mergeCell ref="J96:L96"/>
    <mergeCell ref="J95:L95"/>
    <mergeCell ref="A95:B95"/>
    <mergeCell ref="G95:H95"/>
    <mergeCell ref="K100:L102"/>
    <mergeCell ref="H101:I101"/>
    <mergeCell ref="H102:I102"/>
    <mergeCell ref="J97:L97"/>
    <mergeCell ref="G97:H97"/>
    <mergeCell ref="J98:L98"/>
    <mergeCell ref="A100:A103"/>
    <mergeCell ref="H106:I106"/>
    <mergeCell ref="G98:H98"/>
    <mergeCell ref="D100:E100"/>
    <mergeCell ref="G100:I100"/>
    <mergeCell ref="A96:B96"/>
    <mergeCell ref="A98:B98"/>
    <mergeCell ref="A97:B97"/>
    <mergeCell ref="K103:L103"/>
    <mergeCell ref="H104:I104"/>
    <mergeCell ref="K104:L104"/>
    <mergeCell ref="H105:I105"/>
    <mergeCell ref="K105:L105"/>
    <mergeCell ref="K106:L106"/>
    <mergeCell ref="H103:I103"/>
    <mergeCell ref="K113:L113"/>
    <mergeCell ref="K114:L114"/>
    <mergeCell ref="K107:L107"/>
    <mergeCell ref="H109:I109"/>
    <mergeCell ref="K109:L109"/>
    <mergeCell ref="K108:L108"/>
    <mergeCell ref="H110:I110"/>
    <mergeCell ref="K110:L110"/>
    <mergeCell ref="H107:I107"/>
    <mergeCell ref="H108:I108"/>
    <mergeCell ref="H117:I117"/>
    <mergeCell ref="K117:L117"/>
    <mergeCell ref="H111:I111"/>
    <mergeCell ref="K111:L111"/>
    <mergeCell ref="H115:I115"/>
    <mergeCell ref="K115:L115"/>
    <mergeCell ref="H112:I112"/>
    <mergeCell ref="H113:I113"/>
    <mergeCell ref="H114:I114"/>
    <mergeCell ref="K112:L112"/>
    <mergeCell ref="K126:L126"/>
    <mergeCell ref="H124:I124"/>
    <mergeCell ref="H126:I126"/>
    <mergeCell ref="H118:I118"/>
    <mergeCell ref="K118:L118"/>
    <mergeCell ref="H119:I119"/>
    <mergeCell ref="K119:L119"/>
    <mergeCell ref="K120:L120"/>
    <mergeCell ref="A137:L137"/>
    <mergeCell ref="K123:L123"/>
    <mergeCell ref="H121:I121"/>
    <mergeCell ref="J142:L142"/>
    <mergeCell ref="A138:L138"/>
    <mergeCell ref="K124:L124"/>
    <mergeCell ref="H125:I125"/>
    <mergeCell ref="K121:L121"/>
    <mergeCell ref="K125:L125"/>
    <mergeCell ref="H122:I122"/>
    <mergeCell ref="H116:I116"/>
    <mergeCell ref="K116:L116"/>
    <mergeCell ref="K128:L128"/>
    <mergeCell ref="H128:I128"/>
    <mergeCell ref="H120:I120"/>
    <mergeCell ref="A136:L136"/>
    <mergeCell ref="K122:L122"/>
    <mergeCell ref="H123:I123"/>
    <mergeCell ref="H127:I127"/>
    <mergeCell ref="K127:L127"/>
    <mergeCell ref="G144:H144"/>
    <mergeCell ref="J144:L144"/>
    <mergeCell ref="A145:B145"/>
    <mergeCell ref="G145:H145"/>
    <mergeCell ref="J145:L145"/>
    <mergeCell ref="C142:C144"/>
    <mergeCell ref="E142:I142"/>
    <mergeCell ref="G143:H143"/>
    <mergeCell ref="J143:L143"/>
    <mergeCell ref="A142:B144"/>
    <mergeCell ref="A146:B146"/>
    <mergeCell ref="G146:H146"/>
    <mergeCell ref="J146:L146"/>
    <mergeCell ref="A147:B147"/>
    <mergeCell ref="G147:H147"/>
    <mergeCell ref="J147:L147"/>
    <mergeCell ref="A148:B148"/>
    <mergeCell ref="G148:H148"/>
    <mergeCell ref="J148:L148"/>
    <mergeCell ref="A149:B149"/>
    <mergeCell ref="G149:H149"/>
    <mergeCell ref="J149:L149"/>
    <mergeCell ref="A151:B151"/>
    <mergeCell ref="G151:H151"/>
    <mergeCell ref="J151:L151"/>
    <mergeCell ref="A152:B152"/>
    <mergeCell ref="G152:H152"/>
    <mergeCell ref="J152:L152"/>
    <mergeCell ref="A153:B153"/>
    <mergeCell ref="G153:H153"/>
    <mergeCell ref="J153:L153"/>
    <mergeCell ref="A156:B156"/>
    <mergeCell ref="G156:H156"/>
    <mergeCell ref="J156:L156"/>
    <mergeCell ref="J154:L154"/>
    <mergeCell ref="G155:H155"/>
    <mergeCell ref="J155:L155"/>
    <mergeCell ref="A154:B154"/>
    <mergeCell ref="A157:B157"/>
    <mergeCell ref="G157:H157"/>
    <mergeCell ref="J157:L157"/>
    <mergeCell ref="A158:B158"/>
    <mergeCell ref="G158:H158"/>
    <mergeCell ref="J158:L158"/>
    <mergeCell ref="J165:L165"/>
    <mergeCell ref="G162:H162"/>
    <mergeCell ref="J162:L162"/>
    <mergeCell ref="G159:H159"/>
    <mergeCell ref="J159:L159"/>
    <mergeCell ref="A160:B160"/>
    <mergeCell ref="G160:H160"/>
    <mergeCell ref="J160:L160"/>
    <mergeCell ref="A159:B159"/>
    <mergeCell ref="G40:H40"/>
    <mergeCell ref="A166:B166"/>
    <mergeCell ref="G166:H166"/>
    <mergeCell ref="J166:L166"/>
    <mergeCell ref="J40:L40"/>
    <mergeCell ref="G165:H165"/>
    <mergeCell ref="A165:B165"/>
    <mergeCell ref="J164:L164"/>
    <mergeCell ref="A150:B150"/>
    <mergeCell ref="A40:B40"/>
    <mergeCell ref="J50:L50"/>
    <mergeCell ref="J175:L175"/>
    <mergeCell ref="A172:B172"/>
    <mergeCell ref="G172:H172"/>
    <mergeCell ref="J172:L172"/>
    <mergeCell ref="G173:H173"/>
    <mergeCell ref="J173:L173"/>
    <mergeCell ref="A175:B175"/>
    <mergeCell ref="G71:H71"/>
    <mergeCell ref="J76:L76"/>
    <mergeCell ref="G75:H75"/>
    <mergeCell ref="A66:B66"/>
    <mergeCell ref="G67:H67"/>
    <mergeCell ref="J167:L167"/>
    <mergeCell ref="J150:L150"/>
    <mergeCell ref="J163:L163"/>
    <mergeCell ref="A164:B164"/>
    <mergeCell ref="A167:B167"/>
    <mergeCell ref="G167:H167"/>
    <mergeCell ref="A155:B155"/>
    <mergeCell ref="J177:L177"/>
    <mergeCell ref="J174:L174"/>
    <mergeCell ref="A178:B178"/>
    <mergeCell ref="A179:B179"/>
    <mergeCell ref="G179:H179"/>
    <mergeCell ref="G150:H150"/>
    <mergeCell ref="A162:B162"/>
    <mergeCell ref="G164:H164"/>
    <mergeCell ref="J161:L161"/>
    <mergeCell ref="G169:H169"/>
    <mergeCell ref="A170:B170"/>
    <mergeCell ref="A180:B180"/>
    <mergeCell ref="G180:H180"/>
    <mergeCell ref="A161:B161"/>
    <mergeCell ref="A173:B173"/>
    <mergeCell ref="G177:H177"/>
    <mergeCell ref="A176:B176"/>
    <mergeCell ref="A177:B177"/>
    <mergeCell ref="G178:H178"/>
    <mergeCell ref="A171:B171"/>
    <mergeCell ref="G181:H181"/>
    <mergeCell ref="A54:B54"/>
    <mergeCell ref="A55:B55"/>
    <mergeCell ref="A65:B65"/>
    <mergeCell ref="A71:B71"/>
    <mergeCell ref="A72:B72"/>
    <mergeCell ref="G176:H176"/>
    <mergeCell ref="G175:H175"/>
    <mergeCell ref="G174:H174"/>
    <mergeCell ref="G161:H161"/>
    <mergeCell ref="J185:L185"/>
    <mergeCell ref="J178:L178"/>
    <mergeCell ref="J182:L182"/>
    <mergeCell ref="J183:L183"/>
    <mergeCell ref="J181:L181"/>
    <mergeCell ref="J179:L179"/>
    <mergeCell ref="J180:L180"/>
    <mergeCell ref="A41:B41"/>
    <mergeCell ref="A42:B42"/>
    <mergeCell ref="A43:B43"/>
    <mergeCell ref="A49:B49"/>
    <mergeCell ref="A50:B50"/>
    <mergeCell ref="A51:B51"/>
    <mergeCell ref="A48:B48"/>
    <mergeCell ref="J191:L191"/>
    <mergeCell ref="G188:H188"/>
    <mergeCell ref="J188:L188"/>
    <mergeCell ref="J189:L189"/>
    <mergeCell ref="J187:L187"/>
    <mergeCell ref="J186:L186"/>
    <mergeCell ref="H215:I215"/>
    <mergeCell ref="K215:L215"/>
    <mergeCell ref="H216:I216"/>
    <mergeCell ref="K216:L216"/>
    <mergeCell ref="H214:I214"/>
    <mergeCell ref="K214:L214"/>
    <mergeCell ref="H217:I217"/>
    <mergeCell ref="K217:L217"/>
    <mergeCell ref="H219:I219"/>
    <mergeCell ref="K219:L219"/>
    <mergeCell ref="H220:I220"/>
    <mergeCell ref="K220:L220"/>
    <mergeCell ref="K222:L222"/>
    <mergeCell ref="H224:I224"/>
    <mergeCell ref="K224:L224"/>
    <mergeCell ref="A134:L134"/>
    <mergeCell ref="A135:L135"/>
    <mergeCell ref="A169:B169"/>
    <mergeCell ref="G154:H154"/>
    <mergeCell ref="A168:B168"/>
    <mergeCell ref="A174:B174"/>
    <mergeCell ref="G168:H168"/>
    <mergeCell ref="J199:L199"/>
    <mergeCell ref="D211:E211"/>
    <mergeCell ref="G211:I211"/>
    <mergeCell ref="A204:B204"/>
    <mergeCell ref="G208:H208"/>
    <mergeCell ref="G201:H201"/>
    <mergeCell ref="A205:B205"/>
    <mergeCell ref="G209:H209"/>
    <mergeCell ref="A208:B208"/>
    <mergeCell ref="G203:H203"/>
    <mergeCell ref="G198:H198"/>
    <mergeCell ref="A207:B207"/>
    <mergeCell ref="A186:B186"/>
    <mergeCell ref="J168:L168"/>
    <mergeCell ref="A163:B163"/>
    <mergeCell ref="G163:H163"/>
    <mergeCell ref="J201:L201"/>
    <mergeCell ref="J203:L203"/>
    <mergeCell ref="J205:L205"/>
    <mergeCell ref="J204:L204"/>
    <mergeCell ref="G195:H195"/>
    <mergeCell ref="A196:B196"/>
    <mergeCell ref="G200:H200"/>
    <mergeCell ref="G190:H190"/>
    <mergeCell ref="G191:H191"/>
    <mergeCell ref="G193:H193"/>
    <mergeCell ref="G192:H192"/>
    <mergeCell ref="G197:H197"/>
    <mergeCell ref="A192:B192"/>
    <mergeCell ref="A197:B197"/>
    <mergeCell ref="A211:A214"/>
    <mergeCell ref="A195:B195"/>
    <mergeCell ref="A181:B181"/>
    <mergeCell ref="A182:B182"/>
    <mergeCell ref="A183:B183"/>
    <mergeCell ref="A206:B206"/>
    <mergeCell ref="A198:B198"/>
    <mergeCell ref="A188:B188"/>
    <mergeCell ref="A203:B203"/>
    <mergeCell ref="A191:B191"/>
    <mergeCell ref="A194:B194"/>
    <mergeCell ref="G186:H186"/>
    <mergeCell ref="G183:H183"/>
    <mergeCell ref="A189:B189"/>
    <mergeCell ref="A190:B190"/>
    <mergeCell ref="G189:H189"/>
    <mergeCell ref="G185:H185"/>
    <mergeCell ref="G194:H194"/>
    <mergeCell ref="A201:B201"/>
    <mergeCell ref="A187:B187"/>
    <mergeCell ref="G187:H187"/>
    <mergeCell ref="J169:L169"/>
    <mergeCell ref="J170:L170"/>
    <mergeCell ref="J171:L171"/>
    <mergeCell ref="G171:H171"/>
    <mergeCell ref="G182:H182"/>
    <mergeCell ref="G170:H170"/>
    <mergeCell ref="J176:L176"/>
    <mergeCell ref="J196:L196"/>
    <mergeCell ref="J194:L194"/>
    <mergeCell ref="J190:L190"/>
    <mergeCell ref="G205:H205"/>
    <mergeCell ref="G206:H206"/>
    <mergeCell ref="G204:H204"/>
    <mergeCell ref="J200:L200"/>
    <mergeCell ref="J197:L197"/>
    <mergeCell ref="J198:L198"/>
    <mergeCell ref="J192:L192"/>
    <mergeCell ref="A209:B209"/>
    <mergeCell ref="A185:B185"/>
    <mergeCell ref="J193:L193"/>
    <mergeCell ref="A199:B199"/>
    <mergeCell ref="A200:B200"/>
    <mergeCell ref="A193:B193"/>
    <mergeCell ref="G199:H199"/>
    <mergeCell ref="J206:L206"/>
    <mergeCell ref="J195:L195"/>
    <mergeCell ref="G196:H196"/>
    <mergeCell ref="A202:B202"/>
    <mergeCell ref="H210:I210"/>
    <mergeCell ref="K210:L210"/>
    <mergeCell ref="K211:L213"/>
    <mergeCell ref="H212:I212"/>
    <mergeCell ref="H213:I213"/>
    <mergeCell ref="J209:L209"/>
    <mergeCell ref="G207:H207"/>
    <mergeCell ref="J207:L207"/>
    <mergeCell ref="J208:L208"/>
    <mergeCell ref="J74:L74"/>
    <mergeCell ref="G74:H74"/>
    <mergeCell ref="K223:L223"/>
    <mergeCell ref="H223:I223"/>
    <mergeCell ref="A56:B56"/>
    <mergeCell ref="J56:L56"/>
    <mergeCell ref="G56:H56"/>
    <mergeCell ref="A184:B184"/>
    <mergeCell ref="G184:H184"/>
    <mergeCell ref="J184:L184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portrait" paperSize="9" scale="33" r:id="rId2"/>
  <rowBreaks count="1" manualBreakCount="1">
    <brk id="129" max="11" man="1"/>
  </rowBreaks>
  <ignoredErrors>
    <ignoredError sqref="F116:F119 J117:J119 J104 F122:G122 J122 F104:F106 F219:F220 F215:F217 E28 E23 E195 E190 E180 E156 E151 E38 D122 E44 E58 H93 H95 G94:H94 E62 D108:D109 E205 G218 D218 E52 E172 E173:E174 F95 E170 E65 E164:E165 E161:E162 E166 E168 E163 E160 E202 E33 F58:F59 E67 E69:E71" formula="1"/>
    <ignoredError sqref="B105:C105 K105:L105 B111:C111 K111 L117 H105 K125:L125 I125 L118 B123:C123 B124:C124 L119 L122 D105:E105 C79:D79 C156:D156 C28:D28 C205:D205 E111" formulaRange="1"/>
    <ignoredError sqref="F111 G105 F107:F110 F112:F113 J105 I117 J111:J113 F115 J115 E79 D111 F145:F146 F17:F18 F84:F85 F93 E85" formula="1" formulaRange="1"/>
    <ignoredError sqref="F151:F152 F166:F167 I145:I146 I93 F156:F157 F171:F172 F174 F182 F180 I180 I174 I171:I172 I156:I157 I151:I152 I166:I167 I182 I85 E86:E93 G44:H44 H56" evalError="1"/>
    <ignoredError sqref="F145:F146 F17:F18 F84:F85 F93 E85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2024-05-21T20:25:13Z</cp:lastPrinted>
  <dcterms:created xsi:type="dcterms:W3CDTF">2005-03-07T15:54:32Z</dcterms:created>
  <dcterms:modified xsi:type="dcterms:W3CDTF">2024-05-27T19:01:33Z</dcterms:modified>
  <cp:category/>
  <cp:version/>
  <cp:contentType/>
  <cp:contentStatus/>
</cp:coreProperties>
</file>