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5" windowWidth="10920" windowHeight="8595" activeTab="0"/>
  </bookViews>
  <sheets>
    <sheet name="Anexo 1 - Balanço Orçamentário" sheetId="1" r:id="rId1"/>
  </sheets>
  <externalReferences>
    <externalReference r:id="rId4"/>
  </externalReferences>
  <definedNames>
    <definedName name="_xlnm.Print_Area" localSheetId="0">'Anexo 1 - Balanço Orçamentário'!$A$1:$L$234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<sst xmlns="http://schemas.openxmlformats.org/spreadsheetml/2006/main" count="286" uniqueCount="155">
  <si>
    <t>RELATÓRIO RESUMIDO DA EXECUÇÃO ORÇAMENTÁRIA</t>
  </si>
  <si>
    <t>BALANÇO ORÇAMENTÁRIO</t>
  </si>
  <si>
    <t>ORÇAMENTOS FISCAL E DA SEGURIDADE SOCIAL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</si>
  <si>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</si>
  <si>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</si>
  <si>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</si>
  <si>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</si>
  <si>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</si>
  <si>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</si>
  <si>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</si>
  <si>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</si>
  <si>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</si>
  <si>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</si>
  <si>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(c/a)</t>
  </si>
  <si>
    <t>(a-c)</t>
  </si>
  <si>
    <t>DOTAÇÃO</t>
  </si>
  <si>
    <t>DESPESAS EMPENHADAS</t>
  </si>
  <si>
    <t>DESPESAS LIQUIDADAS</t>
  </si>
  <si>
    <t>DESPESAS</t>
  </si>
  <si>
    <t>(d)</t>
  </si>
  <si>
    <t>(e)</t>
  </si>
  <si>
    <t>(h)</t>
  </si>
  <si>
    <t>(j)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</si>
  <si>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</si>
  <si>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</si>
  <si>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</si>
  <si>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</si>
  <si>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GOVERNO DO ESTADO DO RIO DE JANEIRO</t>
  </si>
  <si>
    <t>SUBTOTAL DAS RECEITAS (III) = (I + II)</t>
  </si>
  <si>
    <t>TOTAL (VII) = (V + VI)</t>
  </si>
  <si>
    <t>SUBTOTAL DAS DESPESAS (X) = (VIII + IX)</t>
  </si>
  <si>
    <t>Continuação</t>
  </si>
  <si>
    <t xml:space="preserve">    RECEITAS CORRENTES</t>
  </si>
  <si>
    <t xml:space="preserve">            Impostos</t>
  </si>
  <si>
    <t xml:space="preserve">            Taxas</t>
  </si>
  <si>
    <t xml:space="preserve">        RECEITA DE CONTRIBUIÇÕES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</si>
  <si>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</si>
  <si>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</si>
  <si>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</si>
  <si>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</si>
  <si>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</si>
  <si>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</si>
  <si>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</si>
  <si>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</si>
  <si>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</si>
  <si>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</si>
  <si>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</si>
  <si>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</si>
  <si>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</si>
  <si>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</si>
  <si>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</si>
  <si>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</si>
  <si>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OUTRAS RECEITAS DE CAPITAL</t>
  </si>
  <si>
    <t>RECEITAS (INTRA-ORÇAMENTÁRIAS) (II)</t>
  </si>
  <si>
    <t xml:space="preserve">        Mobiliária</t>
  </si>
  <si>
    <t xml:space="preserve">        Contratual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</si>
  <si>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</si>
  <si>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</si>
  <si>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</si>
  <si>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</si>
  <si>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</si>
  <si>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</si>
  <si>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</si>
  <si>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</si>
  <si>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</si>
  <si>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</si>
  <si>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SUPERÁVIT (XIII)</t>
  </si>
  <si>
    <t>RREO - Anexo 1 (LRF, Art. 52, inciso I, alíneas "a" e "b" do inciso II e §1º)</t>
  </si>
  <si>
    <t>PREVISÃO INICIAL</t>
  </si>
  <si>
    <t>SALDO</t>
  </si>
  <si>
    <t>( c )</t>
  </si>
  <si>
    <t>RECEITAS (EXCETO INTRA-ORÇAMENTÁRIAS) (I)</t>
  </si>
  <si>
    <t>OPERAÇÕES DE CRÉDITO / REFINANCIAMENTO  (IV)</t>
  </si>
  <si>
    <t>SALDOS DE EXERCÍCIOS ANTERIORES (UTILIZADOS PARA CRÉDITOS ADICIONAIS)</t>
  </si>
  <si>
    <t>DESPESAS PAGAS ATÉ O BIMESTRE</t>
  </si>
  <si>
    <t xml:space="preserve">No </t>
  </si>
  <si>
    <t xml:space="preserve">Até o </t>
  </si>
  <si>
    <t>Bimestre</t>
  </si>
  <si>
    <t>(f)</t>
  </si>
  <si>
    <t xml:space="preserve">(g) = (e-f) </t>
  </si>
  <si>
    <t>(i) = (e-h)</t>
  </si>
  <si>
    <t>DESPESAS (EXCETO INTRA-ORÇAMENTÁRIAS) (VIII)</t>
  </si>
  <si>
    <t>AMORTIZAÇÃO DA DÍV. / REFINANCIAMENTO (XI)</t>
  </si>
  <si>
    <t>PREVISÃO</t>
  </si>
  <si>
    <t>RESERVA DO RPPS</t>
  </si>
  <si>
    <t xml:space="preserve">            Transferências de Outras Instituições Públicas</t>
  </si>
  <si>
    <t xml:space="preserve">    Recursos Arrecadados em Exercícios Anteriores - RPPS</t>
  </si>
  <si>
    <t xml:space="preserve">                                         Contador - CRC-RJ-097281/O-6</t>
  </si>
  <si>
    <t xml:space="preserve">                                          Coordenador - ID: 4.284.985-3</t>
  </si>
  <si>
    <t xml:space="preserve">        Ronald Marcio G. Rodrigues</t>
  </si>
  <si>
    <t xml:space="preserve">        Superintendente - ID: 1.943.584-3</t>
  </si>
  <si>
    <t xml:space="preserve">         Contador - CRC-RJ-079208/O-8</t>
  </si>
  <si>
    <t xml:space="preserve">            Contribuições Econômicas</t>
  </si>
  <si>
    <t>Continua (1/2)</t>
  </si>
  <si>
    <t>(2/2)</t>
  </si>
  <si>
    <t xml:space="preserve">                                           Renato Ferreira Costa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</si>
  <si>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</si>
  <si>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</si>
  <si>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</si>
  <si>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</si>
  <si>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</si>
  <si>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</si>
  <si>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</si>
  <si>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Pessoas Físicas</t>
  </si>
  <si>
    <t xml:space="preserve">            Transferências Provenientes de Depósitos Não Identificados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</si>
  <si>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</si>
  <si>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</si>
  <si>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</si>
  <si>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</si>
  <si>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</si>
  <si>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Contribuições para Entidades Privadas de Serviço Social e de Formação Profissional</t>
  </si>
  <si>
    <t xml:space="preserve">            Contribuição para o Custeio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</si>
  <si>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</si>
  <si>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</si>
  <si>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Exploração de Recursos Naturais</t>
  </si>
  <si>
    <t xml:space="preserve">            Exploração do Patrimônio Intangível</t>
  </si>
  <si>
    <t xml:space="preserve">            Delegação de Serviços Públicos Mediante Concessão, Permissão, Autorização ou Licença</t>
  </si>
  <si>
    <t xml:space="preserve">            Demais Receitas Patrimoniais</t>
  </si>
  <si>
    <t xml:space="preserve">            Cessão de Direitos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</si>
  <si>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</si>
  <si>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</si>
  <si>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</si>
  <si>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</si>
  <si>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</si>
  <si>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</si>
  <si>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       </t>
  </si>
  <si>
    <t xml:space="preserve">     Operações de Crédito - Mercado Interno</t>
  </si>
  <si>
    <t xml:space="preserve">    Operações de Crédito - Mercado Externo</t>
  </si>
  <si>
    <t xml:space="preserve">    Superávit Financeiro Utilizado para Créditos Adicionais</t>
  </si>
  <si>
    <t>FONTE: Siafe-Rio - Secretaria de Estado de Fazenda.</t>
  </si>
  <si>
    <t xml:space="preserve">        IMPOSTOS, TAXAS E CONTRIBUIÇÕES DE MELHORIA</t>
  </si>
  <si>
    <t>Contribuição de Melhoria</t>
  </si>
  <si>
    <t xml:space="preserve">  JUROS E ENCARGOS DA DÍVIDA</t>
  </si>
  <si>
    <r>
      <t>INSCRITAS EM RESTOS A PAGAR NÃO PROCESSADOS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(k) </t>
    </r>
  </si>
  <si>
    <t>Até o 
Bimestre</t>
  </si>
  <si>
    <t xml:space="preserve">INSCRITAS EM RESTOS A PAGAR NÃO PROCESSADOS                           (K)         </t>
  </si>
  <si>
    <t xml:space="preserve">            Contribuições de Melhoria</t>
  </si>
  <si>
    <t>JANEIRO A DEZEMBRO 2021/BIMESTRE NOVEMBRO-DEZEMBRO</t>
  </si>
  <si>
    <t>TOTAL DAS RECEITAS (V) = (III + IV)</t>
  </si>
  <si>
    <t xml:space="preserve">           Transferências a Municípios²</t>
  </si>
  <si>
    <t xml:space="preserve">           Demais Despesas Correntes²</t>
  </si>
  <si>
    <t>DÉFICIT (VI)¹</t>
  </si>
  <si>
    <t>TOTAL DAS DESPESAS (XII) = (X + XI)</t>
  </si>
  <si>
    <t>TOTAL COM SUPERÁVIT (XIV) = (XII + XIII)</t>
  </si>
  <si>
    <t xml:space="preserve">        CONTRIBUIÇÕES</t>
  </si>
  <si>
    <t>Obs.:  1 - Excluídas a Imprensa Oficial, a CEDAE e a AGERIO por não se enquadrarem no conceito de Empresa Dependente.</t>
  </si>
  <si>
    <t xml:space="preserve">          2 - Imprensa Oficial, CEDAE e AGERIO não constam nos Orçamentos Fiscal e da Seguridade Social no exercício de 2021.</t>
  </si>
  <si>
    <t xml:space="preserve">          3 - A diferença de R$ 20.255.979.414,00 (Vinte bilhões, duzentos e cinquenta e cinco milhões, novecentos e setenta e nove mil e quatrocentos e quatorze reais) entre a Previsão Inicial da Receita e a Dotação Inicial da Despesa é referente ao "Déficit do Orçamento" considerado na Lei Orçamentária Anual de 2021.</t>
  </si>
  <si>
    <t xml:space="preserve">          4 -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</si>
  <si>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>¹ O déficit será apurado pela diferença entre a receita realizada e a despesa liquidada nos cinco primeiros bimestres e a despesa empenhada no último bimestre.</t>
  </si>
  <si>
    <t>² Essa linha será apresentada somente no Demonstrativo aplicado aos Estados.</t>
  </si>
  <si>
    <t>Yasmim da Costa Monteiro</t>
  </si>
  <si>
    <t>Contadora - CRC-RJ-114428/O-0</t>
  </si>
  <si>
    <t xml:space="preserve"> Subsecretária de Contabilidade Geral - ID: 4.461.243-5</t>
  </si>
  <si>
    <t>Emissão: 25/01/2022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</si>
</sst>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-* #,##0_-;\-* #,##0_-;_-* &quot;-&quot;??_-;_-@_-"/>
    <numFmt numFmtId="179" formatCode="_(* #,##0.0_);_(* \(#,##0.0\);_(* &quot;-&quot;_);_(@_)"/>
    <numFmt numFmtId="180" formatCode="_(* #,##0.00_);_(* \(#,##0.00\);_(* &quot;-&quot;_);_(@_)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_(* #,##0.000_);_(* \(#,##0.000\);_(* &quot;-&quot;_);_(@_)"/>
  </numFmts>
  <fonts count="4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47" applyNumberFormat="1" applyFont="1" applyFill="1" applyAlignment="1">
      <alignment/>
      <protection/>
    </xf>
    <xf numFmtId="0" fontId="2" fillId="0" borderId="0" xfId="47" applyNumberFormat="1" applyFont="1" applyFill="1" applyAlignment="1">
      <alignment/>
      <protection/>
    </xf>
    <xf numFmtId="0" fontId="3" fillId="0" borderId="0" xfId="47" applyNumberFormat="1" applyFont="1" applyFill="1" applyAlignment="1">
      <alignment/>
      <protection/>
    </xf>
    <xf numFmtId="0" fontId="4" fillId="0" borderId="0" xfId="47" applyNumberFormat="1" applyFont="1" applyFill="1" applyAlignment="1">
      <alignment/>
      <protection/>
    </xf>
    <xf numFmtId="49" fontId="4" fillId="0" borderId="0" xfId="47" applyNumberFormat="1" applyFont="1" applyFill="1" applyAlignment="1">
      <alignment horizontal="center"/>
      <protection/>
    </xf>
    <xf numFmtId="49" fontId="3" fillId="0" borderId="0" xfId="47" applyNumberFormat="1" applyFont="1" applyFill="1" applyAlignment="1">
      <alignment horizontal="center"/>
      <protection/>
    </xf>
    <xf numFmtId="0" fontId="3" fillId="0" borderId="0" xfId="47" applyNumberFormat="1" applyFont="1" applyFill="1" applyAlignment="1">
      <alignment horizontal="center"/>
      <protection/>
    </xf>
    <xf numFmtId="49" fontId="3" fillId="0" borderId="0" xfId="47" applyNumberFormat="1" applyFont="1" applyFill="1" applyAlignment="1">
      <alignment/>
      <protection/>
    </xf>
    <xf numFmtId="0" fontId="3" fillId="0" borderId="0" xfId="47" applyFont="1" applyFill="1" applyBorder="1" applyAlignment="1">
      <alignment/>
      <protection/>
    </xf>
    <xf numFmtId="0" fontId="3" fillId="0" borderId="0" xfId="47" applyFont="1" applyFill="1" applyAlignment="1">
      <alignment/>
      <protection/>
    </xf>
    <xf numFmtId="172" fontId="3" fillId="0" borderId="0" xfId="47" applyNumberFormat="1" applyFont="1" applyFill="1" applyAlignment="1">
      <alignment/>
      <protection/>
    </xf>
    <xf numFmtId="0" fontId="3" fillId="0" borderId="0" xfId="47" applyFont="1" applyFill="1" applyAlignment="1">
      <alignment horizontal="right"/>
      <protection/>
    </xf>
    <xf numFmtId="167" fontId="3" fillId="0" borderId="0" xfId="47" applyNumberFormat="1" applyFont="1" applyFill="1" applyAlignment="1">
      <alignment horizontal="right"/>
      <protection/>
    </xf>
    <xf numFmtId="180" fontId="1" fillId="33" borderId="10" xfId="63" applyNumberFormat="1" applyFont="1" applyFill="1" applyBorder="1" applyAlignment="1">
      <alignment horizontal="right"/>
    </xf>
    <xf numFmtId="3" fontId="3" fillId="0" borderId="0" xfId="47" applyNumberFormat="1" applyFont="1" applyFill="1" applyAlignment="1">
      <alignment/>
      <protection/>
    </xf>
    <xf numFmtId="169" fontId="1" fillId="33" borderId="11" xfId="64" applyNumberFormat="1" applyFont="1" applyFill="1" applyBorder="1" applyAlignment="1">
      <alignment horizontal="right"/>
    </xf>
    <xf numFmtId="180" fontId="1" fillId="33" borderId="12" xfId="63" applyNumberFormat="1" applyFont="1" applyFill="1" applyBorder="1" applyAlignment="1">
      <alignment horizontal="right"/>
    </xf>
    <xf numFmtId="174" fontId="3" fillId="0" borderId="0" xfId="47" applyNumberFormat="1" applyFont="1" applyFill="1" applyAlignment="1">
      <alignment/>
      <protection/>
    </xf>
    <xf numFmtId="169" fontId="3" fillId="33" borderId="11" xfId="64" applyNumberFormat="1" applyFont="1" applyFill="1" applyBorder="1" applyAlignment="1">
      <alignment horizontal="right"/>
    </xf>
    <xf numFmtId="169" fontId="3" fillId="33" borderId="12" xfId="64" applyNumberFormat="1" applyFont="1" applyFill="1" applyBorder="1" applyAlignment="1">
      <alignment horizontal="right"/>
    </xf>
    <xf numFmtId="169" fontId="3" fillId="33" borderId="0" xfId="64" applyNumberFormat="1" applyFont="1" applyFill="1" applyAlignment="1">
      <alignment horizontal="right"/>
    </xf>
    <xf numFmtId="180" fontId="3" fillId="33" borderId="12" xfId="63" applyNumberFormat="1" applyFont="1" applyFill="1" applyBorder="1" applyAlignment="1">
      <alignment horizontal="right"/>
    </xf>
    <xf numFmtId="174" fontId="45" fillId="0" borderId="0" xfId="47" applyNumberFormat="1" applyFont="1" applyFill="1" applyAlignment="1">
      <alignment/>
      <protection/>
    </xf>
    <xf numFmtId="169" fontId="3" fillId="0" borderId="0" xfId="47" applyNumberFormat="1" applyFont="1" applyFill="1" applyAlignment="1">
      <alignment/>
      <protection/>
    </xf>
    <xf numFmtId="171" fontId="3" fillId="33" borderId="12" xfId="63" applyFont="1" applyFill="1" applyBorder="1" applyAlignment="1">
      <alignment horizontal="right"/>
    </xf>
    <xf numFmtId="180" fontId="1" fillId="33" borderId="13" xfId="63" applyNumberFormat="1" applyFont="1" applyFill="1" applyBorder="1" applyAlignment="1">
      <alignment horizontal="right"/>
    </xf>
    <xf numFmtId="169" fontId="3" fillId="33" borderId="11" xfId="64" applyNumberFormat="1" applyFont="1" applyFill="1" applyBorder="1" applyAlignment="1">
      <alignment horizontal="right"/>
    </xf>
    <xf numFmtId="169" fontId="3" fillId="33" borderId="14" xfId="64" applyNumberFormat="1" applyFont="1" applyFill="1" applyBorder="1" applyAlignment="1">
      <alignment horizontal="right"/>
    </xf>
    <xf numFmtId="169" fontId="3" fillId="33" borderId="15" xfId="64" applyNumberFormat="1" applyFont="1" applyFill="1" applyBorder="1" applyAlignment="1">
      <alignment horizontal="right"/>
    </xf>
    <xf numFmtId="180" fontId="3" fillId="33" borderId="15" xfId="63" applyNumberFormat="1" applyFont="1" applyFill="1" applyBorder="1" applyAlignment="1">
      <alignment horizontal="right"/>
    </xf>
    <xf numFmtId="180" fontId="1" fillId="33" borderId="15" xfId="63" applyNumberFormat="1" applyFont="1" applyFill="1" applyBorder="1" applyAlignment="1">
      <alignment horizontal="right"/>
    </xf>
    <xf numFmtId="169" fontId="45" fillId="0" borderId="0" xfId="47" applyNumberFormat="1" applyFont="1" applyFill="1" applyAlignment="1">
      <alignment/>
      <protection/>
    </xf>
    <xf numFmtId="169" fontId="45" fillId="33" borderId="0" xfId="47" applyNumberFormat="1" applyFont="1" applyFill="1" applyAlignment="1">
      <alignment wrapText="1"/>
      <protection/>
    </xf>
    <xf numFmtId="0" fontId="2" fillId="33" borderId="0" xfId="47" applyFont="1" applyFill="1" applyBorder="1">
      <alignment/>
      <protection/>
    </xf>
    <xf numFmtId="37" fontId="2" fillId="33" borderId="0" xfId="47" applyNumberFormat="1" applyFont="1" applyFill="1" applyBorder="1" applyAlignment="1">
      <alignment horizontal="center"/>
      <protection/>
    </xf>
    <xf numFmtId="0" fontId="2" fillId="33" borderId="0" xfId="47" applyNumberFormat="1" applyFont="1" applyFill="1" applyBorder="1" applyAlignment="1">
      <alignment horizontal="center"/>
      <protection/>
    </xf>
    <xf numFmtId="0" fontId="2" fillId="33" borderId="0" xfId="47" applyFont="1" applyFill="1" applyBorder="1" applyAlignment="1">
      <alignment horizontal="center"/>
      <protection/>
    </xf>
    <xf numFmtId="37" fontId="2" fillId="33" borderId="0" xfId="47" applyNumberFormat="1" applyFont="1" applyFill="1" applyBorder="1" applyAlignment="1">
      <alignment horizontal="center" vertical="center"/>
      <protection/>
    </xf>
    <xf numFmtId="37" fontId="3" fillId="33" borderId="0" xfId="47" applyNumberFormat="1" applyFont="1" applyFill="1" applyBorder="1" applyAlignment="1">
      <alignment horizontal="center" vertical="center"/>
      <protection/>
    </xf>
    <xf numFmtId="169" fontId="3" fillId="33" borderId="16" xfId="64" applyNumberFormat="1" applyFont="1" applyFill="1" applyBorder="1" applyAlignment="1">
      <alignment horizontal="right"/>
    </xf>
    <xf numFmtId="4" fontId="1" fillId="0" borderId="0" xfId="47" applyNumberFormat="1" applyFont="1" applyFill="1" applyAlignment="1">
      <alignment/>
      <protection/>
    </xf>
    <xf numFmtId="4" fontId="3" fillId="0" borderId="0" xfId="47" applyNumberFormat="1" applyFont="1" applyFill="1" applyAlignment="1">
      <alignment/>
      <protection/>
    </xf>
    <xf numFmtId="43" fontId="3" fillId="0" borderId="0" xfId="47" applyNumberFormat="1" applyFont="1" applyFill="1" applyAlignment="1">
      <alignment/>
      <protection/>
    </xf>
    <xf numFmtId="0" fontId="2" fillId="0" borderId="0" xfId="0" applyFont="1" applyAlignment="1">
      <alignment/>
    </xf>
    <xf numFmtId="169" fontId="1" fillId="33" borderId="17" xfId="64" applyNumberFormat="1" applyFont="1" applyFill="1" applyBorder="1" applyAlignment="1">
      <alignment horizontal="right"/>
    </xf>
    <xf numFmtId="169" fontId="3" fillId="33" borderId="18" xfId="64" applyNumberFormat="1" applyFont="1" applyFill="1" applyBorder="1" applyAlignment="1">
      <alignment horizontal="right"/>
    </xf>
    <xf numFmtId="169" fontId="3" fillId="33" borderId="15" xfId="47" applyNumberFormat="1" applyFont="1" applyFill="1" applyBorder="1" applyAlignment="1">
      <alignment/>
      <protection/>
    </xf>
    <xf numFmtId="171" fontId="3" fillId="0" borderId="0" xfId="63" applyFont="1" applyFill="1" applyAlignment="1">
      <alignment/>
    </xf>
    <xf numFmtId="0" fontId="6" fillId="33" borderId="0" xfId="47" applyFont="1" applyFill="1" applyBorder="1">
      <alignment/>
      <protection/>
    </xf>
    <xf numFmtId="37" fontId="6" fillId="33" borderId="0" xfId="47" applyNumberFormat="1" applyFont="1" applyFill="1" applyBorder="1" applyAlignment="1">
      <alignment horizontal="center"/>
      <protection/>
    </xf>
    <xf numFmtId="169" fontId="6" fillId="33" borderId="0" xfId="47" applyNumberFormat="1" applyFont="1" applyFill="1" applyBorder="1" applyAlignment="1">
      <alignment horizontal="center"/>
      <protection/>
    </xf>
    <xf numFmtId="0" fontId="6" fillId="33" borderId="0" xfId="47" applyFont="1" applyFill="1" applyBorder="1" applyAlignment="1">
      <alignment horizontal="center"/>
      <protection/>
    </xf>
    <xf numFmtId="37" fontId="6" fillId="33" borderId="0" xfId="47" applyNumberFormat="1" applyFont="1" applyFill="1" applyBorder="1" applyAlignment="1">
      <alignment horizontal="center" vertical="center"/>
      <protection/>
    </xf>
    <xf numFmtId="37" fontId="3" fillId="33" borderId="0" xfId="47" applyNumberFormat="1" applyFont="1" applyFill="1" applyBorder="1" applyAlignment="1">
      <alignment horizontal="right" vertical="center"/>
      <protection/>
    </xf>
    <xf numFmtId="49" fontId="4" fillId="33" borderId="0" xfId="47" applyNumberFormat="1" applyFont="1" applyFill="1" applyAlignment="1">
      <alignment horizontal="center"/>
      <protection/>
    </xf>
    <xf numFmtId="0" fontId="4" fillId="33" borderId="0" xfId="47" applyNumberFormat="1" applyFont="1" applyFill="1" applyAlignment="1">
      <alignment horizontal="center"/>
      <protection/>
    </xf>
    <xf numFmtId="49" fontId="3" fillId="33" borderId="0" xfId="47" applyNumberFormat="1" applyFont="1" applyFill="1" applyAlignment="1">
      <alignment horizontal="center"/>
      <protection/>
    </xf>
    <xf numFmtId="0" fontId="3" fillId="33" borderId="0" xfId="47" applyNumberFormat="1" applyFont="1" applyFill="1" applyAlignment="1">
      <alignment horizontal="center"/>
      <protection/>
    </xf>
    <xf numFmtId="49" fontId="3" fillId="33" borderId="0" xfId="47" applyNumberFormat="1" applyFont="1" applyFill="1" applyAlignment="1">
      <alignment/>
      <protection/>
    </xf>
    <xf numFmtId="0" fontId="3" fillId="33" borderId="0" xfId="47" applyFont="1" applyFill="1" applyBorder="1" applyAlignment="1">
      <alignment/>
      <protection/>
    </xf>
    <xf numFmtId="167" fontId="3" fillId="33" borderId="0" xfId="47" applyNumberFormat="1" applyFont="1" applyFill="1" applyAlignment="1">
      <alignment horizontal="right"/>
      <protection/>
    </xf>
    <xf numFmtId="0" fontId="3" fillId="33" borderId="0" xfId="47" applyNumberFormat="1" applyFont="1" applyFill="1" applyAlignment="1">
      <alignment/>
      <protection/>
    </xf>
    <xf numFmtId="169" fontId="3" fillId="33" borderId="19" xfId="64" applyNumberFormat="1" applyFont="1" applyFill="1" applyBorder="1" applyAlignment="1">
      <alignment horizontal="right"/>
    </xf>
    <xf numFmtId="169" fontId="1" fillId="0" borderId="0" xfId="64" applyNumberFormat="1" applyFont="1" applyFill="1" applyBorder="1" applyAlignment="1">
      <alignment horizontal="right"/>
    </xf>
    <xf numFmtId="49" fontId="3" fillId="0" borderId="0" xfId="64" applyNumberFormat="1" applyFont="1" applyFill="1" applyBorder="1" applyAlignment="1">
      <alignment horizontal="right"/>
    </xf>
    <xf numFmtId="0" fontId="3" fillId="0" borderId="0" xfId="47" applyFont="1" applyFill="1" applyBorder="1" applyAlignment="1">
      <alignment horizontal="left" vertical="center"/>
      <protection/>
    </xf>
    <xf numFmtId="169" fontId="3" fillId="0" borderId="0" xfId="47" applyNumberFormat="1" applyFont="1" applyFill="1" applyBorder="1" applyAlignment="1">
      <alignment horizontal="left" vertical="center"/>
      <protection/>
    </xf>
    <xf numFmtId="171" fontId="3" fillId="0" borderId="0" xfId="63" applyFont="1" applyFill="1" applyBorder="1" applyAlignment="1">
      <alignment horizontal="right" vertical="center"/>
    </xf>
    <xf numFmtId="4" fontId="3" fillId="0" borderId="0" xfId="47" applyNumberFormat="1" applyFont="1" applyFill="1" applyBorder="1" applyAlignment="1">
      <alignment horizontal="left" vertical="center"/>
      <protection/>
    </xf>
    <xf numFmtId="171" fontId="3" fillId="0" borderId="0" xfId="63" applyFont="1" applyFill="1" applyBorder="1" applyAlignment="1">
      <alignment horizontal="left" vertical="center"/>
    </xf>
    <xf numFmtId="0" fontId="6" fillId="0" borderId="0" xfId="47" applyFont="1" applyFill="1" applyBorder="1" applyAlignment="1">
      <alignment horizontal="left" vertical="center"/>
      <protection/>
    </xf>
    <xf numFmtId="0" fontId="46" fillId="0" borderId="0" xfId="47" applyFont="1" applyFill="1" applyBorder="1" applyAlignment="1">
      <alignment horizontal="left" vertical="center"/>
      <protection/>
    </xf>
    <xf numFmtId="0" fontId="6" fillId="0" borderId="0" xfId="47" applyNumberFormat="1" applyFont="1" applyFill="1" applyAlignment="1">
      <alignment/>
      <protection/>
    </xf>
    <xf numFmtId="49" fontId="1" fillId="34" borderId="10" xfId="47" applyNumberFormat="1" applyFont="1" applyFill="1" applyBorder="1" applyAlignment="1">
      <alignment horizontal="center" vertical="center" wrapText="1"/>
      <protection/>
    </xf>
    <xf numFmtId="49" fontId="1" fillId="34" borderId="12" xfId="47" applyNumberFormat="1" applyFont="1" applyFill="1" applyBorder="1" applyAlignment="1">
      <alignment horizontal="center" vertical="center" wrapText="1"/>
      <protection/>
    </xf>
    <xf numFmtId="49" fontId="1" fillId="34" borderId="10" xfId="47" applyNumberFormat="1" applyFont="1" applyFill="1" applyBorder="1" applyAlignment="1">
      <alignment horizontal="center"/>
      <protection/>
    </xf>
    <xf numFmtId="49" fontId="1" fillId="34" borderId="15" xfId="47" applyNumberFormat="1" applyFont="1" applyFill="1" applyBorder="1" applyAlignment="1">
      <alignment horizontal="center"/>
      <protection/>
    </xf>
    <xf numFmtId="171" fontId="3" fillId="33" borderId="0" xfId="63" applyFont="1" applyFill="1" applyAlignment="1">
      <alignment horizontal="center"/>
    </xf>
    <xf numFmtId="171" fontId="3" fillId="33" borderId="0" xfId="63" applyFont="1" applyFill="1" applyAlignment="1">
      <alignment/>
    </xf>
    <xf numFmtId="171" fontId="6" fillId="33" borderId="0" xfId="63" applyFont="1" applyFill="1" applyBorder="1" applyAlignment="1">
      <alignment horizontal="center"/>
    </xf>
    <xf numFmtId="0" fontId="1" fillId="34" borderId="10" xfId="47" applyNumberFormat="1" applyFont="1" applyFill="1" applyBorder="1" applyAlignment="1">
      <alignment horizontal="center"/>
      <protection/>
    </xf>
    <xf numFmtId="0" fontId="1" fillId="34" borderId="12" xfId="47" applyNumberFormat="1" applyFont="1" applyFill="1" applyBorder="1" applyAlignment="1">
      <alignment horizontal="center"/>
      <protection/>
    </xf>
    <xf numFmtId="0" fontId="1" fillId="34" borderId="16" xfId="47" applyNumberFormat="1" applyFont="1" applyFill="1" applyBorder="1" applyAlignment="1">
      <alignment horizontal="center" wrapText="1"/>
      <protection/>
    </xf>
    <xf numFmtId="0" fontId="1" fillId="34" borderId="16" xfId="47" applyNumberFormat="1" applyFont="1" applyFill="1" applyBorder="1" applyAlignment="1">
      <alignment horizontal="center"/>
      <protection/>
    </xf>
    <xf numFmtId="0" fontId="1" fillId="34" borderId="15" xfId="47" applyNumberFormat="1" applyFont="1" applyFill="1" applyBorder="1" applyAlignment="1">
      <alignment horizontal="center"/>
      <protection/>
    </xf>
    <xf numFmtId="0" fontId="1" fillId="34" borderId="18" xfId="47" applyNumberFormat="1" applyFont="1" applyFill="1" applyBorder="1" applyAlignment="1">
      <alignment horizontal="center"/>
      <protection/>
    </xf>
    <xf numFmtId="169" fontId="2" fillId="0" borderId="0" xfId="47" applyNumberFormat="1" applyFont="1" applyFill="1" applyAlignment="1">
      <alignment/>
      <protection/>
    </xf>
    <xf numFmtId="0" fontId="3" fillId="33" borderId="0" xfId="47" applyNumberFormat="1" applyFont="1" applyFill="1" applyAlignment="1">
      <alignment horizontal="right"/>
      <protection/>
    </xf>
    <xf numFmtId="169" fontId="3" fillId="33" borderId="0" xfId="64" applyNumberFormat="1" applyFont="1" applyFill="1" applyBorder="1" applyAlignment="1">
      <alignment horizontal="right"/>
    </xf>
    <xf numFmtId="0" fontId="1" fillId="34" borderId="17" xfId="47" applyNumberFormat="1" applyFont="1" applyFill="1" applyBorder="1" applyAlignment="1">
      <alignment horizontal="center"/>
      <protection/>
    </xf>
    <xf numFmtId="0" fontId="1" fillId="34" borderId="16" xfId="47" applyNumberFormat="1" applyFont="1" applyFill="1" applyBorder="1" applyAlignment="1">
      <alignment horizontal="center"/>
      <protection/>
    </xf>
    <xf numFmtId="0" fontId="1" fillId="34" borderId="18" xfId="47" applyNumberFormat="1" applyFont="1" applyFill="1" applyBorder="1" applyAlignment="1">
      <alignment horizontal="center"/>
      <protection/>
    </xf>
    <xf numFmtId="169" fontId="1" fillId="33" borderId="20" xfId="64" applyNumberFormat="1" applyFont="1" applyFill="1" applyBorder="1" applyAlignment="1">
      <alignment horizontal="right"/>
    </xf>
    <xf numFmtId="169" fontId="1" fillId="33" borderId="21" xfId="64" applyNumberFormat="1" applyFont="1" applyFill="1" applyBorder="1" applyAlignment="1">
      <alignment/>
    </xf>
    <xf numFmtId="169" fontId="3" fillId="33" borderId="11" xfId="64" applyNumberFormat="1" applyFont="1" applyFill="1" applyBorder="1" applyAlignment="1">
      <alignment/>
    </xf>
    <xf numFmtId="169" fontId="1" fillId="33" borderId="22" xfId="64" applyNumberFormat="1" applyFont="1" applyFill="1" applyBorder="1" applyAlignment="1">
      <alignment/>
    </xf>
    <xf numFmtId="169" fontId="3" fillId="33" borderId="19" xfId="64" applyNumberFormat="1" applyFont="1" applyFill="1" applyBorder="1" applyAlignment="1">
      <alignment/>
    </xf>
    <xf numFmtId="169" fontId="3" fillId="33" borderId="12" xfId="64" applyNumberFormat="1" applyFont="1" applyFill="1" applyBorder="1" applyAlignment="1">
      <alignment/>
    </xf>
    <xf numFmtId="169" fontId="3" fillId="33" borderId="15" xfId="64" applyNumberFormat="1" applyFont="1" applyFill="1" applyBorder="1" applyAlignment="1">
      <alignment/>
    </xf>
    <xf numFmtId="0" fontId="1" fillId="34" borderId="19" xfId="47" applyNumberFormat="1" applyFont="1" applyFill="1" applyBorder="1" applyAlignment="1">
      <alignment horizontal="center"/>
      <protection/>
    </xf>
    <xf numFmtId="174" fontId="3" fillId="33" borderId="16" xfId="63" applyNumberFormat="1" applyFont="1" applyFill="1" applyBorder="1" applyAlignment="1">
      <alignment/>
    </xf>
    <xf numFmtId="174" fontId="3" fillId="33" borderId="11" xfId="63" applyNumberFormat="1" applyFont="1" applyFill="1" applyBorder="1" applyAlignment="1">
      <alignment/>
    </xf>
    <xf numFmtId="174" fontId="1" fillId="33" borderId="17" xfId="63" applyNumberFormat="1" applyFont="1" applyFill="1" applyBorder="1" applyAlignment="1">
      <alignment/>
    </xf>
    <xf numFmtId="174" fontId="1" fillId="33" borderId="16" xfId="63" applyNumberFormat="1" applyFont="1" applyFill="1" applyBorder="1" applyAlignment="1">
      <alignment/>
    </xf>
    <xf numFmtId="169" fontId="3" fillId="33" borderId="16" xfId="64" applyNumberFormat="1" applyFont="1" applyFill="1" applyBorder="1" applyAlignment="1">
      <alignment/>
    </xf>
    <xf numFmtId="169" fontId="1" fillId="33" borderId="16" xfId="64" applyNumberFormat="1" applyFont="1" applyFill="1" applyBorder="1" applyAlignment="1">
      <alignment/>
    </xf>
    <xf numFmtId="169" fontId="1" fillId="33" borderId="23" xfId="64" applyNumberFormat="1" applyFont="1" applyFill="1" applyBorder="1" applyAlignment="1">
      <alignment/>
    </xf>
    <xf numFmtId="169" fontId="1" fillId="33" borderId="17" xfId="64" applyNumberFormat="1" applyFont="1" applyFill="1" applyBorder="1" applyAlignment="1">
      <alignment/>
    </xf>
    <xf numFmtId="169" fontId="3" fillId="33" borderId="18" xfId="64" applyNumberFormat="1" applyFont="1" applyFill="1" applyBorder="1" applyAlignment="1">
      <alignment/>
    </xf>
    <xf numFmtId="169" fontId="1" fillId="33" borderId="23" xfId="63" applyNumberFormat="1" applyFont="1" applyFill="1" applyBorder="1" applyAlignment="1">
      <alignment/>
    </xf>
    <xf numFmtId="169" fontId="3" fillId="33" borderId="23" xfId="63" applyNumberFormat="1" applyFont="1" applyFill="1" applyBorder="1" applyAlignment="1">
      <alignment wrapText="1"/>
    </xf>
    <xf numFmtId="174" fontId="3" fillId="33" borderId="18" xfId="63" applyNumberFormat="1" applyFont="1" applyFill="1" applyBorder="1" applyAlignment="1">
      <alignment/>
    </xf>
    <xf numFmtId="174" fontId="3" fillId="33" borderId="19" xfId="63" applyNumberFormat="1" applyFont="1" applyFill="1" applyBorder="1" applyAlignment="1">
      <alignment/>
    </xf>
    <xf numFmtId="169" fontId="3" fillId="33" borderId="0" xfId="47" applyNumberFormat="1" applyFont="1" applyFill="1" applyAlignment="1">
      <alignment horizontal="center"/>
      <protection/>
    </xf>
    <xf numFmtId="0" fontId="6" fillId="0" borderId="0" xfId="47" applyFont="1" applyAlignment="1">
      <alignment horizontal="left" vertical="center"/>
      <protection/>
    </xf>
    <xf numFmtId="0" fontId="6" fillId="33" borderId="0" xfId="47" applyFont="1" applyFill="1" applyAlignment="1">
      <alignment horizontal="left" vertical="center"/>
      <protection/>
    </xf>
    <xf numFmtId="0" fontId="6" fillId="33" borderId="0" xfId="47" applyFont="1" applyFill="1" applyAlignment="1">
      <alignment horizontal="left" vertical="center" wrapText="1"/>
      <protection/>
    </xf>
    <xf numFmtId="169" fontId="6" fillId="0" borderId="0" xfId="47" applyNumberFormat="1" applyFont="1">
      <alignment/>
      <protection/>
    </xf>
    <xf numFmtId="0" fontId="6" fillId="33" borderId="0" xfId="47" applyFont="1" applyFill="1">
      <alignment/>
      <protection/>
    </xf>
    <xf numFmtId="180" fontId="3" fillId="33" borderId="11" xfId="64" applyNumberFormat="1" applyFont="1" applyFill="1" applyBorder="1" applyAlignment="1">
      <alignment horizontal="right"/>
    </xf>
    <xf numFmtId="180" fontId="1" fillId="33" borderId="21" xfId="64" applyNumberFormat="1" applyFont="1" applyFill="1" applyBorder="1" applyAlignment="1">
      <alignment horizontal="right"/>
    </xf>
    <xf numFmtId="180" fontId="1" fillId="33" borderId="10" xfId="64" applyNumberFormat="1" applyFont="1" applyFill="1" applyBorder="1" applyAlignment="1">
      <alignment horizontal="right"/>
    </xf>
    <xf numFmtId="180" fontId="1" fillId="33" borderId="0" xfId="64" applyNumberFormat="1" applyFont="1" applyFill="1" applyAlignment="1">
      <alignment horizontal="right"/>
    </xf>
    <xf numFmtId="180" fontId="1" fillId="33" borderId="11" xfId="64" applyNumberFormat="1" applyFont="1" applyFill="1" applyBorder="1" applyAlignment="1">
      <alignment horizontal="right"/>
    </xf>
    <xf numFmtId="180" fontId="1" fillId="33" borderId="12" xfId="64" applyNumberFormat="1" applyFont="1" applyFill="1" applyBorder="1" applyAlignment="1">
      <alignment horizontal="right"/>
    </xf>
    <xf numFmtId="180" fontId="3" fillId="33" borderId="12" xfId="64" applyNumberFormat="1" applyFont="1" applyFill="1" applyBorder="1" applyAlignment="1">
      <alignment horizontal="right"/>
    </xf>
    <xf numFmtId="180" fontId="3" fillId="33" borderId="0" xfId="64" applyNumberFormat="1" applyFont="1" applyFill="1" applyAlignment="1">
      <alignment horizontal="right"/>
    </xf>
    <xf numFmtId="180" fontId="1" fillId="33" borderId="22" xfId="64" applyNumberFormat="1" applyFont="1" applyFill="1" applyBorder="1" applyAlignment="1">
      <alignment horizontal="right"/>
    </xf>
    <xf numFmtId="180" fontId="1" fillId="33" borderId="13" xfId="64" applyNumberFormat="1" applyFont="1" applyFill="1" applyBorder="1" applyAlignment="1">
      <alignment horizontal="right"/>
    </xf>
    <xf numFmtId="180" fontId="1" fillId="33" borderId="20" xfId="64" applyNumberFormat="1" applyFont="1" applyFill="1" applyBorder="1" applyAlignment="1">
      <alignment horizontal="right"/>
    </xf>
    <xf numFmtId="180" fontId="3" fillId="33" borderId="0" xfId="64" applyNumberFormat="1" applyFont="1" applyFill="1" applyBorder="1" applyAlignment="1">
      <alignment horizontal="right"/>
    </xf>
    <xf numFmtId="180" fontId="3" fillId="33" borderId="14" xfId="64" applyNumberFormat="1" applyFont="1" applyFill="1" applyBorder="1" applyAlignment="1">
      <alignment horizontal="right"/>
    </xf>
    <xf numFmtId="180" fontId="3" fillId="33" borderId="15" xfId="64" applyNumberFormat="1" applyFont="1" applyFill="1" applyBorder="1" applyAlignment="1">
      <alignment horizontal="right"/>
    </xf>
    <xf numFmtId="180" fontId="1" fillId="33" borderId="0" xfId="64" applyNumberFormat="1" applyFont="1" applyFill="1" applyBorder="1" applyAlignment="1">
      <alignment horizontal="right"/>
    </xf>
    <xf numFmtId="180" fontId="3" fillId="33" borderId="13" xfId="64" applyNumberFormat="1" applyFont="1" applyFill="1" applyBorder="1" applyAlignment="1">
      <alignment horizontal="right"/>
    </xf>
    <xf numFmtId="180" fontId="3" fillId="33" borderId="13" xfId="63" applyNumberFormat="1" applyFont="1" applyFill="1" applyBorder="1" applyAlignment="1">
      <alignment/>
    </xf>
    <xf numFmtId="180" fontId="1" fillId="33" borderId="16" xfId="64" applyNumberFormat="1" applyFont="1" applyFill="1" applyBorder="1" applyAlignment="1">
      <alignment horizontal="right"/>
    </xf>
    <xf numFmtId="180" fontId="1" fillId="33" borderId="23" xfId="64" applyNumberFormat="1" applyFont="1" applyFill="1" applyBorder="1" applyAlignment="1">
      <alignment horizontal="right"/>
    </xf>
    <xf numFmtId="180" fontId="1" fillId="33" borderId="17" xfId="64" applyNumberFormat="1" applyFont="1" applyFill="1" applyBorder="1" applyAlignment="1">
      <alignment horizontal="right"/>
    </xf>
    <xf numFmtId="0" fontId="6" fillId="0" borderId="0" xfId="47" applyFont="1">
      <alignment/>
      <protection/>
    </xf>
    <xf numFmtId="171" fontId="3" fillId="33" borderId="11" xfId="63" applyNumberFormat="1" applyFont="1" applyFill="1" applyBorder="1" applyAlignment="1">
      <alignment/>
    </xf>
    <xf numFmtId="180" fontId="1" fillId="33" borderId="19" xfId="64" applyNumberFormat="1" applyFont="1" applyFill="1" applyBorder="1" applyAlignment="1">
      <alignment/>
    </xf>
    <xf numFmtId="180" fontId="1" fillId="33" borderId="22" xfId="64" applyNumberFormat="1" applyFont="1" applyFill="1" applyBorder="1" applyAlignment="1">
      <alignment/>
    </xf>
    <xf numFmtId="180" fontId="3" fillId="33" borderId="11" xfId="64" applyNumberFormat="1" applyFont="1" applyFill="1" applyBorder="1" applyAlignment="1">
      <alignment/>
    </xf>
    <xf numFmtId="180" fontId="1" fillId="33" borderId="11" xfId="64" applyNumberFormat="1" applyFont="1" applyFill="1" applyBorder="1" applyAlignment="1">
      <alignment/>
    </xf>
    <xf numFmtId="171" fontId="3" fillId="33" borderId="11" xfId="64" applyNumberFormat="1" applyFont="1" applyFill="1" applyBorder="1" applyAlignment="1">
      <alignment/>
    </xf>
    <xf numFmtId="180" fontId="3" fillId="33" borderId="16" xfId="64" applyNumberFormat="1" applyFont="1" applyFill="1" applyBorder="1" applyAlignment="1">
      <alignment horizontal="right"/>
    </xf>
    <xf numFmtId="180" fontId="1" fillId="33" borderId="23" xfId="64" applyNumberFormat="1" applyFont="1" applyFill="1" applyBorder="1" applyAlignment="1">
      <alignment horizontal="right"/>
    </xf>
    <xf numFmtId="180" fontId="1" fillId="33" borderId="16" xfId="64" applyNumberFormat="1" applyFont="1" applyFill="1" applyBorder="1" applyAlignment="1">
      <alignment horizontal="right"/>
    </xf>
    <xf numFmtId="180" fontId="1" fillId="33" borderId="17" xfId="64" applyNumberFormat="1" applyFont="1" applyFill="1" applyBorder="1" applyAlignment="1">
      <alignment horizontal="right"/>
    </xf>
    <xf numFmtId="180" fontId="3" fillId="33" borderId="11" xfId="63" applyNumberFormat="1" applyFont="1" applyFill="1" applyBorder="1" applyAlignment="1">
      <alignment/>
    </xf>
    <xf numFmtId="171" fontId="1" fillId="33" borderId="21" xfId="63" applyNumberFormat="1" applyFont="1" applyFill="1" applyBorder="1" applyAlignment="1">
      <alignment/>
    </xf>
    <xf numFmtId="171" fontId="1" fillId="33" borderId="11" xfId="63" applyNumberFormat="1" applyFont="1" applyFill="1" applyBorder="1" applyAlignment="1">
      <alignment/>
    </xf>
    <xf numFmtId="180" fontId="1" fillId="33" borderId="10" xfId="64" applyNumberFormat="1" applyFont="1" applyFill="1" applyBorder="1" applyAlignment="1">
      <alignment/>
    </xf>
    <xf numFmtId="180" fontId="1" fillId="33" borderId="12" xfId="64" applyNumberFormat="1" applyFont="1" applyFill="1" applyBorder="1" applyAlignment="1">
      <alignment/>
    </xf>
    <xf numFmtId="180" fontId="3" fillId="33" borderId="12" xfId="64" applyNumberFormat="1" applyFont="1" applyFill="1" applyBorder="1" applyAlignment="1">
      <alignment/>
    </xf>
    <xf numFmtId="180" fontId="1" fillId="33" borderId="15" xfId="64" applyNumberFormat="1" applyFont="1" applyFill="1" applyBorder="1" applyAlignment="1">
      <alignment/>
    </xf>
    <xf numFmtId="180" fontId="1" fillId="33" borderId="21" xfId="64" applyNumberFormat="1" applyFont="1" applyFill="1" applyBorder="1" applyAlignment="1">
      <alignment/>
    </xf>
    <xf numFmtId="180" fontId="3" fillId="33" borderId="0" xfId="47" applyNumberFormat="1" applyFont="1" applyFill="1" applyAlignment="1">
      <alignment/>
      <protection/>
    </xf>
    <xf numFmtId="180" fontId="3" fillId="33" borderId="18" xfId="64" applyNumberFormat="1" applyFont="1" applyFill="1" applyBorder="1" applyAlignment="1">
      <alignment horizontal="right"/>
    </xf>
    <xf numFmtId="180" fontId="3" fillId="33" borderId="15" xfId="64" applyNumberFormat="1" applyFont="1" applyFill="1" applyBorder="1" applyAlignment="1">
      <alignment/>
    </xf>
    <xf numFmtId="180" fontId="3" fillId="33" borderId="19" xfId="64" applyNumberFormat="1" applyFont="1" applyFill="1" applyBorder="1" applyAlignment="1">
      <alignment/>
    </xf>
    <xf numFmtId="171" fontId="1" fillId="33" borderId="22" xfId="63" applyFont="1" applyFill="1" applyBorder="1" applyAlignment="1">
      <alignment/>
    </xf>
    <xf numFmtId="171" fontId="3" fillId="33" borderId="22" xfId="63" applyFont="1" applyFill="1" applyBorder="1" applyAlignment="1">
      <alignment wrapText="1"/>
    </xf>
    <xf numFmtId="171" fontId="1" fillId="33" borderId="13" xfId="63" applyFont="1" applyFill="1" applyBorder="1" applyAlignment="1">
      <alignment horizontal="right"/>
    </xf>
    <xf numFmtId="171" fontId="1" fillId="33" borderId="18" xfId="63" applyFont="1" applyFill="1" applyBorder="1" applyAlignment="1">
      <alignment horizontal="right"/>
    </xf>
    <xf numFmtId="171" fontId="1" fillId="33" borderId="22" xfId="63" applyFont="1" applyFill="1" applyBorder="1" applyAlignment="1">
      <alignment horizontal="right"/>
    </xf>
    <xf numFmtId="171" fontId="1" fillId="33" borderId="19" xfId="63" applyFont="1" applyFill="1" applyBorder="1" applyAlignment="1">
      <alignment horizontal="right"/>
    </xf>
    <xf numFmtId="171" fontId="1" fillId="33" borderId="23" xfId="63" applyFont="1" applyFill="1" applyBorder="1" applyAlignment="1">
      <alignment horizontal="right"/>
    </xf>
    <xf numFmtId="171" fontId="1" fillId="33" borderId="13" xfId="63" applyFont="1" applyFill="1" applyBorder="1" applyAlignment="1">
      <alignment/>
    </xf>
    <xf numFmtId="171" fontId="1" fillId="33" borderId="15" xfId="63" applyFont="1" applyFill="1" applyBorder="1" applyAlignment="1">
      <alignment horizontal="right"/>
    </xf>
    <xf numFmtId="180" fontId="3" fillId="33" borderId="16" xfId="64" applyNumberFormat="1" applyFont="1" applyFill="1" applyBorder="1" applyAlignment="1">
      <alignment horizontal="right"/>
    </xf>
    <xf numFmtId="0" fontId="6" fillId="33" borderId="0" xfId="47" applyFont="1" applyFill="1" applyAlignment="1">
      <alignment horizontal="left" vertical="center" wrapText="1"/>
      <protection/>
    </xf>
    <xf numFmtId="0" fontId="1" fillId="0" borderId="0" xfId="47" applyNumberFormat="1" applyFont="1" applyFill="1" applyBorder="1" applyAlignment="1">
      <alignment wrapText="1"/>
      <protection/>
    </xf>
    <xf numFmtId="0" fontId="1" fillId="0" borderId="0" xfId="47" applyNumberFormat="1" applyFont="1" applyFill="1" applyBorder="1" applyAlignment="1">
      <alignment/>
      <protection/>
    </xf>
    <xf numFmtId="0" fontId="3" fillId="0" borderId="0" xfId="47" applyNumberFormat="1" applyFont="1" applyFill="1" applyBorder="1" applyAlignment="1">
      <alignment/>
      <protection/>
    </xf>
    <xf numFmtId="49" fontId="3" fillId="0" borderId="11" xfId="47" applyNumberFormat="1" applyFont="1" applyFill="1" applyBorder="1" applyAlignment="1">
      <alignment/>
      <protection/>
    </xf>
    <xf numFmtId="0" fontId="1" fillId="0" borderId="24" xfId="47" applyNumberFormat="1" applyFont="1" applyFill="1" applyBorder="1" applyAlignment="1">
      <alignment/>
      <protection/>
    </xf>
    <xf numFmtId="0" fontId="1" fillId="0" borderId="21" xfId="47" applyNumberFormat="1" applyFont="1" applyFill="1" applyBorder="1" applyAlignment="1">
      <alignment wrapText="1"/>
      <protection/>
    </xf>
    <xf numFmtId="0" fontId="1" fillId="0" borderId="14" xfId="47" applyNumberFormat="1" applyFont="1" applyFill="1" applyBorder="1" applyAlignment="1">
      <alignment/>
      <protection/>
    </xf>
    <xf numFmtId="0" fontId="3" fillId="0" borderId="0" xfId="47" applyNumberFormat="1" applyFont="1" applyFill="1" applyBorder="1" applyAlignment="1">
      <alignment horizontal="left" indent="2"/>
      <protection/>
    </xf>
    <xf numFmtId="0" fontId="3" fillId="0" borderId="14" xfId="47" applyNumberFormat="1" applyFont="1" applyFill="1" applyBorder="1" applyAlignment="1">
      <alignment/>
      <protection/>
    </xf>
    <xf numFmtId="180" fontId="3" fillId="33" borderId="16" xfId="64" applyNumberFormat="1" applyFont="1" applyFill="1" applyBorder="1" applyAlignment="1">
      <alignment horizontal="right"/>
    </xf>
    <xf numFmtId="180" fontId="1" fillId="33" borderId="17" xfId="64" applyNumberFormat="1" applyFont="1" applyFill="1" applyBorder="1" applyAlignment="1">
      <alignment horizontal="right"/>
    </xf>
    <xf numFmtId="180" fontId="1" fillId="33" borderId="16" xfId="64" applyNumberFormat="1" applyFont="1" applyFill="1" applyBorder="1" applyAlignment="1">
      <alignment horizontal="right"/>
    </xf>
    <xf numFmtId="180" fontId="1" fillId="33" borderId="0" xfId="64" applyNumberFormat="1" applyFont="1" applyFill="1" applyBorder="1" applyAlignment="1">
      <alignment horizontal="right"/>
    </xf>
    <xf numFmtId="43" fontId="2" fillId="33" borderId="0" xfId="47" applyNumberFormat="1" applyFont="1" applyFill="1" applyBorder="1" applyAlignment="1">
      <alignment horizontal="center"/>
      <protection/>
    </xf>
    <xf numFmtId="171" fontId="1" fillId="33" borderId="0" xfId="63" applyFont="1" applyFill="1" applyAlignment="1">
      <alignment horizontal="right"/>
    </xf>
    <xf numFmtId="171" fontId="3" fillId="33" borderId="16" xfId="63" applyFont="1" applyFill="1" applyBorder="1" applyAlignment="1">
      <alignment/>
    </xf>
    <xf numFmtId="171" fontId="3" fillId="33" borderId="11" xfId="63" applyFont="1" applyFill="1" applyBorder="1" applyAlignment="1">
      <alignment/>
    </xf>
    <xf numFmtId="171" fontId="1" fillId="33" borderId="11" xfId="63" applyFont="1" applyFill="1" applyBorder="1" applyAlignment="1">
      <alignment/>
    </xf>
    <xf numFmtId="171" fontId="3" fillId="33" borderId="12" xfId="63" applyFont="1" applyFill="1" applyBorder="1" applyAlignment="1">
      <alignment/>
    </xf>
    <xf numFmtId="171" fontId="3" fillId="33" borderId="16" xfId="63" applyFont="1" applyFill="1" applyBorder="1" applyAlignment="1">
      <alignment horizontal="right"/>
    </xf>
    <xf numFmtId="171" fontId="2" fillId="35" borderId="13" xfId="63" applyFont="1" applyFill="1" applyBorder="1" applyAlignment="1">
      <alignment/>
    </xf>
    <xf numFmtId="43" fontId="6" fillId="33" borderId="0" xfId="47" applyNumberFormat="1" applyFont="1" applyFill="1" applyBorder="1" applyAlignment="1">
      <alignment horizontal="center"/>
      <protection/>
    </xf>
    <xf numFmtId="171" fontId="1" fillId="33" borderId="18" xfId="63" applyFont="1" applyFill="1" applyBorder="1" applyAlignment="1">
      <alignment/>
    </xf>
    <xf numFmtId="171" fontId="1" fillId="33" borderId="19" xfId="63" applyFont="1" applyFill="1" applyBorder="1" applyAlignment="1">
      <alignment/>
    </xf>
    <xf numFmtId="171" fontId="2" fillId="35" borderId="23" xfId="63" applyFont="1" applyFill="1" applyBorder="1" applyAlignment="1">
      <alignment/>
    </xf>
    <xf numFmtId="171" fontId="2" fillId="35" borderId="12" xfId="63" applyFont="1" applyFill="1" applyBorder="1" applyAlignment="1">
      <alignment/>
    </xf>
    <xf numFmtId="180" fontId="1" fillId="33" borderId="15" xfId="64" applyNumberFormat="1" applyFont="1" applyFill="1" applyBorder="1" applyAlignment="1">
      <alignment horizontal="right"/>
    </xf>
    <xf numFmtId="171" fontId="2" fillId="35" borderId="16" xfId="63" applyFont="1" applyFill="1" applyBorder="1" applyAlignment="1">
      <alignment/>
    </xf>
    <xf numFmtId="0" fontId="6" fillId="0" borderId="0" xfId="47" applyFont="1" applyAlignment="1">
      <alignment horizontal="left" vertical="center" wrapText="1"/>
      <protection/>
    </xf>
    <xf numFmtId="169" fontId="3" fillId="33" borderId="16" xfId="64" applyNumberFormat="1" applyFont="1" applyFill="1" applyBorder="1" applyAlignment="1">
      <alignment horizontal="right"/>
    </xf>
    <xf numFmtId="169" fontId="3" fillId="33" borderId="0" xfId="64" applyNumberFormat="1" applyFont="1" applyFill="1" applyBorder="1" applyAlignment="1">
      <alignment horizontal="right"/>
    </xf>
    <xf numFmtId="180" fontId="3" fillId="33" borderId="16" xfId="64" applyNumberFormat="1" applyFont="1" applyFill="1" applyBorder="1" applyAlignment="1">
      <alignment horizontal="right"/>
    </xf>
    <xf numFmtId="180" fontId="3" fillId="33" borderId="0" xfId="64" applyNumberFormat="1" applyFont="1" applyFill="1" applyBorder="1" applyAlignment="1">
      <alignment horizontal="right"/>
    </xf>
    <xf numFmtId="169" fontId="3" fillId="33" borderId="16" xfId="64" applyNumberFormat="1" applyFont="1" applyFill="1" applyBorder="1" applyAlignment="1">
      <alignment horizontal="center"/>
    </xf>
    <xf numFmtId="169" fontId="3" fillId="33" borderId="0" xfId="64" applyNumberFormat="1" applyFont="1" applyFill="1" applyBorder="1" applyAlignment="1">
      <alignment horizontal="center"/>
    </xf>
    <xf numFmtId="0" fontId="1" fillId="34" borderId="10" xfId="47" applyNumberFormat="1" applyFont="1" applyFill="1" applyBorder="1" applyAlignment="1">
      <alignment horizontal="center" vertical="center"/>
      <protection/>
    </xf>
    <xf numFmtId="0" fontId="1" fillId="34" borderId="12" xfId="47" applyNumberFormat="1" applyFont="1" applyFill="1" applyBorder="1" applyAlignment="1">
      <alignment horizontal="center" vertical="center"/>
      <protection/>
    </xf>
    <xf numFmtId="180" fontId="3" fillId="33" borderId="16" xfId="64" applyNumberFormat="1" applyFont="1" applyFill="1" applyBorder="1" applyAlignment="1">
      <alignment horizontal="center"/>
    </xf>
    <xf numFmtId="180" fontId="3" fillId="33" borderId="0" xfId="64" applyNumberFormat="1" applyFont="1" applyFill="1" applyBorder="1" applyAlignment="1">
      <alignment horizontal="center"/>
    </xf>
    <xf numFmtId="49" fontId="3" fillId="0" borderId="11" xfId="47" applyNumberFormat="1" applyFont="1" applyFill="1" applyBorder="1" applyAlignment="1">
      <alignment horizontal="left"/>
      <protection/>
    </xf>
    <xf numFmtId="49" fontId="3" fillId="0" borderId="0" xfId="47" applyNumberFormat="1" applyFont="1" applyFill="1" applyBorder="1" applyAlignment="1">
      <alignment horizontal="left"/>
      <protection/>
    </xf>
    <xf numFmtId="169" fontId="1" fillId="33" borderId="16" xfId="64" applyNumberFormat="1" applyFont="1" applyFill="1" applyBorder="1" applyAlignment="1">
      <alignment horizontal="center"/>
    </xf>
    <xf numFmtId="169" fontId="1" fillId="33" borderId="0" xfId="64" applyNumberFormat="1" applyFont="1" applyFill="1" applyBorder="1" applyAlignment="1">
      <alignment horizontal="center"/>
    </xf>
    <xf numFmtId="180" fontId="1" fillId="33" borderId="16" xfId="64" applyNumberFormat="1" applyFont="1" applyFill="1" applyBorder="1" applyAlignment="1">
      <alignment horizontal="center"/>
    </xf>
    <xf numFmtId="180" fontId="1" fillId="33" borderId="0" xfId="64" applyNumberFormat="1" applyFont="1" applyFill="1" applyBorder="1" applyAlignment="1">
      <alignment horizontal="center"/>
    </xf>
    <xf numFmtId="169" fontId="3" fillId="33" borderId="18" xfId="64" applyNumberFormat="1" applyFont="1" applyFill="1" applyBorder="1" applyAlignment="1">
      <alignment horizontal="right"/>
    </xf>
    <xf numFmtId="169" fontId="3" fillId="33" borderId="14" xfId="64" applyNumberFormat="1" applyFont="1" applyFill="1" applyBorder="1" applyAlignment="1">
      <alignment horizontal="right"/>
    </xf>
    <xf numFmtId="49" fontId="3" fillId="0" borderId="19" xfId="47" applyNumberFormat="1" applyFont="1" applyFill="1" applyBorder="1" applyAlignment="1">
      <alignment horizontal="left"/>
      <protection/>
    </xf>
    <xf numFmtId="0" fontId="1" fillId="34" borderId="21" xfId="47" applyNumberFormat="1" applyFont="1" applyFill="1" applyBorder="1" applyAlignment="1">
      <alignment horizontal="center" vertical="center"/>
      <protection/>
    </xf>
    <xf numFmtId="0" fontId="1" fillId="34" borderId="11" xfId="47" applyNumberFormat="1" applyFont="1" applyFill="1" applyBorder="1" applyAlignment="1">
      <alignment horizontal="center" vertical="center"/>
      <protection/>
    </xf>
    <xf numFmtId="0" fontId="1" fillId="34" borderId="19" xfId="47" applyNumberFormat="1" applyFont="1" applyFill="1" applyBorder="1" applyAlignment="1">
      <alignment horizontal="center" vertical="center"/>
      <protection/>
    </xf>
    <xf numFmtId="0" fontId="1" fillId="34" borderId="23" xfId="47" applyNumberFormat="1" applyFont="1" applyFill="1" applyBorder="1" applyAlignment="1">
      <alignment horizontal="center"/>
      <protection/>
    </xf>
    <xf numFmtId="0" fontId="1" fillId="34" borderId="24" xfId="47" applyNumberFormat="1" applyFont="1" applyFill="1" applyBorder="1" applyAlignment="1">
      <alignment horizontal="center"/>
      <protection/>
    </xf>
    <xf numFmtId="37" fontId="6" fillId="33" borderId="24" xfId="47" applyNumberFormat="1" applyFont="1" applyFill="1" applyBorder="1" applyAlignment="1">
      <alignment horizontal="center" vertical="center"/>
      <protection/>
    </xf>
    <xf numFmtId="0" fontId="1" fillId="34" borderId="17" xfId="47" applyNumberFormat="1" applyFont="1" applyFill="1" applyBorder="1" applyAlignment="1">
      <alignment horizontal="center" wrapText="1"/>
      <protection/>
    </xf>
    <xf numFmtId="0" fontId="1" fillId="34" borderId="20" xfId="47" applyNumberFormat="1" applyFont="1" applyFill="1" applyBorder="1" applyAlignment="1">
      <alignment horizontal="center" wrapText="1"/>
      <protection/>
    </xf>
    <xf numFmtId="0" fontId="1" fillId="34" borderId="16" xfId="47" applyNumberFormat="1" applyFont="1" applyFill="1" applyBorder="1" applyAlignment="1">
      <alignment horizontal="center" wrapText="1"/>
      <protection/>
    </xf>
    <xf numFmtId="0" fontId="1" fillId="34" borderId="0" xfId="47" applyNumberFormat="1" applyFont="1" applyFill="1" applyBorder="1" applyAlignment="1">
      <alignment horizontal="center" wrapText="1"/>
      <protection/>
    </xf>
    <xf numFmtId="0" fontId="1" fillId="34" borderId="18" xfId="47" applyNumberFormat="1" applyFont="1" applyFill="1" applyBorder="1" applyAlignment="1">
      <alignment horizontal="center" wrapText="1"/>
      <protection/>
    </xf>
    <xf numFmtId="0" fontId="1" fillId="34" borderId="14" xfId="47" applyNumberFormat="1" applyFont="1" applyFill="1" applyBorder="1" applyAlignment="1">
      <alignment horizontal="center" wrapText="1"/>
      <protection/>
    </xf>
    <xf numFmtId="169" fontId="3" fillId="33" borderId="18" xfId="64" applyNumberFormat="1" applyFont="1" applyFill="1" applyBorder="1" applyAlignment="1">
      <alignment horizontal="center"/>
    </xf>
    <xf numFmtId="169" fontId="3" fillId="33" borderId="14" xfId="64" applyNumberFormat="1" applyFont="1" applyFill="1" applyBorder="1" applyAlignment="1">
      <alignment horizontal="center"/>
    </xf>
    <xf numFmtId="0" fontId="1" fillId="34" borderId="10" xfId="47" applyNumberFormat="1" applyFont="1" applyFill="1" applyBorder="1" applyAlignment="1">
      <alignment horizontal="center" vertical="center" wrapText="1"/>
      <protection/>
    </xf>
    <xf numFmtId="0" fontId="1" fillId="34" borderId="12" xfId="47" applyNumberFormat="1" applyFont="1" applyFill="1" applyBorder="1" applyAlignment="1">
      <alignment horizontal="center" vertical="center" wrapText="1"/>
      <protection/>
    </xf>
    <xf numFmtId="0" fontId="1" fillId="34" borderId="20" xfId="47" applyFont="1" applyFill="1" applyBorder="1" applyAlignment="1">
      <alignment horizontal="center" vertical="center"/>
      <protection/>
    </xf>
    <xf numFmtId="0" fontId="1" fillId="34" borderId="21" xfId="47" applyFont="1" applyFill="1" applyBorder="1" applyAlignment="1">
      <alignment horizontal="center" vertical="center"/>
      <protection/>
    </xf>
    <xf numFmtId="0" fontId="1" fillId="34" borderId="0" xfId="47" applyFont="1" applyFill="1" applyBorder="1" applyAlignment="1">
      <alignment horizontal="center" vertical="center"/>
      <protection/>
    </xf>
    <xf numFmtId="0" fontId="1" fillId="34" borderId="11" xfId="47" applyFont="1" applyFill="1" applyBorder="1" applyAlignment="1">
      <alignment horizontal="center" vertical="center"/>
      <protection/>
    </xf>
    <xf numFmtId="0" fontId="1" fillId="34" borderId="14" xfId="47" applyFont="1" applyFill="1" applyBorder="1" applyAlignment="1">
      <alignment horizontal="center" vertical="center"/>
      <protection/>
    </xf>
    <xf numFmtId="0" fontId="1" fillId="34" borderId="19" xfId="47" applyFont="1" applyFill="1" applyBorder="1" applyAlignment="1">
      <alignment horizontal="center" vertical="center"/>
      <protection/>
    </xf>
    <xf numFmtId="0" fontId="4" fillId="33" borderId="0" xfId="47" applyNumberFormat="1" applyFont="1" applyFill="1" applyAlignment="1">
      <alignment horizontal="center"/>
      <protection/>
    </xf>
    <xf numFmtId="180" fontId="1" fillId="33" borderId="16" xfId="64" applyNumberFormat="1" applyFont="1" applyFill="1" applyBorder="1" applyAlignment="1">
      <alignment horizontal="right"/>
    </xf>
    <xf numFmtId="180" fontId="1" fillId="33" borderId="0" xfId="64" applyNumberFormat="1" applyFont="1" applyFill="1" applyBorder="1" applyAlignment="1">
      <alignment horizontal="right"/>
    </xf>
    <xf numFmtId="49" fontId="1" fillId="0" borderId="11" xfId="47" applyNumberFormat="1" applyFont="1" applyFill="1" applyBorder="1" applyAlignment="1">
      <alignment horizontal="left"/>
      <protection/>
    </xf>
    <xf numFmtId="49" fontId="3" fillId="0" borderId="11" xfId="47" applyNumberFormat="1" applyFont="1" applyFill="1" applyBorder="1" applyAlignment="1">
      <alignment horizontal="left" indent="4"/>
      <protection/>
    </xf>
    <xf numFmtId="0" fontId="1" fillId="0" borderId="0" xfId="47" applyFont="1" applyFill="1" applyBorder="1" applyAlignment="1">
      <alignment horizontal="left" wrapText="1"/>
      <protection/>
    </xf>
    <xf numFmtId="0" fontId="1" fillId="0" borderId="11" xfId="47" applyFont="1" applyFill="1" applyBorder="1" applyAlignment="1">
      <alignment horizontal="left" wrapText="1"/>
      <protection/>
    </xf>
    <xf numFmtId="180" fontId="1" fillId="33" borderId="17" xfId="64" applyNumberFormat="1" applyFont="1" applyFill="1" applyBorder="1" applyAlignment="1">
      <alignment horizontal="right"/>
    </xf>
    <xf numFmtId="180" fontId="1" fillId="33" borderId="20" xfId="64" applyNumberFormat="1" applyFont="1" applyFill="1" applyBorder="1" applyAlignment="1">
      <alignment horizontal="right"/>
    </xf>
    <xf numFmtId="49" fontId="1" fillId="34" borderId="18" xfId="47" applyNumberFormat="1" applyFont="1" applyFill="1" applyBorder="1" applyAlignment="1">
      <alignment horizontal="center"/>
      <protection/>
    </xf>
    <xf numFmtId="49" fontId="1" fillId="34" borderId="19" xfId="47" applyNumberFormat="1" applyFont="1" applyFill="1" applyBorder="1" applyAlignment="1">
      <alignment horizontal="center"/>
      <protection/>
    </xf>
    <xf numFmtId="49" fontId="1" fillId="34" borderId="14" xfId="47" applyNumberFormat="1" applyFont="1" applyFill="1" applyBorder="1" applyAlignment="1">
      <alignment horizontal="center"/>
      <protection/>
    </xf>
    <xf numFmtId="49" fontId="4" fillId="33" borderId="0" xfId="47" applyNumberFormat="1" applyFont="1" applyFill="1" applyAlignment="1">
      <alignment horizontal="center"/>
      <protection/>
    </xf>
    <xf numFmtId="49" fontId="1" fillId="34" borderId="17" xfId="47" applyNumberFormat="1" applyFont="1" applyFill="1" applyBorder="1" applyAlignment="1">
      <alignment horizontal="center"/>
      <protection/>
    </xf>
    <xf numFmtId="49" fontId="1" fillId="34" borderId="20" xfId="47" applyNumberFormat="1" applyFont="1" applyFill="1" applyBorder="1" applyAlignment="1">
      <alignment horizontal="center"/>
      <protection/>
    </xf>
    <xf numFmtId="49" fontId="1" fillId="34" borderId="10" xfId="47" applyNumberFormat="1" applyFont="1" applyFill="1" applyBorder="1" applyAlignment="1">
      <alignment horizontal="center" vertical="center" wrapText="1"/>
      <protection/>
    </xf>
    <xf numFmtId="49" fontId="1" fillId="34" borderId="12" xfId="47" applyNumberFormat="1" applyFont="1" applyFill="1" applyBorder="1" applyAlignment="1">
      <alignment horizontal="center" vertical="center" wrapText="1"/>
      <protection/>
    </xf>
    <xf numFmtId="49" fontId="1" fillId="34" borderId="15" xfId="47" applyNumberFormat="1" applyFont="1" applyFill="1" applyBorder="1" applyAlignment="1">
      <alignment horizontal="center" vertical="center" wrapText="1"/>
      <protection/>
    </xf>
    <xf numFmtId="0" fontId="1" fillId="34" borderId="23" xfId="47" applyFont="1" applyFill="1" applyBorder="1" applyAlignment="1">
      <alignment horizontal="center" vertical="center"/>
      <protection/>
    </xf>
    <xf numFmtId="0" fontId="1" fillId="34" borderId="24" xfId="47" applyFont="1" applyFill="1" applyBorder="1" applyAlignment="1">
      <alignment horizontal="center" vertical="center"/>
      <protection/>
    </xf>
    <xf numFmtId="0" fontId="1" fillId="34" borderId="22" xfId="47" applyFont="1" applyFill="1" applyBorder="1" applyAlignment="1">
      <alignment horizontal="center" vertical="center"/>
      <protection/>
    </xf>
    <xf numFmtId="49" fontId="1" fillId="34" borderId="21" xfId="47" applyNumberFormat="1" applyFont="1" applyFill="1" applyBorder="1" applyAlignment="1">
      <alignment horizontal="center"/>
      <protection/>
    </xf>
    <xf numFmtId="49" fontId="1" fillId="34" borderId="16" xfId="47" applyNumberFormat="1" applyFont="1" applyFill="1" applyBorder="1" applyAlignment="1">
      <alignment horizontal="center"/>
      <protection/>
    </xf>
    <xf numFmtId="49" fontId="1" fillId="34" borderId="0" xfId="47" applyNumberFormat="1" applyFont="1" applyFill="1" applyBorder="1" applyAlignment="1">
      <alignment horizontal="center"/>
      <protection/>
    </xf>
    <xf numFmtId="171" fontId="1" fillId="33" borderId="18" xfId="63" applyFont="1" applyFill="1" applyBorder="1" applyAlignment="1">
      <alignment horizontal="center"/>
    </xf>
    <xf numFmtId="171" fontId="1" fillId="33" borderId="14" xfId="63" applyFont="1" applyFill="1" applyBorder="1" applyAlignment="1">
      <alignment horizontal="center"/>
    </xf>
    <xf numFmtId="169" fontId="1" fillId="33" borderId="20" xfId="64" applyNumberFormat="1" applyFont="1" applyFill="1" applyBorder="1" applyAlignment="1">
      <alignment horizontal="right"/>
    </xf>
    <xf numFmtId="180" fontId="1" fillId="33" borderId="18" xfId="64" applyNumberFormat="1" applyFont="1" applyFill="1" applyBorder="1" applyAlignment="1">
      <alignment horizontal="right"/>
    </xf>
    <xf numFmtId="180" fontId="1" fillId="33" borderId="14" xfId="64" applyNumberFormat="1" applyFont="1" applyFill="1" applyBorder="1" applyAlignment="1">
      <alignment horizontal="right"/>
    </xf>
    <xf numFmtId="171" fontId="2" fillId="35" borderId="16" xfId="63" applyFont="1" applyFill="1" applyBorder="1" applyAlignment="1">
      <alignment horizontal="center"/>
    </xf>
    <xf numFmtId="171" fontId="2" fillId="35" borderId="0" xfId="63" applyFont="1" applyFill="1" applyBorder="1" applyAlignment="1">
      <alignment horizontal="center"/>
    </xf>
    <xf numFmtId="180" fontId="1" fillId="33" borderId="18" xfId="64" applyNumberFormat="1" applyFont="1" applyFill="1" applyBorder="1" applyAlignment="1">
      <alignment horizontal="center"/>
    </xf>
    <xf numFmtId="180" fontId="1" fillId="33" borderId="14" xfId="64" applyNumberFormat="1" applyFont="1" applyFill="1" applyBorder="1" applyAlignment="1">
      <alignment horizontal="center"/>
    </xf>
    <xf numFmtId="0" fontId="3" fillId="0" borderId="24" xfId="47" applyFont="1" applyFill="1" applyBorder="1" applyAlignment="1">
      <alignment horizontal="left"/>
      <protection/>
    </xf>
    <xf numFmtId="171" fontId="2" fillId="35" borderId="23" xfId="63" applyFont="1" applyFill="1" applyBorder="1" applyAlignment="1">
      <alignment horizontal="center"/>
    </xf>
    <xf numFmtId="171" fontId="2" fillId="35" borderId="24" xfId="63" applyFont="1" applyFill="1" applyBorder="1" applyAlignment="1">
      <alignment horizontal="center"/>
    </xf>
    <xf numFmtId="0" fontId="3" fillId="0" borderId="11" xfId="47" applyFont="1" applyFill="1" applyBorder="1" applyAlignment="1">
      <alignment horizontal="left"/>
      <protection/>
    </xf>
    <xf numFmtId="49" fontId="1" fillId="0" borderId="24" xfId="47" applyNumberFormat="1" applyFont="1" applyFill="1" applyBorder="1" applyAlignment="1">
      <alignment horizontal="left"/>
      <protection/>
    </xf>
    <xf numFmtId="49" fontId="1" fillId="0" borderId="22" xfId="47" applyNumberFormat="1" applyFont="1" applyFill="1" applyBorder="1" applyAlignment="1">
      <alignment horizontal="left"/>
      <protection/>
    </xf>
    <xf numFmtId="171" fontId="1" fillId="33" borderId="18" xfId="63" applyFont="1" applyFill="1" applyBorder="1" applyAlignment="1">
      <alignment horizontal="right"/>
    </xf>
    <xf numFmtId="171" fontId="1" fillId="33" borderId="14" xfId="63" applyFont="1" applyFill="1" applyBorder="1" applyAlignment="1">
      <alignment horizontal="right"/>
    </xf>
    <xf numFmtId="49" fontId="1" fillId="0" borderId="20" xfId="47" applyNumberFormat="1" applyFont="1" applyFill="1" applyBorder="1" applyAlignment="1">
      <alignment horizontal="left"/>
      <protection/>
    </xf>
    <xf numFmtId="49" fontId="1" fillId="0" borderId="21" xfId="47" applyNumberFormat="1" applyFont="1" applyFill="1" applyBorder="1" applyAlignment="1">
      <alignment horizontal="left"/>
      <protection/>
    </xf>
    <xf numFmtId="49" fontId="1" fillId="0" borderId="24" xfId="47" applyNumberFormat="1" applyFont="1" applyFill="1" applyBorder="1" applyAlignment="1">
      <alignment horizontal="left" vertical="center" wrapText="1"/>
      <protection/>
    </xf>
    <xf numFmtId="0" fontId="3" fillId="0" borderId="22" xfId="47" applyFont="1" applyFill="1" applyBorder="1" applyAlignment="1">
      <alignment horizontal="left"/>
      <protection/>
    </xf>
    <xf numFmtId="171" fontId="1" fillId="33" borderId="17" xfId="63" applyFont="1" applyFill="1" applyBorder="1" applyAlignment="1">
      <alignment horizontal="right"/>
    </xf>
    <xf numFmtId="171" fontId="1" fillId="33" borderId="20" xfId="63" applyFont="1" applyFill="1" applyBorder="1" applyAlignment="1">
      <alignment horizontal="right"/>
    </xf>
    <xf numFmtId="0" fontId="3" fillId="0" borderId="14" xfId="47" applyFont="1" applyFill="1" applyBorder="1" applyAlignment="1">
      <alignment horizontal="left"/>
      <protection/>
    </xf>
    <xf numFmtId="0" fontId="3" fillId="0" borderId="19" xfId="47" applyFont="1" applyFill="1" applyBorder="1" applyAlignment="1">
      <alignment horizontal="left"/>
      <protection/>
    </xf>
    <xf numFmtId="0" fontId="1" fillId="0" borderId="20" xfId="47" applyNumberFormat="1" applyFont="1" applyFill="1" applyBorder="1" applyAlignment="1">
      <alignment horizontal="left"/>
      <protection/>
    </xf>
    <xf numFmtId="0" fontId="3" fillId="0" borderId="21" xfId="47" applyFont="1" applyFill="1" applyBorder="1" applyAlignment="1">
      <alignment horizontal="left"/>
      <protection/>
    </xf>
    <xf numFmtId="169" fontId="1" fillId="33" borderId="17" xfId="64" applyNumberFormat="1" applyFont="1" applyFill="1" applyBorder="1" applyAlignment="1">
      <alignment horizontal="right"/>
    </xf>
    <xf numFmtId="0" fontId="1" fillId="0" borderId="11" xfId="47" applyFont="1" applyFill="1" applyBorder="1" applyAlignment="1">
      <alignment horizontal="left"/>
      <protection/>
    </xf>
    <xf numFmtId="0" fontId="4" fillId="0" borderId="0" xfId="47" applyNumberFormat="1" applyFont="1" applyFill="1" applyAlignment="1">
      <alignment horizontal="center"/>
      <protection/>
    </xf>
    <xf numFmtId="49" fontId="4" fillId="0" borderId="0" xfId="47" applyNumberFormat="1" applyFont="1" applyFill="1" applyAlignment="1">
      <alignment horizontal="center"/>
      <protection/>
    </xf>
    <xf numFmtId="0" fontId="5" fillId="0" borderId="0" xfId="47" applyFont="1" applyFill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47" fillId="0" borderId="0" xfId="47" applyFont="1" applyFill="1" applyBorder="1" applyAlignment="1">
      <alignment horizontal="center" vertical="center"/>
      <protection/>
    </xf>
    <xf numFmtId="0" fontId="1" fillId="34" borderId="22" xfId="47" applyNumberFormat="1" applyFont="1" applyFill="1" applyBorder="1" applyAlignment="1">
      <alignment horizontal="center"/>
      <protection/>
    </xf>
    <xf numFmtId="0" fontId="1" fillId="34" borderId="10" xfId="47" applyNumberFormat="1" applyFont="1" applyFill="1" applyBorder="1" applyAlignment="1">
      <alignment horizontal="center" wrapText="1"/>
      <protection/>
    </xf>
    <xf numFmtId="0" fontId="1" fillId="34" borderId="12" xfId="47" applyNumberFormat="1" applyFont="1" applyFill="1" applyBorder="1" applyAlignment="1">
      <alignment horizontal="center" wrapText="1"/>
      <protection/>
    </xf>
    <xf numFmtId="0" fontId="3" fillId="0" borderId="0" xfId="47" applyFont="1" applyFill="1" applyBorder="1" applyAlignment="1">
      <alignment horizontal="left"/>
      <protection/>
    </xf>
    <xf numFmtId="0" fontId="5" fillId="33" borderId="0" xfId="47" applyNumberFormat="1" applyFont="1" applyFill="1" applyAlignment="1">
      <alignment horizontal="center"/>
      <protection/>
    </xf>
    <xf numFmtId="180" fontId="1" fillId="33" borderId="23" xfId="64" applyNumberFormat="1" applyFont="1" applyFill="1" applyBorder="1" applyAlignment="1">
      <alignment horizontal="right"/>
    </xf>
    <xf numFmtId="180" fontId="1" fillId="33" borderId="24" xfId="64" applyNumberFormat="1" applyFont="1" applyFill="1" applyBorder="1" applyAlignment="1">
      <alignment horizontal="right"/>
    </xf>
    <xf numFmtId="171" fontId="2" fillId="35" borderId="22" xfId="63" applyFont="1" applyFill="1" applyBorder="1" applyAlignment="1">
      <alignment horizontal="center"/>
    </xf>
    <xf numFmtId="169" fontId="45" fillId="0" borderId="0" xfId="47" applyNumberFormat="1" applyFont="1" applyFill="1" applyAlignment="1">
      <alignment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ta" xfId="49"/>
    <cellStyle name="Percent" xfId="50"/>
    <cellStyle name="Ruim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1295400</xdr:colOff>
      <xdr:row>0</xdr:row>
      <xdr:rowOff>142875</xdr:rowOff>
    </xdr:from>
    <xdr:to>
      <xdr:col>4</xdr:col>
      <xdr:colOff>400050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142875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1371600</xdr:colOff>
      <xdr:row>127</xdr:row>
      <xdr:rowOff>28575</xdr:rowOff>
    </xdr:from>
    <xdr:to>
      <xdr:col>4</xdr:col>
      <xdr:colOff>419100</xdr:colOff>
      <xdr:row>130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25612725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DREFI\13-%20DIVERSOS\EXCEL\2015\Anexos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- Balanço Orçamentário"/>
      <sheetName val="Anexo 2 - Função e Subfunção"/>
      <sheetName val="Anexo 4 - RPPS"/>
      <sheetName val="Anexo 5 - Resultado Nominal"/>
      <sheetName val="Anexo 6 - Primário Estados"/>
      <sheetName val="Anexo 7 - RP Poder e Órgão"/>
      <sheetName val="Anexo 8 - MDE - Estados"/>
      <sheetName val="Anexo 12 - Saúde (Estados)"/>
      <sheetName val="Anexo 14 - Simplific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246"/>
  <sheetViews>
    <sheetView showGridLines="0" tabSelected="1" zoomScale="80" zoomScaleNormal="80" zoomScaleSheetLayoutView="70" workbookViewId="0" topLeftCell="A181">
      <selection activeCell="H95" sqref="H95"/>
    </sheetView>
  </sheetViews>
  <sheetFormatPr defaultColWidth="9.140625" defaultRowHeight="11.25" customHeight="1"/>
  <cols>
    <col min="1" max="1" width="80.00390625" style="2" customWidth="1"/>
    <col min="2" max="2" width="21.421875" style="2" bestFit="1" customWidth="1"/>
    <col min="3" max="3" width="22.28125" style="2" bestFit="1" customWidth="1"/>
    <col min="4" max="5" width="22.140625" style="2" bestFit="1" customWidth="1"/>
    <col min="6" max="9" width="21.7109375" style="2" bestFit="1" customWidth="1"/>
    <col min="10" max="10" width="22.7109375" style="2" customWidth="1"/>
    <col min="11" max="11" width="4.140625" style="2" customWidth="1"/>
    <col min="12" max="12" width="14.28125" style="2" customWidth="1"/>
    <col min="13" max="13" width="5.00390625" style="2" customWidth="1"/>
    <col min="14" max="14" width="18.57421875" style="2" customWidth="1"/>
    <col min="15" max="15" width="6.57421875" style="2" customWidth="1"/>
    <col min="16" max="16" width="16.421875" style="2" customWidth="1"/>
    <col min="17" max="17" width="15.421875" style="2" customWidth="1"/>
    <col min="18" max="18" width="22.00390625" style="2" customWidth="1"/>
    <col min="19" max="19" width="13.421875" style="2" customWidth="1"/>
    <col min="20" max="16384" width="9.140625" style="2" customWidth="1"/>
  </cols>
  <sheetData>
    <row r="4" ht="15.75">
      <c r="A4" s="1"/>
    </row>
    <row r="5" s="3" customFormat="1" ht="11.25" customHeight="1">
      <c r="A5" s="1"/>
    </row>
    <row r="6" spans="1:12" s="4" customFormat="1" ht="15.75" customHeight="1">
      <c r="A6" s="297" t="s">
        <v>27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</row>
    <row r="7" spans="1:12" s="4" customFormat="1" ht="15.75" customHeight="1">
      <c r="A7" s="298" t="s">
        <v>0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</row>
    <row r="8" spans="1:12" s="4" customFormat="1" ht="15.75" customHeight="1">
      <c r="A8" s="299" t="s">
        <v>1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</row>
    <row r="9" spans="1:12" s="4" customFormat="1" ht="15.75" customHeight="1">
      <c r="A9" s="300" t="s">
        <v>2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</row>
    <row r="10" spans="1:12" s="4" customFormat="1" ht="16.5">
      <c r="A10" s="298" t="s">
        <v>137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</row>
    <row r="11" spans="1:12" s="4" customFormat="1" ht="16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3" customFormat="1" ht="15.75">
      <c r="A12" s="6"/>
      <c r="B12" s="6"/>
      <c r="C12" s="6"/>
      <c r="D12" s="6"/>
      <c r="E12" s="6"/>
      <c r="F12" s="6"/>
      <c r="G12" s="6"/>
      <c r="H12" s="6"/>
      <c r="I12" s="7"/>
      <c r="J12" s="58"/>
      <c r="K12" s="58"/>
      <c r="L12" s="88" t="s">
        <v>154</v>
      </c>
    </row>
    <row r="13" spans="1:12" s="3" customFormat="1" ht="15.75">
      <c r="A13" s="8" t="s">
        <v>67</v>
      </c>
      <c r="B13" s="9"/>
      <c r="C13" s="10"/>
      <c r="D13" s="10"/>
      <c r="E13" s="11"/>
      <c r="F13" s="10"/>
      <c r="G13" s="10"/>
      <c r="H13" s="12"/>
      <c r="I13" s="7"/>
      <c r="J13" s="13"/>
      <c r="L13" s="13">
        <v>1</v>
      </c>
    </row>
    <row r="14" spans="1:12" s="3" customFormat="1" ht="20.25" customHeight="1">
      <c r="A14" s="238" t="s">
        <v>4</v>
      </c>
      <c r="B14" s="239"/>
      <c r="C14" s="259" t="s">
        <v>68</v>
      </c>
      <c r="D14" s="74" t="s">
        <v>83</v>
      </c>
      <c r="E14" s="262" t="s">
        <v>3</v>
      </c>
      <c r="F14" s="263"/>
      <c r="G14" s="263"/>
      <c r="H14" s="263"/>
      <c r="I14" s="264"/>
      <c r="J14" s="257" t="s">
        <v>69</v>
      </c>
      <c r="K14" s="258"/>
      <c r="L14" s="258"/>
    </row>
    <row r="15" spans="1:12" s="3" customFormat="1" ht="15.75" customHeight="1">
      <c r="A15" s="240"/>
      <c r="B15" s="241"/>
      <c r="C15" s="260"/>
      <c r="D15" s="75" t="s">
        <v>6</v>
      </c>
      <c r="E15" s="74" t="s">
        <v>7</v>
      </c>
      <c r="F15" s="76" t="s">
        <v>8</v>
      </c>
      <c r="G15" s="257" t="s">
        <v>9</v>
      </c>
      <c r="H15" s="265"/>
      <c r="I15" s="76" t="s">
        <v>8</v>
      </c>
      <c r="J15" s="266"/>
      <c r="K15" s="267"/>
      <c r="L15" s="267"/>
    </row>
    <row r="16" spans="1:12" s="3" customFormat="1" ht="16.5" customHeight="1">
      <c r="A16" s="242"/>
      <c r="B16" s="243"/>
      <c r="C16" s="261"/>
      <c r="D16" s="77" t="s">
        <v>10</v>
      </c>
      <c r="E16" s="77" t="s">
        <v>11</v>
      </c>
      <c r="F16" s="77" t="s">
        <v>12</v>
      </c>
      <c r="G16" s="253" t="s">
        <v>70</v>
      </c>
      <c r="H16" s="254"/>
      <c r="I16" s="77" t="s">
        <v>13</v>
      </c>
      <c r="J16" s="253" t="s">
        <v>14</v>
      </c>
      <c r="K16" s="255"/>
      <c r="L16" s="255"/>
    </row>
    <row r="17" spans="1:13" s="3" customFormat="1" ht="15.75" customHeight="1">
      <c r="A17" s="249" t="s">
        <v>71</v>
      </c>
      <c r="B17" s="250"/>
      <c r="C17" s="121">
        <f>C18+C58</f>
        <v>64442682454</v>
      </c>
      <c r="D17" s="122">
        <f>D18+D58</f>
        <v>83804672676.40001</v>
      </c>
      <c r="E17" s="123">
        <f>E18+E58</f>
        <v>17729320385.219997</v>
      </c>
      <c r="F17" s="14">
        <f>(E17/D17)*100</f>
        <v>21.155527274331444</v>
      </c>
      <c r="G17" s="103"/>
      <c r="H17" s="152">
        <f>H18+H58</f>
        <v>85704046208.29999</v>
      </c>
      <c r="I17" s="14">
        <f>(H17/D17)*100</f>
        <v>102.26642915155118</v>
      </c>
      <c r="J17" s="251">
        <f aca="true" t="shared" si="0" ref="J17:J48">D17-H17</f>
        <v>-1899373531.8999786</v>
      </c>
      <c r="K17" s="252"/>
      <c r="L17" s="252"/>
      <c r="M17" s="15"/>
    </row>
    <row r="18" spans="1:13" s="3" customFormat="1" ht="15.75" customHeight="1">
      <c r="A18" s="247" t="s">
        <v>32</v>
      </c>
      <c r="B18" s="247"/>
      <c r="C18" s="124">
        <f>C19+C23+C28+C36+C37+C38+C44+C53</f>
        <v>62878278935</v>
      </c>
      <c r="D18" s="125">
        <f>D19+D23+D28+D36+D37+D38+D44+D53</f>
        <v>83295200126.62001</v>
      </c>
      <c r="E18" s="123">
        <f>E19+E23+E28+E36+E37+E38+E44+E53</f>
        <v>17688897016.3</v>
      </c>
      <c r="F18" s="17">
        <f>(E18/D18)*100</f>
        <v>21.236394161260762</v>
      </c>
      <c r="G18" s="104"/>
      <c r="H18" s="153">
        <f>H19+H23+H28+H36+H37+H38+H44+H53</f>
        <v>85552378253.13998</v>
      </c>
      <c r="I18" s="17">
        <f aca="true" t="shared" si="1" ref="I18:I74">(H18/D18)*100</f>
        <v>102.70985377679477</v>
      </c>
      <c r="J18" s="245">
        <f t="shared" si="0"/>
        <v>-2257178126.5199738</v>
      </c>
      <c r="K18" s="246"/>
      <c r="L18" s="246"/>
      <c r="M18" s="18"/>
    </row>
    <row r="19" spans="1:13" s="3" customFormat="1" ht="15.75" customHeight="1">
      <c r="A19" s="213" t="s">
        <v>130</v>
      </c>
      <c r="B19" s="213"/>
      <c r="C19" s="120">
        <f>C20+C21+C22</f>
        <v>38120772436</v>
      </c>
      <c r="D19" s="126">
        <f>D20+D21+D22</f>
        <v>43838166929.85</v>
      </c>
      <c r="E19" s="127">
        <f>E20+E21+E22</f>
        <v>8194564820.940001</v>
      </c>
      <c r="F19" s="22">
        <f>(E19/D19)*100</f>
        <v>18.692763395086693</v>
      </c>
      <c r="G19" s="101"/>
      <c r="H19" s="141">
        <f>H20+H21+H22</f>
        <v>43214140343.97</v>
      </c>
      <c r="I19" s="22">
        <f t="shared" si="1"/>
        <v>98.57652217329577</v>
      </c>
      <c r="J19" s="205">
        <f t="shared" si="0"/>
        <v>624026585.8799973</v>
      </c>
      <c r="K19" s="206"/>
      <c r="L19" s="206"/>
      <c r="M19" s="18"/>
    </row>
    <row r="20" spans="1:12" s="3" customFormat="1" ht="15.75" customHeight="1">
      <c r="A20" s="213" t="s">
        <v>33</v>
      </c>
      <c r="B20" s="213"/>
      <c r="C20" s="120">
        <v>35059607483</v>
      </c>
      <c r="D20" s="126">
        <v>40882069337.07</v>
      </c>
      <c r="E20" s="127">
        <f>H20-32470191321.56</f>
        <v>7756745486.91</v>
      </c>
      <c r="F20" s="22">
        <f>(E20/D20)*100</f>
        <v>18.97346590495735</v>
      </c>
      <c r="G20" s="101"/>
      <c r="H20" s="141">
        <v>40226936808.47</v>
      </c>
      <c r="I20" s="22">
        <f t="shared" si="1"/>
        <v>98.39750643931824</v>
      </c>
      <c r="J20" s="205">
        <f t="shared" si="0"/>
        <v>655132528.5999985</v>
      </c>
      <c r="K20" s="206"/>
      <c r="L20" s="206"/>
    </row>
    <row r="21" spans="1:12" s="3" customFormat="1" ht="15.75" customHeight="1">
      <c r="A21" s="213" t="s">
        <v>34</v>
      </c>
      <c r="B21" s="213"/>
      <c r="C21" s="120">
        <v>3061164953</v>
      </c>
      <c r="D21" s="126">
        <v>2956097592.78</v>
      </c>
      <c r="E21" s="127">
        <f>H21-2549384201.47</f>
        <v>437819334.0300002</v>
      </c>
      <c r="F21" s="22">
        <f>(E21/D21)*100</f>
        <v>14.810719886222099</v>
      </c>
      <c r="G21" s="101"/>
      <c r="H21" s="141">
        <v>2987203535.5</v>
      </c>
      <c r="I21" s="22">
        <f t="shared" si="1"/>
        <v>101.05226372755666</v>
      </c>
      <c r="J21" s="205">
        <f t="shared" si="0"/>
        <v>-31105942.71999979</v>
      </c>
      <c r="K21" s="206"/>
      <c r="L21" s="206"/>
    </row>
    <row r="22" spans="1:12" s="3" customFormat="1" ht="15.75" customHeight="1">
      <c r="A22" s="213" t="s">
        <v>136</v>
      </c>
      <c r="B22" s="213"/>
      <c r="C22" s="120">
        <v>0</v>
      </c>
      <c r="D22" s="126">
        <v>0</v>
      </c>
      <c r="E22" s="127">
        <f>H22-0</f>
        <v>0</v>
      </c>
      <c r="F22" s="22">
        <v>0</v>
      </c>
      <c r="G22" s="101"/>
      <c r="H22" s="102">
        <v>0</v>
      </c>
      <c r="I22" s="22">
        <v>0</v>
      </c>
      <c r="J22" s="203">
        <f t="shared" si="0"/>
        <v>0</v>
      </c>
      <c r="K22" s="204"/>
      <c r="L22" s="204"/>
    </row>
    <row r="23" spans="1:13" s="3" customFormat="1" ht="17.25" customHeight="1">
      <c r="A23" s="213" t="s">
        <v>35</v>
      </c>
      <c r="B23" s="213"/>
      <c r="C23" s="120">
        <f>C25+C24+C26+C27</f>
        <v>2828881278</v>
      </c>
      <c r="D23" s="126">
        <f>D25+D24+D26+D27</f>
        <v>2828881278</v>
      </c>
      <c r="E23" s="127">
        <f>E25+E24+E26+E27</f>
        <v>766006394.0799999</v>
      </c>
      <c r="F23" s="22">
        <f>(E23/D23)*100</f>
        <v>27.07806792873122</v>
      </c>
      <c r="G23" s="101"/>
      <c r="H23" s="141">
        <f>SUM(H24:H27)</f>
        <v>3247860979.88</v>
      </c>
      <c r="I23" s="22">
        <f t="shared" si="1"/>
        <v>114.81079128835749</v>
      </c>
      <c r="J23" s="205">
        <f t="shared" si="0"/>
        <v>-418979701.8800001</v>
      </c>
      <c r="K23" s="206"/>
      <c r="L23" s="206"/>
      <c r="M23" s="18"/>
    </row>
    <row r="24" spans="1:12" s="3" customFormat="1" ht="15.75" customHeight="1">
      <c r="A24" s="213" t="s">
        <v>36</v>
      </c>
      <c r="B24" s="213"/>
      <c r="C24" s="120">
        <v>2828881278</v>
      </c>
      <c r="D24" s="126">
        <v>2828881278</v>
      </c>
      <c r="E24" s="127">
        <f>H24-2481854585.8</f>
        <v>766006394.0799999</v>
      </c>
      <c r="F24" s="22">
        <f>(E24/D24)*100</f>
        <v>27.07806792873122</v>
      </c>
      <c r="G24" s="101"/>
      <c r="H24" s="141">
        <v>3247860979.88</v>
      </c>
      <c r="I24" s="22">
        <f t="shared" si="1"/>
        <v>114.81079128835749</v>
      </c>
      <c r="J24" s="205">
        <f t="shared" si="0"/>
        <v>-418979701.8800001</v>
      </c>
      <c r="K24" s="206"/>
      <c r="L24" s="206"/>
    </row>
    <row r="25" spans="1:12" s="3" customFormat="1" ht="15.75" customHeight="1">
      <c r="A25" s="213" t="s">
        <v>92</v>
      </c>
      <c r="B25" s="213"/>
      <c r="C25" s="120">
        <v>0</v>
      </c>
      <c r="D25" s="126">
        <v>0</v>
      </c>
      <c r="E25" s="127">
        <f>H25-0</f>
        <v>0</v>
      </c>
      <c r="F25" s="22">
        <v>0</v>
      </c>
      <c r="G25" s="101"/>
      <c r="H25" s="102">
        <v>0</v>
      </c>
      <c r="I25" s="22">
        <v>0</v>
      </c>
      <c r="J25" s="203">
        <f t="shared" si="0"/>
        <v>0</v>
      </c>
      <c r="K25" s="204"/>
      <c r="L25" s="204"/>
    </row>
    <row r="26" spans="1:12" s="3" customFormat="1" ht="15.75" customHeight="1">
      <c r="A26" s="213" t="s">
        <v>110</v>
      </c>
      <c r="B26" s="213"/>
      <c r="C26" s="120">
        <v>0</v>
      </c>
      <c r="D26" s="126">
        <v>0</v>
      </c>
      <c r="E26" s="127">
        <f>H26-0</f>
        <v>0</v>
      </c>
      <c r="F26" s="22">
        <v>0</v>
      </c>
      <c r="G26" s="101"/>
      <c r="H26" s="102">
        <v>0</v>
      </c>
      <c r="I26" s="22">
        <v>0</v>
      </c>
      <c r="J26" s="207">
        <f t="shared" si="0"/>
        <v>0</v>
      </c>
      <c r="K26" s="208"/>
      <c r="L26" s="208"/>
    </row>
    <row r="27" spans="1:12" s="3" customFormat="1" ht="15.75" customHeight="1">
      <c r="A27" s="213" t="s">
        <v>111</v>
      </c>
      <c r="B27" s="213"/>
      <c r="C27" s="120">
        <v>0</v>
      </c>
      <c r="D27" s="126">
        <v>0</v>
      </c>
      <c r="E27" s="127">
        <f>H27-0</f>
        <v>0</v>
      </c>
      <c r="F27" s="22">
        <v>0</v>
      </c>
      <c r="G27" s="101"/>
      <c r="H27" s="102">
        <v>0</v>
      </c>
      <c r="I27" s="22">
        <v>0</v>
      </c>
      <c r="J27" s="207">
        <f t="shared" si="0"/>
        <v>0</v>
      </c>
      <c r="K27" s="208"/>
      <c r="L27" s="208"/>
    </row>
    <row r="28" spans="1:13" s="3" customFormat="1" ht="15.75" customHeight="1">
      <c r="A28" s="213" t="s">
        <v>37</v>
      </c>
      <c r="B28" s="213"/>
      <c r="C28" s="120">
        <f>SUM(C29:C35)</f>
        <v>13412393611</v>
      </c>
      <c r="D28" s="126">
        <f>SUM(D29:D35)</f>
        <v>27400140963.690002</v>
      </c>
      <c r="E28" s="127">
        <f>SUM(E29:E35)</f>
        <v>6873909683.960002</v>
      </c>
      <c r="F28" s="22">
        <f aca="true" t="shared" si="2" ref="F28:F43">(E28/D28)*100</f>
        <v>25.08713255551911</v>
      </c>
      <c r="G28" s="101"/>
      <c r="H28" s="141">
        <f>SUM(H29:H35)</f>
        <v>29082716848.39</v>
      </c>
      <c r="I28" s="22">
        <f t="shared" si="1"/>
        <v>106.14075630826025</v>
      </c>
      <c r="J28" s="205">
        <f t="shared" si="0"/>
        <v>-1682575884.699997</v>
      </c>
      <c r="K28" s="206"/>
      <c r="L28" s="206"/>
      <c r="M28" s="23"/>
    </row>
    <row r="29" spans="1:12" s="3" customFormat="1" ht="15.75" customHeight="1">
      <c r="A29" s="213" t="s">
        <v>112</v>
      </c>
      <c r="B29" s="213"/>
      <c r="C29" s="120">
        <v>74770244</v>
      </c>
      <c r="D29" s="126">
        <v>66718047.87</v>
      </c>
      <c r="E29" s="127">
        <f>H29-50425676.35</f>
        <v>10309204.71</v>
      </c>
      <c r="F29" s="22">
        <f t="shared" si="2"/>
        <v>15.451898008298247</v>
      </c>
      <c r="G29" s="101"/>
      <c r="H29" s="141">
        <v>60734881.06</v>
      </c>
      <c r="I29" s="22">
        <f t="shared" si="1"/>
        <v>91.03216146003224</v>
      </c>
      <c r="J29" s="205">
        <f t="shared" si="0"/>
        <v>5983166.809999995</v>
      </c>
      <c r="K29" s="206"/>
      <c r="L29" s="206"/>
    </row>
    <row r="30" spans="1:12" s="3" customFormat="1" ht="15.75" customHeight="1">
      <c r="A30" s="213" t="s">
        <v>113</v>
      </c>
      <c r="B30" s="213"/>
      <c r="C30" s="120">
        <v>398724051</v>
      </c>
      <c r="D30" s="126">
        <v>677460534.4</v>
      </c>
      <c r="E30" s="127">
        <f>H30-473025002.2</f>
        <v>358143849.8</v>
      </c>
      <c r="F30" s="22">
        <f t="shared" si="2"/>
        <v>52.86564037522774</v>
      </c>
      <c r="G30" s="101"/>
      <c r="H30" s="141">
        <v>831168852</v>
      </c>
      <c r="I30" s="22">
        <f t="shared" si="1"/>
        <v>122.68889622273471</v>
      </c>
      <c r="J30" s="205">
        <f t="shared" si="0"/>
        <v>-153708317.60000002</v>
      </c>
      <c r="K30" s="206"/>
      <c r="L30" s="206"/>
    </row>
    <row r="31" spans="1:12" s="3" customFormat="1" ht="15.75" customHeight="1">
      <c r="A31" s="213" t="s">
        <v>116</v>
      </c>
      <c r="B31" s="213"/>
      <c r="C31" s="120">
        <v>19024973</v>
      </c>
      <c r="D31" s="126">
        <v>19526983.31</v>
      </c>
      <c r="E31" s="127">
        <f>H31-14680468.71</f>
        <v>3415998.2699999996</v>
      </c>
      <c r="F31" s="22">
        <f t="shared" si="2"/>
        <v>17.49373272752595</v>
      </c>
      <c r="G31" s="101"/>
      <c r="H31" s="190">
        <v>18096466.98</v>
      </c>
      <c r="I31" s="22">
        <f t="shared" si="1"/>
        <v>92.6741560266126</v>
      </c>
      <c r="J31" s="205">
        <f t="shared" si="0"/>
        <v>1430516.3299999982</v>
      </c>
      <c r="K31" s="206"/>
      <c r="L31" s="206"/>
    </row>
    <row r="32" spans="1:12" s="3" customFormat="1" ht="15.75" customHeight="1">
      <c r="A32" s="213" t="s">
        <v>114</v>
      </c>
      <c r="B32" s="213"/>
      <c r="C32" s="120">
        <v>68204640</v>
      </c>
      <c r="D32" s="126">
        <v>8418446056.32</v>
      </c>
      <c r="E32" s="127">
        <f>H32-8519769556.02</f>
        <v>1264683331.8999996</v>
      </c>
      <c r="F32" s="22">
        <f t="shared" si="2"/>
        <v>15.022764574829829</v>
      </c>
      <c r="G32" s="101"/>
      <c r="H32" s="141">
        <v>9784452887.92</v>
      </c>
      <c r="I32" s="22">
        <f t="shared" si="1"/>
        <v>116.2263536816809</v>
      </c>
      <c r="J32" s="205">
        <f t="shared" si="0"/>
        <v>-1366006831.6000004</v>
      </c>
      <c r="K32" s="206"/>
      <c r="L32" s="206"/>
    </row>
    <row r="33" spans="1:12" s="3" customFormat="1" ht="15.75" customHeight="1">
      <c r="A33" s="213" t="s">
        <v>115</v>
      </c>
      <c r="B33" s="213"/>
      <c r="C33" s="120">
        <v>0</v>
      </c>
      <c r="D33" s="126">
        <v>0</v>
      </c>
      <c r="E33" s="127">
        <f>H33-0</f>
        <v>0</v>
      </c>
      <c r="F33" s="22">
        <v>0</v>
      </c>
      <c r="G33" s="101"/>
      <c r="H33" s="102">
        <v>0</v>
      </c>
      <c r="I33" s="22">
        <v>0</v>
      </c>
      <c r="J33" s="203">
        <f t="shared" si="0"/>
        <v>0</v>
      </c>
      <c r="K33" s="204"/>
      <c r="L33" s="204"/>
    </row>
    <row r="34" spans="1:12" s="3" customFormat="1" ht="15.75" customHeight="1">
      <c r="A34" s="213" t="s">
        <v>118</v>
      </c>
      <c r="B34" s="213"/>
      <c r="C34" s="120">
        <v>18000000</v>
      </c>
      <c r="D34" s="126">
        <v>18000000</v>
      </c>
      <c r="E34" s="127">
        <f>H34-30767000</f>
        <v>21977747.439999998</v>
      </c>
      <c r="F34" s="22">
        <v>0</v>
      </c>
      <c r="G34" s="101"/>
      <c r="H34" s="141">
        <v>52744747.44</v>
      </c>
      <c r="I34" s="22">
        <v>0</v>
      </c>
      <c r="J34" s="205">
        <f t="shared" si="0"/>
        <v>-34744747.44</v>
      </c>
      <c r="K34" s="206"/>
      <c r="L34" s="206"/>
    </row>
    <row r="35" spans="1:12" s="3" customFormat="1" ht="15.75" customHeight="1">
      <c r="A35" s="213" t="s">
        <v>117</v>
      </c>
      <c r="B35" s="213"/>
      <c r="C35" s="120">
        <v>12833669703</v>
      </c>
      <c r="D35" s="126">
        <v>18199989341.79</v>
      </c>
      <c r="E35" s="127">
        <f>H35-13120139461.15</f>
        <v>5215379551.840002</v>
      </c>
      <c r="F35" s="22">
        <f t="shared" si="2"/>
        <v>28.655948384896472</v>
      </c>
      <c r="G35" s="101"/>
      <c r="H35" s="141">
        <v>18335519012.99</v>
      </c>
      <c r="I35" s="22">
        <f t="shared" si="1"/>
        <v>100.74466895916694</v>
      </c>
      <c r="J35" s="205">
        <f t="shared" si="0"/>
        <v>-135529671.20000076</v>
      </c>
      <c r="K35" s="206"/>
      <c r="L35" s="206"/>
    </row>
    <row r="36" spans="1:13" s="3" customFormat="1" ht="15.75" customHeight="1">
      <c r="A36" s="213" t="s">
        <v>38</v>
      </c>
      <c r="B36" s="213"/>
      <c r="C36" s="120">
        <v>162000</v>
      </c>
      <c r="D36" s="126">
        <v>162000</v>
      </c>
      <c r="E36" s="127">
        <f>H36-882909.13</f>
        <v>3019.3800000000047</v>
      </c>
      <c r="F36" s="22">
        <f t="shared" si="2"/>
        <v>1.8638148148148177</v>
      </c>
      <c r="G36" s="101"/>
      <c r="H36" s="141">
        <v>885928.51</v>
      </c>
      <c r="I36" s="22">
        <f t="shared" si="1"/>
        <v>546.869450617284</v>
      </c>
      <c r="J36" s="205">
        <f t="shared" si="0"/>
        <v>-723928.51</v>
      </c>
      <c r="K36" s="206"/>
      <c r="L36" s="206"/>
      <c r="M36" s="18"/>
    </row>
    <row r="37" spans="1:13" s="3" customFormat="1" ht="15.75" customHeight="1">
      <c r="A37" s="213" t="s">
        <v>39</v>
      </c>
      <c r="B37" s="213"/>
      <c r="C37" s="120">
        <v>297169495</v>
      </c>
      <c r="D37" s="126">
        <v>297169495</v>
      </c>
      <c r="E37" s="127">
        <f>H37-605439.81</f>
        <v>67145.97999999998</v>
      </c>
      <c r="F37" s="22">
        <f t="shared" si="2"/>
        <v>0.022595179225916164</v>
      </c>
      <c r="G37" s="101"/>
      <c r="H37" s="141">
        <v>672585.79</v>
      </c>
      <c r="I37" s="22">
        <f t="shared" si="1"/>
        <v>0.22633069723391358</v>
      </c>
      <c r="J37" s="205">
        <f t="shared" si="0"/>
        <v>296496909.21</v>
      </c>
      <c r="K37" s="206"/>
      <c r="L37" s="206"/>
      <c r="M37" s="18"/>
    </row>
    <row r="38" spans="1:13" s="3" customFormat="1" ht="15.75" customHeight="1">
      <c r="A38" s="213" t="s">
        <v>40</v>
      </c>
      <c r="B38" s="213"/>
      <c r="C38" s="120">
        <f>SUM(C39:C43)</f>
        <v>370369338</v>
      </c>
      <c r="D38" s="126">
        <f>SUM(D39:D43)</f>
        <v>368210612.65999997</v>
      </c>
      <c r="E38" s="127">
        <f>SUM(E39:E43)</f>
        <v>51142646.129999995</v>
      </c>
      <c r="F38" s="22">
        <f t="shared" si="2"/>
        <v>13.889508985235125</v>
      </c>
      <c r="G38" s="101"/>
      <c r="H38" s="141">
        <f>SUM(H39:H43)</f>
        <v>242368474.17000002</v>
      </c>
      <c r="I38" s="22">
        <f t="shared" si="1"/>
        <v>65.82332660623211</v>
      </c>
      <c r="J38" s="205">
        <f t="shared" si="0"/>
        <v>125842138.48999995</v>
      </c>
      <c r="K38" s="206"/>
      <c r="L38" s="206"/>
      <c r="M38" s="18"/>
    </row>
    <row r="39" spans="1:12" s="3" customFormat="1" ht="15.75" customHeight="1">
      <c r="A39" s="213" t="s">
        <v>105</v>
      </c>
      <c r="B39" s="213"/>
      <c r="C39" s="120">
        <v>237566474</v>
      </c>
      <c r="D39" s="126">
        <v>237568656.19</v>
      </c>
      <c r="E39" s="127">
        <f>H39-164285179.26</f>
        <v>45371940.81</v>
      </c>
      <c r="F39" s="22">
        <f t="shared" si="2"/>
        <v>19.098454121705743</v>
      </c>
      <c r="G39" s="101"/>
      <c r="H39" s="141">
        <v>209657120.07</v>
      </c>
      <c r="I39" s="22">
        <f t="shared" si="1"/>
        <v>88.25117060153035</v>
      </c>
      <c r="J39" s="205">
        <f t="shared" si="0"/>
        <v>27911536.120000005</v>
      </c>
      <c r="K39" s="206"/>
      <c r="L39" s="206"/>
    </row>
    <row r="40" spans="1:12" s="3" customFormat="1" ht="15.75" customHeight="1">
      <c r="A40" s="213" t="s">
        <v>106</v>
      </c>
      <c r="B40" s="213"/>
      <c r="C40" s="120">
        <v>21295464</v>
      </c>
      <c r="D40" s="126">
        <v>21295464</v>
      </c>
      <c r="E40" s="127">
        <f>H40-4905595.67</f>
        <v>1110667.1900000004</v>
      </c>
      <c r="F40" s="22">
        <f t="shared" si="2"/>
        <v>5.215510636443519</v>
      </c>
      <c r="G40" s="101"/>
      <c r="H40" s="141">
        <v>6016262.86</v>
      </c>
      <c r="I40" s="22">
        <f t="shared" si="1"/>
        <v>28.251381890528428</v>
      </c>
      <c r="J40" s="211">
        <f t="shared" si="0"/>
        <v>15279201.14</v>
      </c>
      <c r="K40" s="212"/>
      <c r="L40" s="212"/>
    </row>
    <row r="41" spans="1:12" s="3" customFormat="1" ht="15.75" customHeight="1">
      <c r="A41" s="213" t="s">
        <v>107</v>
      </c>
      <c r="B41" s="213"/>
      <c r="C41" s="120">
        <v>74010632</v>
      </c>
      <c r="D41" s="126">
        <v>74010632</v>
      </c>
      <c r="E41" s="127">
        <f>H41-4887176.92</f>
        <v>161999.66000000015</v>
      </c>
      <c r="F41" s="22">
        <f t="shared" si="2"/>
        <v>0.21888701072029781</v>
      </c>
      <c r="G41" s="101"/>
      <c r="H41" s="141">
        <v>5049176.58</v>
      </c>
      <c r="I41" s="22">
        <f t="shared" si="1"/>
        <v>6.822231405887738</v>
      </c>
      <c r="J41" s="211">
        <f t="shared" si="0"/>
        <v>68961455.42</v>
      </c>
      <c r="K41" s="212"/>
      <c r="L41" s="212"/>
    </row>
    <row r="42" spans="1:12" s="3" customFormat="1" ht="15.75" customHeight="1">
      <c r="A42" s="213" t="s">
        <v>108</v>
      </c>
      <c r="B42" s="213"/>
      <c r="C42" s="120">
        <v>27218167</v>
      </c>
      <c r="D42" s="126">
        <v>25490141.57</v>
      </c>
      <c r="E42" s="127">
        <f>H42-3573644.23</f>
        <v>1565828.2500000005</v>
      </c>
      <c r="F42" s="22">
        <f t="shared" si="2"/>
        <v>6.1428778090540845</v>
      </c>
      <c r="G42" s="101"/>
      <c r="H42" s="141">
        <v>5139472.48</v>
      </c>
      <c r="I42" s="22">
        <f t="shared" si="1"/>
        <v>20.162588998912337</v>
      </c>
      <c r="J42" s="211">
        <f t="shared" si="0"/>
        <v>20350669.09</v>
      </c>
      <c r="K42" s="212"/>
      <c r="L42" s="212"/>
    </row>
    <row r="43" spans="1:12" s="3" customFormat="1" ht="15.75" customHeight="1">
      <c r="A43" s="213" t="s">
        <v>109</v>
      </c>
      <c r="B43" s="213"/>
      <c r="C43" s="120">
        <v>10278601</v>
      </c>
      <c r="D43" s="126">
        <v>9845718.9</v>
      </c>
      <c r="E43" s="127">
        <f>H43-13574231.96</f>
        <v>2932210.219999999</v>
      </c>
      <c r="F43" s="22">
        <f t="shared" si="2"/>
        <v>29.781575624711355</v>
      </c>
      <c r="G43" s="101"/>
      <c r="H43" s="141">
        <v>16506442.18</v>
      </c>
      <c r="I43" s="22">
        <f t="shared" si="1"/>
        <v>167.65095924077212</v>
      </c>
      <c r="J43" s="211">
        <f t="shared" si="0"/>
        <v>-6660723.279999999</v>
      </c>
      <c r="K43" s="212"/>
      <c r="L43" s="212"/>
    </row>
    <row r="44" spans="1:13" s="3" customFormat="1" ht="15.75" customHeight="1">
      <c r="A44" s="213" t="s">
        <v>41</v>
      </c>
      <c r="B44" s="213"/>
      <c r="C44" s="120">
        <f>SUM(C45:C52)</f>
        <v>6619805467</v>
      </c>
      <c r="D44" s="126">
        <f>SUM(D45:D52)</f>
        <v>7087242147.030001</v>
      </c>
      <c r="E44" s="127">
        <f>SUM(E45:E52)</f>
        <v>1534948568.67</v>
      </c>
      <c r="F44" s="22">
        <f aca="true" t="shared" si="3" ref="F44:F82">(E44/D44)*100</f>
        <v>21.65791060650072</v>
      </c>
      <c r="G44" s="101"/>
      <c r="H44" s="141">
        <f>SUM(H45:H52)</f>
        <v>8289962906.21</v>
      </c>
      <c r="I44" s="22">
        <f t="shared" si="1"/>
        <v>116.97022246776223</v>
      </c>
      <c r="J44" s="205">
        <f t="shared" si="0"/>
        <v>-1202720759.1799994</v>
      </c>
      <c r="K44" s="206"/>
      <c r="L44" s="206"/>
      <c r="M44" s="18"/>
    </row>
    <row r="45" spans="1:12" s="3" customFormat="1" ht="15.75" customHeight="1">
      <c r="A45" s="213" t="s">
        <v>100</v>
      </c>
      <c r="B45" s="213"/>
      <c r="C45" s="120">
        <v>3553438055</v>
      </c>
      <c r="D45" s="126">
        <v>4020874735.03</v>
      </c>
      <c r="E45" s="127">
        <f>H45-3311638242.12</f>
        <v>768210725.8499999</v>
      </c>
      <c r="F45" s="22">
        <f t="shared" si="3"/>
        <v>19.10556225881203</v>
      </c>
      <c r="G45" s="101"/>
      <c r="H45" s="141">
        <v>4079848967.97</v>
      </c>
      <c r="I45" s="22">
        <f t="shared" si="1"/>
        <v>101.46670157182997</v>
      </c>
      <c r="J45" s="205">
        <f t="shared" si="0"/>
        <v>-58974232.93999958</v>
      </c>
      <c r="K45" s="206"/>
      <c r="L45" s="206"/>
    </row>
    <row r="46" spans="1:12" s="3" customFormat="1" ht="15.75" customHeight="1">
      <c r="A46" s="213" t="s">
        <v>101</v>
      </c>
      <c r="B46" s="213"/>
      <c r="C46" s="120">
        <v>9778663</v>
      </c>
      <c r="D46" s="126">
        <v>9778663</v>
      </c>
      <c r="E46" s="127">
        <f>H46-315058.31</f>
        <v>1573941.65</v>
      </c>
      <c r="F46" s="22">
        <v>0</v>
      </c>
      <c r="G46" s="101"/>
      <c r="H46" s="141">
        <v>1888999.96</v>
      </c>
      <c r="I46" s="22">
        <f t="shared" si="1"/>
        <v>19.317568874190673</v>
      </c>
      <c r="J46" s="205">
        <f t="shared" si="0"/>
        <v>7889663.04</v>
      </c>
      <c r="K46" s="206"/>
      <c r="L46" s="206"/>
    </row>
    <row r="47" spans="1:12" s="3" customFormat="1" ht="15.75" customHeight="1">
      <c r="A47" s="213" t="s">
        <v>102</v>
      </c>
      <c r="B47" s="213"/>
      <c r="C47" s="120">
        <v>96502372</v>
      </c>
      <c r="D47" s="126">
        <v>96502372</v>
      </c>
      <c r="E47" s="127">
        <f>H47-84462754.48</f>
        <v>15588190.060000002</v>
      </c>
      <c r="F47" s="22">
        <f t="shared" si="3"/>
        <v>16.153167779129827</v>
      </c>
      <c r="G47" s="101"/>
      <c r="H47" s="141">
        <v>100050944.54</v>
      </c>
      <c r="I47" s="22">
        <f t="shared" si="1"/>
        <v>103.67718685712721</v>
      </c>
      <c r="J47" s="205">
        <f t="shared" si="0"/>
        <v>-3548572.5400000066</v>
      </c>
      <c r="K47" s="206"/>
      <c r="L47" s="206"/>
    </row>
    <row r="48" spans="1:12" s="3" customFormat="1" ht="15.75" customHeight="1">
      <c r="A48" s="213" t="s">
        <v>42</v>
      </c>
      <c r="B48" s="213"/>
      <c r="C48" s="120">
        <v>28883087</v>
      </c>
      <c r="D48" s="126">
        <v>28883087</v>
      </c>
      <c r="E48" s="127">
        <f>H48-25198156.73</f>
        <v>5595007.809999999</v>
      </c>
      <c r="F48" s="22">
        <f t="shared" si="3"/>
        <v>19.371225139473488</v>
      </c>
      <c r="G48" s="101"/>
      <c r="H48" s="141">
        <v>30793164.54</v>
      </c>
      <c r="I48" s="22">
        <f t="shared" si="1"/>
        <v>106.61313501565812</v>
      </c>
      <c r="J48" s="205">
        <f t="shared" si="0"/>
        <v>-1910077.539999999</v>
      </c>
      <c r="K48" s="206"/>
      <c r="L48" s="206"/>
    </row>
    <row r="49" spans="1:12" s="3" customFormat="1" ht="15.75" customHeight="1">
      <c r="A49" s="213" t="s">
        <v>85</v>
      </c>
      <c r="B49" s="213"/>
      <c r="C49" s="120">
        <v>2925653290</v>
      </c>
      <c r="D49" s="126">
        <v>2925653290</v>
      </c>
      <c r="E49" s="127">
        <f>H49-3330552318.62</f>
        <v>743922898.0500002</v>
      </c>
      <c r="F49" s="22">
        <f t="shared" si="3"/>
        <v>25.427582297354178</v>
      </c>
      <c r="G49" s="101"/>
      <c r="H49" s="141">
        <v>4074475216.67</v>
      </c>
      <c r="I49" s="22">
        <f t="shared" si="1"/>
        <v>139.2671930948455</v>
      </c>
      <c r="J49" s="205">
        <f aca="true" t="shared" si="4" ref="J49:J82">D49-H49</f>
        <v>-1148821926.67</v>
      </c>
      <c r="K49" s="206"/>
      <c r="L49" s="206"/>
    </row>
    <row r="50" spans="1:12" s="3" customFormat="1" ht="15.75" customHeight="1">
      <c r="A50" s="213" t="s">
        <v>43</v>
      </c>
      <c r="B50" s="213"/>
      <c r="C50" s="120">
        <v>0</v>
      </c>
      <c r="D50" s="126">
        <v>0</v>
      </c>
      <c r="E50" s="127">
        <f>H50-0</f>
        <v>0</v>
      </c>
      <c r="F50" s="22">
        <v>0</v>
      </c>
      <c r="G50" s="105"/>
      <c r="H50" s="146">
        <v>0</v>
      </c>
      <c r="I50" s="22">
        <v>0</v>
      </c>
      <c r="J50" s="211">
        <f t="shared" si="4"/>
        <v>0</v>
      </c>
      <c r="K50" s="212"/>
      <c r="L50" s="212"/>
    </row>
    <row r="51" spans="1:12" s="3" customFormat="1" ht="15.75" customHeight="1">
      <c r="A51" s="213" t="s">
        <v>103</v>
      </c>
      <c r="B51" s="213"/>
      <c r="C51" s="120">
        <v>5550000</v>
      </c>
      <c r="D51" s="126">
        <v>5550000</v>
      </c>
      <c r="E51" s="127">
        <f>H51-2847807.28</f>
        <v>57805.25</v>
      </c>
      <c r="F51" s="22">
        <f t="shared" si="3"/>
        <v>1.041536036036036</v>
      </c>
      <c r="G51" s="101"/>
      <c r="H51" s="141">
        <v>2905612.53</v>
      </c>
      <c r="I51" s="22">
        <f t="shared" si="1"/>
        <v>52.353378918918914</v>
      </c>
      <c r="J51" s="211">
        <f t="shared" si="4"/>
        <v>2644387.47</v>
      </c>
      <c r="K51" s="212"/>
      <c r="L51" s="212"/>
    </row>
    <row r="52" spans="1:12" s="3" customFormat="1" ht="15.75" customHeight="1">
      <c r="A52" s="213" t="s">
        <v>104</v>
      </c>
      <c r="B52" s="213"/>
      <c r="C52" s="120">
        <v>0</v>
      </c>
      <c r="D52" s="126">
        <v>0</v>
      </c>
      <c r="E52" s="127">
        <f>G52-0</f>
        <v>0</v>
      </c>
      <c r="F52" s="22">
        <v>0</v>
      </c>
      <c r="G52" s="101"/>
      <c r="H52" s="102">
        <v>0</v>
      </c>
      <c r="I52" s="22">
        <v>0</v>
      </c>
      <c r="J52" s="207">
        <f t="shared" si="4"/>
        <v>0</v>
      </c>
      <c r="K52" s="208"/>
      <c r="L52" s="208"/>
    </row>
    <row r="53" spans="1:13" s="3" customFormat="1" ht="15.75" customHeight="1">
      <c r="A53" s="213" t="s">
        <v>44</v>
      </c>
      <c r="B53" s="213"/>
      <c r="C53" s="120">
        <f>SUM(C54:C57)</f>
        <v>1228725310</v>
      </c>
      <c r="D53" s="126">
        <f>SUM(D54:D57)</f>
        <v>1475226700.3899999</v>
      </c>
      <c r="E53" s="127">
        <f>SUM(E54:E57)</f>
        <v>268254737.15999997</v>
      </c>
      <c r="F53" s="22">
        <f t="shared" si="3"/>
        <v>18.183967053272728</v>
      </c>
      <c r="G53" s="105"/>
      <c r="H53" s="144">
        <f>SUM(H54:H57)</f>
        <v>1473770186.2199998</v>
      </c>
      <c r="I53" s="22">
        <f t="shared" si="1"/>
        <v>99.9012684511733</v>
      </c>
      <c r="J53" s="205">
        <f t="shared" si="4"/>
        <v>1456514.1700000763</v>
      </c>
      <c r="K53" s="206"/>
      <c r="L53" s="206"/>
      <c r="M53" s="24"/>
    </row>
    <row r="54" spans="1:12" s="3" customFormat="1" ht="15.75" customHeight="1">
      <c r="A54" s="213" t="s">
        <v>96</v>
      </c>
      <c r="B54" s="213"/>
      <c r="C54" s="120">
        <v>349489689</v>
      </c>
      <c r="D54" s="126">
        <v>574943400.52</v>
      </c>
      <c r="E54" s="127">
        <f>H54-470654319.95</f>
        <v>58979848.32999998</v>
      </c>
      <c r="F54" s="22">
        <f t="shared" si="3"/>
        <v>10.25837469856275</v>
      </c>
      <c r="G54" s="105"/>
      <c r="H54" s="144">
        <v>529634168.28</v>
      </c>
      <c r="I54" s="22">
        <f t="shared" si="1"/>
        <v>92.11935780130347</v>
      </c>
      <c r="J54" s="205">
        <f t="shared" si="4"/>
        <v>45309232.24000001</v>
      </c>
      <c r="K54" s="206"/>
      <c r="L54" s="206"/>
    </row>
    <row r="55" spans="1:12" s="3" customFormat="1" ht="15.75" customHeight="1">
      <c r="A55" s="213" t="s">
        <v>97</v>
      </c>
      <c r="B55" s="213"/>
      <c r="C55" s="120">
        <v>162740057</v>
      </c>
      <c r="D55" s="126">
        <v>121520926.12</v>
      </c>
      <c r="E55" s="127">
        <f>H55-123468330.69</f>
        <v>35793326.19</v>
      </c>
      <c r="F55" s="22">
        <f t="shared" si="3"/>
        <v>29.454454745230173</v>
      </c>
      <c r="G55" s="105"/>
      <c r="H55" s="144">
        <v>159261656.88</v>
      </c>
      <c r="I55" s="22">
        <f t="shared" si="1"/>
        <v>131.05698085507643</v>
      </c>
      <c r="J55" s="205">
        <f t="shared" si="4"/>
        <v>-37740730.75999999</v>
      </c>
      <c r="K55" s="206"/>
      <c r="L55" s="206"/>
    </row>
    <row r="56" spans="1:12" s="3" customFormat="1" ht="15.75" customHeight="1">
      <c r="A56" s="213" t="s">
        <v>98</v>
      </c>
      <c r="B56" s="213"/>
      <c r="C56" s="120">
        <v>120000</v>
      </c>
      <c r="D56" s="22">
        <v>120000</v>
      </c>
      <c r="E56" s="127">
        <f>H56-0</f>
        <v>0</v>
      </c>
      <c r="F56" s="22">
        <f t="shared" si="3"/>
        <v>0</v>
      </c>
      <c r="G56" s="105"/>
      <c r="H56" s="144">
        <v>0</v>
      </c>
      <c r="I56" s="22">
        <f t="shared" si="1"/>
        <v>0</v>
      </c>
      <c r="J56" s="205">
        <f t="shared" si="4"/>
        <v>120000</v>
      </c>
      <c r="K56" s="206"/>
      <c r="L56" s="206"/>
    </row>
    <row r="57" spans="1:12" s="3" customFormat="1" ht="15.75" customHeight="1">
      <c r="A57" s="213" t="s">
        <v>99</v>
      </c>
      <c r="B57" s="213"/>
      <c r="C57" s="120">
        <v>716375564</v>
      </c>
      <c r="D57" s="120">
        <v>778642373.75</v>
      </c>
      <c r="E57" s="127">
        <f>H57-611392798.42</f>
        <v>173481562.64</v>
      </c>
      <c r="F57" s="22">
        <f t="shared" si="3"/>
        <v>22.28000536427266</v>
      </c>
      <c r="G57" s="105"/>
      <c r="H57" s="144">
        <v>784874361.06</v>
      </c>
      <c r="I57" s="22">
        <f t="shared" si="1"/>
        <v>100.80036580593298</v>
      </c>
      <c r="J57" s="205">
        <f t="shared" si="4"/>
        <v>-6231987.309999943</v>
      </c>
      <c r="K57" s="206"/>
      <c r="L57" s="206"/>
    </row>
    <row r="58" spans="1:13" s="3" customFormat="1" ht="15.75" customHeight="1">
      <c r="A58" s="247" t="s">
        <v>45</v>
      </c>
      <c r="B58" s="247"/>
      <c r="C58" s="124">
        <f>C59+C62+C66+C67+C76</f>
        <v>1564403519</v>
      </c>
      <c r="D58" s="125">
        <f>D59+D62+D66+D67+D76</f>
        <v>509472549.78</v>
      </c>
      <c r="E58" s="123">
        <f>E59+E62+E66+E67+E76</f>
        <v>40423368.92</v>
      </c>
      <c r="F58" s="17">
        <f t="shared" si="3"/>
        <v>7.934356608114723</v>
      </c>
      <c r="G58" s="106"/>
      <c r="H58" s="145">
        <f>H59+H62+H66+H67+H76</f>
        <v>151667955.16</v>
      </c>
      <c r="I58" s="17">
        <f t="shared" si="1"/>
        <v>29.76960294043185</v>
      </c>
      <c r="J58" s="245">
        <f t="shared" si="4"/>
        <v>357804594.62</v>
      </c>
      <c r="K58" s="246"/>
      <c r="L58" s="246"/>
      <c r="M58" s="15"/>
    </row>
    <row r="59" spans="1:13" s="3" customFormat="1" ht="15.75" customHeight="1">
      <c r="A59" s="213" t="s">
        <v>46</v>
      </c>
      <c r="B59" s="213"/>
      <c r="C59" s="120">
        <f>C60+C61</f>
        <v>1151002004</v>
      </c>
      <c r="D59" s="126">
        <f>D60+D61</f>
        <v>93612044.04</v>
      </c>
      <c r="E59" s="127">
        <f>E60+E61</f>
        <v>0</v>
      </c>
      <c r="F59" s="22">
        <f t="shared" si="3"/>
        <v>0</v>
      </c>
      <c r="G59" s="105"/>
      <c r="H59" s="144">
        <f>H60+H61</f>
        <v>0</v>
      </c>
      <c r="I59" s="22">
        <f t="shared" si="1"/>
        <v>0</v>
      </c>
      <c r="J59" s="205">
        <f t="shared" si="4"/>
        <v>93612044.04</v>
      </c>
      <c r="K59" s="206"/>
      <c r="L59" s="206"/>
      <c r="M59" s="24"/>
    </row>
    <row r="60" spans="1:12" s="3" customFormat="1" ht="15.75" customHeight="1">
      <c r="A60" s="213" t="s">
        <v>119</v>
      </c>
      <c r="B60" s="213"/>
      <c r="C60" s="120">
        <v>858136968</v>
      </c>
      <c r="D60" s="126">
        <v>18400216</v>
      </c>
      <c r="E60" s="127">
        <f>H60-0</f>
        <v>0</v>
      </c>
      <c r="F60" s="22">
        <v>0</v>
      </c>
      <c r="G60" s="105"/>
      <c r="H60" s="95">
        <v>0</v>
      </c>
      <c r="I60" s="22">
        <v>0</v>
      </c>
      <c r="J60" s="205">
        <f t="shared" si="4"/>
        <v>18400216</v>
      </c>
      <c r="K60" s="206"/>
      <c r="L60" s="206"/>
    </row>
    <row r="61" spans="1:12" s="3" customFormat="1" ht="15.75" customHeight="1">
      <c r="A61" s="213" t="s">
        <v>120</v>
      </c>
      <c r="B61" s="213"/>
      <c r="C61" s="120">
        <v>292865036</v>
      </c>
      <c r="D61" s="126">
        <v>75211828.04</v>
      </c>
      <c r="E61" s="127">
        <f>H61-0</f>
        <v>0</v>
      </c>
      <c r="F61" s="22">
        <f t="shared" si="3"/>
        <v>0</v>
      </c>
      <c r="G61" s="105"/>
      <c r="H61" s="144">
        <v>0</v>
      </c>
      <c r="I61" s="22">
        <f t="shared" si="1"/>
        <v>0</v>
      </c>
      <c r="J61" s="205">
        <f t="shared" si="4"/>
        <v>75211828.04</v>
      </c>
      <c r="K61" s="206"/>
      <c r="L61" s="206"/>
    </row>
    <row r="62" spans="1:12" s="3" customFormat="1" ht="15.75" customHeight="1">
      <c r="A62" s="213" t="s">
        <v>47</v>
      </c>
      <c r="B62" s="213"/>
      <c r="C62" s="120">
        <f>C63+C64+C65</f>
        <v>7000000</v>
      </c>
      <c r="D62" s="126">
        <f>D63+D64+D65</f>
        <v>7000000</v>
      </c>
      <c r="E62" s="127">
        <f>E63+E64+E65</f>
        <v>287850</v>
      </c>
      <c r="F62" s="22">
        <f t="shared" si="3"/>
        <v>4.1121428571428575</v>
      </c>
      <c r="G62" s="105"/>
      <c r="H62" s="190">
        <f>SUM(H63:H65)</f>
        <v>335902.5</v>
      </c>
      <c r="I62" s="22">
        <f t="shared" si="1"/>
        <v>4.798607142857143</v>
      </c>
      <c r="J62" s="205">
        <f t="shared" si="4"/>
        <v>6664097.5</v>
      </c>
      <c r="K62" s="206"/>
      <c r="L62" s="206"/>
    </row>
    <row r="63" spans="1:12" s="3" customFormat="1" ht="15.75" customHeight="1">
      <c r="A63" s="213" t="s">
        <v>48</v>
      </c>
      <c r="B63" s="213"/>
      <c r="C63" s="120"/>
      <c r="D63" s="126">
        <v>0</v>
      </c>
      <c r="E63" s="127">
        <f>H63-48052.5</f>
        <v>287850</v>
      </c>
      <c r="F63" s="22">
        <v>0</v>
      </c>
      <c r="G63" s="105"/>
      <c r="H63" s="190">
        <v>335902.5</v>
      </c>
      <c r="I63" s="22">
        <v>0</v>
      </c>
      <c r="J63" s="205">
        <f t="shared" si="4"/>
        <v>-335902.5</v>
      </c>
      <c r="K63" s="206"/>
      <c r="L63" s="206"/>
    </row>
    <row r="64" spans="1:12" s="3" customFormat="1" ht="15.75" customHeight="1">
      <c r="A64" s="213" t="s">
        <v>49</v>
      </c>
      <c r="B64" s="213"/>
      <c r="C64" s="120">
        <v>7000000</v>
      </c>
      <c r="D64" s="126">
        <v>7000000</v>
      </c>
      <c r="E64" s="127">
        <f>H64-0</f>
        <v>0</v>
      </c>
      <c r="F64" s="22">
        <f t="shared" si="3"/>
        <v>0</v>
      </c>
      <c r="G64" s="105"/>
      <c r="H64" s="95">
        <v>0</v>
      </c>
      <c r="I64" s="22">
        <f t="shared" si="1"/>
        <v>0</v>
      </c>
      <c r="J64" s="205">
        <f t="shared" si="4"/>
        <v>7000000</v>
      </c>
      <c r="K64" s="206"/>
      <c r="L64" s="206"/>
    </row>
    <row r="65" spans="1:12" s="3" customFormat="1" ht="15.75" customHeight="1">
      <c r="A65" s="213" t="s">
        <v>121</v>
      </c>
      <c r="B65" s="213"/>
      <c r="C65" s="120">
        <v>0</v>
      </c>
      <c r="D65" s="126">
        <v>0</v>
      </c>
      <c r="E65" s="127">
        <f>H65</f>
        <v>0</v>
      </c>
      <c r="F65" s="22">
        <v>0</v>
      </c>
      <c r="G65" s="105"/>
      <c r="H65" s="95">
        <v>0</v>
      </c>
      <c r="I65" s="22">
        <v>0</v>
      </c>
      <c r="J65" s="207">
        <f t="shared" si="4"/>
        <v>0</v>
      </c>
      <c r="K65" s="208"/>
      <c r="L65" s="208"/>
    </row>
    <row r="66" spans="1:12" s="3" customFormat="1" ht="15.75" customHeight="1">
      <c r="A66" s="213" t="s">
        <v>50</v>
      </c>
      <c r="B66" s="213"/>
      <c r="C66" s="120">
        <v>61844277</v>
      </c>
      <c r="D66" s="126">
        <v>64303267.74</v>
      </c>
      <c r="E66" s="127">
        <f>H66-91034780.76</f>
        <v>11565916.030000001</v>
      </c>
      <c r="F66" s="22">
        <f t="shared" si="3"/>
        <v>17.98651365085354</v>
      </c>
      <c r="G66" s="105"/>
      <c r="H66" s="144">
        <v>102600696.79</v>
      </c>
      <c r="I66" s="22">
        <f t="shared" si="1"/>
        <v>159.55751612009757</v>
      </c>
      <c r="J66" s="205">
        <f t="shared" si="4"/>
        <v>-38297429.050000004</v>
      </c>
      <c r="K66" s="206"/>
      <c r="L66" s="206"/>
    </row>
    <row r="67" spans="1:12" s="3" customFormat="1" ht="15.75" customHeight="1">
      <c r="A67" s="213" t="s">
        <v>51</v>
      </c>
      <c r="B67" s="213"/>
      <c r="C67" s="120">
        <f>SUM(C68:C75)</f>
        <v>344557238</v>
      </c>
      <c r="D67" s="120">
        <f>SUM(D68:D75)</f>
        <v>344557238</v>
      </c>
      <c r="E67" s="127">
        <f>SUM(E68:E75)</f>
        <v>28569602.889999997</v>
      </c>
      <c r="F67" s="22">
        <f t="shared" si="3"/>
        <v>8.2916856008696</v>
      </c>
      <c r="G67" s="105"/>
      <c r="H67" s="144">
        <f>SUM(H68:H75)</f>
        <v>48724246.16</v>
      </c>
      <c r="I67" s="22">
        <f t="shared" si="1"/>
        <v>14.14111816162167</v>
      </c>
      <c r="J67" s="205">
        <f t="shared" si="4"/>
        <v>295832991.84000003</v>
      </c>
      <c r="K67" s="206"/>
      <c r="L67" s="206"/>
    </row>
    <row r="68" spans="1:12" s="3" customFormat="1" ht="15.75" customHeight="1">
      <c r="A68" s="213" t="s">
        <v>100</v>
      </c>
      <c r="B68" s="213"/>
      <c r="C68" s="120">
        <v>341207238</v>
      </c>
      <c r="D68" s="126">
        <v>341207238</v>
      </c>
      <c r="E68" s="127">
        <f>H68-20154643.27</f>
        <v>28569602.889999997</v>
      </c>
      <c r="F68" s="22">
        <f t="shared" si="3"/>
        <v>8.373094034423735</v>
      </c>
      <c r="G68" s="105"/>
      <c r="H68" s="144">
        <v>48724246.16</v>
      </c>
      <c r="I68" s="22">
        <f t="shared" si="1"/>
        <v>14.27995679271024</v>
      </c>
      <c r="J68" s="205">
        <f t="shared" si="4"/>
        <v>292482991.84000003</v>
      </c>
      <c r="K68" s="206"/>
      <c r="L68" s="206"/>
    </row>
    <row r="69" spans="1:12" s="3" customFormat="1" ht="15.75" customHeight="1">
      <c r="A69" s="213" t="s">
        <v>101</v>
      </c>
      <c r="B69" s="213"/>
      <c r="C69" s="120">
        <v>0</v>
      </c>
      <c r="D69" s="126">
        <v>0</v>
      </c>
      <c r="E69" s="127">
        <f>H69</f>
        <v>0</v>
      </c>
      <c r="F69" s="22">
        <v>0</v>
      </c>
      <c r="G69" s="105"/>
      <c r="H69" s="95">
        <v>0</v>
      </c>
      <c r="I69" s="22">
        <v>0</v>
      </c>
      <c r="J69" s="203">
        <f t="shared" si="4"/>
        <v>0</v>
      </c>
      <c r="K69" s="204"/>
      <c r="L69" s="204"/>
    </row>
    <row r="70" spans="1:12" s="3" customFormat="1" ht="15.75" customHeight="1">
      <c r="A70" s="213" t="s">
        <v>102</v>
      </c>
      <c r="B70" s="213"/>
      <c r="C70" s="120">
        <v>0</v>
      </c>
      <c r="D70" s="126">
        <v>0</v>
      </c>
      <c r="E70" s="127">
        <f>H70-0</f>
        <v>0</v>
      </c>
      <c r="F70" s="22">
        <v>0</v>
      </c>
      <c r="G70" s="105"/>
      <c r="H70" s="95">
        <v>0</v>
      </c>
      <c r="I70" s="22">
        <v>0</v>
      </c>
      <c r="J70" s="203">
        <f t="shared" si="4"/>
        <v>0</v>
      </c>
      <c r="K70" s="204"/>
      <c r="L70" s="204"/>
    </row>
    <row r="71" spans="1:12" s="3" customFormat="1" ht="15.75" customHeight="1">
      <c r="A71" s="213" t="s">
        <v>42</v>
      </c>
      <c r="B71" s="213"/>
      <c r="C71" s="120">
        <f>350000</f>
        <v>350000</v>
      </c>
      <c r="D71" s="126">
        <v>350000</v>
      </c>
      <c r="E71" s="127">
        <f>H71-0</f>
        <v>0</v>
      </c>
      <c r="F71" s="22">
        <v>0</v>
      </c>
      <c r="G71" s="105"/>
      <c r="H71" s="144">
        <v>0</v>
      </c>
      <c r="I71" s="22">
        <v>0</v>
      </c>
      <c r="J71" s="205">
        <f t="shared" si="4"/>
        <v>350000</v>
      </c>
      <c r="K71" s="206"/>
      <c r="L71" s="206"/>
    </row>
    <row r="72" spans="1:12" s="3" customFormat="1" ht="15.75" customHeight="1">
      <c r="A72" s="213" t="s">
        <v>85</v>
      </c>
      <c r="B72" s="213"/>
      <c r="C72" s="120">
        <v>0</v>
      </c>
      <c r="D72" s="126">
        <v>0</v>
      </c>
      <c r="E72" s="127">
        <f>H72</f>
        <v>0</v>
      </c>
      <c r="F72" s="22">
        <v>0</v>
      </c>
      <c r="G72" s="105"/>
      <c r="H72" s="95">
        <v>0</v>
      </c>
      <c r="I72" s="22">
        <v>0</v>
      </c>
      <c r="J72" s="203">
        <f t="shared" si="4"/>
        <v>0</v>
      </c>
      <c r="K72" s="204"/>
      <c r="L72" s="204"/>
    </row>
    <row r="73" spans="1:12" s="3" customFormat="1" ht="15.75" customHeight="1">
      <c r="A73" s="213" t="s">
        <v>43</v>
      </c>
      <c r="B73" s="213"/>
      <c r="C73" s="120">
        <v>0</v>
      </c>
      <c r="D73" s="126">
        <v>0</v>
      </c>
      <c r="E73" s="127">
        <f>H73</f>
        <v>0</v>
      </c>
      <c r="F73" s="22">
        <v>0</v>
      </c>
      <c r="G73" s="105"/>
      <c r="H73" s="95">
        <v>0</v>
      </c>
      <c r="I73" s="22">
        <v>0</v>
      </c>
      <c r="J73" s="203">
        <f t="shared" si="4"/>
        <v>0</v>
      </c>
      <c r="K73" s="204"/>
      <c r="L73" s="204"/>
    </row>
    <row r="74" spans="1:12" s="3" customFormat="1" ht="15.75" customHeight="1">
      <c r="A74" s="213" t="s">
        <v>103</v>
      </c>
      <c r="B74" s="213"/>
      <c r="C74" s="120">
        <v>3000000</v>
      </c>
      <c r="D74" s="126">
        <v>3000000</v>
      </c>
      <c r="E74" s="127">
        <f>H74</f>
        <v>0</v>
      </c>
      <c r="F74" s="22">
        <f t="shared" si="3"/>
        <v>0</v>
      </c>
      <c r="G74" s="105"/>
      <c r="H74" s="95">
        <v>0</v>
      </c>
      <c r="I74" s="22">
        <f t="shared" si="1"/>
        <v>0</v>
      </c>
      <c r="J74" s="211">
        <f t="shared" si="4"/>
        <v>3000000</v>
      </c>
      <c r="K74" s="212"/>
      <c r="L74" s="212"/>
    </row>
    <row r="75" spans="1:12" s="3" customFormat="1" ht="15.75" customHeight="1">
      <c r="A75" s="213" t="s">
        <v>104</v>
      </c>
      <c r="B75" s="213"/>
      <c r="C75" s="120">
        <v>0</v>
      </c>
      <c r="D75" s="126">
        <v>0</v>
      </c>
      <c r="E75" s="127">
        <f>H75</f>
        <v>0</v>
      </c>
      <c r="F75" s="22">
        <v>0</v>
      </c>
      <c r="G75" s="105"/>
      <c r="H75" s="95">
        <v>0</v>
      </c>
      <c r="I75" s="22">
        <v>0</v>
      </c>
      <c r="J75" s="207">
        <f t="shared" si="4"/>
        <v>0</v>
      </c>
      <c r="K75" s="208"/>
      <c r="L75" s="208"/>
    </row>
    <row r="76" spans="1:12" s="3" customFormat="1" ht="15.75" customHeight="1">
      <c r="A76" s="214" t="s">
        <v>52</v>
      </c>
      <c r="B76" s="213"/>
      <c r="C76" s="120">
        <f>SUM(C77:C80)</f>
        <v>0</v>
      </c>
      <c r="D76" s="126">
        <f>SUM(D77:D80)</f>
        <v>0</v>
      </c>
      <c r="E76" s="127">
        <f>SUM(E77:E80)</f>
        <v>0</v>
      </c>
      <c r="F76" s="22">
        <v>0</v>
      </c>
      <c r="G76" s="105"/>
      <c r="H76" s="190">
        <f>SUM(H77:H80)</f>
        <v>7109.71</v>
      </c>
      <c r="I76" s="22">
        <v>0</v>
      </c>
      <c r="J76" s="205">
        <f t="shared" si="4"/>
        <v>-7109.71</v>
      </c>
      <c r="K76" s="206"/>
      <c r="L76" s="206"/>
    </row>
    <row r="77" spans="1:12" s="3" customFormat="1" ht="15.75" customHeight="1">
      <c r="A77" s="213" t="s">
        <v>122</v>
      </c>
      <c r="B77" s="213"/>
      <c r="C77" s="120">
        <v>0</v>
      </c>
      <c r="D77" s="126">
        <v>0</v>
      </c>
      <c r="E77" s="127">
        <f>H77</f>
        <v>0</v>
      </c>
      <c r="F77" s="22">
        <v>0</v>
      </c>
      <c r="G77" s="105"/>
      <c r="H77" s="95">
        <v>0</v>
      </c>
      <c r="I77" s="22">
        <v>0</v>
      </c>
      <c r="J77" s="203">
        <f t="shared" si="4"/>
        <v>0</v>
      </c>
      <c r="K77" s="204"/>
      <c r="L77" s="204"/>
    </row>
    <row r="78" spans="1:12" s="3" customFormat="1" ht="15.75" customHeight="1">
      <c r="A78" s="213" t="s">
        <v>123</v>
      </c>
      <c r="B78" s="213"/>
      <c r="C78" s="120">
        <v>0</v>
      </c>
      <c r="D78" s="126">
        <v>0</v>
      </c>
      <c r="E78" s="127">
        <f>H78</f>
        <v>0</v>
      </c>
      <c r="F78" s="22">
        <v>0</v>
      </c>
      <c r="G78" s="105"/>
      <c r="H78" s="95">
        <v>0</v>
      </c>
      <c r="I78" s="22">
        <v>0</v>
      </c>
      <c r="J78" s="203">
        <f t="shared" si="4"/>
        <v>0</v>
      </c>
      <c r="K78" s="204"/>
      <c r="L78" s="204"/>
    </row>
    <row r="79" spans="1:12" s="3" customFormat="1" ht="15.75" customHeight="1">
      <c r="A79" s="213" t="s">
        <v>124</v>
      </c>
      <c r="B79" s="213"/>
      <c r="C79" s="120">
        <v>0</v>
      </c>
      <c r="D79" s="126">
        <v>0</v>
      </c>
      <c r="E79" s="127">
        <f>H79</f>
        <v>0</v>
      </c>
      <c r="F79" s="22">
        <v>0</v>
      </c>
      <c r="G79" s="105"/>
      <c r="H79" s="95">
        <v>0</v>
      </c>
      <c r="I79" s="22">
        <v>0</v>
      </c>
      <c r="J79" s="203">
        <f t="shared" si="4"/>
        <v>0</v>
      </c>
      <c r="K79" s="204"/>
      <c r="L79" s="204"/>
    </row>
    <row r="80" spans="1:12" s="3" customFormat="1" ht="15.75" customHeight="1">
      <c r="A80" s="213" t="s">
        <v>125</v>
      </c>
      <c r="B80" s="213"/>
      <c r="C80" s="120">
        <v>0</v>
      </c>
      <c r="D80" s="126">
        <v>0</v>
      </c>
      <c r="E80" s="127">
        <f>H80-7109.71</f>
        <v>0</v>
      </c>
      <c r="F80" s="22">
        <v>0</v>
      </c>
      <c r="G80" s="189"/>
      <c r="H80" s="190">
        <v>7109.71</v>
      </c>
      <c r="I80" s="22">
        <v>0</v>
      </c>
      <c r="J80" s="205">
        <f t="shared" si="4"/>
        <v>-7109.71</v>
      </c>
      <c r="K80" s="206"/>
      <c r="L80" s="206"/>
    </row>
    <row r="81" spans="1:12" s="3" customFormat="1" ht="15.75" customHeight="1">
      <c r="A81" s="296" t="s">
        <v>53</v>
      </c>
      <c r="B81" s="280"/>
      <c r="C81" s="124">
        <f>C142</f>
        <v>4805674768</v>
      </c>
      <c r="D81" s="125">
        <v>4843998860.91</v>
      </c>
      <c r="E81" s="188">
        <f>E142</f>
        <v>1200111488.8700001</v>
      </c>
      <c r="F81" s="17">
        <f>(E81/D81)*100</f>
        <v>24.77522235925022</v>
      </c>
      <c r="G81" s="196"/>
      <c r="H81" s="197">
        <f>H142</f>
        <v>5719424681.099999</v>
      </c>
      <c r="I81" s="17">
        <f>(H81/D81)*100</f>
        <v>118.07237873762715</v>
      </c>
      <c r="J81" s="271">
        <f>D81-H81</f>
        <v>-875425820.1899996</v>
      </c>
      <c r="K81" s="272"/>
      <c r="L81" s="272"/>
    </row>
    <row r="82" spans="1:12" s="3" customFormat="1" ht="15.75" customHeight="1">
      <c r="A82" s="281" t="s">
        <v>28</v>
      </c>
      <c r="B82" s="288"/>
      <c r="C82" s="128">
        <f>C17+C81</f>
        <v>69248357222</v>
      </c>
      <c r="D82" s="129">
        <f>D17+D81</f>
        <v>88648671537.31001</v>
      </c>
      <c r="E82" s="128">
        <f>E17+E81</f>
        <v>18929431874.089996</v>
      </c>
      <c r="F82" s="26">
        <f t="shared" si="3"/>
        <v>21.353317027568846</v>
      </c>
      <c r="G82" s="107"/>
      <c r="H82" s="143">
        <f>H81+H17</f>
        <v>91423470889.4</v>
      </c>
      <c r="I82" s="26">
        <f>(H82/D82)*100</f>
        <v>103.13010821704434</v>
      </c>
      <c r="J82" s="308">
        <f t="shared" si="4"/>
        <v>-2774799352.089981</v>
      </c>
      <c r="K82" s="309"/>
      <c r="L82" s="309"/>
    </row>
    <row r="83" spans="1:12" s="3" customFormat="1" ht="15.75" customHeight="1">
      <c r="A83" s="293" t="s">
        <v>72</v>
      </c>
      <c r="B83" s="294"/>
      <c r="C83" s="130">
        <v>0</v>
      </c>
      <c r="D83" s="122">
        <v>0</v>
      </c>
      <c r="E83" s="123">
        <v>0</v>
      </c>
      <c r="F83" s="14">
        <v>0</v>
      </c>
      <c r="G83" s="108"/>
      <c r="H83" s="94">
        <v>0</v>
      </c>
      <c r="I83" s="14">
        <v>0</v>
      </c>
      <c r="J83" s="295">
        <v>0</v>
      </c>
      <c r="K83" s="270"/>
      <c r="L83" s="270"/>
    </row>
    <row r="84" spans="1:12" s="3" customFormat="1" ht="15.75" customHeight="1">
      <c r="A84" s="213" t="s">
        <v>126</v>
      </c>
      <c r="B84" s="280"/>
      <c r="C84" s="131">
        <v>0</v>
      </c>
      <c r="D84" s="126">
        <v>0</v>
      </c>
      <c r="E84" s="127">
        <v>0</v>
      </c>
      <c r="F84" s="22">
        <v>0</v>
      </c>
      <c r="G84" s="105"/>
      <c r="H84" s="95">
        <v>0</v>
      </c>
      <c r="I84" s="22">
        <v>0</v>
      </c>
      <c r="J84" s="203">
        <v>0</v>
      </c>
      <c r="K84" s="204"/>
      <c r="L84" s="204"/>
    </row>
    <row r="85" spans="1:12" s="3" customFormat="1" ht="15.75" customHeight="1">
      <c r="A85" s="213" t="s">
        <v>54</v>
      </c>
      <c r="B85" s="280"/>
      <c r="C85" s="131">
        <v>0</v>
      </c>
      <c r="D85" s="126">
        <v>0</v>
      </c>
      <c r="E85" s="127">
        <v>0</v>
      </c>
      <c r="F85" s="22">
        <v>0</v>
      </c>
      <c r="G85" s="105"/>
      <c r="H85" s="95">
        <v>0</v>
      </c>
      <c r="I85" s="22">
        <v>0</v>
      </c>
      <c r="J85" s="203">
        <v>0</v>
      </c>
      <c r="K85" s="204"/>
      <c r="L85" s="204"/>
    </row>
    <row r="86" spans="1:12" s="3" customFormat="1" ht="15.75" customHeight="1">
      <c r="A86" s="306" t="s">
        <v>55</v>
      </c>
      <c r="B86" s="280"/>
      <c r="C86" s="131">
        <v>0</v>
      </c>
      <c r="D86" s="126">
        <v>0</v>
      </c>
      <c r="E86" s="127">
        <v>0</v>
      </c>
      <c r="F86" s="22">
        <v>0</v>
      </c>
      <c r="G86" s="105"/>
      <c r="H86" s="95">
        <v>0</v>
      </c>
      <c r="I86" s="22">
        <v>0</v>
      </c>
      <c r="J86" s="203">
        <v>0</v>
      </c>
      <c r="K86" s="204"/>
      <c r="L86" s="204"/>
    </row>
    <row r="87" spans="1:12" s="3" customFormat="1" ht="15.75" customHeight="1">
      <c r="A87" s="213" t="s">
        <v>127</v>
      </c>
      <c r="B87" s="280"/>
      <c r="C87" s="131">
        <v>0</v>
      </c>
      <c r="D87" s="126">
        <v>0</v>
      </c>
      <c r="E87" s="127">
        <v>0</v>
      </c>
      <c r="F87" s="22">
        <v>0</v>
      </c>
      <c r="G87" s="105"/>
      <c r="H87" s="95">
        <v>0</v>
      </c>
      <c r="I87" s="22">
        <v>0</v>
      </c>
      <c r="J87" s="203">
        <v>0</v>
      </c>
      <c r="K87" s="204"/>
      <c r="L87" s="204"/>
    </row>
    <row r="88" spans="1:12" s="3" customFormat="1" ht="15.75" customHeight="1">
      <c r="A88" s="213" t="s">
        <v>54</v>
      </c>
      <c r="B88" s="280"/>
      <c r="C88" s="131">
        <v>0</v>
      </c>
      <c r="D88" s="126">
        <v>0</v>
      </c>
      <c r="E88" s="127">
        <v>0</v>
      </c>
      <c r="F88" s="22">
        <v>0</v>
      </c>
      <c r="G88" s="105"/>
      <c r="H88" s="95">
        <v>0</v>
      </c>
      <c r="I88" s="22">
        <v>0</v>
      </c>
      <c r="J88" s="203">
        <v>0</v>
      </c>
      <c r="K88" s="204"/>
      <c r="L88" s="204"/>
    </row>
    <row r="89" spans="1:12" s="3" customFormat="1" ht="15.75" customHeight="1">
      <c r="A89" s="291" t="s">
        <v>55</v>
      </c>
      <c r="B89" s="292"/>
      <c r="C89" s="132">
        <v>0</v>
      </c>
      <c r="D89" s="133">
        <v>0</v>
      </c>
      <c r="E89" s="127">
        <v>0</v>
      </c>
      <c r="F89" s="30">
        <v>0</v>
      </c>
      <c r="G89" s="109"/>
      <c r="H89" s="97">
        <v>0</v>
      </c>
      <c r="I89" s="30">
        <v>0</v>
      </c>
      <c r="J89" s="219">
        <v>0</v>
      </c>
      <c r="K89" s="220"/>
      <c r="L89" s="220"/>
    </row>
    <row r="90" spans="1:13" s="3" customFormat="1" ht="15.75" customHeight="1">
      <c r="A90" s="281" t="s">
        <v>138</v>
      </c>
      <c r="B90" s="288"/>
      <c r="C90" s="134">
        <f>C82+C83</f>
        <v>69248357222</v>
      </c>
      <c r="D90" s="129">
        <f>D82+D83</f>
        <v>88648671537.31001</v>
      </c>
      <c r="E90" s="128">
        <f>E82+E83</f>
        <v>18929431874.089996</v>
      </c>
      <c r="F90" s="31">
        <f>(E90/D90)*100</f>
        <v>21.353317027568846</v>
      </c>
      <c r="G90" s="107"/>
      <c r="H90" s="163">
        <f>H82+H83</f>
        <v>91423470889.4</v>
      </c>
      <c r="I90" s="17">
        <f>(H90/D90)*100</f>
        <v>103.13010821704434</v>
      </c>
      <c r="J90" s="289">
        <f>D90-H90</f>
        <v>-2774799352.089981</v>
      </c>
      <c r="K90" s="290">
        <f>K82+K83</f>
        <v>0</v>
      </c>
      <c r="L90" s="290">
        <f>L82+L83</f>
        <v>0</v>
      </c>
      <c r="M90" s="32"/>
    </row>
    <row r="91" spans="1:13" s="3" customFormat="1" ht="15.75" customHeight="1">
      <c r="A91" s="281" t="s">
        <v>141</v>
      </c>
      <c r="B91" s="282"/>
      <c r="C91" s="194"/>
      <c r="D91" s="194"/>
      <c r="E91" s="194"/>
      <c r="F91" s="194"/>
      <c r="G91" s="107"/>
      <c r="H91" s="96">
        <v>0</v>
      </c>
      <c r="I91" s="198"/>
      <c r="J91" s="278"/>
      <c r="K91" s="279"/>
      <c r="L91" s="279"/>
      <c r="M91" s="24"/>
    </row>
    <row r="92" spans="1:17" s="3" customFormat="1" ht="15.75" customHeight="1">
      <c r="A92" s="285" t="s">
        <v>29</v>
      </c>
      <c r="B92" s="286"/>
      <c r="C92" s="128">
        <f>C90+C91</f>
        <v>69248357222</v>
      </c>
      <c r="D92" s="129">
        <f>D90+D91</f>
        <v>88648671537.31001</v>
      </c>
      <c r="E92" s="128">
        <f>E90+E91</f>
        <v>18929431874.089996</v>
      </c>
      <c r="F92" s="26">
        <f>(E92/D92)*100</f>
        <v>21.353317027568846</v>
      </c>
      <c r="G92" s="107"/>
      <c r="H92" s="163">
        <f>H90+H91</f>
        <v>91423470889.4</v>
      </c>
      <c r="I92" s="26">
        <f>(H92/D92)*100</f>
        <v>103.13010821704434</v>
      </c>
      <c r="J92" s="283">
        <f>D92-H92</f>
        <v>-2774799352.089981</v>
      </c>
      <c r="K92" s="284"/>
      <c r="L92" s="284"/>
      <c r="N92" s="311"/>
      <c r="O92" s="311"/>
      <c r="P92" s="311"/>
      <c r="Q92" s="311"/>
    </row>
    <row r="93" spans="1:17" s="3" customFormat="1" ht="15.75" customHeight="1">
      <c r="A93" s="287" t="s">
        <v>73</v>
      </c>
      <c r="B93" s="287"/>
      <c r="C93" s="26">
        <f>SUM(C94:C95)</f>
        <v>0</v>
      </c>
      <c r="D93" s="26">
        <f>SUM(D94:D95)</f>
        <v>3327848315.14</v>
      </c>
      <c r="E93" s="194"/>
      <c r="F93" s="194"/>
      <c r="G93" s="110"/>
      <c r="H93" s="163">
        <f>SUM(H94:H95)</f>
        <v>3327848315.14</v>
      </c>
      <c r="I93" s="198"/>
      <c r="J93" s="278"/>
      <c r="K93" s="279"/>
      <c r="L93" s="279"/>
      <c r="M93" s="33"/>
      <c r="N93" s="311"/>
      <c r="O93" s="311"/>
      <c r="P93" s="311"/>
      <c r="Q93" s="311"/>
    </row>
    <row r="94" spans="1:17" s="3" customFormat="1" ht="15.75" customHeight="1">
      <c r="A94" s="277" t="s">
        <v>86</v>
      </c>
      <c r="B94" s="277"/>
      <c r="C94" s="135">
        <v>0</v>
      </c>
      <c r="D94" s="136">
        <v>0</v>
      </c>
      <c r="E94" s="194"/>
      <c r="F94" s="194"/>
      <c r="G94" s="278"/>
      <c r="H94" s="310"/>
      <c r="I94" s="198"/>
      <c r="J94" s="278"/>
      <c r="K94" s="279"/>
      <c r="L94" s="279"/>
      <c r="M94" s="33"/>
      <c r="N94" s="311"/>
      <c r="O94" s="311"/>
      <c r="P94" s="311"/>
      <c r="Q94" s="311"/>
    </row>
    <row r="95" spans="1:17" s="3" customFormat="1" ht="15.75" customHeight="1">
      <c r="A95" s="277" t="s">
        <v>128</v>
      </c>
      <c r="B95" s="277"/>
      <c r="C95" s="194"/>
      <c r="D95" s="136">
        <f>H95</f>
        <v>3327848315.14</v>
      </c>
      <c r="E95" s="194"/>
      <c r="F95" s="194"/>
      <c r="G95" s="111"/>
      <c r="H95" s="164">
        <v>3327848315.14</v>
      </c>
      <c r="I95" s="198"/>
      <c r="J95" s="278"/>
      <c r="K95" s="279"/>
      <c r="L95" s="279"/>
      <c r="M95" s="33"/>
      <c r="N95" s="311"/>
      <c r="O95" s="311"/>
      <c r="P95" s="311"/>
      <c r="Q95" s="311"/>
    </row>
    <row r="96" spans="1:17" ht="15.75">
      <c r="A96" s="34"/>
      <c r="B96" s="35"/>
      <c r="C96" s="35"/>
      <c r="D96" s="187"/>
      <c r="E96" s="36"/>
      <c r="F96" s="35"/>
      <c r="G96" s="37"/>
      <c r="H96" s="38"/>
      <c r="I96" s="38"/>
      <c r="J96" s="38"/>
      <c r="K96" s="38"/>
      <c r="L96" s="39"/>
      <c r="M96" s="33"/>
      <c r="N96" s="311"/>
      <c r="O96" s="311"/>
      <c r="P96" s="311"/>
      <c r="Q96" s="311"/>
    </row>
    <row r="97" spans="1:12" s="3" customFormat="1" ht="17.25" customHeight="1">
      <c r="A97" s="222" t="s">
        <v>18</v>
      </c>
      <c r="B97" s="81" t="s">
        <v>15</v>
      </c>
      <c r="C97" s="81" t="s">
        <v>15</v>
      </c>
      <c r="D97" s="225" t="s">
        <v>16</v>
      </c>
      <c r="E97" s="226"/>
      <c r="F97" s="209" t="s">
        <v>69</v>
      </c>
      <c r="G97" s="225" t="s">
        <v>17</v>
      </c>
      <c r="H97" s="226"/>
      <c r="I97" s="209" t="s">
        <v>69</v>
      </c>
      <c r="J97" s="236" t="s">
        <v>74</v>
      </c>
      <c r="K97" s="228" t="s">
        <v>133</v>
      </c>
      <c r="L97" s="229"/>
    </row>
    <row r="98" spans="1:12" s="3" customFormat="1" ht="14.25" customHeight="1">
      <c r="A98" s="223"/>
      <c r="B98" s="82" t="s">
        <v>5</v>
      </c>
      <c r="C98" s="82" t="s">
        <v>6</v>
      </c>
      <c r="D98" s="83" t="s">
        <v>75</v>
      </c>
      <c r="E98" s="83" t="s">
        <v>76</v>
      </c>
      <c r="F98" s="210"/>
      <c r="G98" s="83" t="s">
        <v>75</v>
      </c>
      <c r="H98" s="90" t="s">
        <v>76</v>
      </c>
      <c r="I98" s="210"/>
      <c r="J98" s="237"/>
      <c r="K98" s="230"/>
      <c r="L98" s="231"/>
    </row>
    <row r="99" spans="1:12" s="3" customFormat="1" ht="14.25" customHeight="1">
      <c r="A99" s="223"/>
      <c r="B99" s="82"/>
      <c r="C99" s="82"/>
      <c r="D99" s="84" t="s">
        <v>77</v>
      </c>
      <c r="E99" s="84" t="s">
        <v>77</v>
      </c>
      <c r="F99" s="210"/>
      <c r="G99" s="84" t="s">
        <v>77</v>
      </c>
      <c r="H99" s="91" t="s">
        <v>77</v>
      </c>
      <c r="I99" s="210"/>
      <c r="J99" s="237"/>
      <c r="K99" s="230"/>
      <c r="L99" s="231"/>
    </row>
    <row r="100" spans="1:12" s="3" customFormat="1" ht="42" customHeight="1">
      <c r="A100" s="224"/>
      <c r="B100" s="85" t="s">
        <v>19</v>
      </c>
      <c r="C100" s="85" t="s">
        <v>20</v>
      </c>
      <c r="D100" s="85"/>
      <c r="E100" s="85" t="s">
        <v>78</v>
      </c>
      <c r="F100" s="86" t="s">
        <v>79</v>
      </c>
      <c r="G100" s="85"/>
      <c r="H100" s="92" t="s">
        <v>21</v>
      </c>
      <c r="I100" s="85" t="s">
        <v>80</v>
      </c>
      <c r="J100" s="85" t="s">
        <v>22</v>
      </c>
      <c r="K100" s="232"/>
      <c r="L100" s="233"/>
    </row>
    <row r="101" spans="1:13" s="3" customFormat="1" ht="15.75" customHeight="1">
      <c r="A101" s="174" t="s">
        <v>81</v>
      </c>
      <c r="B101" s="125">
        <f>B102+B108+B112</f>
        <v>82920618009</v>
      </c>
      <c r="C101" s="185">
        <f>C102+C108+C112</f>
        <v>96910717745.1</v>
      </c>
      <c r="D101" s="122">
        <f>D102+D108+D112</f>
        <v>14669193477.480001</v>
      </c>
      <c r="E101" s="124">
        <f>E102+E108+E112</f>
        <v>71618596622.51</v>
      </c>
      <c r="F101" s="125">
        <f>C101-E101</f>
        <v>25292121122.59001</v>
      </c>
      <c r="G101" s="149">
        <f>G102+G108+G112</f>
        <v>18495276712.819992</v>
      </c>
      <c r="H101" s="154">
        <f>H102+H108+H112</f>
        <v>70834596115.78</v>
      </c>
      <c r="I101" s="158">
        <f>C101-H101</f>
        <v>26076121629.320007</v>
      </c>
      <c r="J101" s="184">
        <f>J102+J108+J112</f>
        <v>68559488531.200005</v>
      </c>
      <c r="K101" s="251">
        <f>K102+K108+K112</f>
        <v>784000506.7300026</v>
      </c>
      <c r="L101" s="252" t="e">
        <f>L102+L108+L112+#REF!</f>
        <v>#REF!</v>
      </c>
      <c r="M101" s="15"/>
    </row>
    <row r="102" spans="1:13" s="3" customFormat="1" ht="15.75" customHeight="1">
      <c r="A102" s="175" t="s">
        <v>56</v>
      </c>
      <c r="B102" s="125">
        <f>SUM(B103:B105)</f>
        <v>74789582068</v>
      </c>
      <c r="C102" s="185">
        <f>SUM(C103:C105)</f>
        <v>85948437869.89</v>
      </c>
      <c r="D102" s="125">
        <f>SUM(D103:D105)</f>
        <v>14060121943.760002</v>
      </c>
      <c r="E102" s="124">
        <f>SUM(E103:E105)</f>
        <v>68934978615.79</v>
      </c>
      <c r="F102" s="125">
        <f>C102-E102</f>
        <v>17013459254.100006</v>
      </c>
      <c r="G102" s="149">
        <f>SUM(G103:G105)</f>
        <v>17208828363.579994</v>
      </c>
      <c r="H102" s="155">
        <f>SUM(H103:H105)</f>
        <v>68335843723.56999</v>
      </c>
      <c r="I102" s="145">
        <f aca="true" t="shared" si="5" ref="I102:I114">C102-H102</f>
        <v>17612594146.320007</v>
      </c>
      <c r="J102" s="185">
        <f>SUM(J103:J105)</f>
        <v>66283578076.600006</v>
      </c>
      <c r="K102" s="245">
        <f>SUM(K103:K105)</f>
        <v>599134892.2200024</v>
      </c>
      <c r="L102" s="246">
        <f>SUM(L103:L105)</f>
        <v>0</v>
      </c>
      <c r="M102" s="24"/>
    </row>
    <row r="103" spans="1:13" s="1" customFormat="1" ht="15.75" customHeight="1">
      <c r="A103" s="176" t="s">
        <v>57</v>
      </c>
      <c r="B103" s="126">
        <v>44726925887</v>
      </c>
      <c r="C103" s="183">
        <v>51867136674.19</v>
      </c>
      <c r="D103" s="126">
        <f>E103-35123157289.84</f>
        <v>8789166308.370003</v>
      </c>
      <c r="E103" s="120">
        <v>43912323598.21</v>
      </c>
      <c r="F103" s="126">
        <f>C103-E103</f>
        <v>7954813075.980003</v>
      </c>
      <c r="G103" s="147">
        <f>H103-33757535931.23</f>
        <v>10110050579.399998</v>
      </c>
      <c r="H103" s="156">
        <v>43867586510.63</v>
      </c>
      <c r="I103" s="144">
        <f t="shared" si="5"/>
        <v>7999550163.560005</v>
      </c>
      <c r="J103" s="183">
        <v>43213034836.3</v>
      </c>
      <c r="K103" s="211">
        <f>E103-H103</f>
        <v>44737087.58000183</v>
      </c>
      <c r="L103" s="212"/>
      <c r="M103" s="41"/>
    </row>
    <row r="104" spans="1:13" s="3" customFormat="1" ht="15.75" customHeight="1">
      <c r="A104" s="176" t="s">
        <v>58</v>
      </c>
      <c r="B104" s="126">
        <v>6424033005</v>
      </c>
      <c r="C104" s="183">
        <v>4614631442.86</v>
      </c>
      <c r="D104" s="126">
        <f>E104-837894445.63</f>
        <v>218706358.11</v>
      </c>
      <c r="E104" s="120">
        <v>1056600803.74</v>
      </c>
      <c r="F104" s="126">
        <f aca="true" t="shared" si="6" ref="F104:F112">C104-E104</f>
        <v>3558030639.12</v>
      </c>
      <c r="G104" s="147">
        <f>H104-834572751.65</f>
        <v>218398680.31000006</v>
      </c>
      <c r="H104" s="156">
        <v>1052971431.96</v>
      </c>
      <c r="I104" s="144">
        <f t="shared" si="5"/>
        <v>3561660010.8999996</v>
      </c>
      <c r="J104" s="183">
        <v>1052971406.61</v>
      </c>
      <c r="K104" s="211">
        <f>E104-H104</f>
        <v>3629371.7799999714</v>
      </c>
      <c r="L104" s="212"/>
      <c r="M104" s="42"/>
    </row>
    <row r="105" spans="1:13" s="3" customFormat="1" ht="15.75" customHeight="1">
      <c r="A105" s="176" t="s">
        <v>59</v>
      </c>
      <c r="B105" s="126">
        <f>B106+B107</f>
        <v>23638623176</v>
      </c>
      <c r="C105" s="183">
        <v>29466669752.84</v>
      </c>
      <c r="D105" s="126">
        <f>D106+D107</f>
        <v>5052249277.279999</v>
      </c>
      <c r="E105" s="120">
        <v>23966054213.84</v>
      </c>
      <c r="F105" s="126">
        <f t="shared" si="6"/>
        <v>5500615539</v>
      </c>
      <c r="G105" s="147">
        <f>G106+G107</f>
        <v>6880379103.869999</v>
      </c>
      <c r="H105" s="156">
        <v>23415285780.98</v>
      </c>
      <c r="I105" s="144">
        <f t="shared" si="5"/>
        <v>6051383971.860001</v>
      </c>
      <c r="J105" s="183">
        <v>22017571833.69</v>
      </c>
      <c r="K105" s="211">
        <f>E105-H105</f>
        <v>550768432.8600006</v>
      </c>
      <c r="L105" s="212"/>
      <c r="M105" s="43"/>
    </row>
    <row r="106" spans="1:12" s="3" customFormat="1" ht="15.75" customHeight="1">
      <c r="A106" s="177" t="s">
        <v>139</v>
      </c>
      <c r="B106" s="126">
        <v>0</v>
      </c>
      <c r="C106" s="183">
        <v>0</v>
      </c>
      <c r="D106" s="126">
        <f>E106-0</f>
        <v>0</v>
      </c>
      <c r="E106" s="120">
        <v>0</v>
      </c>
      <c r="F106" s="126">
        <f t="shared" si="6"/>
        <v>0</v>
      </c>
      <c r="G106" s="147">
        <f>H106-0</f>
        <v>0</v>
      </c>
      <c r="H106" s="156">
        <v>0</v>
      </c>
      <c r="I106" s="144">
        <f t="shared" si="5"/>
        <v>0</v>
      </c>
      <c r="J106" s="183">
        <v>0</v>
      </c>
      <c r="K106" s="211">
        <f>E106-H106</f>
        <v>0</v>
      </c>
      <c r="L106" s="212"/>
    </row>
    <row r="107" spans="1:12" s="3" customFormat="1" ht="15.75" customHeight="1">
      <c r="A107" s="177" t="s">
        <v>140</v>
      </c>
      <c r="B107" s="126">
        <v>23638623176</v>
      </c>
      <c r="C107" s="183">
        <f>C105-C106</f>
        <v>29466669752.84</v>
      </c>
      <c r="D107" s="126">
        <f>E107-18913804936.56</f>
        <v>5052249277.279999</v>
      </c>
      <c r="E107" s="120">
        <f>E105-E106</f>
        <v>23966054213.84</v>
      </c>
      <c r="F107" s="126">
        <f t="shared" si="6"/>
        <v>5500615539</v>
      </c>
      <c r="G107" s="147">
        <f>H107-16534906677.11</f>
        <v>6880379103.869999</v>
      </c>
      <c r="H107" s="156">
        <f>H105-H106</f>
        <v>23415285780.98</v>
      </c>
      <c r="I107" s="144">
        <f t="shared" si="5"/>
        <v>6051383971.860001</v>
      </c>
      <c r="J107" s="183">
        <f>J105-J106</f>
        <v>22017571833.69</v>
      </c>
      <c r="K107" s="211">
        <f>K105-K106</f>
        <v>550768432.8600006</v>
      </c>
      <c r="L107" s="212"/>
    </row>
    <row r="108" spans="1:12" s="1" customFormat="1" ht="15.75">
      <c r="A108" s="175" t="s">
        <v>60</v>
      </c>
      <c r="B108" s="125">
        <f>SUM(B109:B111)</f>
        <v>7658051559</v>
      </c>
      <c r="C108" s="185">
        <f>SUM(C109:C111)</f>
        <v>10492233803.72</v>
      </c>
      <c r="D108" s="125">
        <f>SUM(D109:D111)</f>
        <v>609071533.72</v>
      </c>
      <c r="E108" s="124">
        <f>SUM(E109:E111)</f>
        <v>2683618006.7200003</v>
      </c>
      <c r="F108" s="125">
        <f t="shared" si="6"/>
        <v>7808615796.999999</v>
      </c>
      <c r="G108" s="149">
        <f>SUM(G109:G111)</f>
        <v>1286448349.2399998</v>
      </c>
      <c r="H108" s="155">
        <f>SUM(H109:H111)</f>
        <v>2498752392.21</v>
      </c>
      <c r="I108" s="145">
        <f t="shared" si="5"/>
        <v>7993481411.509999</v>
      </c>
      <c r="J108" s="185">
        <f>SUM(J109:J111)</f>
        <v>2275910454.6</v>
      </c>
      <c r="K108" s="217">
        <f>SUM(K109:K111)</f>
        <v>184865614.51000023</v>
      </c>
      <c r="L108" s="218"/>
    </row>
    <row r="109" spans="1:12" s="3" customFormat="1" ht="15.75" customHeight="1">
      <c r="A109" s="176" t="s">
        <v>61</v>
      </c>
      <c r="B109" s="126">
        <v>4781917642</v>
      </c>
      <c r="C109" s="183">
        <v>8159071555.12</v>
      </c>
      <c r="D109" s="126">
        <f>E109-1479399224.43</f>
        <v>437702110.45000005</v>
      </c>
      <c r="E109" s="120">
        <v>1917101334.88</v>
      </c>
      <c r="F109" s="126">
        <f t="shared" si="6"/>
        <v>6241970220.24</v>
      </c>
      <c r="G109" s="147">
        <f>H109-631491939.86</f>
        <v>1108743780.5099998</v>
      </c>
      <c r="H109" s="156">
        <v>1740235720.37</v>
      </c>
      <c r="I109" s="144">
        <f t="shared" si="5"/>
        <v>6418835834.75</v>
      </c>
      <c r="J109" s="183">
        <v>1521558739.43</v>
      </c>
      <c r="K109" s="211">
        <f>E109-H109</f>
        <v>176865614.51000023</v>
      </c>
      <c r="L109" s="212"/>
    </row>
    <row r="110" spans="1:12" s="3" customFormat="1" ht="15.75" customHeight="1">
      <c r="A110" s="176" t="s">
        <v>62</v>
      </c>
      <c r="B110" s="126">
        <v>93201107</v>
      </c>
      <c r="C110" s="183">
        <v>539348219.2</v>
      </c>
      <c r="D110" s="126">
        <f>E110-220009924.86</f>
        <v>111607472.25</v>
      </c>
      <c r="E110" s="120">
        <v>331617397.11</v>
      </c>
      <c r="F110" s="126">
        <f t="shared" si="6"/>
        <v>207730822.09000003</v>
      </c>
      <c r="G110" s="147">
        <f>H110-220009923.86</f>
        <v>111607473.25</v>
      </c>
      <c r="H110" s="156">
        <v>331617397.11</v>
      </c>
      <c r="I110" s="144">
        <f t="shared" si="5"/>
        <v>207730822.09000003</v>
      </c>
      <c r="J110" s="183">
        <v>327610937.76</v>
      </c>
      <c r="K110" s="211">
        <f>E110-H110</f>
        <v>0</v>
      </c>
      <c r="L110" s="212"/>
    </row>
    <row r="111" spans="1:12" s="3" customFormat="1" ht="15.75" customHeight="1">
      <c r="A111" s="176" t="s">
        <v>63</v>
      </c>
      <c r="B111" s="126">
        <v>2782932810</v>
      </c>
      <c r="C111" s="183">
        <v>1793814029.4</v>
      </c>
      <c r="D111" s="126">
        <f>E111-375137323.71</f>
        <v>59761951.02000004</v>
      </c>
      <c r="E111" s="120">
        <v>434899274.73</v>
      </c>
      <c r="F111" s="126">
        <f t="shared" si="6"/>
        <v>1358914754.67</v>
      </c>
      <c r="G111" s="147">
        <f>H111-360802179.25</f>
        <v>66097095.48000002</v>
      </c>
      <c r="H111" s="156">
        <v>426899274.73</v>
      </c>
      <c r="I111" s="144">
        <f t="shared" si="5"/>
        <v>1366914754.67</v>
      </c>
      <c r="J111" s="183">
        <v>426740777.41</v>
      </c>
      <c r="K111" s="211">
        <f>E111-H111</f>
        <v>8000000</v>
      </c>
      <c r="L111" s="212"/>
    </row>
    <row r="112" spans="1:12" s="3" customFormat="1" ht="15.75" customHeight="1">
      <c r="A112" s="175" t="s">
        <v>64</v>
      </c>
      <c r="B112" s="137">
        <v>472984382</v>
      </c>
      <c r="C112" s="137">
        <v>470046071.49</v>
      </c>
      <c r="D112" s="199"/>
      <c r="E112" s="199"/>
      <c r="F112" s="149">
        <f t="shared" si="6"/>
        <v>470046071.49</v>
      </c>
      <c r="G112" s="199"/>
      <c r="H112" s="199"/>
      <c r="I112" s="145">
        <f t="shared" si="5"/>
        <v>470046071.49</v>
      </c>
      <c r="J112" s="201"/>
      <c r="K112" s="273"/>
      <c r="L112" s="274"/>
    </row>
    <row r="113" spans="1:12" s="3" customFormat="1" ht="15.75" customHeight="1">
      <c r="A113" s="175" t="s">
        <v>65</v>
      </c>
      <c r="B113" s="137">
        <f>B211</f>
        <v>4805674768</v>
      </c>
      <c r="C113" s="137">
        <v>6323405147.31</v>
      </c>
      <c r="D113" s="200">
        <f>D211</f>
        <v>884646411.1099998</v>
      </c>
      <c r="E113" s="186">
        <f>E211</f>
        <v>5894102944.150001</v>
      </c>
      <c r="F113" s="149">
        <f>C113-E113</f>
        <v>429302203.15999985</v>
      </c>
      <c r="G113" s="149">
        <f>H113-4672991463.13</f>
        <v>1196544126.3600006</v>
      </c>
      <c r="H113" s="157">
        <f>H211</f>
        <v>5869535589.490001</v>
      </c>
      <c r="I113" s="142">
        <f t="shared" si="5"/>
        <v>453869557.8199997</v>
      </c>
      <c r="J113" s="185">
        <v>5415403100.49</v>
      </c>
      <c r="K113" s="275">
        <f>E113-H113</f>
        <v>24567354.659999847</v>
      </c>
      <c r="L113" s="276"/>
    </row>
    <row r="114" spans="1:17" s="3" customFormat="1" ht="15.75" customHeight="1">
      <c r="A114" s="178" t="s">
        <v>30</v>
      </c>
      <c r="B114" s="138">
        <f>B101+B113</f>
        <v>87726292777</v>
      </c>
      <c r="C114" s="138">
        <f>C101+C113</f>
        <v>103234122892.41</v>
      </c>
      <c r="D114" s="138">
        <f>D101+D113</f>
        <v>15553839888.590002</v>
      </c>
      <c r="E114" s="138">
        <f>E101+E113</f>
        <v>77512699566.65999</v>
      </c>
      <c r="F114" s="148">
        <f>C114-E114</f>
        <v>25721423325.750015</v>
      </c>
      <c r="G114" s="148">
        <f>G101+G113</f>
        <v>19691820839.179993</v>
      </c>
      <c r="H114" s="129">
        <f>H101+H113</f>
        <v>76704131705.27</v>
      </c>
      <c r="I114" s="143">
        <f t="shared" si="5"/>
        <v>26529991187.14</v>
      </c>
      <c r="J114" s="122">
        <f>J101+J113</f>
        <v>73974891631.69</v>
      </c>
      <c r="K114" s="271">
        <f>K101+K113</f>
        <v>808567861.3900025</v>
      </c>
      <c r="L114" s="272" t="e">
        <f>L101+#REF!</f>
        <v>#REF!</v>
      </c>
      <c r="M114" s="44"/>
      <c r="N114" s="24"/>
      <c r="O114" s="44"/>
      <c r="P114" s="44"/>
      <c r="Q114" s="44"/>
    </row>
    <row r="115" spans="1:17" s="3" customFormat="1" ht="15.75" customHeight="1">
      <c r="A115" s="179" t="s">
        <v>82</v>
      </c>
      <c r="B115" s="150">
        <f>B116+B119</f>
        <v>1778043859</v>
      </c>
      <c r="C115" s="150">
        <f>C116+C119</f>
        <v>1778043859</v>
      </c>
      <c r="D115" s="139">
        <f>D116+D119</f>
        <v>864452.8299999833</v>
      </c>
      <c r="E115" s="150">
        <f>E116+E119</f>
        <v>163610934.85</v>
      </c>
      <c r="F115" s="45">
        <f aca="true" t="shared" si="7" ref="F115:F120">C115-E115</f>
        <v>1614432924.15</v>
      </c>
      <c r="G115" s="150">
        <f>G116+G119</f>
        <v>864452.8299999833</v>
      </c>
      <c r="H115" s="122">
        <f>H116+H119</f>
        <v>163610934.85</v>
      </c>
      <c r="I115" s="93">
        <f>I116+I119</f>
        <v>1614432924.15</v>
      </c>
      <c r="J115" s="122">
        <f>J116+J119</f>
        <v>163610934.85</v>
      </c>
      <c r="K115" s="270">
        <f>K116+K119</f>
        <v>0</v>
      </c>
      <c r="L115" s="270"/>
      <c r="M115" s="44"/>
      <c r="N115" s="44"/>
      <c r="O115" s="44"/>
      <c r="P115" s="44"/>
      <c r="Q115" s="44"/>
    </row>
    <row r="116" spans="1:17" s="3" customFormat="1" ht="15.75" customHeight="1">
      <c r="A116" s="177" t="s">
        <v>23</v>
      </c>
      <c r="B116" s="147">
        <f>B117+B118</f>
        <v>1778043859</v>
      </c>
      <c r="C116" s="147">
        <f>C117+C118</f>
        <v>1778043859</v>
      </c>
      <c r="D116" s="126">
        <f>D117+D118</f>
        <v>864452.8299999833</v>
      </c>
      <c r="E116" s="126">
        <f>E117+E118</f>
        <v>163610934.85</v>
      </c>
      <c r="F116" s="20">
        <f t="shared" si="7"/>
        <v>1614432924.15</v>
      </c>
      <c r="G116" s="147">
        <f>G117+G118</f>
        <v>864452.8299999833</v>
      </c>
      <c r="H116" s="156">
        <f>H117+H118</f>
        <v>163610934.85</v>
      </c>
      <c r="I116" s="95">
        <f>I117+I118</f>
        <v>1614432924.15</v>
      </c>
      <c r="J116" s="126">
        <f>J117+J118</f>
        <v>163610934.85</v>
      </c>
      <c r="K116" s="204">
        <f>K117+K118</f>
        <v>0</v>
      </c>
      <c r="L116" s="204"/>
      <c r="M116" s="44"/>
      <c r="N116" s="44"/>
      <c r="O116" s="44"/>
      <c r="P116" s="44"/>
      <c r="Q116" s="44"/>
    </row>
    <row r="117" spans="1:12" s="3" customFormat="1" ht="15.75" customHeight="1">
      <c r="A117" s="177" t="s">
        <v>24</v>
      </c>
      <c r="B117" s="40">
        <v>0</v>
      </c>
      <c r="C117" s="40">
        <v>0</v>
      </c>
      <c r="D117" s="126">
        <f>E117-0</f>
        <v>0</v>
      </c>
      <c r="E117" s="40">
        <v>0</v>
      </c>
      <c r="F117" s="20">
        <f t="shared" si="7"/>
        <v>0</v>
      </c>
      <c r="G117" s="40">
        <f>H117-0</f>
        <v>0</v>
      </c>
      <c r="H117" s="98">
        <v>0</v>
      </c>
      <c r="I117" s="95">
        <f>C117-H117</f>
        <v>0</v>
      </c>
      <c r="J117" s="20">
        <v>0</v>
      </c>
      <c r="K117" s="204">
        <v>0</v>
      </c>
      <c r="L117" s="204"/>
    </row>
    <row r="118" spans="1:12" s="3" customFormat="1" ht="15.75" customHeight="1">
      <c r="A118" s="177" t="s">
        <v>25</v>
      </c>
      <c r="B118" s="147">
        <v>1778043859</v>
      </c>
      <c r="C118" s="147">
        <v>1778043859</v>
      </c>
      <c r="D118" s="126">
        <f>E118-162746482.02</f>
        <v>864452.8299999833</v>
      </c>
      <c r="E118" s="126">
        <v>163610934.85</v>
      </c>
      <c r="F118" s="20">
        <f t="shared" si="7"/>
        <v>1614432924.15</v>
      </c>
      <c r="G118" s="159">
        <f>H118-162746482.02</f>
        <v>864452.8299999833</v>
      </c>
      <c r="H118" s="156">
        <v>163610934.85</v>
      </c>
      <c r="I118" s="95">
        <f>C118-H118</f>
        <v>1614432924.15</v>
      </c>
      <c r="J118" s="126">
        <v>163610934.85</v>
      </c>
      <c r="K118" s="204">
        <f>E118-H118</f>
        <v>0</v>
      </c>
      <c r="L118" s="204"/>
    </row>
    <row r="119" spans="1:12" s="3" customFormat="1" ht="15.75" customHeight="1">
      <c r="A119" s="177" t="s">
        <v>26</v>
      </c>
      <c r="B119" s="40">
        <f>B120+B121</f>
        <v>0</v>
      </c>
      <c r="C119" s="40">
        <f>C120+C121</f>
        <v>0</v>
      </c>
      <c r="D119" s="126">
        <f>D120+D121</f>
        <v>0</v>
      </c>
      <c r="E119" s="40">
        <f>E120+E121</f>
        <v>0</v>
      </c>
      <c r="F119" s="20">
        <f t="shared" si="7"/>
        <v>0</v>
      </c>
      <c r="G119" s="40">
        <f>G120+G121</f>
        <v>0</v>
      </c>
      <c r="H119" s="20">
        <f>H120+H121</f>
        <v>0</v>
      </c>
      <c r="I119" s="89">
        <f>I120+I121</f>
        <v>0</v>
      </c>
      <c r="J119" s="20">
        <f>J120+J121</f>
        <v>0</v>
      </c>
      <c r="K119" s="204">
        <f>K120+K121</f>
        <v>0</v>
      </c>
      <c r="L119" s="204"/>
    </row>
    <row r="120" spans="1:12" s="3" customFormat="1" ht="15.75" customHeight="1">
      <c r="A120" s="177" t="s">
        <v>24</v>
      </c>
      <c r="B120" s="40">
        <v>0</v>
      </c>
      <c r="C120" s="40">
        <v>0</v>
      </c>
      <c r="D120" s="126">
        <f>E120-0</f>
        <v>0</v>
      </c>
      <c r="E120" s="40">
        <v>0</v>
      </c>
      <c r="F120" s="20">
        <f t="shared" si="7"/>
        <v>0</v>
      </c>
      <c r="G120" s="40">
        <f>H120-0</f>
        <v>0</v>
      </c>
      <c r="H120" s="98">
        <v>0</v>
      </c>
      <c r="I120" s="95">
        <f>C120-H120</f>
        <v>0</v>
      </c>
      <c r="J120" s="20">
        <v>0</v>
      </c>
      <c r="K120" s="204">
        <v>0</v>
      </c>
      <c r="L120" s="204"/>
    </row>
    <row r="121" spans="1:12" s="3" customFormat="1" ht="15.75" customHeight="1">
      <c r="A121" s="177" t="s">
        <v>25</v>
      </c>
      <c r="B121" s="46">
        <v>0</v>
      </c>
      <c r="C121" s="46">
        <v>0</v>
      </c>
      <c r="D121" s="133">
        <f>E121-0</f>
        <v>0</v>
      </c>
      <c r="E121" s="29">
        <v>0</v>
      </c>
      <c r="F121" s="29">
        <v>0</v>
      </c>
      <c r="G121" s="47">
        <f>H121-0</f>
        <v>0</v>
      </c>
      <c r="H121" s="99">
        <v>0</v>
      </c>
      <c r="I121" s="97">
        <f>C121-H121</f>
        <v>0</v>
      </c>
      <c r="J121" s="29">
        <v>0</v>
      </c>
      <c r="K121" s="220">
        <v>0</v>
      </c>
      <c r="L121" s="220"/>
    </row>
    <row r="122" spans="1:14" s="3" customFormat="1" ht="15.75" customHeight="1">
      <c r="A122" s="178" t="s">
        <v>142</v>
      </c>
      <c r="B122" s="165">
        <f aca="true" t="shared" si="8" ref="B122:L122">B114+B115</f>
        <v>89504336636</v>
      </c>
      <c r="C122" s="166">
        <f>C114+C115</f>
        <v>105012166751.41</v>
      </c>
      <c r="D122" s="166">
        <f t="shared" si="8"/>
        <v>15554704341.420002</v>
      </c>
      <c r="E122" s="166">
        <f t="shared" si="8"/>
        <v>77676310501.51</v>
      </c>
      <c r="F122" s="166">
        <f>F114+F115</f>
        <v>27335856249.900017</v>
      </c>
      <c r="G122" s="166">
        <f t="shared" si="8"/>
        <v>19692685292.009995</v>
      </c>
      <c r="H122" s="165">
        <f t="shared" si="8"/>
        <v>76867742640.12001</v>
      </c>
      <c r="I122" s="167">
        <f>C122-H122</f>
        <v>28144424111.289993</v>
      </c>
      <c r="J122" s="168">
        <f>J114+J115</f>
        <v>74138502566.54001</v>
      </c>
      <c r="K122" s="289">
        <f>K114+K115</f>
        <v>808567861.3900025</v>
      </c>
      <c r="L122" s="290" t="e">
        <f t="shared" si="8"/>
        <v>#REF!</v>
      </c>
      <c r="M122" s="48"/>
      <c r="N122" s="24"/>
    </row>
    <row r="123" spans="1:14" s="3" customFormat="1" ht="15.75" customHeight="1">
      <c r="A123" s="178" t="s">
        <v>66</v>
      </c>
      <c r="B123" s="194"/>
      <c r="C123" s="194"/>
      <c r="D123" s="194"/>
      <c r="E123" s="165">
        <f>H90-E122</f>
        <v>13747160387.89</v>
      </c>
      <c r="F123" s="194"/>
      <c r="G123" s="194"/>
      <c r="H123" s="170">
        <f>H90-H122</f>
        <v>14555728249.279984</v>
      </c>
      <c r="I123" s="194"/>
      <c r="J123" s="165">
        <f>H90-J122</f>
        <v>17284968322.859985</v>
      </c>
      <c r="K123" s="278"/>
      <c r="L123" s="279"/>
      <c r="M123"/>
      <c r="N123"/>
    </row>
    <row r="124" spans="1:14" s="3" customFormat="1" ht="15.75" customHeight="1">
      <c r="A124" s="180" t="s">
        <v>143</v>
      </c>
      <c r="B124" s="171">
        <f aca="true" t="shared" si="9" ref="B124:J124">B122+B123</f>
        <v>89504336636</v>
      </c>
      <c r="C124" s="166">
        <f t="shared" si="9"/>
        <v>105012166751.41</v>
      </c>
      <c r="D124" s="166">
        <f t="shared" si="9"/>
        <v>15554704341.420002</v>
      </c>
      <c r="E124" s="166">
        <f t="shared" si="9"/>
        <v>91423470889.4</v>
      </c>
      <c r="F124" s="169">
        <f t="shared" si="9"/>
        <v>27335856249.900017</v>
      </c>
      <c r="G124" s="169">
        <f t="shared" si="9"/>
        <v>19692685292.009995</v>
      </c>
      <c r="H124" s="170">
        <f t="shared" si="9"/>
        <v>91423470889.4</v>
      </c>
      <c r="I124" s="163">
        <f t="shared" si="9"/>
        <v>28144424111.289993</v>
      </c>
      <c r="J124" s="167">
        <f t="shared" si="9"/>
        <v>91423470889.4</v>
      </c>
      <c r="K124" s="268">
        <f>K122</f>
        <v>808567861.3900025</v>
      </c>
      <c r="L124" s="269"/>
      <c r="N124" s="24"/>
    </row>
    <row r="125" spans="1:12" s="3" customFormat="1" ht="15.75" customHeight="1">
      <c r="A125" s="180" t="s">
        <v>84</v>
      </c>
      <c r="B125" s="171">
        <v>0</v>
      </c>
      <c r="C125" s="166">
        <v>0</v>
      </c>
      <c r="D125" s="194"/>
      <c r="E125" s="194"/>
      <c r="F125" s="169">
        <v>0</v>
      </c>
      <c r="G125" s="194"/>
      <c r="H125" s="194"/>
      <c r="I125" s="163">
        <v>0</v>
      </c>
      <c r="J125" s="194"/>
      <c r="K125" s="278"/>
      <c r="L125" s="279"/>
    </row>
    <row r="126" spans="1:12" ht="15.75">
      <c r="A126" s="49"/>
      <c r="B126" s="50"/>
      <c r="C126" s="50"/>
      <c r="D126" s="51"/>
      <c r="E126" s="195"/>
      <c r="F126" s="50"/>
      <c r="G126" s="52"/>
      <c r="H126" s="53"/>
      <c r="I126" s="53"/>
      <c r="J126" s="53"/>
      <c r="K126" s="53"/>
      <c r="L126" s="54" t="s">
        <v>93</v>
      </c>
    </row>
    <row r="127" spans="1:12" ht="15">
      <c r="A127" s="49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</row>
    <row r="128" spans="1:12" ht="12.75">
      <c r="A128" s="34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</row>
    <row r="129" spans="1:12" ht="15.75">
      <c r="A129" s="34"/>
      <c r="B129" s="35"/>
      <c r="C129" s="35"/>
      <c r="D129" s="36"/>
      <c r="E129" s="36"/>
      <c r="F129" s="35"/>
      <c r="G129" s="37"/>
      <c r="H129" s="38"/>
      <c r="I129" s="38"/>
      <c r="J129" s="38"/>
      <c r="K129" s="38"/>
      <c r="L129" s="39"/>
    </row>
    <row r="130" spans="1:12" ht="15.75">
      <c r="A130" s="34"/>
      <c r="B130" s="35"/>
      <c r="C130" s="35"/>
      <c r="D130" s="36"/>
      <c r="E130" s="36"/>
      <c r="F130" s="35"/>
      <c r="G130" s="37"/>
      <c r="H130" s="38"/>
      <c r="I130" s="38"/>
      <c r="J130" s="38"/>
      <c r="K130" s="38"/>
      <c r="L130" s="54" t="s">
        <v>31</v>
      </c>
    </row>
    <row r="131" spans="1:12" ht="16.5">
      <c r="A131" s="244" t="str">
        <f>A6</f>
        <v>GOVERNO DO ESTADO DO RIO DE JANEIRO</v>
      </c>
      <c r="B131" s="244"/>
      <c r="C131" s="244"/>
      <c r="D131" s="244"/>
      <c r="E131" s="244"/>
      <c r="F131" s="244"/>
      <c r="G131" s="244"/>
      <c r="H131" s="244"/>
      <c r="I131" s="244"/>
      <c r="J131" s="244"/>
      <c r="K131" s="244"/>
      <c r="L131" s="244"/>
    </row>
    <row r="132" spans="1:12" ht="16.5">
      <c r="A132" s="256" t="str">
        <f>A7</f>
        <v>RELATÓRIO RESUMIDO DA EXECUÇÃO ORÇAMENTÁRIA</v>
      </c>
      <c r="B132" s="244"/>
      <c r="C132" s="244"/>
      <c r="D132" s="244"/>
      <c r="E132" s="244"/>
      <c r="F132" s="244"/>
      <c r="G132" s="244"/>
      <c r="H132" s="244"/>
      <c r="I132" s="244"/>
      <c r="J132" s="244"/>
      <c r="K132" s="244"/>
      <c r="L132" s="244"/>
    </row>
    <row r="133" spans="1:12" ht="16.5">
      <c r="A133" s="307" t="str">
        <f>A8</f>
        <v>BALANÇO ORÇAMENTÁRIO</v>
      </c>
      <c r="B133" s="307"/>
      <c r="C133" s="307"/>
      <c r="D133" s="307"/>
      <c r="E133" s="307"/>
      <c r="F133" s="307"/>
      <c r="G133" s="307"/>
      <c r="H133" s="307"/>
      <c r="I133" s="307"/>
      <c r="J133" s="307"/>
      <c r="K133" s="307"/>
      <c r="L133" s="307"/>
    </row>
    <row r="134" spans="1:12" ht="16.5">
      <c r="A134" s="244" t="str">
        <f>A9</f>
        <v>ORÇAMENTOS FISCAL E DA SEGURIDADE SOCIAL</v>
      </c>
      <c r="B134" s="244"/>
      <c r="C134" s="244"/>
      <c r="D134" s="244"/>
      <c r="E134" s="244"/>
      <c r="F134" s="244"/>
      <c r="G134" s="244"/>
      <c r="H134" s="244"/>
      <c r="I134" s="244"/>
      <c r="J134" s="244"/>
      <c r="K134" s="244"/>
      <c r="L134" s="244"/>
    </row>
    <row r="135" spans="1:12" ht="16.5">
      <c r="A135" s="256" t="str">
        <f>A10</f>
        <v>JANEIRO A DEZEMBRO 2021/BIMESTRE NOVEMBRO-DEZEMBRO</v>
      </c>
      <c r="B135" s="244"/>
      <c r="C135" s="244"/>
      <c r="D135" s="244"/>
      <c r="E135" s="244"/>
      <c r="F135" s="244"/>
      <c r="G135" s="244"/>
      <c r="H135" s="244"/>
      <c r="I135" s="244"/>
      <c r="J135" s="244"/>
      <c r="K135" s="244"/>
      <c r="L135" s="244"/>
    </row>
    <row r="136" spans="1:12" ht="16.5">
      <c r="A136" s="55"/>
      <c r="B136" s="56"/>
      <c r="C136" s="79"/>
      <c r="D136" s="79"/>
      <c r="E136" s="79"/>
      <c r="F136" s="79"/>
      <c r="G136" s="79"/>
      <c r="H136" s="79"/>
      <c r="I136" s="79"/>
      <c r="J136" s="79"/>
      <c r="K136" s="79"/>
      <c r="L136" s="79"/>
    </row>
    <row r="137" spans="1:12" ht="15.75">
      <c r="A137" s="57"/>
      <c r="B137" s="57"/>
      <c r="C137" s="78"/>
      <c r="D137" s="78"/>
      <c r="E137" s="78"/>
      <c r="F137" s="78"/>
      <c r="G137" s="78"/>
      <c r="H137" s="57"/>
      <c r="I137" s="58"/>
      <c r="J137" s="58"/>
      <c r="K137" s="58"/>
      <c r="L137" s="88" t="str">
        <f>L12</f>
        <v>Emissão: 25/01/2022</v>
      </c>
    </row>
    <row r="138" spans="1:12" ht="15.75">
      <c r="A138" s="59" t="str">
        <f>A13</f>
        <v>RREO - Anexo 1 (LRF, Art. 52, inciso I, alíneas "a" e "b" do inciso II e §1º)</v>
      </c>
      <c r="B138" s="60"/>
      <c r="C138" s="87"/>
      <c r="D138" s="87"/>
      <c r="E138" s="87"/>
      <c r="F138" s="87"/>
      <c r="G138" s="87"/>
      <c r="H138" s="87"/>
      <c r="I138" s="114"/>
      <c r="J138" s="61"/>
      <c r="K138" s="62"/>
      <c r="L138" s="61">
        <v>1</v>
      </c>
    </row>
    <row r="139" spans="1:12" ht="15.75">
      <c r="A139" s="238" t="s">
        <v>4</v>
      </c>
      <c r="B139" s="239"/>
      <c r="C139" s="259" t="s">
        <v>68</v>
      </c>
      <c r="D139" s="74" t="s">
        <v>83</v>
      </c>
      <c r="E139" s="262" t="s">
        <v>3</v>
      </c>
      <c r="F139" s="263"/>
      <c r="G139" s="263"/>
      <c r="H139" s="263"/>
      <c r="I139" s="264"/>
      <c r="J139" s="257" t="s">
        <v>69</v>
      </c>
      <c r="K139" s="258"/>
      <c r="L139" s="258"/>
    </row>
    <row r="140" spans="1:12" ht="15.75">
      <c r="A140" s="240"/>
      <c r="B140" s="241"/>
      <c r="C140" s="260"/>
      <c r="D140" s="75" t="s">
        <v>6</v>
      </c>
      <c r="E140" s="74" t="s">
        <v>7</v>
      </c>
      <c r="F140" s="76" t="s">
        <v>8</v>
      </c>
      <c r="G140" s="257" t="s">
        <v>9</v>
      </c>
      <c r="H140" s="265"/>
      <c r="I140" s="76" t="s">
        <v>8</v>
      </c>
      <c r="J140" s="266"/>
      <c r="K140" s="267"/>
      <c r="L140" s="267"/>
    </row>
    <row r="141" spans="1:12" ht="15.75">
      <c r="A141" s="242"/>
      <c r="B141" s="243"/>
      <c r="C141" s="261"/>
      <c r="D141" s="77" t="s">
        <v>10</v>
      </c>
      <c r="E141" s="77" t="s">
        <v>11</v>
      </c>
      <c r="F141" s="77" t="s">
        <v>12</v>
      </c>
      <c r="G141" s="253" t="s">
        <v>70</v>
      </c>
      <c r="H141" s="254"/>
      <c r="I141" s="77" t="s">
        <v>13</v>
      </c>
      <c r="J141" s="253" t="s">
        <v>14</v>
      </c>
      <c r="K141" s="255"/>
      <c r="L141" s="255"/>
    </row>
    <row r="142" spans="1:12" ht="15.75">
      <c r="A142" s="249" t="s">
        <v>53</v>
      </c>
      <c r="B142" s="250"/>
      <c r="C142" s="121">
        <f>C143+C183</f>
        <v>4805674768</v>
      </c>
      <c r="D142" s="122">
        <f>D143+D183</f>
        <v>4843998860.91</v>
      </c>
      <c r="E142" s="123">
        <f>E143+E183</f>
        <v>1200111488.8700001</v>
      </c>
      <c r="F142" s="14">
        <f>(E142/D142)*100</f>
        <v>24.77522235925022</v>
      </c>
      <c r="G142" s="103"/>
      <c r="H142" s="152">
        <f>H143+H183</f>
        <v>5719424681.099999</v>
      </c>
      <c r="I142" s="14">
        <f>(H142/D142)*100</f>
        <v>118.07237873762715</v>
      </c>
      <c r="J142" s="251">
        <f aca="true" t="shared" si="10" ref="J142:J173">D142-H142</f>
        <v>-875425820.1899996</v>
      </c>
      <c r="K142" s="252"/>
      <c r="L142" s="252"/>
    </row>
    <row r="143" spans="1:12" ht="15.75">
      <c r="A143" s="247" t="s">
        <v>32</v>
      </c>
      <c r="B143" s="247"/>
      <c r="C143" s="124">
        <f>C144+C148+C153+C161+C162+C163+C169+C178</f>
        <v>4805674768</v>
      </c>
      <c r="D143" s="125">
        <f>D144+D148+D153+D161+D162+D163+D169+D178</f>
        <v>4843555006.86</v>
      </c>
      <c r="E143" s="123">
        <f>E144+E148+E153+E161+E162+E163+E169+E178</f>
        <v>1200091399.73</v>
      </c>
      <c r="F143" s="17">
        <f>(E143/D143)*100</f>
        <v>24.777077952666843</v>
      </c>
      <c r="G143" s="104"/>
      <c r="H143" s="153">
        <f>H144+H148+H153+H161+H162+H163+H169+H178</f>
        <v>5719181730.49</v>
      </c>
      <c r="I143" s="17">
        <f>(H143/D143)*100</f>
        <v>118.07818270650043</v>
      </c>
      <c r="J143" s="245">
        <f t="shared" si="10"/>
        <v>-875626723.6300001</v>
      </c>
      <c r="K143" s="246"/>
      <c r="L143" s="246"/>
    </row>
    <row r="144" spans="1:12" ht="15.75">
      <c r="A144" s="213" t="s">
        <v>130</v>
      </c>
      <c r="B144" s="213"/>
      <c r="C144" s="19">
        <f>C145+C146+C147</f>
        <v>0</v>
      </c>
      <c r="D144" s="20">
        <f>D145+D146+D147</f>
        <v>0</v>
      </c>
      <c r="E144" s="21">
        <f>E145+E146+E147</f>
        <v>0</v>
      </c>
      <c r="F144" s="22">
        <v>0</v>
      </c>
      <c r="G144" s="101"/>
      <c r="H144" s="102">
        <f>H145+H146+H147</f>
        <v>0</v>
      </c>
      <c r="I144" s="22">
        <v>0</v>
      </c>
      <c r="J144" s="203">
        <f t="shared" si="10"/>
        <v>0</v>
      </c>
      <c r="K144" s="204"/>
      <c r="L144" s="204"/>
    </row>
    <row r="145" spans="1:12" ht="15.75">
      <c r="A145" s="213" t="s">
        <v>33</v>
      </c>
      <c r="B145" s="213"/>
      <c r="C145" s="19">
        <v>0</v>
      </c>
      <c r="D145" s="20">
        <v>0</v>
      </c>
      <c r="E145" s="21">
        <f>H145</f>
        <v>0</v>
      </c>
      <c r="F145" s="22">
        <v>0</v>
      </c>
      <c r="G145" s="101"/>
      <c r="H145" s="102">
        <v>0</v>
      </c>
      <c r="I145" s="22">
        <v>0</v>
      </c>
      <c r="J145" s="203">
        <f t="shared" si="10"/>
        <v>0</v>
      </c>
      <c r="K145" s="204"/>
      <c r="L145" s="204"/>
    </row>
    <row r="146" spans="1:12" ht="15.75">
      <c r="A146" s="213" t="s">
        <v>34</v>
      </c>
      <c r="B146" s="213"/>
      <c r="C146" s="19">
        <v>0</v>
      </c>
      <c r="D146" s="20">
        <v>0</v>
      </c>
      <c r="E146" s="21">
        <f>H146</f>
        <v>0</v>
      </c>
      <c r="F146" s="22">
        <v>0</v>
      </c>
      <c r="G146" s="101"/>
      <c r="H146" s="102">
        <v>0</v>
      </c>
      <c r="I146" s="22">
        <v>0</v>
      </c>
      <c r="J146" s="203">
        <f t="shared" si="10"/>
        <v>0</v>
      </c>
      <c r="K146" s="204"/>
      <c r="L146" s="204"/>
    </row>
    <row r="147" spans="1:12" ht="15.75">
      <c r="A147" s="248" t="s">
        <v>131</v>
      </c>
      <c r="B147" s="248"/>
      <c r="C147" s="27">
        <v>0</v>
      </c>
      <c r="D147" s="20">
        <v>0</v>
      </c>
      <c r="E147" s="21">
        <f>H147</f>
        <v>0</v>
      </c>
      <c r="F147" s="22">
        <v>0</v>
      </c>
      <c r="G147" s="101"/>
      <c r="H147" s="102">
        <v>0</v>
      </c>
      <c r="I147" s="22">
        <v>0</v>
      </c>
      <c r="J147" s="203">
        <f t="shared" si="10"/>
        <v>0</v>
      </c>
      <c r="K147" s="204"/>
      <c r="L147" s="204"/>
    </row>
    <row r="148" spans="1:12" ht="15.75">
      <c r="A148" s="213" t="s">
        <v>144</v>
      </c>
      <c r="B148" s="213"/>
      <c r="C148" s="120">
        <f>C150+C149+C151+C152</f>
        <v>3021233319</v>
      </c>
      <c r="D148" s="126">
        <f>D150+D149+D151+D152</f>
        <v>3021233319</v>
      </c>
      <c r="E148" s="127">
        <f>E150+E149+E151+E152</f>
        <v>555380592.9100001</v>
      </c>
      <c r="F148" s="22">
        <f>(E148/D148)*100</f>
        <v>18.382578711061807</v>
      </c>
      <c r="G148" s="101"/>
      <c r="H148" s="141">
        <f>H149+H150+H151+H152</f>
        <v>2644632457.15</v>
      </c>
      <c r="I148" s="22">
        <f>(H148/D148)*100</f>
        <v>87.53486334598443</v>
      </c>
      <c r="J148" s="205">
        <f t="shared" si="10"/>
        <v>376600861.8499999</v>
      </c>
      <c r="K148" s="206"/>
      <c r="L148" s="206"/>
    </row>
    <row r="149" spans="1:12" ht="15.75">
      <c r="A149" s="213" t="s">
        <v>36</v>
      </c>
      <c r="B149" s="213"/>
      <c r="C149" s="120">
        <v>3021233319</v>
      </c>
      <c r="D149" s="126">
        <v>3021233319</v>
      </c>
      <c r="E149" s="127">
        <f>H149-2089251864.24</f>
        <v>555380592.9100001</v>
      </c>
      <c r="F149" s="22">
        <f>(E149/D149)*100</f>
        <v>18.382578711061807</v>
      </c>
      <c r="G149" s="101"/>
      <c r="H149" s="141">
        <v>2644632457.15</v>
      </c>
      <c r="I149" s="22">
        <f>(H149/D149)*100</f>
        <v>87.53486334598443</v>
      </c>
      <c r="J149" s="205">
        <f t="shared" si="10"/>
        <v>376600861.8499999</v>
      </c>
      <c r="K149" s="206"/>
      <c r="L149" s="206"/>
    </row>
    <row r="150" spans="1:12" ht="15.75">
      <c r="A150" s="213" t="s">
        <v>92</v>
      </c>
      <c r="B150" s="213"/>
      <c r="C150" s="19">
        <v>0</v>
      </c>
      <c r="D150" s="20">
        <v>0</v>
      </c>
      <c r="E150" s="21">
        <f>H150</f>
        <v>0</v>
      </c>
      <c r="F150" s="22">
        <v>0</v>
      </c>
      <c r="G150" s="101"/>
      <c r="H150" s="102">
        <v>0</v>
      </c>
      <c r="I150" s="22">
        <v>0</v>
      </c>
      <c r="J150" s="203">
        <f t="shared" si="10"/>
        <v>0</v>
      </c>
      <c r="K150" s="204"/>
      <c r="L150" s="204"/>
    </row>
    <row r="151" spans="1:12" ht="15.75">
      <c r="A151" s="213" t="s">
        <v>110</v>
      </c>
      <c r="B151" s="213"/>
      <c r="C151" s="19">
        <v>0</v>
      </c>
      <c r="D151" s="20">
        <v>0</v>
      </c>
      <c r="E151" s="21">
        <f>H151</f>
        <v>0</v>
      </c>
      <c r="F151" s="22">
        <v>0</v>
      </c>
      <c r="G151" s="101"/>
      <c r="H151" s="102">
        <v>0</v>
      </c>
      <c r="I151" s="22">
        <v>0</v>
      </c>
      <c r="J151" s="207">
        <f t="shared" si="10"/>
        <v>0</v>
      </c>
      <c r="K151" s="208"/>
      <c r="L151" s="208"/>
    </row>
    <row r="152" spans="1:12" ht="15.75">
      <c r="A152" s="213" t="s">
        <v>111</v>
      </c>
      <c r="B152" s="213"/>
      <c r="C152" s="19">
        <v>0</v>
      </c>
      <c r="D152" s="20">
        <v>0</v>
      </c>
      <c r="E152" s="21">
        <f>H152</f>
        <v>0</v>
      </c>
      <c r="F152" s="22">
        <v>0</v>
      </c>
      <c r="G152" s="101"/>
      <c r="H152" s="102">
        <v>0</v>
      </c>
      <c r="I152" s="22">
        <v>0</v>
      </c>
      <c r="J152" s="207">
        <f t="shared" si="10"/>
        <v>0</v>
      </c>
      <c r="K152" s="208"/>
      <c r="L152" s="208"/>
    </row>
    <row r="153" spans="1:12" ht="15.75">
      <c r="A153" s="213" t="s">
        <v>37</v>
      </c>
      <c r="B153" s="213"/>
      <c r="C153" s="120">
        <f>SUM(C154:C160)</f>
        <v>15765688</v>
      </c>
      <c r="D153" s="126">
        <f>SUM(D154:D160)</f>
        <v>15765688</v>
      </c>
      <c r="E153" s="127">
        <f>SUM(E154:E160)</f>
        <v>2922308.450000001</v>
      </c>
      <c r="F153" s="22">
        <f>(E153/D153)*100</f>
        <v>18.5358764552489</v>
      </c>
      <c r="G153" s="101"/>
      <c r="H153" s="141">
        <f>SUM(H154:H160)</f>
        <v>14724580.64</v>
      </c>
      <c r="I153" s="22">
        <f>(H153/D153)*100</f>
        <v>93.39637217227691</v>
      </c>
      <c r="J153" s="205">
        <f t="shared" si="10"/>
        <v>1041107.3599999994</v>
      </c>
      <c r="K153" s="206"/>
      <c r="L153" s="206"/>
    </row>
    <row r="154" spans="1:12" ht="15.75">
      <c r="A154" s="213" t="s">
        <v>112</v>
      </c>
      <c r="B154" s="213"/>
      <c r="C154" s="120">
        <v>15765688</v>
      </c>
      <c r="D154" s="126">
        <v>15765688</v>
      </c>
      <c r="E154" s="127">
        <f>H154-11802272.19</f>
        <v>2922308.450000001</v>
      </c>
      <c r="F154" s="22">
        <f>(E154/D154)*100</f>
        <v>18.5358764552489</v>
      </c>
      <c r="G154" s="101"/>
      <c r="H154" s="141">
        <v>14724580.64</v>
      </c>
      <c r="I154" s="22">
        <f>(H154/D154)*100</f>
        <v>93.39637217227691</v>
      </c>
      <c r="J154" s="205">
        <f t="shared" si="10"/>
        <v>1041107.3599999994</v>
      </c>
      <c r="K154" s="206"/>
      <c r="L154" s="206"/>
    </row>
    <row r="155" spans="1:12" ht="15.75">
      <c r="A155" s="213" t="s">
        <v>113</v>
      </c>
      <c r="B155" s="213"/>
      <c r="C155" s="19">
        <v>0</v>
      </c>
      <c r="D155" s="20">
        <v>0</v>
      </c>
      <c r="E155" s="21">
        <f aca="true" t="shared" si="11" ref="E155:E162">H155</f>
        <v>0</v>
      </c>
      <c r="F155" s="22">
        <v>0</v>
      </c>
      <c r="G155" s="101"/>
      <c r="H155" s="102">
        <v>0</v>
      </c>
      <c r="I155" s="22">
        <v>0</v>
      </c>
      <c r="J155" s="203">
        <f t="shared" si="10"/>
        <v>0</v>
      </c>
      <c r="K155" s="204"/>
      <c r="L155" s="204"/>
    </row>
    <row r="156" spans="1:12" ht="15.75">
      <c r="A156" s="213" t="s">
        <v>116</v>
      </c>
      <c r="B156" s="213"/>
      <c r="C156" s="19">
        <v>0</v>
      </c>
      <c r="D156" s="20">
        <v>0</v>
      </c>
      <c r="E156" s="21">
        <f t="shared" si="11"/>
        <v>0</v>
      </c>
      <c r="F156" s="22">
        <v>0</v>
      </c>
      <c r="G156" s="101"/>
      <c r="H156" s="102">
        <v>0</v>
      </c>
      <c r="I156" s="22">
        <v>0</v>
      </c>
      <c r="J156" s="203">
        <f t="shared" si="10"/>
        <v>0</v>
      </c>
      <c r="K156" s="204"/>
      <c r="L156" s="204"/>
    </row>
    <row r="157" spans="1:12" ht="15.75">
      <c r="A157" s="213" t="s">
        <v>114</v>
      </c>
      <c r="B157" s="213"/>
      <c r="C157" s="19">
        <v>0</v>
      </c>
      <c r="D157" s="20">
        <v>0</v>
      </c>
      <c r="E157" s="21">
        <f t="shared" si="11"/>
        <v>0</v>
      </c>
      <c r="F157" s="22">
        <v>0</v>
      </c>
      <c r="G157" s="101"/>
      <c r="H157" s="102">
        <v>0</v>
      </c>
      <c r="I157" s="22">
        <v>0</v>
      </c>
      <c r="J157" s="203">
        <f t="shared" si="10"/>
        <v>0</v>
      </c>
      <c r="K157" s="204"/>
      <c r="L157" s="204"/>
    </row>
    <row r="158" spans="1:12" ht="15" customHeight="1">
      <c r="A158" s="213" t="s">
        <v>115</v>
      </c>
      <c r="B158" s="213"/>
      <c r="C158" s="19">
        <v>0</v>
      </c>
      <c r="D158" s="20">
        <v>0</v>
      </c>
      <c r="E158" s="21">
        <f t="shared" si="11"/>
        <v>0</v>
      </c>
      <c r="F158" s="22">
        <v>0</v>
      </c>
      <c r="G158" s="101"/>
      <c r="H158" s="102">
        <v>0</v>
      </c>
      <c r="I158" s="22">
        <v>0</v>
      </c>
      <c r="J158" s="203">
        <f t="shared" si="10"/>
        <v>0</v>
      </c>
      <c r="K158" s="204"/>
      <c r="L158" s="204"/>
    </row>
    <row r="159" spans="1:12" ht="15.75">
      <c r="A159" s="213" t="s">
        <v>118</v>
      </c>
      <c r="B159" s="213"/>
      <c r="C159" s="19">
        <v>0</v>
      </c>
      <c r="D159" s="20">
        <v>0</v>
      </c>
      <c r="E159" s="21">
        <f t="shared" si="11"/>
        <v>0</v>
      </c>
      <c r="F159" s="22">
        <v>0</v>
      </c>
      <c r="G159" s="101"/>
      <c r="H159" s="102">
        <v>0</v>
      </c>
      <c r="I159" s="22">
        <v>0</v>
      </c>
      <c r="J159" s="203">
        <f t="shared" si="10"/>
        <v>0</v>
      </c>
      <c r="K159" s="204"/>
      <c r="L159" s="204"/>
    </row>
    <row r="160" spans="1:12" ht="15.75">
      <c r="A160" s="213" t="s">
        <v>117</v>
      </c>
      <c r="B160" s="213"/>
      <c r="C160" s="19">
        <v>0</v>
      </c>
      <c r="D160" s="20">
        <v>0</v>
      </c>
      <c r="E160" s="21">
        <f t="shared" si="11"/>
        <v>0</v>
      </c>
      <c r="F160" s="22">
        <v>0</v>
      </c>
      <c r="G160" s="101"/>
      <c r="H160" s="102">
        <v>0</v>
      </c>
      <c r="I160" s="22">
        <v>0</v>
      </c>
      <c r="J160" s="203">
        <f t="shared" si="10"/>
        <v>0</v>
      </c>
      <c r="K160" s="204"/>
      <c r="L160" s="204"/>
    </row>
    <row r="161" spans="1:12" ht="15.75">
      <c r="A161" s="213" t="s">
        <v>38</v>
      </c>
      <c r="B161" s="213"/>
      <c r="C161" s="19">
        <v>0</v>
      </c>
      <c r="D161" s="20">
        <v>0</v>
      </c>
      <c r="E161" s="21">
        <f t="shared" si="11"/>
        <v>0</v>
      </c>
      <c r="F161" s="22">
        <v>0</v>
      </c>
      <c r="G161" s="101"/>
      <c r="H161" s="102">
        <v>0</v>
      </c>
      <c r="I161" s="22">
        <v>0</v>
      </c>
      <c r="J161" s="203">
        <f t="shared" si="10"/>
        <v>0</v>
      </c>
      <c r="K161" s="204"/>
      <c r="L161" s="204"/>
    </row>
    <row r="162" spans="1:12" ht="15.75">
      <c r="A162" s="213" t="s">
        <v>39</v>
      </c>
      <c r="B162" s="213"/>
      <c r="C162" s="19">
        <v>0</v>
      </c>
      <c r="D162" s="20">
        <v>0</v>
      </c>
      <c r="E162" s="21">
        <f t="shared" si="11"/>
        <v>0</v>
      </c>
      <c r="F162" s="22">
        <v>0</v>
      </c>
      <c r="G162" s="101"/>
      <c r="H162" s="102">
        <v>0</v>
      </c>
      <c r="I162" s="22">
        <v>0</v>
      </c>
      <c r="J162" s="203">
        <f t="shared" si="10"/>
        <v>0</v>
      </c>
      <c r="K162" s="204"/>
      <c r="L162" s="204"/>
    </row>
    <row r="163" spans="1:12" ht="15.75">
      <c r="A163" s="213" t="s">
        <v>40</v>
      </c>
      <c r="B163" s="213"/>
      <c r="C163" s="120">
        <f>SUM(C164:C168)</f>
        <v>693120559</v>
      </c>
      <c r="D163" s="126">
        <f>SUM(D164:D168)</f>
        <v>693120559</v>
      </c>
      <c r="E163" s="127">
        <f>SUM(E164:E168)</f>
        <v>255600990.66999996</v>
      </c>
      <c r="F163" s="22">
        <f>(E163/D163)*100</f>
        <v>36.876844489906404</v>
      </c>
      <c r="G163" s="101"/>
      <c r="H163" s="141">
        <f>SUM(H164:H168)</f>
        <v>822548601.46</v>
      </c>
      <c r="I163" s="22">
        <f>(H163/D163)*100</f>
        <v>118.67323668002756</v>
      </c>
      <c r="J163" s="205">
        <f t="shared" si="10"/>
        <v>-129428042.46000004</v>
      </c>
      <c r="K163" s="206"/>
      <c r="L163" s="206"/>
    </row>
    <row r="164" spans="1:12" ht="15.75">
      <c r="A164" s="213" t="s">
        <v>105</v>
      </c>
      <c r="B164" s="213"/>
      <c r="C164" s="120">
        <v>471087</v>
      </c>
      <c r="D164" s="126">
        <v>471087</v>
      </c>
      <c r="E164" s="127">
        <f>H164-5529224.48</f>
        <v>2951081.629999999</v>
      </c>
      <c r="F164" s="22">
        <f>(E164/D164)*100</f>
        <v>626.4408973289433</v>
      </c>
      <c r="G164" s="101"/>
      <c r="H164" s="141">
        <v>8480306.11</v>
      </c>
      <c r="I164" s="22">
        <f>(H164/D164)*100</f>
        <v>1800.157106861365</v>
      </c>
      <c r="J164" s="205">
        <f t="shared" si="10"/>
        <v>-8009219.109999999</v>
      </c>
      <c r="K164" s="206"/>
      <c r="L164" s="206"/>
    </row>
    <row r="165" spans="1:12" ht="15.75">
      <c r="A165" s="213" t="s">
        <v>106</v>
      </c>
      <c r="B165" s="213"/>
      <c r="C165" s="19">
        <v>0</v>
      </c>
      <c r="D165" s="20">
        <v>0</v>
      </c>
      <c r="E165" s="21">
        <f>H165</f>
        <v>0</v>
      </c>
      <c r="F165" s="22">
        <v>0</v>
      </c>
      <c r="G165" s="101"/>
      <c r="H165" s="102">
        <v>0</v>
      </c>
      <c r="I165" s="22">
        <v>0</v>
      </c>
      <c r="J165" s="207">
        <f t="shared" si="10"/>
        <v>0</v>
      </c>
      <c r="K165" s="208"/>
      <c r="L165" s="208"/>
    </row>
    <row r="166" spans="1:12" ht="15.75">
      <c r="A166" s="213" t="s">
        <v>107</v>
      </c>
      <c r="B166" s="213"/>
      <c r="C166" s="120">
        <v>688591199</v>
      </c>
      <c r="D166" s="126">
        <v>688591199</v>
      </c>
      <c r="E166" s="127">
        <f>H166-437872985.02</f>
        <v>232900382.13</v>
      </c>
      <c r="F166" s="22">
        <f>(E166/D166)*100</f>
        <v>33.82273582180942</v>
      </c>
      <c r="G166" s="101"/>
      <c r="H166" s="141">
        <v>670773367.15</v>
      </c>
      <c r="I166" s="22">
        <f>(H166/D166)*100</f>
        <v>97.4124223667285</v>
      </c>
      <c r="J166" s="211">
        <f t="shared" si="10"/>
        <v>17817831.850000024</v>
      </c>
      <c r="K166" s="212"/>
      <c r="L166" s="212"/>
    </row>
    <row r="167" spans="1:12" ht="15.75">
      <c r="A167" s="213" t="s">
        <v>108</v>
      </c>
      <c r="B167" s="213"/>
      <c r="C167" s="19">
        <v>0</v>
      </c>
      <c r="D167" s="20">
        <v>0</v>
      </c>
      <c r="E167" s="21">
        <f>H167</f>
        <v>0</v>
      </c>
      <c r="F167" s="22">
        <v>0</v>
      </c>
      <c r="G167" s="101"/>
      <c r="H167" s="102">
        <v>0</v>
      </c>
      <c r="I167" s="22">
        <v>0</v>
      </c>
      <c r="J167" s="207">
        <f t="shared" si="10"/>
        <v>0</v>
      </c>
      <c r="K167" s="208"/>
      <c r="L167" s="208"/>
    </row>
    <row r="168" spans="1:12" ht="15.75">
      <c r="A168" s="213" t="s">
        <v>109</v>
      </c>
      <c r="B168" s="213"/>
      <c r="C168" s="120">
        <v>4058273</v>
      </c>
      <c r="D168" s="126">
        <v>4058273</v>
      </c>
      <c r="E168" s="127">
        <f>H168-123545401.29</f>
        <v>19749526.90999998</v>
      </c>
      <c r="F168" s="22">
        <f>(E168/D168)*100</f>
        <v>486.6485549395021</v>
      </c>
      <c r="G168" s="101"/>
      <c r="H168" s="141">
        <v>143294928.2</v>
      </c>
      <c r="I168" s="22">
        <f>(H168/D168)*100</f>
        <v>3530.9336804103614</v>
      </c>
      <c r="J168" s="211">
        <f t="shared" si="10"/>
        <v>-139236655.2</v>
      </c>
      <c r="K168" s="212"/>
      <c r="L168" s="212"/>
    </row>
    <row r="169" spans="1:12" ht="15.75">
      <c r="A169" s="213" t="s">
        <v>41</v>
      </c>
      <c r="B169" s="213"/>
      <c r="C169" s="120">
        <f>SUM(C170:C177)</f>
        <v>121146280</v>
      </c>
      <c r="D169" s="126">
        <f>SUM(D170:D177)</f>
        <v>121146280</v>
      </c>
      <c r="E169" s="127">
        <f>SUM(E170:E177)</f>
        <v>0</v>
      </c>
      <c r="F169" s="22">
        <f>(E169/D169)*100</f>
        <v>0</v>
      </c>
      <c r="G169" s="101"/>
      <c r="H169" s="190">
        <f>SUM(H170:H177)</f>
        <v>5.25</v>
      </c>
      <c r="I169" s="22">
        <f>(H169/D169)*100</f>
        <v>4.33360397034065E-06</v>
      </c>
      <c r="J169" s="205">
        <f t="shared" si="10"/>
        <v>121146274.75</v>
      </c>
      <c r="K169" s="206"/>
      <c r="L169" s="206"/>
    </row>
    <row r="170" spans="1:12" ht="15.75">
      <c r="A170" s="213" t="s">
        <v>100</v>
      </c>
      <c r="B170" s="213"/>
      <c r="C170" s="19">
        <v>0</v>
      </c>
      <c r="D170" s="20">
        <v>0</v>
      </c>
      <c r="E170" s="21">
        <f aca="true" t="shared" si="12" ref="E170:E177">H170</f>
        <v>0</v>
      </c>
      <c r="F170" s="22">
        <v>0</v>
      </c>
      <c r="G170" s="101"/>
      <c r="H170" s="102">
        <v>0</v>
      </c>
      <c r="I170" s="22">
        <v>0</v>
      </c>
      <c r="J170" s="203">
        <f t="shared" si="10"/>
        <v>0</v>
      </c>
      <c r="K170" s="204"/>
      <c r="L170" s="204"/>
    </row>
    <row r="171" spans="1:12" ht="15.75">
      <c r="A171" s="213" t="s">
        <v>101</v>
      </c>
      <c r="B171" s="213"/>
      <c r="C171" s="120">
        <v>121146280</v>
      </c>
      <c r="D171" s="126">
        <v>121146280</v>
      </c>
      <c r="E171" s="127">
        <f>H171-5.25</f>
        <v>0</v>
      </c>
      <c r="F171" s="22">
        <f>(E171/D171)*100</f>
        <v>0</v>
      </c>
      <c r="G171" s="101"/>
      <c r="H171" s="141">
        <v>5.25</v>
      </c>
      <c r="I171" s="22">
        <f>(H171/D171)*100</f>
        <v>4.33360397034065E-06</v>
      </c>
      <c r="J171" s="205">
        <f t="shared" si="10"/>
        <v>121146274.75</v>
      </c>
      <c r="K171" s="206"/>
      <c r="L171" s="206"/>
    </row>
    <row r="172" spans="1:12" ht="15.75">
      <c r="A172" s="213" t="s">
        <v>102</v>
      </c>
      <c r="B172" s="213"/>
      <c r="C172" s="19">
        <v>0</v>
      </c>
      <c r="D172" s="20">
        <v>0</v>
      </c>
      <c r="E172" s="21">
        <f t="shared" si="12"/>
        <v>0</v>
      </c>
      <c r="F172" s="22">
        <v>0</v>
      </c>
      <c r="G172" s="101"/>
      <c r="H172" s="102">
        <v>0</v>
      </c>
      <c r="I172" s="22">
        <v>0</v>
      </c>
      <c r="J172" s="203">
        <f t="shared" si="10"/>
        <v>0</v>
      </c>
      <c r="K172" s="204"/>
      <c r="L172" s="204"/>
    </row>
    <row r="173" spans="1:12" ht="15.75">
      <c r="A173" s="213" t="s">
        <v>42</v>
      </c>
      <c r="B173" s="213"/>
      <c r="C173" s="19">
        <v>0</v>
      </c>
      <c r="D173" s="20">
        <v>0</v>
      </c>
      <c r="E173" s="21">
        <f t="shared" si="12"/>
        <v>0</v>
      </c>
      <c r="F173" s="22">
        <v>0</v>
      </c>
      <c r="G173" s="101"/>
      <c r="H173" s="102">
        <v>0</v>
      </c>
      <c r="I173" s="22">
        <v>0</v>
      </c>
      <c r="J173" s="203">
        <f t="shared" si="10"/>
        <v>0</v>
      </c>
      <c r="K173" s="204"/>
      <c r="L173" s="204"/>
    </row>
    <row r="174" spans="1:12" ht="15.75">
      <c r="A174" s="213" t="s">
        <v>85</v>
      </c>
      <c r="B174" s="213"/>
      <c r="C174" s="19">
        <v>0</v>
      </c>
      <c r="D174" s="20">
        <v>0</v>
      </c>
      <c r="E174" s="21">
        <f t="shared" si="12"/>
        <v>0</v>
      </c>
      <c r="F174" s="22">
        <v>0</v>
      </c>
      <c r="G174" s="101"/>
      <c r="H174" s="102">
        <v>0</v>
      </c>
      <c r="I174" s="22">
        <v>0</v>
      </c>
      <c r="J174" s="203">
        <f aca="true" t="shared" si="13" ref="J174:J205">D174-H174</f>
        <v>0</v>
      </c>
      <c r="K174" s="204"/>
      <c r="L174" s="204"/>
    </row>
    <row r="175" spans="1:12" ht="15.75">
      <c r="A175" s="213" t="s">
        <v>43</v>
      </c>
      <c r="B175" s="213"/>
      <c r="C175" s="19">
        <v>0</v>
      </c>
      <c r="D175" s="20">
        <v>0</v>
      </c>
      <c r="E175" s="21">
        <f t="shared" si="12"/>
        <v>0</v>
      </c>
      <c r="F175" s="22">
        <v>0</v>
      </c>
      <c r="G175" s="101"/>
      <c r="H175" s="102">
        <v>0</v>
      </c>
      <c r="I175" s="22">
        <v>0</v>
      </c>
      <c r="J175" s="207">
        <f t="shared" si="13"/>
        <v>0</v>
      </c>
      <c r="K175" s="208"/>
      <c r="L175" s="208"/>
    </row>
    <row r="176" spans="1:12" ht="15.75">
      <c r="A176" s="213" t="s">
        <v>103</v>
      </c>
      <c r="B176" s="213"/>
      <c r="C176" s="19">
        <v>0</v>
      </c>
      <c r="D176" s="20">
        <v>0</v>
      </c>
      <c r="E176" s="21">
        <f t="shared" si="12"/>
        <v>0</v>
      </c>
      <c r="F176" s="22">
        <v>0</v>
      </c>
      <c r="G176" s="101"/>
      <c r="H176" s="102">
        <v>0</v>
      </c>
      <c r="I176" s="22">
        <v>0</v>
      </c>
      <c r="J176" s="207">
        <f t="shared" si="13"/>
        <v>0</v>
      </c>
      <c r="K176" s="208"/>
      <c r="L176" s="208"/>
    </row>
    <row r="177" spans="1:12" ht="15.75">
      <c r="A177" s="213" t="s">
        <v>104</v>
      </c>
      <c r="B177" s="213"/>
      <c r="C177" s="19">
        <v>0</v>
      </c>
      <c r="D177" s="20">
        <v>0</v>
      </c>
      <c r="E177" s="21">
        <f t="shared" si="12"/>
        <v>0</v>
      </c>
      <c r="F177" s="22">
        <v>0</v>
      </c>
      <c r="G177" s="101"/>
      <c r="H177" s="102">
        <v>0</v>
      </c>
      <c r="I177" s="22">
        <v>0</v>
      </c>
      <c r="J177" s="207">
        <f t="shared" si="13"/>
        <v>0</v>
      </c>
      <c r="K177" s="208"/>
      <c r="L177" s="208"/>
    </row>
    <row r="178" spans="1:12" ht="15.75">
      <c r="A178" s="213" t="s">
        <v>44</v>
      </c>
      <c r="B178" s="213"/>
      <c r="C178" s="120">
        <f>SUM(C179:C182)</f>
        <v>954408922</v>
      </c>
      <c r="D178" s="126">
        <f>SUM(D179:D182)</f>
        <v>992289160.86</v>
      </c>
      <c r="E178" s="127">
        <f>SUM(E179:E182)</f>
        <v>386187507.6999999</v>
      </c>
      <c r="F178" s="22">
        <f>(E178/D178)*100</f>
        <v>38.91884774447177</v>
      </c>
      <c r="G178" s="105"/>
      <c r="H178" s="144">
        <f>SUM(H179:H182)</f>
        <v>2237276085.9900002</v>
      </c>
      <c r="I178" s="22">
        <f>(H178/D178)*100</f>
        <v>225.4661417495472</v>
      </c>
      <c r="J178" s="205">
        <f t="shared" si="13"/>
        <v>-1244986925.13</v>
      </c>
      <c r="K178" s="206"/>
      <c r="L178" s="206"/>
    </row>
    <row r="179" spans="1:12" ht="15.75">
      <c r="A179" s="213" t="s">
        <v>96</v>
      </c>
      <c r="B179" s="213"/>
      <c r="C179" s="19">
        <v>0</v>
      </c>
      <c r="D179" s="20">
        <v>0</v>
      </c>
      <c r="E179" s="127">
        <f>H179-2176215.62</f>
        <v>257732.2999999998</v>
      </c>
      <c r="F179" s="22">
        <v>0</v>
      </c>
      <c r="G179" s="101"/>
      <c r="H179" s="151">
        <v>2433947.92</v>
      </c>
      <c r="I179" s="22">
        <v>0</v>
      </c>
      <c r="J179" s="205">
        <f t="shared" si="13"/>
        <v>-2433947.92</v>
      </c>
      <c r="K179" s="206"/>
      <c r="L179" s="206"/>
    </row>
    <row r="180" spans="1:12" ht="15.75">
      <c r="A180" s="213" t="s">
        <v>97</v>
      </c>
      <c r="B180" s="213"/>
      <c r="C180" s="120">
        <v>898097941</v>
      </c>
      <c r="D180" s="126">
        <v>935978179.86</v>
      </c>
      <c r="E180" s="127">
        <f>H180-1769664966.9</f>
        <v>385876066.8699999</v>
      </c>
      <c r="F180" s="22">
        <f>(E180/D180)*100</f>
        <v>41.22703660973354</v>
      </c>
      <c r="G180" s="105"/>
      <c r="H180" s="144">
        <v>2155541033.77</v>
      </c>
      <c r="I180" s="22">
        <f>(H180/D180)*100</f>
        <v>230.29821422679078</v>
      </c>
      <c r="J180" s="205">
        <f t="shared" si="13"/>
        <v>-1219562853.9099998</v>
      </c>
      <c r="K180" s="206"/>
      <c r="L180" s="206"/>
    </row>
    <row r="181" spans="1:12" ht="15.75">
      <c r="A181" s="213" t="s">
        <v>98</v>
      </c>
      <c r="B181" s="213"/>
      <c r="C181" s="19">
        <v>0</v>
      </c>
      <c r="D181" s="25">
        <v>0</v>
      </c>
      <c r="E181" s="21">
        <f>H181</f>
        <v>0</v>
      </c>
      <c r="F181" s="22">
        <v>0</v>
      </c>
      <c r="G181" s="101"/>
      <c r="H181" s="102">
        <v>0</v>
      </c>
      <c r="I181" s="22">
        <v>0</v>
      </c>
      <c r="J181" s="203">
        <f t="shared" si="13"/>
        <v>0</v>
      </c>
      <c r="K181" s="204"/>
      <c r="L181" s="204"/>
    </row>
    <row r="182" spans="1:12" ht="15" customHeight="1">
      <c r="A182" s="213" t="s">
        <v>99</v>
      </c>
      <c r="B182" s="213"/>
      <c r="C182" s="120">
        <v>56310981</v>
      </c>
      <c r="D182" s="120">
        <v>56310981</v>
      </c>
      <c r="E182" s="21">
        <f>H182-79247395.77</f>
        <v>53708.53000000119</v>
      </c>
      <c r="F182" s="22">
        <f>(E182/D182)*100</f>
        <v>0.09537843071851508</v>
      </c>
      <c r="G182" s="101"/>
      <c r="H182" s="141">
        <v>79301104.3</v>
      </c>
      <c r="I182" s="22">
        <f>(H182/D182)*100</f>
        <v>140.82706941298002</v>
      </c>
      <c r="J182" s="205">
        <f t="shared" si="13"/>
        <v>-22990123.299999997</v>
      </c>
      <c r="K182" s="206"/>
      <c r="L182" s="206"/>
    </row>
    <row r="183" spans="1:12" ht="15.75">
      <c r="A183" s="247" t="s">
        <v>45</v>
      </c>
      <c r="B183" s="247"/>
      <c r="C183" s="16">
        <f>C184+C187+C191+C192+C201</f>
        <v>0</v>
      </c>
      <c r="D183" s="125">
        <f>D184+D187+D191+D192+D201</f>
        <v>443854.05</v>
      </c>
      <c r="E183" s="123">
        <f>E184+E187+E191+E192+E201</f>
        <v>20089.139999999985</v>
      </c>
      <c r="F183" s="17">
        <v>0</v>
      </c>
      <c r="G183" s="104"/>
      <c r="H183" s="191">
        <f>H184+H187+H191+H192+H201</f>
        <v>242950.61</v>
      </c>
      <c r="I183" s="17">
        <f>(H183/D183)*100</f>
        <v>54.736598663457045</v>
      </c>
      <c r="J183" s="245">
        <f t="shared" si="13"/>
        <v>200903.44</v>
      </c>
      <c r="K183" s="246"/>
      <c r="L183" s="246"/>
    </row>
    <row r="184" spans="1:12" ht="15.75">
      <c r="A184" s="213" t="s">
        <v>46</v>
      </c>
      <c r="B184" s="213"/>
      <c r="C184" s="19">
        <f>C185+C186</f>
        <v>0</v>
      </c>
      <c r="D184" s="20">
        <f>D185+D186</f>
        <v>0</v>
      </c>
      <c r="E184" s="21">
        <f>E185+E186</f>
        <v>0</v>
      </c>
      <c r="F184" s="22">
        <v>0</v>
      </c>
      <c r="G184" s="101"/>
      <c r="H184" s="102">
        <f>H185+H186</f>
        <v>0</v>
      </c>
      <c r="I184" s="22">
        <v>0</v>
      </c>
      <c r="J184" s="203">
        <f t="shared" si="13"/>
        <v>0</v>
      </c>
      <c r="K184" s="204"/>
      <c r="L184" s="204"/>
    </row>
    <row r="185" spans="1:12" ht="15.75">
      <c r="A185" s="213" t="s">
        <v>119</v>
      </c>
      <c r="B185" s="213"/>
      <c r="C185" s="19">
        <v>0</v>
      </c>
      <c r="D185" s="20">
        <v>0</v>
      </c>
      <c r="E185" s="21">
        <f>H185</f>
        <v>0</v>
      </c>
      <c r="F185" s="22">
        <v>0</v>
      </c>
      <c r="G185" s="101"/>
      <c r="H185" s="102">
        <v>0</v>
      </c>
      <c r="I185" s="22">
        <v>0</v>
      </c>
      <c r="J185" s="203">
        <f t="shared" si="13"/>
        <v>0</v>
      </c>
      <c r="K185" s="204"/>
      <c r="L185" s="204"/>
    </row>
    <row r="186" spans="1:12" ht="15.75">
      <c r="A186" s="213" t="s">
        <v>120</v>
      </c>
      <c r="B186" s="213"/>
      <c r="C186" s="19">
        <v>0</v>
      </c>
      <c r="D186" s="20">
        <v>0</v>
      </c>
      <c r="E186" s="21">
        <f>H186</f>
        <v>0</v>
      </c>
      <c r="F186" s="22">
        <v>0</v>
      </c>
      <c r="G186" s="101"/>
      <c r="H186" s="102">
        <v>0</v>
      </c>
      <c r="I186" s="22">
        <v>0</v>
      </c>
      <c r="J186" s="203">
        <f t="shared" si="13"/>
        <v>0</v>
      </c>
      <c r="K186" s="204"/>
      <c r="L186" s="204"/>
    </row>
    <row r="187" spans="1:12" ht="15.75">
      <c r="A187" s="213" t="s">
        <v>47</v>
      </c>
      <c r="B187" s="213"/>
      <c r="C187" s="19">
        <f>C188+C189+C190</f>
        <v>0</v>
      </c>
      <c r="D187" s="20">
        <f>D188+D189+D190</f>
        <v>0</v>
      </c>
      <c r="E187" s="21">
        <f>E188+E189+E190</f>
        <v>0</v>
      </c>
      <c r="F187" s="22">
        <v>0</v>
      </c>
      <c r="G187" s="101"/>
      <c r="H187" s="102">
        <f>SUM(H188:H190)</f>
        <v>0</v>
      </c>
      <c r="I187" s="22">
        <v>0</v>
      </c>
      <c r="J187" s="203">
        <f t="shared" si="13"/>
        <v>0</v>
      </c>
      <c r="K187" s="204"/>
      <c r="L187" s="204"/>
    </row>
    <row r="188" spans="1:12" ht="15.75">
      <c r="A188" s="213" t="s">
        <v>48</v>
      </c>
      <c r="B188" s="213"/>
      <c r="C188" s="19">
        <v>0</v>
      </c>
      <c r="D188" s="20">
        <v>0</v>
      </c>
      <c r="E188" s="21">
        <f>H188</f>
        <v>0</v>
      </c>
      <c r="F188" s="22">
        <v>0</v>
      </c>
      <c r="G188" s="101"/>
      <c r="H188" s="102">
        <v>0</v>
      </c>
      <c r="I188" s="22">
        <v>0</v>
      </c>
      <c r="J188" s="203">
        <f t="shared" si="13"/>
        <v>0</v>
      </c>
      <c r="K188" s="204"/>
      <c r="L188" s="204"/>
    </row>
    <row r="189" spans="1:12" ht="15.75">
      <c r="A189" s="213" t="s">
        <v>49</v>
      </c>
      <c r="B189" s="213"/>
      <c r="C189" s="19">
        <v>0</v>
      </c>
      <c r="D189" s="20">
        <v>0</v>
      </c>
      <c r="E189" s="21">
        <f>H189</f>
        <v>0</v>
      </c>
      <c r="F189" s="22">
        <v>0</v>
      </c>
      <c r="G189" s="101"/>
      <c r="H189" s="102">
        <v>0</v>
      </c>
      <c r="I189" s="22">
        <v>0</v>
      </c>
      <c r="J189" s="203">
        <f t="shared" si="13"/>
        <v>0</v>
      </c>
      <c r="K189" s="204"/>
      <c r="L189" s="204"/>
    </row>
    <row r="190" spans="1:12" ht="15.75">
      <c r="A190" s="213" t="s">
        <v>121</v>
      </c>
      <c r="B190" s="213"/>
      <c r="C190" s="19">
        <v>0</v>
      </c>
      <c r="D190" s="20">
        <v>0</v>
      </c>
      <c r="E190" s="21">
        <f>H190</f>
        <v>0</v>
      </c>
      <c r="F190" s="22">
        <v>0</v>
      </c>
      <c r="G190" s="101"/>
      <c r="H190" s="102">
        <v>0</v>
      </c>
      <c r="I190" s="22">
        <v>0</v>
      </c>
      <c r="J190" s="207">
        <f t="shared" si="13"/>
        <v>0</v>
      </c>
      <c r="K190" s="208"/>
      <c r="L190" s="208"/>
    </row>
    <row r="191" spans="1:12" ht="15.75">
      <c r="A191" s="213" t="s">
        <v>50</v>
      </c>
      <c r="B191" s="213"/>
      <c r="C191" s="19">
        <v>0</v>
      </c>
      <c r="D191" s="126">
        <v>443854.05</v>
      </c>
      <c r="E191" s="127">
        <f>H191-222861.47</f>
        <v>20089.139999999985</v>
      </c>
      <c r="F191" s="22">
        <v>0</v>
      </c>
      <c r="G191" s="101"/>
      <c r="H191" s="141">
        <v>242950.61</v>
      </c>
      <c r="I191" s="22">
        <f>(H191/D191)*100</f>
        <v>54.736598663457045</v>
      </c>
      <c r="J191" s="205">
        <f t="shared" si="13"/>
        <v>200903.44</v>
      </c>
      <c r="K191" s="206"/>
      <c r="L191" s="206"/>
    </row>
    <row r="192" spans="1:12" ht="15.75">
      <c r="A192" s="213" t="s">
        <v>51</v>
      </c>
      <c r="B192" s="213"/>
      <c r="C192" s="19">
        <f>SUM(C193:C200)</f>
        <v>0</v>
      </c>
      <c r="D192" s="19">
        <f>SUM(D193:D200)</f>
        <v>0</v>
      </c>
      <c r="E192" s="21">
        <f>SUM(E193:E200)</f>
        <v>0</v>
      </c>
      <c r="F192" s="22">
        <v>0</v>
      </c>
      <c r="G192" s="101"/>
      <c r="H192" s="102">
        <f>SUM(H193:H200)</f>
        <v>0</v>
      </c>
      <c r="I192" s="22">
        <v>0</v>
      </c>
      <c r="J192" s="203">
        <f t="shared" si="13"/>
        <v>0</v>
      </c>
      <c r="K192" s="204"/>
      <c r="L192" s="204"/>
    </row>
    <row r="193" spans="1:12" ht="15.75">
      <c r="A193" s="213" t="s">
        <v>100</v>
      </c>
      <c r="B193" s="213"/>
      <c r="C193" s="19">
        <v>0</v>
      </c>
      <c r="D193" s="20">
        <v>0</v>
      </c>
      <c r="E193" s="21">
        <f>H193</f>
        <v>0</v>
      </c>
      <c r="F193" s="22">
        <v>0</v>
      </c>
      <c r="G193" s="101"/>
      <c r="H193" s="102">
        <v>0</v>
      </c>
      <c r="I193" s="22">
        <v>0</v>
      </c>
      <c r="J193" s="203">
        <f t="shared" si="13"/>
        <v>0</v>
      </c>
      <c r="K193" s="204"/>
      <c r="L193" s="204"/>
    </row>
    <row r="194" spans="1:12" ht="15.75">
      <c r="A194" s="213" t="s">
        <v>101</v>
      </c>
      <c r="B194" s="213"/>
      <c r="C194" s="19">
        <v>0</v>
      </c>
      <c r="D194" s="20">
        <v>0</v>
      </c>
      <c r="E194" s="21">
        <f>H194-0</f>
        <v>0</v>
      </c>
      <c r="F194" s="22">
        <v>0</v>
      </c>
      <c r="G194" s="101"/>
      <c r="H194" s="102">
        <v>0</v>
      </c>
      <c r="I194" s="22">
        <v>0</v>
      </c>
      <c r="J194" s="203">
        <f t="shared" si="13"/>
        <v>0</v>
      </c>
      <c r="K194" s="204"/>
      <c r="L194" s="204"/>
    </row>
    <row r="195" spans="1:12" ht="15.75">
      <c r="A195" s="213" t="s">
        <v>102</v>
      </c>
      <c r="B195" s="213"/>
      <c r="C195" s="19">
        <v>0</v>
      </c>
      <c r="D195" s="20">
        <v>0</v>
      </c>
      <c r="E195" s="21">
        <f aca="true" t="shared" si="14" ref="E195:E200">H195</f>
        <v>0</v>
      </c>
      <c r="F195" s="22">
        <v>0</v>
      </c>
      <c r="G195" s="101"/>
      <c r="H195" s="102">
        <v>0</v>
      </c>
      <c r="I195" s="22">
        <v>0</v>
      </c>
      <c r="J195" s="203">
        <f t="shared" si="13"/>
        <v>0</v>
      </c>
      <c r="K195" s="204"/>
      <c r="L195" s="204"/>
    </row>
    <row r="196" spans="1:12" ht="15.75">
      <c r="A196" s="213" t="s">
        <v>42</v>
      </c>
      <c r="B196" s="213"/>
      <c r="C196" s="19">
        <v>0</v>
      </c>
      <c r="D196" s="20">
        <v>0</v>
      </c>
      <c r="E196" s="21">
        <f t="shared" si="14"/>
        <v>0</v>
      </c>
      <c r="F196" s="22">
        <v>0</v>
      </c>
      <c r="G196" s="101"/>
      <c r="H196" s="102">
        <v>0</v>
      </c>
      <c r="I196" s="22">
        <v>0</v>
      </c>
      <c r="J196" s="203">
        <f t="shared" si="13"/>
        <v>0</v>
      </c>
      <c r="K196" s="204"/>
      <c r="L196" s="204"/>
    </row>
    <row r="197" spans="1:12" ht="15.75">
      <c r="A197" s="213" t="s">
        <v>85</v>
      </c>
      <c r="B197" s="213"/>
      <c r="C197" s="19">
        <v>0</v>
      </c>
      <c r="D197" s="20">
        <v>0</v>
      </c>
      <c r="E197" s="21">
        <f t="shared" si="14"/>
        <v>0</v>
      </c>
      <c r="F197" s="22">
        <v>0</v>
      </c>
      <c r="G197" s="101"/>
      <c r="H197" s="102">
        <v>0</v>
      </c>
      <c r="I197" s="22">
        <v>0</v>
      </c>
      <c r="J197" s="203">
        <f t="shared" si="13"/>
        <v>0</v>
      </c>
      <c r="K197" s="204"/>
      <c r="L197" s="204"/>
    </row>
    <row r="198" spans="1:12" ht="15.75">
      <c r="A198" s="213" t="s">
        <v>43</v>
      </c>
      <c r="B198" s="213"/>
      <c r="C198" s="19">
        <v>0</v>
      </c>
      <c r="D198" s="20">
        <v>0</v>
      </c>
      <c r="E198" s="21">
        <f t="shared" si="14"/>
        <v>0</v>
      </c>
      <c r="F198" s="22">
        <v>0</v>
      </c>
      <c r="G198" s="101"/>
      <c r="H198" s="102">
        <v>0</v>
      </c>
      <c r="I198" s="22">
        <v>0</v>
      </c>
      <c r="J198" s="203">
        <f t="shared" si="13"/>
        <v>0</v>
      </c>
      <c r="K198" s="204"/>
      <c r="L198" s="204"/>
    </row>
    <row r="199" spans="1:12" ht="15.75">
      <c r="A199" s="213" t="s">
        <v>103</v>
      </c>
      <c r="B199" s="213"/>
      <c r="C199" s="19">
        <v>0</v>
      </c>
      <c r="D199" s="20">
        <v>0</v>
      </c>
      <c r="E199" s="21">
        <f t="shared" si="14"/>
        <v>0</v>
      </c>
      <c r="F199" s="22">
        <v>0</v>
      </c>
      <c r="G199" s="101"/>
      <c r="H199" s="102">
        <v>0</v>
      </c>
      <c r="I199" s="22">
        <v>0</v>
      </c>
      <c r="J199" s="207">
        <f t="shared" si="13"/>
        <v>0</v>
      </c>
      <c r="K199" s="208"/>
      <c r="L199" s="208"/>
    </row>
    <row r="200" spans="1:12" ht="15.75">
      <c r="A200" s="213" t="s">
        <v>104</v>
      </c>
      <c r="B200" s="213"/>
      <c r="C200" s="19">
        <v>0</v>
      </c>
      <c r="D200" s="20">
        <v>0</v>
      </c>
      <c r="E200" s="21">
        <f t="shared" si="14"/>
        <v>0</v>
      </c>
      <c r="F200" s="22">
        <v>0</v>
      </c>
      <c r="G200" s="101"/>
      <c r="H200" s="102">
        <v>0</v>
      </c>
      <c r="I200" s="22">
        <v>0</v>
      </c>
      <c r="J200" s="207">
        <f t="shared" si="13"/>
        <v>0</v>
      </c>
      <c r="K200" s="208"/>
      <c r="L200" s="208"/>
    </row>
    <row r="201" spans="1:12" ht="15.75">
      <c r="A201" s="214" t="s">
        <v>52</v>
      </c>
      <c r="B201" s="213"/>
      <c r="C201" s="19">
        <f>SUM(C202:C205)</f>
        <v>0</v>
      </c>
      <c r="D201" s="20">
        <f>SUM(D202:D205)</f>
        <v>0</v>
      </c>
      <c r="E201" s="21">
        <f>SUM(E202:E205)</f>
        <v>0</v>
      </c>
      <c r="F201" s="22">
        <v>0</v>
      </c>
      <c r="G201" s="101"/>
      <c r="H201" s="102">
        <f>SUM(H202:H205)</f>
        <v>0</v>
      </c>
      <c r="I201" s="22">
        <v>0</v>
      </c>
      <c r="J201" s="203">
        <f t="shared" si="13"/>
        <v>0</v>
      </c>
      <c r="K201" s="204"/>
      <c r="L201" s="204"/>
    </row>
    <row r="202" spans="1:12" ht="15.75">
      <c r="A202" s="213" t="s">
        <v>122</v>
      </c>
      <c r="B202" s="213"/>
      <c r="C202" s="19">
        <v>0</v>
      </c>
      <c r="D202" s="20">
        <v>0</v>
      </c>
      <c r="E202" s="21">
        <f>H202-0</f>
        <v>0</v>
      </c>
      <c r="F202" s="22">
        <v>0</v>
      </c>
      <c r="G202" s="101"/>
      <c r="H202" s="102">
        <v>0</v>
      </c>
      <c r="I202" s="22">
        <v>0</v>
      </c>
      <c r="J202" s="203">
        <f t="shared" si="13"/>
        <v>0</v>
      </c>
      <c r="K202" s="204"/>
      <c r="L202" s="204"/>
    </row>
    <row r="203" spans="1:12" ht="15.75">
      <c r="A203" s="213" t="s">
        <v>123</v>
      </c>
      <c r="B203" s="213"/>
      <c r="C203" s="19">
        <v>0</v>
      </c>
      <c r="D203" s="20">
        <v>0</v>
      </c>
      <c r="E203" s="21">
        <f>H203</f>
        <v>0</v>
      </c>
      <c r="F203" s="22">
        <v>0</v>
      </c>
      <c r="G203" s="101"/>
      <c r="H203" s="102">
        <v>0</v>
      </c>
      <c r="I203" s="22">
        <v>0</v>
      </c>
      <c r="J203" s="203">
        <f t="shared" si="13"/>
        <v>0</v>
      </c>
      <c r="K203" s="204"/>
      <c r="L203" s="204"/>
    </row>
    <row r="204" spans="1:12" ht="15.75">
      <c r="A204" s="213" t="s">
        <v>124</v>
      </c>
      <c r="B204" s="213"/>
      <c r="C204" s="19">
        <v>0</v>
      </c>
      <c r="D204" s="20">
        <v>0</v>
      </c>
      <c r="E204" s="21">
        <f>H204</f>
        <v>0</v>
      </c>
      <c r="F204" s="22">
        <v>0</v>
      </c>
      <c r="G204" s="101"/>
      <c r="H204" s="102">
        <v>0</v>
      </c>
      <c r="I204" s="22">
        <v>0</v>
      </c>
      <c r="J204" s="203">
        <f t="shared" si="13"/>
        <v>0</v>
      </c>
      <c r="K204" s="204"/>
      <c r="L204" s="204"/>
    </row>
    <row r="205" spans="1:12" ht="15.75">
      <c r="A205" s="221" t="s">
        <v>125</v>
      </c>
      <c r="B205" s="221"/>
      <c r="C205" s="63">
        <v>0</v>
      </c>
      <c r="D205" s="29">
        <v>0</v>
      </c>
      <c r="E205" s="28">
        <f>H205</f>
        <v>0</v>
      </c>
      <c r="F205" s="30">
        <v>0</v>
      </c>
      <c r="G205" s="112"/>
      <c r="H205" s="113">
        <v>0</v>
      </c>
      <c r="I205" s="30">
        <v>0</v>
      </c>
      <c r="J205" s="219">
        <f t="shared" si="13"/>
        <v>0</v>
      </c>
      <c r="K205" s="220"/>
      <c r="L205" s="220"/>
    </row>
    <row r="206" spans="1:12" ht="15.75" customHeight="1">
      <c r="A206" s="49"/>
      <c r="B206" s="50"/>
      <c r="C206" s="50"/>
      <c r="D206" s="51"/>
      <c r="E206" s="80"/>
      <c r="F206" s="50"/>
      <c r="G206" s="80"/>
      <c r="H206" s="227"/>
      <c r="I206" s="227"/>
      <c r="J206" s="53"/>
      <c r="K206" s="227"/>
      <c r="L206" s="227"/>
    </row>
    <row r="207" spans="1:12" ht="21.75" customHeight="1">
      <c r="A207" s="222" t="s">
        <v>18</v>
      </c>
      <c r="B207" s="81" t="s">
        <v>15</v>
      </c>
      <c r="C207" s="81" t="s">
        <v>15</v>
      </c>
      <c r="D207" s="225" t="s">
        <v>16</v>
      </c>
      <c r="E207" s="226"/>
      <c r="F207" s="209" t="s">
        <v>69</v>
      </c>
      <c r="G207" s="225" t="s">
        <v>17</v>
      </c>
      <c r="H207" s="303"/>
      <c r="I207" s="209" t="s">
        <v>69</v>
      </c>
      <c r="J207" s="236" t="s">
        <v>74</v>
      </c>
      <c r="K207" s="228" t="s">
        <v>135</v>
      </c>
      <c r="L207" s="229"/>
    </row>
    <row r="208" spans="1:12" ht="18" customHeight="1">
      <c r="A208" s="223"/>
      <c r="B208" s="82" t="s">
        <v>5</v>
      </c>
      <c r="C208" s="82" t="s">
        <v>6</v>
      </c>
      <c r="D208" s="83" t="s">
        <v>75</v>
      </c>
      <c r="E208" s="83" t="s">
        <v>76</v>
      </c>
      <c r="F208" s="210"/>
      <c r="G208" s="83" t="s">
        <v>75</v>
      </c>
      <c r="H208" s="304" t="s">
        <v>134</v>
      </c>
      <c r="I208" s="210"/>
      <c r="J208" s="237"/>
      <c r="K208" s="230"/>
      <c r="L208" s="231"/>
    </row>
    <row r="209" spans="1:12" ht="14.25" customHeight="1">
      <c r="A209" s="223"/>
      <c r="B209" s="82"/>
      <c r="C209" s="82"/>
      <c r="D209" s="84" t="s">
        <v>77</v>
      </c>
      <c r="E209" s="84" t="s">
        <v>77</v>
      </c>
      <c r="F209" s="210"/>
      <c r="G209" s="84" t="s">
        <v>77</v>
      </c>
      <c r="H209" s="305"/>
      <c r="I209" s="210"/>
      <c r="J209" s="237"/>
      <c r="K209" s="230"/>
      <c r="L209" s="231"/>
    </row>
    <row r="210" spans="1:12" ht="42" customHeight="1">
      <c r="A210" s="224"/>
      <c r="B210" s="85" t="s">
        <v>19</v>
      </c>
      <c r="C210" s="85" t="s">
        <v>20</v>
      </c>
      <c r="D210" s="85"/>
      <c r="E210" s="85" t="s">
        <v>78</v>
      </c>
      <c r="F210" s="86" t="s">
        <v>79</v>
      </c>
      <c r="G210" s="85"/>
      <c r="H210" s="85" t="s">
        <v>21</v>
      </c>
      <c r="I210" s="100" t="s">
        <v>80</v>
      </c>
      <c r="J210" s="85" t="s">
        <v>22</v>
      </c>
      <c r="K210" s="232"/>
      <c r="L210" s="233"/>
    </row>
    <row r="211" spans="1:12" s="3" customFormat="1" ht="15.75">
      <c r="A211" s="175" t="s">
        <v>65</v>
      </c>
      <c r="B211" s="149">
        <f>B212+B216</f>
        <v>4805674768</v>
      </c>
      <c r="C211" s="149">
        <f>C212+C216</f>
        <v>6323405147.31</v>
      </c>
      <c r="D211" s="149">
        <f>D212+D216</f>
        <v>884646411.1099998</v>
      </c>
      <c r="E211" s="149">
        <f>E212+E216</f>
        <v>5894102944.150001</v>
      </c>
      <c r="F211" s="149">
        <f>C211-E211</f>
        <v>429302203.15999985</v>
      </c>
      <c r="G211" s="149">
        <f>G212+G216</f>
        <v>1196544126.36</v>
      </c>
      <c r="H211" s="154">
        <f>H212+H216</f>
        <v>5869535589.490001</v>
      </c>
      <c r="I211" s="158">
        <f aca="true" t="shared" si="15" ref="I211:I219">C211-H211</f>
        <v>453869557.8199997</v>
      </c>
      <c r="J211" s="125">
        <f>J212+J216</f>
        <v>5415403100.489999</v>
      </c>
      <c r="K211" s="217">
        <f>K212+K216</f>
        <v>24567354.659999847</v>
      </c>
      <c r="L211" s="218"/>
    </row>
    <row r="212" spans="1:12" s="3" customFormat="1" ht="15.75">
      <c r="A212" s="175" t="s">
        <v>56</v>
      </c>
      <c r="B212" s="149">
        <f>SUM(B213:B215)</f>
        <v>4804755340</v>
      </c>
      <c r="C212" s="149">
        <f>SUM(C213:C215)</f>
        <v>6322298482.530001</v>
      </c>
      <c r="D212" s="149">
        <f>SUM(D213:D215)</f>
        <v>884616420.2399998</v>
      </c>
      <c r="E212" s="149">
        <f>SUM(E213:E215)</f>
        <v>5893855083.76</v>
      </c>
      <c r="F212" s="149">
        <f aca="true" t="shared" si="16" ref="F212:F219">C212-E212</f>
        <v>428443398.77000046</v>
      </c>
      <c r="G212" s="149">
        <f>SUM(G213:G215)</f>
        <v>1196514135.49</v>
      </c>
      <c r="H212" s="155">
        <f>SUM(H213:H215)</f>
        <v>5869287729.1</v>
      </c>
      <c r="I212" s="145">
        <f t="shared" si="15"/>
        <v>453010753.4300003</v>
      </c>
      <c r="J212" s="125">
        <f>SUM(J213:J215)</f>
        <v>5415160149.879999</v>
      </c>
      <c r="K212" s="217">
        <f>SUM(K213:L215)</f>
        <v>24567354.659999847</v>
      </c>
      <c r="L212" s="218"/>
    </row>
    <row r="213" spans="1:12" s="3" customFormat="1" ht="15.75" customHeight="1">
      <c r="A213" s="176" t="s">
        <v>57</v>
      </c>
      <c r="B213" s="147">
        <v>3017794261</v>
      </c>
      <c r="C213" s="147">
        <v>2899994378.32</v>
      </c>
      <c r="D213" s="147">
        <f>E213-2387399600.3</f>
        <v>363502750.10999966</v>
      </c>
      <c r="E213" s="147">
        <v>2750902350.41</v>
      </c>
      <c r="F213" s="147">
        <f t="shared" si="16"/>
        <v>149092027.91000032</v>
      </c>
      <c r="G213" s="147">
        <f>H213-2124974721.97</f>
        <v>616763655.95</v>
      </c>
      <c r="H213" s="156">
        <v>2741738377.92</v>
      </c>
      <c r="I213" s="144">
        <f t="shared" si="15"/>
        <v>158256000.4000001</v>
      </c>
      <c r="J213" s="126">
        <v>2463781369.99</v>
      </c>
      <c r="K213" s="211">
        <f>E213-H213</f>
        <v>9163972.489999771</v>
      </c>
      <c r="L213" s="212"/>
    </row>
    <row r="214" spans="1:12" s="3" customFormat="1" ht="15.75" customHeight="1">
      <c r="A214" s="181" t="s">
        <v>132</v>
      </c>
      <c r="B214" s="40">
        <v>0</v>
      </c>
      <c r="C214" s="40">
        <v>0</v>
      </c>
      <c r="D214" s="40">
        <v>0</v>
      </c>
      <c r="E214" s="40">
        <v>0</v>
      </c>
      <c r="F214" s="40">
        <f t="shared" si="16"/>
        <v>0</v>
      </c>
      <c r="G214" s="40">
        <v>0</v>
      </c>
      <c r="H214" s="98">
        <v>0</v>
      </c>
      <c r="I214" s="95">
        <f t="shared" si="15"/>
        <v>0</v>
      </c>
      <c r="J214" s="20">
        <v>0</v>
      </c>
      <c r="K214" s="207">
        <f>E214-H214</f>
        <v>0</v>
      </c>
      <c r="L214" s="208"/>
    </row>
    <row r="215" spans="1:12" s="3" customFormat="1" ht="15.75" customHeight="1">
      <c r="A215" s="176" t="s">
        <v>59</v>
      </c>
      <c r="B215" s="147">
        <v>1786961079</v>
      </c>
      <c r="C215" s="147">
        <v>3422304104.21</v>
      </c>
      <c r="D215" s="147">
        <f>E215-2621839063.22</f>
        <v>521113670.1300001</v>
      </c>
      <c r="E215" s="147">
        <v>3142952733.35</v>
      </c>
      <c r="F215" s="147">
        <f t="shared" si="16"/>
        <v>279351370.86000013</v>
      </c>
      <c r="G215" s="147">
        <f>H215-2547798871.64</f>
        <v>579750479.54</v>
      </c>
      <c r="H215" s="156">
        <v>3127549351.18</v>
      </c>
      <c r="I215" s="144">
        <f t="shared" si="15"/>
        <v>294754753.0300002</v>
      </c>
      <c r="J215" s="126">
        <v>2951378779.89</v>
      </c>
      <c r="K215" s="211">
        <f>E215-H215</f>
        <v>15403382.170000076</v>
      </c>
      <c r="L215" s="212"/>
    </row>
    <row r="216" spans="1:12" s="3" customFormat="1" ht="15.75" customHeight="1">
      <c r="A216" s="175" t="s">
        <v>60</v>
      </c>
      <c r="B216" s="149">
        <f>B217+B218+B219</f>
        <v>919428</v>
      </c>
      <c r="C216" s="149">
        <f>C217+C218+C219</f>
        <v>1106664.78</v>
      </c>
      <c r="D216" s="149">
        <f>D217+D218+D219</f>
        <v>29990.870000000024</v>
      </c>
      <c r="E216" s="149">
        <f>E217+E218+E219</f>
        <v>247860.39</v>
      </c>
      <c r="F216" s="149">
        <f t="shared" si="16"/>
        <v>858804.39</v>
      </c>
      <c r="G216" s="149">
        <f>G217+G218+G219</f>
        <v>29990.870000000024</v>
      </c>
      <c r="H216" s="155">
        <f>H217+H218+H219</f>
        <v>247860.39</v>
      </c>
      <c r="I216" s="145">
        <f t="shared" si="15"/>
        <v>858804.39</v>
      </c>
      <c r="J216" s="125">
        <f>SUM(J217:J219)</f>
        <v>242950.61</v>
      </c>
      <c r="K216" s="215">
        <f>K217+K218+K219</f>
        <v>0</v>
      </c>
      <c r="L216" s="216"/>
    </row>
    <row r="217" spans="1:12" s="3" customFormat="1" ht="15.75" customHeight="1">
      <c r="A217" s="176" t="s">
        <v>61</v>
      </c>
      <c r="B217" s="172">
        <v>701453</v>
      </c>
      <c r="C217" s="193">
        <v>845700</v>
      </c>
      <c r="D217" s="193">
        <f>E217-0</f>
        <v>0</v>
      </c>
      <c r="E217" s="193">
        <v>0</v>
      </c>
      <c r="F217" s="193">
        <f t="shared" si="16"/>
        <v>845700</v>
      </c>
      <c r="G217" s="20">
        <f>H217-0</f>
        <v>0</v>
      </c>
      <c r="H217" s="98">
        <v>0</v>
      </c>
      <c r="I217" s="192">
        <f t="shared" si="15"/>
        <v>845700</v>
      </c>
      <c r="J217" s="20">
        <v>0</v>
      </c>
      <c r="K217" s="208">
        <f>E217-H217</f>
        <v>0</v>
      </c>
      <c r="L217" s="208"/>
    </row>
    <row r="218" spans="1:12" s="3" customFormat="1" ht="15.75" customHeight="1">
      <c r="A218" s="176" t="s">
        <v>62</v>
      </c>
      <c r="B218" s="40">
        <v>0</v>
      </c>
      <c r="C218" s="40">
        <v>0</v>
      </c>
      <c r="D218" s="40">
        <f>E218-0</f>
        <v>0</v>
      </c>
      <c r="E218" s="147"/>
      <c r="F218" s="40">
        <f t="shared" si="16"/>
        <v>0</v>
      </c>
      <c r="G218" s="20">
        <f>H218-0</f>
        <v>0</v>
      </c>
      <c r="H218" s="98">
        <v>0</v>
      </c>
      <c r="I218" s="95">
        <f t="shared" si="15"/>
        <v>0</v>
      </c>
      <c r="J218" s="20">
        <v>0</v>
      </c>
      <c r="K218" s="207">
        <f>E218-H218</f>
        <v>0</v>
      </c>
      <c r="L218" s="208"/>
    </row>
    <row r="219" spans="1:12" s="3" customFormat="1" ht="15.75" customHeight="1">
      <c r="A219" s="182" t="s">
        <v>63</v>
      </c>
      <c r="B219" s="160">
        <v>217975</v>
      </c>
      <c r="C219" s="160">
        <v>260964.78</v>
      </c>
      <c r="D219" s="160">
        <f>E219-217869.52</f>
        <v>29990.870000000024</v>
      </c>
      <c r="E219" s="160">
        <v>247860.39</v>
      </c>
      <c r="F219" s="160">
        <f t="shared" si="16"/>
        <v>13104.389999999985</v>
      </c>
      <c r="G219" s="160">
        <f>H219-217869.52</f>
        <v>29990.870000000024</v>
      </c>
      <c r="H219" s="161">
        <v>247860.39</v>
      </c>
      <c r="I219" s="162">
        <f t="shared" si="15"/>
        <v>13104.389999999985</v>
      </c>
      <c r="J219" s="133">
        <v>242950.61</v>
      </c>
      <c r="K219" s="234">
        <f>E219-H219</f>
        <v>0</v>
      </c>
      <c r="L219" s="235"/>
    </row>
    <row r="220" spans="1:12" s="3" customFormat="1" ht="15.75">
      <c r="A220" s="140" t="s">
        <v>129</v>
      </c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5" t="s">
        <v>94</v>
      </c>
    </row>
    <row r="221" spans="1:12" s="3" customFormat="1" ht="15.75" customHeight="1">
      <c r="A221" s="115" t="s">
        <v>149</v>
      </c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8"/>
    </row>
    <row r="222" spans="1:12" s="3" customFormat="1" ht="15.75" customHeight="1">
      <c r="A222" s="116" t="s">
        <v>150</v>
      </c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9"/>
    </row>
    <row r="223" spans="1:12" s="3" customFormat="1" ht="15.75" customHeight="1">
      <c r="A223" s="115" t="s">
        <v>145</v>
      </c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8"/>
    </row>
    <row r="224" spans="1:12" s="3" customFormat="1" ht="15.75" customHeight="1">
      <c r="A224" s="116" t="s">
        <v>146</v>
      </c>
      <c r="B224" s="173"/>
      <c r="C224" s="173"/>
      <c r="D224" s="173"/>
      <c r="E224" s="173"/>
      <c r="F224" s="173"/>
      <c r="G224" s="173"/>
      <c r="H224" s="173"/>
      <c r="I224" s="173"/>
      <c r="J224" s="173"/>
      <c r="K224" s="173"/>
      <c r="L224" s="119"/>
    </row>
    <row r="225" spans="1:12" s="3" customFormat="1" ht="15.75" customHeight="1">
      <c r="A225" s="202" t="s">
        <v>147</v>
      </c>
      <c r="B225" s="202"/>
      <c r="C225" s="202"/>
      <c r="D225" s="202"/>
      <c r="E225" s="202"/>
      <c r="F225" s="202"/>
      <c r="G225" s="202"/>
      <c r="H225" s="202"/>
      <c r="I225" s="202"/>
      <c r="J225" s="202"/>
      <c r="K225" s="202"/>
      <c r="L225" s="202"/>
    </row>
    <row r="226" spans="1:12" s="3" customFormat="1" ht="15.75" customHeight="1">
      <c r="A226" s="202" t="s">
        <v>148</v>
      </c>
      <c r="B226" s="202"/>
      <c r="C226" s="202"/>
      <c r="D226" s="202"/>
      <c r="E226" s="202"/>
      <c r="F226" s="202"/>
      <c r="G226" s="202"/>
      <c r="H226" s="202"/>
      <c r="I226" s="202"/>
      <c r="J226" s="202"/>
      <c r="K226" s="202"/>
      <c r="L226" s="202"/>
    </row>
    <row r="227" spans="1:13" s="3" customFormat="1" ht="15.75" customHeight="1">
      <c r="A227" s="68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</row>
    <row r="228" spans="1:12" s="3" customFormat="1" ht="15.75" customHeight="1">
      <c r="A228" s="70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</row>
    <row r="229" spans="1:12" s="3" customFormat="1" ht="15.75" customHeight="1">
      <c r="A229" s="70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</row>
    <row r="230" spans="1:12" s="3" customFormat="1" ht="15.75" customHeight="1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s="3" customFormat="1" ht="15.75" customHeight="1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s="3" customFormat="1" ht="15.75" customHeight="1">
      <c r="A232" s="301" t="s">
        <v>95</v>
      </c>
      <c r="B232" s="301"/>
      <c r="C232" s="301" t="s">
        <v>89</v>
      </c>
      <c r="D232" s="301"/>
      <c r="E232" s="301"/>
      <c r="F232" s="301"/>
      <c r="G232" s="302" t="s">
        <v>151</v>
      </c>
      <c r="H232" s="302"/>
      <c r="I232" s="302"/>
      <c r="J232" s="302"/>
      <c r="K232" s="302"/>
      <c r="L232" s="66"/>
    </row>
    <row r="233" spans="1:12" s="3" customFormat="1" ht="15.75" customHeight="1">
      <c r="A233" s="301" t="s">
        <v>88</v>
      </c>
      <c r="B233" s="301"/>
      <c r="C233" s="301" t="s">
        <v>90</v>
      </c>
      <c r="D233" s="301"/>
      <c r="E233" s="301"/>
      <c r="F233" s="301"/>
      <c r="G233" s="302" t="s">
        <v>153</v>
      </c>
      <c r="H233" s="302"/>
      <c r="I233" s="302"/>
      <c r="J233" s="302"/>
      <c r="K233" s="302"/>
      <c r="L233" s="66"/>
    </row>
    <row r="234" spans="1:12" s="3" customFormat="1" ht="15.75" customHeight="1">
      <c r="A234" s="301" t="s">
        <v>87</v>
      </c>
      <c r="B234" s="301"/>
      <c r="C234" s="301" t="s">
        <v>91</v>
      </c>
      <c r="D234" s="301"/>
      <c r="E234" s="301"/>
      <c r="F234" s="301"/>
      <c r="G234" s="302" t="s">
        <v>152</v>
      </c>
      <c r="H234" s="302"/>
      <c r="I234" s="302"/>
      <c r="J234" s="302"/>
      <c r="K234" s="302"/>
      <c r="L234" s="66"/>
    </row>
    <row r="235" spans="1:12" ht="15.75" customHeight="1">
      <c r="A235" s="71"/>
      <c r="B235" s="71"/>
      <c r="C235" s="71"/>
      <c r="D235" s="71"/>
      <c r="E235" s="71"/>
      <c r="F235" s="71"/>
      <c r="G235" s="72"/>
      <c r="H235" s="72"/>
      <c r="I235" s="72"/>
      <c r="J235" s="72"/>
      <c r="K235" s="72"/>
      <c r="L235" s="71"/>
    </row>
    <row r="236" spans="1:12" ht="11.25" customHeight="1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</row>
    <row r="237" spans="1:12" ht="11.25" customHeight="1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</row>
    <row r="238" spans="1:12" ht="11.25" customHeight="1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</row>
    <row r="239" spans="1:12" ht="11.25" customHeight="1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</row>
    <row r="240" spans="1:12" ht="11.25" customHeight="1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</row>
    <row r="241" spans="1:12" ht="11.25" customHeight="1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</row>
    <row r="242" spans="1:12" ht="11.25" customHeight="1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</row>
    <row r="243" spans="1:12" ht="11.25" customHeight="1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</row>
    <row r="244" spans="1:12" ht="11.25" customHeight="1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</row>
    <row r="245" spans="1:12" ht="11.25" customHeight="1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</row>
    <row r="246" spans="1:12" ht="11.25" customHeight="1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</row>
  </sheetData>
  <sheetProtection/>
  <mergeCells count="375">
    <mergeCell ref="G94:H94"/>
    <mergeCell ref="K104:L104"/>
    <mergeCell ref="K106:L106"/>
    <mergeCell ref="K105:L105"/>
    <mergeCell ref="K107:L107"/>
    <mergeCell ref="A135:L135"/>
    <mergeCell ref="K121:L121"/>
    <mergeCell ref="K122:L122"/>
    <mergeCell ref="K123:L123"/>
    <mergeCell ref="K125:L125"/>
    <mergeCell ref="A133:L133"/>
    <mergeCell ref="J73:L73"/>
    <mergeCell ref="A66:B66"/>
    <mergeCell ref="J66:L66"/>
    <mergeCell ref="A233:B233"/>
    <mergeCell ref="A77:B77"/>
    <mergeCell ref="J77:L77"/>
    <mergeCell ref="J82:L82"/>
    <mergeCell ref="A82:B82"/>
    <mergeCell ref="J97:J99"/>
    <mergeCell ref="C232:F232"/>
    <mergeCell ref="C233:F233"/>
    <mergeCell ref="C234:F234"/>
    <mergeCell ref="A232:B232"/>
    <mergeCell ref="A68:B68"/>
    <mergeCell ref="G207:H207"/>
    <mergeCell ref="H208:H209"/>
    <mergeCell ref="A69:B69"/>
    <mergeCell ref="A86:B86"/>
    <mergeCell ref="A85:B85"/>
    <mergeCell ref="C14:C16"/>
    <mergeCell ref="E14:I14"/>
    <mergeCell ref="J15:L15"/>
    <mergeCell ref="G16:H16"/>
    <mergeCell ref="J16:L16"/>
    <mergeCell ref="A20:B20"/>
    <mergeCell ref="J20:L20"/>
    <mergeCell ref="J22:L22"/>
    <mergeCell ref="J30:L30"/>
    <mergeCell ref="A234:B234"/>
    <mergeCell ref="K214:L214"/>
    <mergeCell ref="G232:K232"/>
    <mergeCell ref="G233:K233"/>
    <mergeCell ref="G234:K234"/>
    <mergeCell ref="A14:B16"/>
    <mergeCell ref="A18:B18"/>
    <mergeCell ref="J14:L14"/>
    <mergeCell ref="G15:H15"/>
    <mergeCell ref="A19:B19"/>
    <mergeCell ref="A6:L6"/>
    <mergeCell ref="A7:L7"/>
    <mergeCell ref="A8:L8"/>
    <mergeCell ref="A9:L9"/>
    <mergeCell ref="A10:L10"/>
    <mergeCell ref="J19:L19"/>
    <mergeCell ref="A17:B17"/>
    <mergeCell ref="J17:L17"/>
    <mergeCell ref="J18:L18"/>
    <mergeCell ref="A21:B21"/>
    <mergeCell ref="J21:L21"/>
    <mergeCell ref="A23:B23"/>
    <mergeCell ref="A28:B28"/>
    <mergeCell ref="J23:L23"/>
    <mergeCell ref="A22:B22"/>
    <mergeCell ref="J25:L25"/>
    <mergeCell ref="A24:B24"/>
    <mergeCell ref="J24:L24"/>
    <mergeCell ref="A26:B26"/>
    <mergeCell ref="A30:B30"/>
    <mergeCell ref="A31:B31"/>
    <mergeCell ref="A29:B29"/>
    <mergeCell ref="J29:L29"/>
    <mergeCell ref="J26:L26"/>
    <mergeCell ref="J31:L31"/>
    <mergeCell ref="A34:B34"/>
    <mergeCell ref="J34:L34"/>
    <mergeCell ref="A32:B32"/>
    <mergeCell ref="J32:L32"/>
    <mergeCell ref="A25:B25"/>
    <mergeCell ref="J27:L27"/>
    <mergeCell ref="J28:L28"/>
    <mergeCell ref="A33:B33"/>
    <mergeCell ref="J33:L33"/>
    <mergeCell ref="A27:B27"/>
    <mergeCell ref="A37:B37"/>
    <mergeCell ref="J37:L37"/>
    <mergeCell ref="A35:B35"/>
    <mergeCell ref="J35:L35"/>
    <mergeCell ref="A36:B36"/>
    <mergeCell ref="J36:L36"/>
    <mergeCell ref="J42:L42"/>
    <mergeCell ref="J39:L39"/>
    <mergeCell ref="A39:B39"/>
    <mergeCell ref="A38:B38"/>
    <mergeCell ref="A44:B44"/>
    <mergeCell ref="J44:L44"/>
    <mergeCell ref="J43:L43"/>
    <mergeCell ref="J38:L38"/>
    <mergeCell ref="J40:L40"/>
    <mergeCell ref="A40:B40"/>
    <mergeCell ref="A54:B54"/>
    <mergeCell ref="A45:B45"/>
    <mergeCell ref="J45:L45"/>
    <mergeCell ref="A46:B46"/>
    <mergeCell ref="J41:L41"/>
    <mergeCell ref="A48:B48"/>
    <mergeCell ref="J48:L48"/>
    <mergeCell ref="A47:B47"/>
    <mergeCell ref="J47:L47"/>
    <mergeCell ref="J46:L46"/>
    <mergeCell ref="J69:L69"/>
    <mergeCell ref="J57:L57"/>
    <mergeCell ref="J54:L54"/>
    <mergeCell ref="A57:B57"/>
    <mergeCell ref="J49:L49"/>
    <mergeCell ref="A53:B53"/>
    <mergeCell ref="J53:L53"/>
    <mergeCell ref="J56:L56"/>
    <mergeCell ref="J52:L52"/>
    <mergeCell ref="J55:L55"/>
    <mergeCell ref="A64:B64"/>
    <mergeCell ref="A61:B61"/>
    <mergeCell ref="J61:L61"/>
    <mergeCell ref="A62:B62"/>
    <mergeCell ref="J63:L63"/>
    <mergeCell ref="A67:B67"/>
    <mergeCell ref="J67:L67"/>
    <mergeCell ref="J65:L65"/>
    <mergeCell ref="J64:L64"/>
    <mergeCell ref="J62:L62"/>
    <mergeCell ref="A70:B70"/>
    <mergeCell ref="J68:L68"/>
    <mergeCell ref="J70:L70"/>
    <mergeCell ref="J76:L76"/>
    <mergeCell ref="A76:B76"/>
    <mergeCell ref="A75:B75"/>
    <mergeCell ref="J74:L74"/>
    <mergeCell ref="J75:L75"/>
    <mergeCell ref="J71:L71"/>
    <mergeCell ref="J72:L72"/>
    <mergeCell ref="J85:L85"/>
    <mergeCell ref="A83:B83"/>
    <mergeCell ref="J83:L83"/>
    <mergeCell ref="J86:L86"/>
    <mergeCell ref="J78:L78"/>
    <mergeCell ref="J84:L84"/>
    <mergeCell ref="A79:B79"/>
    <mergeCell ref="A81:B81"/>
    <mergeCell ref="A84:B84"/>
    <mergeCell ref="J80:L80"/>
    <mergeCell ref="A78:B78"/>
    <mergeCell ref="A80:B80"/>
    <mergeCell ref="J81:L81"/>
    <mergeCell ref="A90:B90"/>
    <mergeCell ref="J90:L90"/>
    <mergeCell ref="A87:B87"/>
    <mergeCell ref="J87:L87"/>
    <mergeCell ref="A89:B89"/>
    <mergeCell ref="J79:L79"/>
    <mergeCell ref="J89:L89"/>
    <mergeCell ref="A88:B88"/>
    <mergeCell ref="J88:L88"/>
    <mergeCell ref="A91:B91"/>
    <mergeCell ref="J91:L91"/>
    <mergeCell ref="J93:L93"/>
    <mergeCell ref="J92:L92"/>
    <mergeCell ref="A92:B92"/>
    <mergeCell ref="A93:B93"/>
    <mergeCell ref="A95:B95"/>
    <mergeCell ref="A94:B94"/>
    <mergeCell ref="A97:A100"/>
    <mergeCell ref="D97:E97"/>
    <mergeCell ref="J94:L94"/>
    <mergeCell ref="J95:L95"/>
    <mergeCell ref="G97:H97"/>
    <mergeCell ref="K97:L100"/>
    <mergeCell ref="F97:F99"/>
    <mergeCell ref="I97:I99"/>
    <mergeCell ref="K101:L101"/>
    <mergeCell ref="K102:L102"/>
    <mergeCell ref="K103:L103"/>
    <mergeCell ref="K114:L114"/>
    <mergeCell ref="K108:L108"/>
    <mergeCell ref="K112:L112"/>
    <mergeCell ref="K109:L109"/>
    <mergeCell ref="K110:L110"/>
    <mergeCell ref="K111:L111"/>
    <mergeCell ref="K113:L113"/>
    <mergeCell ref="K119:L119"/>
    <mergeCell ref="K124:L124"/>
    <mergeCell ref="K120:L120"/>
    <mergeCell ref="K115:L115"/>
    <mergeCell ref="K116:L116"/>
    <mergeCell ref="K117:L117"/>
    <mergeCell ref="G141:H141"/>
    <mergeCell ref="J141:L141"/>
    <mergeCell ref="A131:L131"/>
    <mergeCell ref="A132:L132"/>
    <mergeCell ref="J139:L139"/>
    <mergeCell ref="K118:L118"/>
    <mergeCell ref="C139:C141"/>
    <mergeCell ref="E139:I139"/>
    <mergeCell ref="G140:H140"/>
    <mergeCell ref="J140:L140"/>
    <mergeCell ref="A143:B143"/>
    <mergeCell ref="J143:L143"/>
    <mergeCell ref="A144:B144"/>
    <mergeCell ref="J144:L144"/>
    <mergeCell ref="A142:B142"/>
    <mergeCell ref="J142:L142"/>
    <mergeCell ref="J148:L148"/>
    <mergeCell ref="A149:B149"/>
    <mergeCell ref="J149:L149"/>
    <mergeCell ref="A145:B145"/>
    <mergeCell ref="J145:L145"/>
    <mergeCell ref="A146:B146"/>
    <mergeCell ref="J146:L146"/>
    <mergeCell ref="J154:L154"/>
    <mergeCell ref="A155:B155"/>
    <mergeCell ref="J155:L155"/>
    <mergeCell ref="J150:L150"/>
    <mergeCell ref="A153:B153"/>
    <mergeCell ref="J153:L153"/>
    <mergeCell ref="J151:L151"/>
    <mergeCell ref="J152:L152"/>
    <mergeCell ref="A151:B151"/>
    <mergeCell ref="J158:L158"/>
    <mergeCell ref="A159:B159"/>
    <mergeCell ref="J159:L159"/>
    <mergeCell ref="A156:B156"/>
    <mergeCell ref="J156:L156"/>
    <mergeCell ref="A157:B157"/>
    <mergeCell ref="J157:L157"/>
    <mergeCell ref="J160:L160"/>
    <mergeCell ref="A161:B161"/>
    <mergeCell ref="J162:L162"/>
    <mergeCell ref="A162:B162"/>
    <mergeCell ref="J161:L161"/>
    <mergeCell ref="A165:B165"/>
    <mergeCell ref="A160:B160"/>
    <mergeCell ref="J60:L60"/>
    <mergeCell ref="A60:B60"/>
    <mergeCell ref="J58:L58"/>
    <mergeCell ref="A58:B58"/>
    <mergeCell ref="A59:B59"/>
    <mergeCell ref="J59:L59"/>
    <mergeCell ref="A63:B63"/>
    <mergeCell ref="J169:L169"/>
    <mergeCell ref="J170:L170"/>
    <mergeCell ref="A172:B172"/>
    <mergeCell ref="A152:B152"/>
    <mergeCell ref="A163:B163"/>
    <mergeCell ref="J163:L163"/>
    <mergeCell ref="A164:B164"/>
    <mergeCell ref="A167:B167"/>
    <mergeCell ref="J165:L165"/>
    <mergeCell ref="J174:L174"/>
    <mergeCell ref="A73:B73"/>
    <mergeCell ref="J171:L171"/>
    <mergeCell ref="J50:L50"/>
    <mergeCell ref="J51:L51"/>
    <mergeCell ref="J164:L164"/>
    <mergeCell ref="A147:B147"/>
    <mergeCell ref="J147:L147"/>
    <mergeCell ref="A51:B51"/>
    <mergeCell ref="A52:B52"/>
    <mergeCell ref="A55:B55"/>
    <mergeCell ref="A56:B56"/>
    <mergeCell ref="A65:B65"/>
    <mergeCell ref="A71:B71"/>
    <mergeCell ref="A72:B72"/>
    <mergeCell ref="J173:L173"/>
    <mergeCell ref="A170:B170"/>
    <mergeCell ref="A74:B74"/>
    <mergeCell ref="A166:B166"/>
    <mergeCell ref="J172:L172"/>
    <mergeCell ref="J178:L178"/>
    <mergeCell ref="A175:B175"/>
    <mergeCell ref="A176:B176"/>
    <mergeCell ref="A177:B177"/>
    <mergeCell ref="J177:L177"/>
    <mergeCell ref="J179:L179"/>
    <mergeCell ref="A179:B179"/>
    <mergeCell ref="J184:L184"/>
    <mergeCell ref="J182:L182"/>
    <mergeCell ref="A41:B41"/>
    <mergeCell ref="A42:B42"/>
    <mergeCell ref="A43:B43"/>
    <mergeCell ref="A49:B49"/>
    <mergeCell ref="A50:B50"/>
    <mergeCell ref="J175:L175"/>
    <mergeCell ref="J176:L176"/>
    <mergeCell ref="A178:B178"/>
    <mergeCell ref="A173:B173"/>
    <mergeCell ref="A174:B174"/>
    <mergeCell ref="A168:B168"/>
    <mergeCell ref="A158:B158"/>
    <mergeCell ref="A150:B150"/>
    <mergeCell ref="A148:B148"/>
    <mergeCell ref="A154:B154"/>
    <mergeCell ref="A169:B169"/>
    <mergeCell ref="A139:B141"/>
    <mergeCell ref="A134:L134"/>
    <mergeCell ref="J183:L183"/>
    <mergeCell ref="A184:B184"/>
    <mergeCell ref="A189:B189"/>
    <mergeCell ref="J189:L189"/>
    <mergeCell ref="A185:B185"/>
    <mergeCell ref="A186:B186"/>
    <mergeCell ref="A187:B187"/>
    <mergeCell ref="A183:B183"/>
    <mergeCell ref="J185:L185"/>
    <mergeCell ref="K217:L217"/>
    <mergeCell ref="K218:L218"/>
    <mergeCell ref="K219:L219"/>
    <mergeCell ref="A195:B195"/>
    <mergeCell ref="J187:L187"/>
    <mergeCell ref="A188:B188"/>
    <mergeCell ref="A191:B191"/>
    <mergeCell ref="J186:L186"/>
    <mergeCell ref="J207:J209"/>
    <mergeCell ref="H206:I206"/>
    <mergeCell ref="K206:L206"/>
    <mergeCell ref="J188:L188"/>
    <mergeCell ref="K207:L210"/>
    <mergeCell ref="A193:B193"/>
    <mergeCell ref="J197:L197"/>
    <mergeCell ref="J190:L190"/>
    <mergeCell ref="A180:B180"/>
    <mergeCell ref="A171:B171"/>
    <mergeCell ref="A207:A210"/>
    <mergeCell ref="D207:E207"/>
    <mergeCell ref="A200:B200"/>
    <mergeCell ref="A204:B204"/>
    <mergeCell ref="A202:B202"/>
    <mergeCell ref="A182:B182"/>
    <mergeCell ref="A196:B196"/>
    <mergeCell ref="A197:B197"/>
    <mergeCell ref="K216:L216"/>
    <mergeCell ref="A203:B203"/>
    <mergeCell ref="K211:L211"/>
    <mergeCell ref="K212:L212"/>
    <mergeCell ref="K213:L213"/>
    <mergeCell ref="J205:L205"/>
    <mergeCell ref="I207:I209"/>
    <mergeCell ref="J204:L204"/>
    <mergeCell ref="K215:L215"/>
    <mergeCell ref="A205:B205"/>
    <mergeCell ref="A181:B181"/>
    <mergeCell ref="A190:B190"/>
    <mergeCell ref="A192:B192"/>
    <mergeCell ref="A201:B201"/>
    <mergeCell ref="A194:B194"/>
    <mergeCell ref="A198:B198"/>
    <mergeCell ref="A199:B199"/>
    <mergeCell ref="J166:L166"/>
    <mergeCell ref="J167:L167"/>
    <mergeCell ref="J168:L168"/>
    <mergeCell ref="J180:L180"/>
    <mergeCell ref="J181:L181"/>
    <mergeCell ref="J203:L203"/>
    <mergeCell ref="J194:L194"/>
    <mergeCell ref="J202:L202"/>
    <mergeCell ref="J198:L198"/>
    <mergeCell ref="J199:L199"/>
    <mergeCell ref="A225:L225"/>
    <mergeCell ref="A226:L226"/>
    <mergeCell ref="J192:L192"/>
    <mergeCell ref="J193:L193"/>
    <mergeCell ref="J191:L191"/>
    <mergeCell ref="J201:L201"/>
    <mergeCell ref="J200:L200"/>
    <mergeCell ref="J195:L195"/>
    <mergeCell ref="J196:L196"/>
    <mergeCell ref="F207:F209"/>
  </mergeCells>
  <printOptions horizontalCentered="1"/>
  <pageMargins left="0.3937007874015748" right="0.3937007874015748" top="0.3937007874015748" bottom="0.3937007874015748" header="0" footer="0.1968503937007874"/>
  <pageSetup fitToHeight="0" fitToWidth="1" horizontalDpi="600" verticalDpi="600" orientation="portrait" paperSize="9" scale="32" r:id="rId2"/>
  <rowBreaks count="1" manualBreakCount="1">
    <brk id="126" max="11" man="1"/>
  </rowBreaks>
  <ignoredErrors>
    <ignoredError sqref="F114:F116 F119:G119 F101:F103 F215:F216 F211:F213 E148 D119 D216:E216 G216 F75 F80 F76 H90 I211:I212 F77 F78 F79 I114:J114 I119:I122 I101 E187:E190 K216 E192:E194 E195 G105 E82 E76 E58 E23 E59:E62 E77:E79 E83:E87 E25:E28 E33 E38 E44 E50 E52:E53 E56 E64:E65 E67 E69:E75 D105:D107" formula="1"/>
    <ignoredError sqref="B102:C102 C117 K102:L102 B108:E108 K108 L114 L122 L115 B120:C120 B121:C121 L116 L119 D102:E102 C76:D76 C153:D153 C28:D28 C201:D201 H28 H62 H76 H102 H106:J106 H107:H108 J102 H153 H187 I103 I104 I105" formulaRange="1"/>
    <ignoredError sqref="F108:G108 G102 F104:F107 F109:F111 F112 I109:I113 I107:J108 I102 F143 F28:F31 F44:F45 F58:F59 F82 F70:F74 F67:F68 F92 F61:F62 F90 F47 F64" formula="1" formulaRange="1"/>
    <ignoredError sqref="F32 F23:F27 F35:F43 F48:F49 F53:F57 F65:F66 F144:F158 F163:F173 F178:F182 I82:I89 F51 I23:I24 I28:I32 I35:I49 I51 I53:I59 I61:I62 I66:I68 I74 F17:F21 I17:I21 I142:I205 I90 F142 I64" evalError="1"/>
    <ignoredError sqref="F143 F28:F31 F44:F45 F58:F59 F82 F70:F74 F67:F68 F92 F61:F62 F90 F47 F64" evalError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2022-01-25T00:35:24Z</cp:lastPrinted>
  <dcterms:created xsi:type="dcterms:W3CDTF">2005-03-07T15:54:32Z</dcterms:created>
  <dcterms:modified xsi:type="dcterms:W3CDTF">2022-01-28T20:17:49Z</dcterms:modified>
  <cp:category/>
  <cp:version/>
  <cp:contentType/>
  <cp:contentStatus/>
</cp:coreProperties>
</file>