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7680" windowHeight="5265" activeTab="0"/>
  </bookViews>
  <sheets>
    <sheet name="Anexo II - 4º BIM" sheetId="1" r:id="rId1"/>
  </sheets>
  <definedNames>
    <definedName name="_xlnm.Print_Area" localSheetId="0">'Anexo II - 4º BIM'!$A$1:$L$462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<sst xmlns="http://schemas.openxmlformats.org/spreadsheetml/2006/main" count="845" uniqueCount="290">
  <si>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</si>
  <si>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</si>
  <si>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</si>
  <si>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</si>
  <si>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</si>
  <si>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</si>
  <si>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</si>
  <si>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</si>
  <si>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</si>
  <si>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</si>
  <si>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</si>
  <si>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</si>
  <si>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</si>
  <si>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</si>
  <si>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</si>
  <si>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</si>
  <si>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</si>
  <si>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</si>
  <si>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</si>
  <si>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</si>
  <si>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</si>
  <si>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</si>
  <si>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</si>
  <si>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</si>
  <si>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</si>
  <si>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</si>
  <si>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</si>
  <si>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</si>
  <si>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</si>
  <si>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</si>
  <si>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</si>
  <si>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</si>
  <si>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</si>
  <si>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</si>
  <si>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</si>
  <si>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</si>
  <si>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</si>
  <si>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</si>
  <si>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</si>
  <si>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</si>
  <si>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</si>
  <si>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</si>
  <si>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</si>
  <si>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</si>
  <si>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</si>
  <si>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</si>
  <si>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</si>
  <si>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</si>
  <si>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</si>
  <si>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</si>
  <si>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</si>
  <si>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</si>
  <si>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</si>
  <si>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</si>
  <si>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</si>
  <si>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</si>
  <si>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</si>
  <si>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</si>
  <si>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</si>
  <si>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</si>
  <si>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</si>
  <si>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</si>
  <si>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</si>
  <si>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</si>
  <si>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</si>
  <si>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</si>
  <si>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</si>
  <si>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</si>
  <si>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</si>
  <si>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</si>
  <si>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</si>
  <si>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</si>
  <si>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</si>
  <si>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</si>
  <si>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</si>
  <si>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</si>
  <si>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</si>
  <si>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</si>
  <si>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</si>
  <si>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</si>
  <si>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</si>
  <si>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</si>
  <si>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</si>
  <si>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</si>
  <si>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</si>
  <si>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</si>
  <si>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</si>
  <si>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</si>
  <si>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</si>
  <si>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</si>
  <si>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</si>
  <si>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</si>
  <si>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</si>
  <si>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</si>
  <si>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</si>
  <si>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</si>
  <si>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</si>
  <si>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</si>
  <si>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</si>
  <si>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</si>
  <si>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</si>
  <si>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</si>
  <si>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</si>
  <si>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</si>
  <si>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</si>
  <si>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</si>
  <si>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</si>
  <si>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</si>
  <si>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</si>
  <si>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</si>
  <si>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</si>
  <si>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</si>
  <si>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</si>
  <si>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</si>
  <si>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</si>
  <si>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</si>
  <si>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</si>
  <si>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</si>
  <si>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</si>
  <si>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</si>
  <si>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</si>
  <si>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</si>
  <si>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</si>
  <si>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</si>
  <si>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</si>
  <si>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</si>
  <si>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</si>
  <si>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</si>
  <si>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</si>
  <si>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</si>
  <si>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</si>
  <si>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</si>
  <si>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</si>
  <si>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</si>
  <si>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</si>
  <si>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</si>
  <si>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</si>
  <si>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</si>
  <si>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</si>
  <si>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</si>
  <si>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</si>
  <si>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</si>
  <si>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</si>
  <si>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</si>
  <si>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</si>
  <si>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</si>
  <si>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</si>
  <si>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</si>
  <si>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</si>
  <si>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</si>
  <si>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</si>
  <si>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</si>
  <si>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</si>
  <si>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</si>
  <si>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</si>
  <si>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</si>
  <si>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</si>
  <si>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</si>
  <si>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</si>
  <si>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</si>
  <si>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</si>
  <si>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</si>
  <si>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</si>
  <si>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</si>
  <si>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</si>
  <si>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</si>
  <si>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</si>
  <si>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</si>
  <si>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</si>
  <si>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</si>
  <si>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</si>
  <si>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</si>
  <si>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</si>
  <si>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</si>
  <si>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</si>
  <si>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</si>
  <si>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</si>
  <si>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</si>
  <si>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</si>
  <si>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</si>
  <si>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</si>
  <si>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</si>
  <si>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</si>
  <si>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</si>
  <si>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</si>
  <si>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</si>
  <si>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</si>
  <si>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</si>
  <si>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</si>
  <si>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</si>
  <si>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</si>
  <si>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</si>
  <si>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</si>
  <si>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</si>
  <si>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</si>
  <si>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</si>
  <si>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</si>
  <si>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</si>
  <si>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</si>
  <si>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</si>
  <si>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</si>
  <si>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</si>
  <si>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</si>
  <si>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</si>
  <si>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</si>
  <si>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</si>
  <si>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</si>
  <si>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</si>
  <si>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</si>
  <si>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</si>
  <si>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</si>
  <si>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</si>
  <si>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</si>
  <si>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</si>
  <si>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</si>
  <si>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</si>
  <si>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</si>
  <si>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</si>
  <si>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</si>
  <si>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</si>
  <si>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</si>
  <si>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</si>
  <si>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</si>
  <si>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</si>
  <si>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</si>
  <si>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</si>
  <si>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</si>
  <si>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</si>
  <si>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</si>
  <si>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</si>
  <si>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</si>
  <si>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</si>
  <si>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</si>
  <si>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</si>
  <si>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</si>
  <si>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</si>
  <si>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</si>
  <si>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</si>
  <si>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</si>
  <si>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</si>
  <si>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</si>
  <si>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</si>
  <si>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</si>
  <si>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</si>
  <si>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</si>
  <si>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</si>
  <si>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</si>
  <si>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</si>
  <si>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</si>
  <si>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</si>
  <si>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</si>
  <si>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</si>
  <si>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</si>
  <si>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</si>
  <si>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</si>
  <si>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</si>
  <si>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</si>
  <si>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</si>
  <si>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</si>
  <si>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</si>
  <si>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</si>
  <si>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</si>
  <si>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</si>
  <si>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</si>
  <si>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</si>
  <si>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</si>
  <si>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</si>
  <si>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</si>
  <si>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</si>
  <si>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</si>
  <si>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</si>
  <si>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</si>
  <si>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</si>
  <si>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</si>
  <si>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</si>
  <si>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</si>
  <si>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</si>
  <si>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</si>
  <si>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</si>
  <si>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Yasmim da Costa Monteiro</t>
  </si>
  <si>
    <t>Subsecretária de Contabilidade Geral - ID: 4.461.243-5</t>
  </si>
  <si>
    <t>Contadora - CRC-RJ-114428/O-0</t>
  </si>
  <si>
    <t>Ação judiciária</t>
  </si>
  <si>
    <t>273</t>
  </si>
  <si>
    <t>Previdência Complementar</t>
  </si>
  <si>
    <t>452</t>
  </si>
  <si>
    <t>Serviços Urbanos</t>
  </si>
  <si>
    <t xml:space="preserve">          2 - Imprensa Oficial, CEDAE e AGERIO não constam nos Orçamentos Fiscal e da Seguridade Social no exercício de 2023.</t>
  </si>
  <si>
    <t>JANEIRO A OUTUBRO 2023/BIMESTRE SETEMBRO - OUTUBRO</t>
  </si>
  <si>
    <t>Emissão: 22/11/2023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</si>
</sst>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rgb="FF000000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171" fontId="3" fillId="35" borderId="14" xfId="63" applyFont="1" applyFill="1" applyBorder="1" applyAlignment="1">
      <alignment/>
    </xf>
    <xf numFmtId="171" fontId="3" fillId="35" borderId="17" xfId="63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7" fillId="34" borderId="13" xfId="0" applyNumberFormat="1" applyFont="1" applyFill="1" applyBorder="1" applyAlignment="1">
      <alignment horizontal="center" vertical="center"/>
    </xf>
    <xf numFmtId="4" fontId="7" fillId="34" borderId="14" xfId="63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4" fillId="34" borderId="0" xfId="49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1085850</xdr:colOff>
      <xdr:row>0</xdr:row>
      <xdr:rowOff>47625</xdr:rowOff>
    </xdr:from>
    <xdr:to>
      <xdr:col>5</xdr:col>
      <xdr:colOff>171450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7625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153</xdr:row>
      <xdr:rowOff>114300</xdr:rowOff>
    </xdr:from>
    <xdr:to>
      <xdr:col>5</xdr:col>
      <xdr:colOff>171450</xdr:colOff>
      <xdr:row>156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282035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305</xdr:row>
      <xdr:rowOff>38100</xdr:rowOff>
    </xdr:from>
    <xdr:to>
      <xdr:col>5</xdr:col>
      <xdr:colOff>123825</xdr:colOff>
      <xdr:row>307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558355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9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.7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s="5" customFormat="1" ht="16.5" customHeight="1">
      <c r="A3" s="119" t="s">
        <v>14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4"/>
    </row>
    <row r="4" spans="1:13" s="5" customFormat="1" ht="15.7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4"/>
    </row>
    <row r="5" spans="1:13" s="5" customFormat="1" ht="15.75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6"/>
    </row>
    <row r="6" spans="1:13" s="5" customFormat="1" ht="15.75">
      <c r="A6" s="119" t="s">
        <v>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4"/>
    </row>
    <row r="7" spans="1:13" s="5" customFormat="1" ht="15.75">
      <c r="A7" s="119" t="s">
        <v>288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4"/>
    </row>
    <row r="8" spans="1:12" ht="15.75">
      <c r="A8" s="109"/>
      <c r="B8" s="24"/>
      <c r="C8" s="40"/>
      <c r="D8" s="40"/>
      <c r="E8" s="40"/>
      <c r="F8" s="40"/>
      <c r="G8" s="40"/>
      <c r="H8" s="40"/>
      <c r="I8" s="40"/>
      <c r="J8" s="40"/>
      <c r="K8" s="24"/>
      <c r="L8" s="25" t="s">
        <v>289</v>
      </c>
    </row>
    <row r="9" spans="1:13" s="7" customFormat="1" ht="15.75">
      <c r="A9" s="27" t="s">
        <v>239</v>
      </c>
      <c r="B9" s="26"/>
      <c r="C9" s="41"/>
      <c r="D9" s="41"/>
      <c r="E9" s="41"/>
      <c r="F9" s="41"/>
      <c r="G9" s="41"/>
      <c r="H9" s="41"/>
      <c r="I9" s="41"/>
      <c r="J9" s="41"/>
      <c r="K9" s="42"/>
      <c r="L9" s="30">
        <v>1</v>
      </c>
      <c r="M9" s="8"/>
    </row>
    <row r="10" spans="1:13" s="7" customFormat="1" ht="15.75">
      <c r="A10" s="11"/>
      <c r="B10" s="12"/>
      <c r="C10" s="13" t="s">
        <v>3</v>
      </c>
      <c r="D10" s="13" t="s">
        <v>3</v>
      </c>
      <c r="E10" s="121" t="s">
        <v>4</v>
      </c>
      <c r="F10" s="122"/>
      <c r="G10" s="123"/>
      <c r="H10" s="13" t="s">
        <v>18</v>
      </c>
      <c r="I10" s="121" t="s">
        <v>5</v>
      </c>
      <c r="J10" s="122"/>
      <c r="K10" s="122"/>
      <c r="L10" s="14" t="s">
        <v>18</v>
      </c>
      <c r="M10" s="8"/>
    </row>
    <row r="11" spans="1:13" s="7" customFormat="1" ht="15.75">
      <c r="A11" s="15" t="s">
        <v>23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7"/>
      <c r="I11" s="16" t="s">
        <v>9</v>
      </c>
      <c r="J11" s="16" t="s">
        <v>10</v>
      </c>
      <c r="K11" s="16" t="s">
        <v>11</v>
      </c>
      <c r="L11" s="18"/>
      <c r="M11" s="8"/>
    </row>
    <row r="12" spans="1:13" s="7" customFormat="1" ht="15.75">
      <c r="A12" s="19"/>
      <c r="B12" s="20"/>
      <c r="C12" s="20"/>
      <c r="D12" s="21" t="s">
        <v>12</v>
      </c>
      <c r="E12" s="21"/>
      <c r="F12" s="21" t="s">
        <v>13</v>
      </c>
      <c r="G12" s="21" t="s">
        <v>17</v>
      </c>
      <c r="H12" s="22" t="s">
        <v>19</v>
      </c>
      <c r="I12" s="21"/>
      <c r="J12" s="21" t="s">
        <v>20</v>
      </c>
      <c r="K12" s="21" t="s">
        <v>21</v>
      </c>
      <c r="L12" s="23" t="s">
        <v>22</v>
      </c>
      <c r="M12" s="8"/>
    </row>
    <row r="13" spans="1:13" s="7" customFormat="1" ht="14.25" customHeight="1">
      <c r="A13" s="47"/>
      <c r="B13" s="48" t="s">
        <v>15</v>
      </c>
      <c r="C13" s="79">
        <f>C14+C25+C29+C35+C62+C86+C100+C107+C119+C128+C148+C168+C177+C186+C192+C197+C208+C218+C237+C241+C256+C267+C271+C273+C286+C292+C298</f>
        <v>95076963081</v>
      </c>
      <c r="D13" s="79">
        <f>D14+D25+D29+D35+D62+D86+D100+D107+D119+D128+D148+D168+D177+D186+D192+D197+D208+D218+D237+D241+D256+D267+D271+D273+D286+D292+D298</f>
        <v>108198141993.98003</v>
      </c>
      <c r="E13" s="79">
        <f>E14+E25+E29+E35+E62+E86+E100+E107+E119+E128+E148+E168+E177+E186+E192+E197+E208+E218+E237+E241+E256+E267+E271+E273+E286+E292+E298</f>
        <v>13988757844.559998</v>
      </c>
      <c r="F13" s="79">
        <f>F14+F25+F29+F35+F62+F86+F100+F107+F119+F128+F148+F168+F177+F186+F192+F197+F208+F218+F237+F241+F256+F267+F271+F273+F286+F292+F298</f>
        <v>78229165557.90002</v>
      </c>
      <c r="G13" s="49">
        <f aca="true" t="shared" si="0" ref="G13:G76">(F13/$F$303)*100</f>
        <v>93.29317572135648</v>
      </c>
      <c r="H13" s="80">
        <f>D13-F13</f>
        <v>29968976436.08</v>
      </c>
      <c r="I13" s="80">
        <f>I14+I25+I29+I35+I62+I86+I100+I107+I119+I128+I148+I168+I177+I186+I192+I197+I208+I218+I237+I241+I256+I267+I271+I273+I286+I292+I298</f>
        <v>15360423814.880001</v>
      </c>
      <c r="J13" s="80">
        <f>J14+J25+J29+J35+J62+J86+J100+J107+J119+J128+J148+J168+J177+J186+J192+J197+J208+J218+J237+J241+J256+J267+J271+J273+J286+J292+J298</f>
        <v>72835672571.79999</v>
      </c>
      <c r="K13" s="49">
        <f aca="true" t="shared" si="1" ref="K13:K76">(J13/$J$303)*100</f>
        <v>93.05365786391205</v>
      </c>
      <c r="L13" s="97">
        <f>D13-J13</f>
        <v>35362469422.18004</v>
      </c>
      <c r="M13" s="8"/>
    </row>
    <row r="14" spans="1:13" s="7" customFormat="1" ht="14.25" customHeight="1">
      <c r="A14" s="47" t="s">
        <v>25</v>
      </c>
      <c r="B14" s="50" t="s">
        <v>24</v>
      </c>
      <c r="C14" s="81">
        <f>SUM(C15:C24)</f>
        <v>2428344972</v>
      </c>
      <c r="D14" s="81">
        <f>SUM(D15:D24)</f>
        <v>2379592556</v>
      </c>
      <c r="E14" s="81">
        <f>SUM(E15:E24)</f>
        <v>13232374.710000038</v>
      </c>
      <c r="F14" s="81">
        <f>SUM(F15:F24)</f>
        <v>1728212957.29</v>
      </c>
      <c r="G14" s="49">
        <f t="shared" si="0"/>
        <v>2.0610021078270235</v>
      </c>
      <c r="H14" s="81">
        <f aca="true" t="shared" si="2" ref="H14:H77">D14-F14</f>
        <v>651379598.71</v>
      </c>
      <c r="I14" s="81">
        <f>SUM(I15:I24)</f>
        <v>267815112.26000008</v>
      </c>
      <c r="J14" s="81">
        <f>SUM(J15:J24)</f>
        <v>1355293573</v>
      </c>
      <c r="K14" s="51">
        <f t="shared" si="1"/>
        <v>1.731500787924752</v>
      </c>
      <c r="L14" s="84">
        <f aca="true" t="shared" si="3" ref="L14:L77">D14-J14</f>
        <v>1024298983</v>
      </c>
      <c r="M14" s="8"/>
    </row>
    <row r="15" spans="1:13" s="7" customFormat="1" ht="14.25" customHeight="1">
      <c r="A15" s="52" t="s">
        <v>26</v>
      </c>
      <c r="B15" s="53" t="s">
        <v>31</v>
      </c>
      <c r="C15" s="82">
        <v>195099712</v>
      </c>
      <c r="D15" s="82">
        <v>196180142</v>
      </c>
      <c r="E15" s="82">
        <f>F15-7955059.21</f>
        <v>0</v>
      </c>
      <c r="F15" s="82">
        <v>7955059.21</v>
      </c>
      <c r="G15" s="55">
        <f t="shared" si="0"/>
        <v>0.009486905957127117</v>
      </c>
      <c r="H15" s="82">
        <f t="shared" si="2"/>
        <v>188225082.79</v>
      </c>
      <c r="I15" s="82">
        <f>J15-7263668.74</f>
        <v>283003.54000000004</v>
      </c>
      <c r="J15" s="82">
        <v>7546672.28</v>
      </c>
      <c r="K15" s="56">
        <f t="shared" si="1"/>
        <v>0.009641504438116216</v>
      </c>
      <c r="L15" s="85">
        <f t="shared" si="3"/>
        <v>188633469.72</v>
      </c>
      <c r="M15" s="8"/>
    </row>
    <row r="16" spans="1:13" s="7" customFormat="1" ht="14.25" customHeight="1">
      <c r="A16" s="52" t="s">
        <v>27</v>
      </c>
      <c r="B16" s="53" t="s">
        <v>32</v>
      </c>
      <c r="C16" s="82">
        <v>42840050</v>
      </c>
      <c r="D16" s="82">
        <v>42840050</v>
      </c>
      <c r="E16" s="82">
        <f>F16-3701660.82</f>
        <v>1819960.0000000005</v>
      </c>
      <c r="F16" s="82">
        <v>5521620.82</v>
      </c>
      <c r="G16" s="56">
        <f t="shared" si="0"/>
        <v>0.0065848783858712635</v>
      </c>
      <c r="H16" s="82">
        <f t="shared" si="2"/>
        <v>37318429.18</v>
      </c>
      <c r="I16" s="82">
        <f>J16-2428165.88</f>
        <v>148083.89000000013</v>
      </c>
      <c r="J16" s="82">
        <v>2576249.77</v>
      </c>
      <c r="K16" s="56">
        <f t="shared" si="1"/>
        <v>0.0032913743527698117</v>
      </c>
      <c r="L16" s="85">
        <f t="shared" si="3"/>
        <v>40263800.23</v>
      </c>
      <c r="M16" s="8"/>
    </row>
    <row r="17" spans="1:13" s="7" customFormat="1" ht="14.25" customHeight="1">
      <c r="A17" s="52" t="s">
        <v>28</v>
      </c>
      <c r="B17" s="53" t="s">
        <v>33</v>
      </c>
      <c r="C17" s="82">
        <v>2080625239</v>
      </c>
      <c r="D17" s="82">
        <v>2032825963</v>
      </c>
      <c r="E17" s="82">
        <f>F17-1676197302</f>
        <v>6508209.710000038</v>
      </c>
      <c r="F17" s="82">
        <v>1682705511.71</v>
      </c>
      <c r="G17" s="56">
        <f t="shared" si="0"/>
        <v>2.0067316309933836</v>
      </c>
      <c r="H17" s="82">
        <f t="shared" si="2"/>
        <v>350120451.28999996</v>
      </c>
      <c r="I17" s="82">
        <f>J17-1068046350.59</f>
        <v>266210438.31000006</v>
      </c>
      <c r="J17" s="82">
        <v>1334256788.9</v>
      </c>
      <c r="K17" s="56">
        <f t="shared" si="1"/>
        <v>1.7046245384019831</v>
      </c>
      <c r="L17" s="85">
        <f t="shared" si="3"/>
        <v>698569174.0999999</v>
      </c>
      <c r="M17" s="8"/>
    </row>
    <row r="18" spans="1:13" s="7" customFormat="1" ht="14.25" customHeight="1">
      <c r="A18" s="52" t="s">
        <v>50</v>
      </c>
      <c r="B18" s="53" t="s">
        <v>57</v>
      </c>
      <c r="C18" s="82">
        <v>71962647</v>
      </c>
      <c r="D18" s="82">
        <v>71962647</v>
      </c>
      <c r="E18" s="82">
        <f>F18-23386010.84</f>
        <v>3437885.1400000006</v>
      </c>
      <c r="F18" s="82">
        <v>26823895.98</v>
      </c>
      <c r="G18" s="56">
        <f t="shared" si="0"/>
        <v>0.031989174668383163</v>
      </c>
      <c r="H18" s="82">
        <f t="shared" si="2"/>
        <v>45138751.019999996</v>
      </c>
      <c r="I18" s="82">
        <f>J18-8020204.51</f>
        <v>402934.6899999995</v>
      </c>
      <c r="J18" s="82">
        <v>8423139.2</v>
      </c>
      <c r="K18" s="56">
        <f t="shared" si="1"/>
        <v>0.010761264166047856</v>
      </c>
      <c r="L18" s="85">
        <f t="shared" si="3"/>
        <v>63539507.8</v>
      </c>
      <c r="M18" s="8"/>
    </row>
    <row r="19" spans="1:13" s="7" customFormat="1" ht="14.25" customHeight="1">
      <c r="A19" s="52" t="s">
        <v>29</v>
      </c>
      <c r="B19" s="53" t="s">
        <v>34</v>
      </c>
      <c r="C19" s="82">
        <v>34283069</v>
      </c>
      <c r="D19" s="82">
        <v>34283069</v>
      </c>
      <c r="E19" s="82">
        <f>F19-3740549.71</f>
        <v>1466319.8600000003</v>
      </c>
      <c r="F19" s="82">
        <v>5206869.57</v>
      </c>
      <c r="G19" s="56">
        <f t="shared" si="0"/>
        <v>0.006209517822258537</v>
      </c>
      <c r="H19" s="82">
        <f t="shared" si="2"/>
        <v>29076199.43</v>
      </c>
      <c r="I19" s="82">
        <f>J19-1720071.02</f>
        <v>770651.8300000001</v>
      </c>
      <c r="J19" s="82">
        <v>2490722.85</v>
      </c>
      <c r="K19" s="56">
        <f t="shared" si="1"/>
        <v>0.0031821065658349306</v>
      </c>
      <c r="L19" s="85">
        <f t="shared" si="3"/>
        <v>31792346.15</v>
      </c>
      <c r="M19" s="8"/>
    </row>
    <row r="20" spans="1:13" s="7" customFormat="1" ht="14.25" customHeight="1">
      <c r="A20" s="52" t="s">
        <v>164</v>
      </c>
      <c r="B20" s="53" t="s">
        <v>165</v>
      </c>
      <c r="C20" s="82">
        <v>0</v>
      </c>
      <c r="D20" s="82">
        <v>0</v>
      </c>
      <c r="E20" s="82">
        <f>F20-0</f>
        <v>0</v>
      </c>
      <c r="F20" s="82">
        <v>0</v>
      </c>
      <c r="G20" s="56">
        <f t="shared" si="0"/>
        <v>0</v>
      </c>
      <c r="H20" s="82">
        <f t="shared" si="2"/>
        <v>0</v>
      </c>
      <c r="I20" s="82">
        <f>J20-0</f>
        <v>0</v>
      </c>
      <c r="J20" s="82">
        <v>0</v>
      </c>
      <c r="K20" s="56">
        <f t="shared" si="1"/>
        <v>0</v>
      </c>
      <c r="L20" s="85">
        <f t="shared" si="3"/>
        <v>0</v>
      </c>
      <c r="M20" s="8"/>
    </row>
    <row r="21" spans="1:13" s="7" customFormat="1" ht="14.25" customHeight="1">
      <c r="A21" s="52" t="s">
        <v>117</v>
      </c>
      <c r="B21" s="53" t="s">
        <v>124</v>
      </c>
      <c r="C21" s="82">
        <v>244762</v>
      </c>
      <c r="D21" s="82">
        <v>244762</v>
      </c>
      <c r="E21" s="82">
        <f>F21-0</f>
        <v>0</v>
      </c>
      <c r="F21" s="82">
        <v>0</v>
      </c>
      <c r="G21" s="56">
        <f t="shared" si="0"/>
        <v>0</v>
      </c>
      <c r="H21" s="82">
        <f t="shared" si="2"/>
        <v>244762</v>
      </c>
      <c r="I21" s="82">
        <f>J21-0</f>
        <v>0</v>
      </c>
      <c r="J21" s="82">
        <v>0</v>
      </c>
      <c r="K21" s="56">
        <f t="shared" si="1"/>
        <v>0</v>
      </c>
      <c r="L21" s="85">
        <f t="shared" si="3"/>
        <v>244762</v>
      </c>
      <c r="M21" s="8"/>
    </row>
    <row r="22" spans="1:13" s="7" customFormat="1" ht="14.25" customHeight="1">
      <c r="A22" s="52" t="s">
        <v>53</v>
      </c>
      <c r="B22" s="53" t="s">
        <v>60</v>
      </c>
      <c r="C22" s="82">
        <v>1125000</v>
      </c>
      <c r="D22" s="82">
        <v>1125000</v>
      </c>
      <c r="E22" s="82">
        <v>0</v>
      </c>
      <c r="F22" s="82">
        <v>0</v>
      </c>
      <c r="G22" s="56">
        <f t="shared" si="0"/>
        <v>0</v>
      </c>
      <c r="H22" s="82">
        <f t="shared" si="2"/>
        <v>1125000</v>
      </c>
      <c r="I22" s="82">
        <f>J22-0</f>
        <v>0</v>
      </c>
      <c r="J22" s="82">
        <v>0</v>
      </c>
      <c r="K22" s="56">
        <f t="shared" si="1"/>
        <v>0</v>
      </c>
      <c r="L22" s="85">
        <f t="shared" si="3"/>
        <v>1125000</v>
      </c>
      <c r="M22" s="8"/>
    </row>
    <row r="23" spans="1:13" s="7" customFormat="1" ht="14.25" customHeight="1">
      <c r="A23" s="52" t="s">
        <v>30</v>
      </c>
      <c r="B23" s="53" t="s">
        <v>35</v>
      </c>
      <c r="C23" s="82">
        <v>130923</v>
      </c>
      <c r="D23" s="82">
        <v>130923</v>
      </c>
      <c r="E23" s="82">
        <f>F23-0</f>
        <v>0</v>
      </c>
      <c r="F23" s="82">
        <v>0</v>
      </c>
      <c r="G23" s="56">
        <f t="shared" si="0"/>
        <v>0</v>
      </c>
      <c r="H23" s="82">
        <f t="shared" si="2"/>
        <v>130923</v>
      </c>
      <c r="I23" s="82">
        <f>J23-0</f>
        <v>0</v>
      </c>
      <c r="J23" s="82">
        <v>0</v>
      </c>
      <c r="K23" s="56">
        <f t="shared" si="1"/>
        <v>0</v>
      </c>
      <c r="L23" s="85">
        <f t="shared" si="3"/>
        <v>130923</v>
      </c>
      <c r="M23" s="8"/>
    </row>
    <row r="24" spans="1:13" s="7" customFormat="1" ht="14.25" customHeight="1">
      <c r="A24" s="52" t="s">
        <v>160</v>
      </c>
      <c r="B24" s="53" t="s">
        <v>161</v>
      </c>
      <c r="C24" s="82">
        <v>2033570</v>
      </c>
      <c r="D24" s="82">
        <v>0</v>
      </c>
      <c r="E24" s="82">
        <f>F24-0</f>
        <v>0</v>
      </c>
      <c r="F24" s="82">
        <v>0</v>
      </c>
      <c r="G24" s="56">
        <f t="shared" si="0"/>
        <v>0</v>
      </c>
      <c r="H24" s="82">
        <f t="shared" si="2"/>
        <v>0</v>
      </c>
      <c r="I24" s="82">
        <f>J24-0</f>
        <v>0</v>
      </c>
      <c r="J24" s="82">
        <v>0</v>
      </c>
      <c r="K24" s="56">
        <f t="shared" si="1"/>
        <v>0</v>
      </c>
      <c r="L24" s="85">
        <f t="shared" si="3"/>
        <v>0</v>
      </c>
      <c r="M24" s="8"/>
    </row>
    <row r="25" spans="1:13" s="7" customFormat="1" ht="14.25" customHeight="1">
      <c r="A25" s="47" t="s">
        <v>36</v>
      </c>
      <c r="B25" s="50" t="s">
        <v>37</v>
      </c>
      <c r="C25" s="81">
        <f>SUM(C26:C28)</f>
        <v>6209017708</v>
      </c>
      <c r="D25" s="81">
        <f>SUM(D26:D28)</f>
        <v>6461995976</v>
      </c>
      <c r="E25" s="81">
        <f>SUM(E26:E27)</f>
        <v>890671535.3500001</v>
      </c>
      <c r="F25" s="81">
        <f>SUM(F26:F28)</f>
        <v>5193863860.58</v>
      </c>
      <c r="G25" s="56">
        <f t="shared" si="0"/>
        <v>6.194007699842582</v>
      </c>
      <c r="H25" s="81">
        <f t="shared" si="2"/>
        <v>1268132115.42</v>
      </c>
      <c r="I25" s="81">
        <f>SUM(I26:I28)</f>
        <v>1031000281.77</v>
      </c>
      <c r="J25" s="81">
        <f>SUM(J26:J28)</f>
        <v>4857566747.57</v>
      </c>
      <c r="K25" s="51">
        <f t="shared" si="1"/>
        <v>6.205947418607384</v>
      </c>
      <c r="L25" s="84">
        <f t="shared" si="3"/>
        <v>1604429228.4300003</v>
      </c>
      <c r="M25" s="8"/>
    </row>
    <row r="26" spans="1:13" s="7" customFormat="1" ht="14.25" customHeight="1">
      <c r="A26" s="52" t="s">
        <v>38</v>
      </c>
      <c r="B26" s="53" t="s">
        <v>40</v>
      </c>
      <c r="C26" s="82">
        <v>2099154732</v>
      </c>
      <c r="D26" s="82">
        <v>2352133000</v>
      </c>
      <c r="E26" s="82">
        <f>F26-1683273390.09</f>
        <v>246374775.12000012</v>
      </c>
      <c r="F26" s="82">
        <v>1929648165.21</v>
      </c>
      <c r="G26" s="56">
        <f t="shared" si="0"/>
        <v>2.3012261996338004</v>
      </c>
      <c r="H26" s="82">
        <f t="shared" si="2"/>
        <v>422484834.78999996</v>
      </c>
      <c r="I26" s="82">
        <f>J26-1206647530.66</f>
        <v>386703521.53999996</v>
      </c>
      <c r="J26" s="82">
        <v>1593351052.2</v>
      </c>
      <c r="K26" s="56">
        <f t="shared" si="1"/>
        <v>2.035639109700871</v>
      </c>
      <c r="L26" s="85">
        <f t="shared" si="3"/>
        <v>758781947.8</v>
      </c>
      <c r="M26" s="8"/>
    </row>
    <row r="27" spans="1:13" s="7" customFormat="1" ht="14.25" customHeight="1">
      <c r="A27" s="52" t="s">
        <v>28</v>
      </c>
      <c r="B27" s="53" t="s">
        <v>33</v>
      </c>
      <c r="C27" s="82">
        <v>4109656000</v>
      </c>
      <c r="D27" s="82">
        <v>4109656000</v>
      </c>
      <c r="E27" s="82">
        <f>F27-2619918935.14</f>
        <v>644296760.23</v>
      </c>
      <c r="F27" s="82">
        <v>3264215695.37</v>
      </c>
      <c r="G27" s="56">
        <f t="shared" si="0"/>
        <v>3.892781500208782</v>
      </c>
      <c r="H27" s="82">
        <f t="shared" si="2"/>
        <v>845440304.6300001</v>
      </c>
      <c r="I27" s="82">
        <f>J27-2619918935.14</f>
        <v>644296760.23</v>
      </c>
      <c r="J27" s="82">
        <v>3264215695.37</v>
      </c>
      <c r="K27" s="56">
        <f t="shared" si="1"/>
        <v>4.170308308906513</v>
      </c>
      <c r="L27" s="85">
        <f t="shared" si="3"/>
        <v>845440304.6300001</v>
      </c>
      <c r="M27" s="8"/>
    </row>
    <row r="28" spans="1:13" s="7" customFormat="1" ht="14.25" customHeight="1">
      <c r="A28" s="52" t="s">
        <v>117</v>
      </c>
      <c r="B28" s="53" t="s">
        <v>124</v>
      </c>
      <c r="C28" s="82">
        <v>206976</v>
      </c>
      <c r="D28" s="82">
        <v>206976</v>
      </c>
      <c r="E28" s="82">
        <f>F28-0</f>
        <v>0</v>
      </c>
      <c r="F28" s="82">
        <v>0</v>
      </c>
      <c r="G28" s="56">
        <f t="shared" si="0"/>
        <v>0</v>
      </c>
      <c r="H28" s="82">
        <f t="shared" si="2"/>
        <v>206976</v>
      </c>
      <c r="I28" s="82">
        <f>J28-0</f>
        <v>0</v>
      </c>
      <c r="J28" s="82">
        <v>0</v>
      </c>
      <c r="K28" s="56">
        <f t="shared" si="1"/>
        <v>0</v>
      </c>
      <c r="L28" s="85">
        <f t="shared" si="3"/>
        <v>206976</v>
      </c>
      <c r="M28" s="8"/>
    </row>
    <row r="29" spans="1:13" s="7" customFormat="1" ht="14.25" customHeight="1">
      <c r="A29" s="47" t="s">
        <v>42</v>
      </c>
      <c r="B29" s="50" t="s">
        <v>43</v>
      </c>
      <c r="C29" s="81">
        <f>SUM(C30:C34)</f>
        <v>3872974293</v>
      </c>
      <c r="D29" s="81">
        <f>SUM(D30:D34)</f>
        <v>4400405044.950001</v>
      </c>
      <c r="E29" s="81">
        <f>SUM(E30:E34)</f>
        <v>253648089.5000002</v>
      </c>
      <c r="F29" s="81">
        <f>SUM(F30:F34)</f>
        <v>3216646727.6099997</v>
      </c>
      <c r="G29" s="51">
        <f t="shared" si="0"/>
        <v>3.836052529159837</v>
      </c>
      <c r="H29" s="81">
        <f t="shared" si="2"/>
        <v>1183758317.340001</v>
      </c>
      <c r="I29" s="81">
        <f>SUM(I30:I34)</f>
        <v>616138545.7299998</v>
      </c>
      <c r="J29" s="81">
        <f>SUM(J30:J34)</f>
        <v>2798952381.1099997</v>
      </c>
      <c r="K29" s="51">
        <f t="shared" si="1"/>
        <v>3.5758955475071996</v>
      </c>
      <c r="L29" s="84">
        <f t="shared" si="3"/>
        <v>1601452663.840001</v>
      </c>
      <c r="M29" s="8"/>
    </row>
    <row r="30" spans="1:13" s="7" customFormat="1" ht="14.25" customHeight="1">
      <c r="A30" s="52" t="s">
        <v>44</v>
      </c>
      <c r="B30" s="53" t="s">
        <v>45</v>
      </c>
      <c r="C30" s="82">
        <v>108062800</v>
      </c>
      <c r="D30" s="82">
        <v>108062800</v>
      </c>
      <c r="E30" s="82">
        <f>F30-19169693.18</f>
        <v>16418373.149999999</v>
      </c>
      <c r="F30" s="82">
        <v>35588066.33</v>
      </c>
      <c r="G30" s="56">
        <f t="shared" si="0"/>
        <v>0.04244099629633203</v>
      </c>
      <c r="H30" s="82">
        <f t="shared" si="2"/>
        <v>72474733.67</v>
      </c>
      <c r="I30" s="82">
        <f>J30-9094498.35</f>
        <v>15743851.88</v>
      </c>
      <c r="J30" s="82">
        <v>24838350.23</v>
      </c>
      <c r="K30" s="56">
        <f t="shared" si="1"/>
        <v>0.03173306791295168</v>
      </c>
      <c r="L30" s="85">
        <f t="shared" si="3"/>
        <v>83224449.77</v>
      </c>
      <c r="M30" s="8"/>
    </row>
    <row r="31" spans="1:13" s="7" customFormat="1" ht="14.25" customHeight="1">
      <c r="A31" s="52" t="s">
        <v>228</v>
      </c>
      <c r="B31" s="53" t="s">
        <v>229</v>
      </c>
      <c r="C31" s="82">
        <v>650000</v>
      </c>
      <c r="D31" s="82">
        <v>1078984.58</v>
      </c>
      <c r="E31" s="82">
        <f>F31-222381.5</f>
        <v>0</v>
      </c>
      <c r="F31" s="82">
        <v>222381.5</v>
      </c>
      <c r="G31" s="56">
        <f t="shared" si="0"/>
        <v>0.0002652038559880014</v>
      </c>
      <c r="H31" s="82">
        <f t="shared" si="2"/>
        <v>856603.0800000001</v>
      </c>
      <c r="I31" s="82">
        <f>J31-117754.62</f>
        <v>67015.57</v>
      </c>
      <c r="J31" s="82">
        <v>184770.19</v>
      </c>
      <c r="K31" s="56">
        <f t="shared" si="1"/>
        <v>0.00023605935713384078</v>
      </c>
      <c r="L31" s="85">
        <f t="shared" si="3"/>
        <v>894214.3900000001</v>
      </c>
      <c r="M31" s="8"/>
    </row>
    <row r="32" spans="1:13" s="7" customFormat="1" ht="14.25" customHeight="1">
      <c r="A32" s="52" t="s">
        <v>28</v>
      </c>
      <c r="B32" s="53" t="s">
        <v>33</v>
      </c>
      <c r="C32" s="82">
        <v>3610965887</v>
      </c>
      <c r="D32" s="82">
        <v>3944966995.28</v>
      </c>
      <c r="E32" s="82">
        <f>F32-2828480872.12</f>
        <v>215162597.8000002</v>
      </c>
      <c r="F32" s="82">
        <v>3043643469.92</v>
      </c>
      <c r="G32" s="56">
        <f t="shared" si="0"/>
        <v>3.629735317350969</v>
      </c>
      <c r="H32" s="82">
        <f t="shared" si="2"/>
        <v>901323525.3600001</v>
      </c>
      <c r="I32" s="82">
        <f>J32-2077317766.71</f>
        <v>571005419.7399998</v>
      </c>
      <c r="J32" s="82">
        <v>2648323186.45</v>
      </c>
      <c r="K32" s="56">
        <f t="shared" si="1"/>
        <v>3.383454164743954</v>
      </c>
      <c r="L32" s="85">
        <f t="shared" si="3"/>
        <v>1296643808.8300004</v>
      </c>
      <c r="M32" s="8"/>
    </row>
    <row r="33" spans="1:13" s="7" customFormat="1" ht="14.25" customHeight="1">
      <c r="A33" s="52" t="s">
        <v>50</v>
      </c>
      <c r="B33" s="53" t="s">
        <v>267</v>
      </c>
      <c r="C33" s="82">
        <v>47974100</v>
      </c>
      <c r="D33" s="82">
        <v>118084265.51</v>
      </c>
      <c r="E33" s="82">
        <f>F33-34099755.95</f>
        <v>-1106913.5400000028</v>
      </c>
      <c r="F33" s="82">
        <v>32992842.41</v>
      </c>
      <c r="G33" s="56">
        <f t="shared" si="0"/>
        <v>0.039346029355573485</v>
      </c>
      <c r="H33" s="82">
        <f t="shared" si="2"/>
        <v>85091423.10000001</v>
      </c>
      <c r="I33" s="82">
        <f>J33-18863913.43</f>
        <v>5153249.77</v>
      </c>
      <c r="J33" s="82">
        <v>24017163.2</v>
      </c>
      <c r="K33" s="56">
        <f t="shared" si="1"/>
        <v>0.03068393286368617</v>
      </c>
      <c r="L33" s="85">
        <f t="shared" si="3"/>
        <v>94067102.31</v>
      </c>
      <c r="M33" s="8"/>
    </row>
    <row r="34" spans="1:13" s="7" customFormat="1" ht="14.25" customHeight="1">
      <c r="A34" s="52" t="s">
        <v>29</v>
      </c>
      <c r="B34" s="53" t="s">
        <v>34</v>
      </c>
      <c r="C34" s="82">
        <v>105321506</v>
      </c>
      <c r="D34" s="82">
        <v>228211999.58</v>
      </c>
      <c r="E34" s="82">
        <f>F34-81025935.36</f>
        <v>23174032.090000004</v>
      </c>
      <c r="F34" s="82">
        <v>104199967.45</v>
      </c>
      <c r="G34" s="56">
        <f t="shared" si="0"/>
        <v>0.12426498230097482</v>
      </c>
      <c r="H34" s="82">
        <f t="shared" si="2"/>
        <v>124012032.13000001</v>
      </c>
      <c r="I34" s="82">
        <f>J34-77419902.27</f>
        <v>24169008.77000001</v>
      </c>
      <c r="J34" s="82">
        <v>101588911.04</v>
      </c>
      <c r="K34" s="56">
        <f t="shared" si="1"/>
        <v>0.1297883226294747</v>
      </c>
      <c r="L34" s="85">
        <f t="shared" si="3"/>
        <v>126623088.54</v>
      </c>
      <c r="M34" s="8"/>
    </row>
    <row r="35" spans="1:13" s="7" customFormat="1" ht="14.25" customHeight="1">
      <c r="A35" s="47" t="s">
        <v>46</v>
      </c>
      <c r="B35" s="50" t="s">
        <v>47</v>
      </c>
      <c r="C35" s="81">
        <f>SUM(C36:C61)</f>
        <v>5748722456</v>
      </c>
      <c r="D35" s="81">
        <f>SUM(D36:D61)</f>
        <v>5444758937.27</v>
      </c>
      <c r="E35" s="81">
        <f>SUM(E36:E61)</f>
        <v>906983668.9699998</v>
      </c>
      <c r="F35" s="81">
        <f>SUM(F36:F61)</f>
        <v>3678463389.29</v>
      </c>
      <c r="G35" s="51">
        <f t="shared" si="0"/>
        <v>4.386797799953687</v>
      </c>
      <c r="H35" s="81">
        <f t="shared" si="2"/>
        <v>1766295547.9800005</v>
      </c>
      <c r="I35" s="81">
        <f>SUM(I36:I61)</f>
        <v>849401556.5300003</v>
      </c>
      <c r="J35" s="81">
        <f>SUM(J36:J61)</f>
        <v>3444811013.62</v>
      </c>
      <c r="K35" s="51">
        <f t="shared" si="1"/>
        <v>4.40103391852718</v>
      </c>
      <c r="L35" s="84">
        <f t="shared" si="3"/>
        <v>1999947923.6500006</v>
      </c>
      <c r="M35" s="8"/>
    </row>
    <row r="36" spans="1:13" s="7" customFormat="1" ht="14.25" customHeight="1">
      <c r="A36" s="52" t="s">
        <v>48</v>
      </c>
      <c r="B36" s="53" t="s">
        <v>55</v>
      </c>
      <c r="C36" s="82">
        <v>21240154</v>
      </c>
      <c r="D36" s="82">
        <v>498261.58</v>
      </c>
      <c r="E36" s="82">
        <f>F36-0</f>
        <v>0</v>
      </c>
      <c r="F36" s="82">
        <v>0</v>
      </c>
      <c r="G36" s="56">
        <f t="shared" si="0"/>
        <v>0</v>
      </c>
      <c r="H36" s="82">
        <f t="shared" si="2"/>
        <v>498261.58</v>
      </c>
      <c r="I36" s="82">
        <f>J36-0</f>
        <v>0</v>
      </c>
      <c r="J36" s="82">
        <v>0</v>
      </c>
      <c r="K36" s="56">
        <f t="shared" si="1"/>
        <v>0</v>
      </c>
      <c r="L36" s="85">
        <f t="shared" si="3"/>
        <v>498261.58</v>
      </c>
      <c r="M36" s="8"/>
    </row>
    <row r="37" spans="1:13" s="7" customFormat="1" ht="14.25" customHeight="1">
      <c r="A37" s="52" t="s">
        <v>28</v>
      </c>
      <c r="B37" s="53" t="s">
        <v>33</v>
      </c>
      <c r="C37" s="82">
        <v>3749331240</v>
      </c>
      <c r="D37" s="82">
        <v>3478466002.39</v>
      </c>
      <c r="E37" s="82">
        <f>F37-1572289293.42</f>
        <v>601653825</v>
      </c>
      <c r="F37" s="82">
        <v>2173943118.42</v>
      </c>
      <c r="G37" s="56">
        <f t="shared" si="0"/>
        <v>2.5925632199781203</v>
      </c>
      <c r="H37" s="82">
        <f t="shared" si="2"/>
        <v>1304522883.9699998</v>
      </c>
      <c r="I37" s="82">
        <f>J37-1444233951.81</f>
        <v>564912217.0700002</v>
      </c>
      <c r="J37" s="82">
        <v>2009146168.88</v>
      </c>
      <c r="K37" s="56">
        <f t="shared" si="1"/>
        <v>2.5668521151259944</v>
      </c>
      <c r="L37" s="85">
        <f t="shared" si="3"/>
        <v>1469319833.5099998</v>
      </c>
      <c r="M37" s="8"/>
    </row>
    <row r="38" spans="1:13" s="7" customFormat="1" ht="14.25" customHeight="1">
      <c r="A38" s="52" t="s">
        <v>39</v>
      </c>
      <c r="B38" s="53" t="s">
        <v>41</v>
      </c>
      <c r="C38" s="82">
        <v>23570810</v>
      </c>
      <c r="D38" s="82">
        <v>22489770.07</v>
      </c>
      <c r="E38" s="82">
        <f>F38-7435430.94</f>
        <v>3064612.079999999</v>
      </c>
      <c r="F38" s="82">
        <v>10500043.02</v>
      </c>
      <c r="G38" s="56">
        <f t="shared" si="0"/>
        <v>0.012521958422548185</v>
      </c>
      <c r="H38" s="82">
        <f t="shared" si="2"/>
        <v>11989727.05</v>
      </c>
      <c r="I38" s="82">
        <f>J38-5096903.98</f>
        <v>1674577.2199999997</v>
      </c>
      <c r="J38" s="82">
        <v>6771481.2</v>
      </c>
      <c r="K38" s="56">
        <f t="shared" si="1"/>
        <v>0.008651133058400215</v>
      </c>
      <c r="L38" s="85">
        <f t="shared" si="3"/>
        <v>15718288.870000001</v>
      </c>
      <c r="M38" s="8"/>
    </row>
    <row r="39" spans="1:13" s="7" customFormat="1" ht="14.25" customHeight="1">
      <c r="A39" s="52" t="s">
        <v>231</v>
      </c>
      <c r="B39" s="53" t="s">
        <v>230</v>
      </c>
      <c r="C39" s="82">
        <v>11175000</v>
      </c>
      <c r="D39" s="82">
        <v>13718862.02</v>
      </c>
      <c r="E39" s="82">
        <f>F39-461851.44</f>
        <v>2791557.81</v>
      </c>
      <c r="F39" s="82">
        <v>3253409.25</v>
      </c>
      <c r="G39" s="56">
        <f t="shared" si="0"/>
        <v>0.0038798941378083685</v>
      </c>
      <c r="H39" s="82">
        <f t="shared" si="2"/>
        <v>10465452.77</v>
      </c>
      <c r="I39" s="82">
        <f>J39-416706.45</f>
        <v>352354.52999999997</v>
      </c>
      <c r="J39" s="82">
        <v>769060.98</v>
      </c>
      <c r="K39" s="56">
        <f t="shared" si="1"/>
        <v>0.0009825396647344551</v>
      </c>
      <c r="L39" s="85">
        <f t="shared" si="3"/>
        <v>12949801.04</v>
      </c>
      <c r="M39" s="8"/>
    </row>
    <row r="40" spans="1:13" s="7" customFormat="1" ht="14.25" customHeight="1">
      <c r="A40" s="52" t="s">
        <v>49</v>
      </c>
      <c r="B40" s="53" t="s">
        <v>56</v>
      </c>
      <c r="C40" s="82">
        <v>1856752</v>
      </c>
      <c r="D40" s="82">
        <v>4967062.4</v>
      </c>
      <c r="E40" s="82">
        <f>F40-3929194.27</f>
        <v>531437.3999999999</v>
      </c>
      <c r="F40" s="82">
        <v>4460631.67</v>
      </c>
      <c r="G40" s="56">
        <f t="shared" si="0"/>
        <v>0.005319582424914834</v>
      </c>
      <c r="H40" s="82">
        <f t="shared" si="2"/>
        <v>506430.73000000045</v>
      </c>
      <c r="I40" s="82">
        <f>J40-2030079.24</f>
        <v>730615.7500000002</v>
      </c>
      <c r="J40" s="82">
        <v>2760694.99</v>
      </c>
      <c r="K40" s="56">
        <f t="shared" si="1"/>
        <v>0.0035270185335741387</v>
      </c>
      <c r="L40" s="85">
        <f t="shared" si="3"/>
        <v>2206367.41</v>
      </c>
      <c r="M40" s="8"/>
    </row>
    <row r="41" spans="1:13" s="7" customFormat="1" ht="14.25" customHeight="1">
      <c r="A41" s="52" t="s">
        <v>50</v>
      </c>
      <c r="B41" s="53" t="s">
        <v>57</v>
      </c>
      <c r="C41" s="82">
        <v>94674526</v>
      </c>
      <c r="D41" s="82">
        <v>116469446.36</v>
      </c>
      <c r="E41" s="82">
        <f>F41-52325136.85</f>
        <v>28154346.059999995</v>
      </c>
      <c r="F41" s="82">
        <v>80479482.91</v>
      </c>
      <c r="G41" s="56">
        <f t="shared" si="0"/>
        <v>0.09597681999470485</v>
      </c>
      <c r="H41" s="82">
        <f t="shared" si="2"/>
        <v>35989963.45</v>
      </c>
      <c r="I41" s="82">
        <f>J41-20843705.89</f>
        <v>12659982.61</v>
      </c>
      <c r="J41" s="82">
        <v>33503688.5</v>
      </c>
      <c r="K41" s="56">
        <f t="shared" si="1"/>
        <v>0.042803761629094245</v>
      </c>
      <c r="L41" s="85">
        <f t="shared" si="3"/>
        <v>82965757.86</v>
      </c>
      <c r="M41" s="8"/>
    </row>
    <row r="42" spans="1:13" s="7" customFormat="1" ht="14.25" customHeight="1">
      <c r="A42" s="52" t="s">
        <v>51</v>
      </c>
      <c r="B42" s="53" t="s">
        <v>58</v>
      </c>
      <c r="C42" s="82">
        <v>1135039</v>
      </c>
      <c r="D42" s="82">
        <v>1135039</v>
      </c>
      <c r="E42" s="82">
        <f>F42-0</f>
        <v>0</v>
      </c>
      <c r="F42" s="82">
        <v>0</v>
      </c>
      <c r="G42" s="56">
        <f t="shared" si="0"/>
        <v>0</v>
      </c>
      <c r="H42" s="82">
        <f t="shared" si="2"/>
        <v>1135039</v>
      </c>
      <c r="I42" s="82">
        <f aca="true" t="shared" si="4" ref="I42:I53">J42-0</f>
        <v>0</v>
      </c>
      <c r="J42" s="82">
        <v>0</v>
      </c>
      <c r="K42" s="56">
        <f t="shared" si="1"/>
        <v>0</v>
      </c>
      <c r="L42" s="85">
        <f t="shared" si="3"/>
        <v>1135039</v>
      </c>
      <c r="M42" s="8"/>
    </row>
    <row r="43" spans="1:13" s="7" customFormat="1" ht="14.25" customHeight="1">
      <c r="A43" s="52" t="s">
        <v>29</v>
      </c>
      <c r="B43" s="53" t="s">
        <v>34</v>
      </c>
      <c r="C43" s="82">
        <v>71049959</v>
      </c>
      <c r="D43" s="82">
        <v>8125261.96</v>
      </c>
      <c r="E43" s="82">
        <f>F43-828281.77</f>
        <v>103838.69999999995</v>
      </c>
      <c r="F43" s="82">
        <v>932120.47</v>
      </c>
      <c r="G43" s="56">
        <f t="shared" si="0"/>
        <v>0.0011116119951045755</v>
      </c>
      <c r="H43" s="82">
        <f t="shared" si="2"/>
        <v>7193141.49</v>
      </c>
      <c r="I43" s="82">
        <f>J43-626606.85</f>
        <v>16043.70000000007</v>
      </c>
      <c r="J43" s="82">
        <v>642650.55</v>
      </c>
      <c r="K43" s="56">
        <f t="shared" si="1"/>
        <v>0.0008210397775458759</v>
      </c>
      <c r="L43" s="85">
        <f t="shared" si="3"/>
        <v>7482611.41</v>
      </c>
      <c r="M43" s="8"/>
    </row>
    <row r="44" spans="1:13" s="7" customFormat="1" ht="14.25" customHeight="1">
      <c r="A44" s="52" t="s">
        <v>232</v>
      </c>
      <c r="B44" s="53" t="s">
        <v>233</v>
      </c>
      <c r="C44" s="82">
        <v>0</v>
      </c>
      <c r="D44" s="82">
        <v>0</v>
      </c>
      <c r="E44" s="82">
        <f>F44-0</f>
        <v>0</v>
      </c>
      <c r="F44" s="82">
        <v>0</v>
      </c>
      <c r="G44" s="56">
        <f t="shared" si="0"/>
        <v>0</v>
      </c>
      <c r="H44" s="82">
        <f t="shared" si="2"/>
        <v>0</v>
      </c>
      <c r="I44" s="82">
        <f t="shared" si="4"/>
        <v>0</v>
      </c>
      <c r="J44" s="82">
        <v>0</v>
      </c>
      <c r="K44" s="56">
        <f t="shared" si="1"/>
        <v>0</v>
      </c>
      <c r="L44" s="85">
        <f t="shared" si="3"/>
        <v>0</v>
      </c>
      <c r="M44" s="8"/>
    </row>
    <row r="45" spans="1:13" s="7" customFormat="1" ht="14.25" customHeight="1">
      <c r="A45" s="52" t="s">
        <v>235</v>
      </c>
      <c r="B45" s="53" t="s">
        <v>234</v>
      </c>
      <c r="C45" s="82">
        <v>16568654</v>
      </c>
      <c r="D45" s="82">
        <v>18021483.51</v>
      </c>
      <c r="E45" s="82">
        <f>F45-8956011.17</f>
        <v>3565770.3000000007</v>
      </c>
      <c r="F45" s="82">
        <v>12521781.47</v>
      </c>
      <c r="G45" s="56">
        <f t="shared" si="0"/>
        <v>0.014933008050054094</v>
      </c>
      <c r="H45" s="82">
        <f t="shared" si="2"/>
        <v>5499702.040000001</v>
      </c>
      <c r="I45" s="82">
        <f>J45-7379585.91</f>
        <v>3355967.1099999994</v>
      </c>
      <c r="J45" s="82">
        <v>10735553.02</v>
      </c>
      <c r="K45" s="56">
        <f t="shared" si="1"/>
        <v>0.013715566046543885</v>
      </c>
      <c r="L45" s="85">
        <f t="shared" si="3"/>
        <v>7285930.490000002</v>
      </c>
      <c r="M45" s="8"/>
    </row>
    <row r="46" spans="1:13" s="7" customFormat="1" ht="14.25" customHeight="1">
      <c r="A46" s="52" t="s">
        <v>164</v>
      </c>
      <c r="B46" s="53" t="s">
        <v>165</v>
      </c>
      <c r="C46" s="82">
        <v>15977813</v>
      </c>
      <c r="D46" s="82">
        <v>17371492.12</v>
      </c>
      <c r="E46" s="82">
        <f>F46-7270626.47</f>
        <v>2900237.8099999996</v>
      </c>
      <c r="F46" s="82">
        <v>10170864.28</v>
      </c>
      <c r="G46" s="56">
        <f t="shared" si="0"/>
        <v>0.012129392174198967</v>
      </c>
      <c r="H46" s="82">
        <f t="shared" si="2"/>
        <v>7200627.840000002</v>
      </c>
      <c r="I46" s="82">
        <f>J46-3879662.8</f>
        <v>2035446.0200000005</v>
      </c>
      <c r="J46" s="82">
        <v>5915108.82</v>
      </c>
      <c r="K46" s="56">
        <f t="shared" si="1"/>
        <v>0.007557045784419616</v>
      </c>
      <c r="L46" s="85">
        <f t="shared" si="3"/>
        <v>11456383.3</v>
      </c>
      <c r="M46" s="8"/>
    </row>
    <row r="47" spans="1:13" s="7" customFormat="1" ht="14.25" customHeight="1">
      <c r="A47" s="52" t="s">
        <v>66</v>
      </c>
      <c r="B47" s="53" t="s">
        <v>74</v>
      </c>
      <c r="C47" s="82">
        <v>125237</v>
      </c>
      <c r="D47" s="82">
        <v>334417.64</v>
      </c>
      <c r="E47" s="82">
        <f>F47-800.8</f>
        <v>0</v>
      </c>
      <c r="F47" s="82">
        <v>800.8</v>
      </c>
      <c r="G47" s="56">
        <f t="shared" si="0"/>
        <v>9.55004116238048E-07</v>
      </c>
      <c r="H47" s="82">
        <f t="shared" si="2"/>
        <v>333616.84</v>
      </c>
      <c r="I47" s="82">
        <f>J47-800.8</f>
        <v>0</v>
      </c>
      <c r="J47" s="82">
        <v>800.8</v>
      </c>
      <c r="K47" s="56">
        <f t="shared" si="1"/>
        <v>1.0230889148989872E-06</v>
      </c>
      <c r="L47" s="85">
        <f t="shared" si="3"/>
        <v>333616.84</v>
      </c>
      <c r="M47" s="8"/>
    </row>
    <row r="48" spans="1:13" s="7" customFormat="1" ht="14.25" customHeight="1">
      <c r="A48" s="52" t="s">
        <v>117</v>
      </c>
      <c r="B48" s="53" t="s">
        <v>124</v>
      </c>
      <c r="C48" s="82">
        <v>200000</v>
      </c>
      <c r="D48" s="82">
        <v>200000</v>
      </c>
      <c r="E48" s="82">
        <f>F48-0</f>
        <v>0</v>
      </c>
      <c r="F48" s="82">
        <v>0</v>
      </c>
      <c r="G48" s="56">
        <f t="shared" si="0"/>
        <v>0</v>
      </c>
      <c r="H48" s="82">
        <f t="shared" si="2"/>
        <v>200000</v>
      </c>
      <c r="I48" s="82">
        <f t="shared" si="4"/>
        <v>0</v>
      </c>
      <c r="J48" s="82">
        <v>0</v>
      </c>
      <c r="K48" s="56">
        <f t="shared" si="1"/>
        <v>0</v>
      </c>
      <c r="L48" s="85">
        <f t="shared" si="3"/>
        <v>200000</v>
      </c>
      <c r="M48" s="8"/>
    </row>
    <row r="49" spans="1:13" s="7" customFormat="1" ht="14.25" customHeight="1">
      <c r="A49" s="52" t="s">
        <v>69</v>
      </c>
      <c r="B49" s="53" t="s">
        <v>77</v>
      </c>
      <c r="C49" s="82">
        <v>100000</v>
      </c>
      <c r="D49" s="82">
        <v>100000</v>
      </c>
      <c r="E49" s="82">
        <f>F49-0</f>
        <v>0</v>
      </c>
      <c r="F49" s="82">
        <v>0</v>
      </c>
      <c r="G49" s="56">
        <f t="shared" si="0"/>
        <v>0</v>
      </c>
      <c r="H49" s="82">
        <f t="shared" si="2"/>
        <v>100000</v>
      </c>
      <c r="I49" s="82">
        <f t="shared" si="4"/>
        <v>0</v>
      </c>
      <c r="J49" s="82">
        <v>0</v>
      </c>
      <c r="K49" s="56">
        <f t="shared" si="1"/>
        <v>0</v>
      </c>
      <c r="L49" s="85">
        <f t="shared" si="3"/>
        <v>100000</v>
      </c>
      <c r="M49" s="8"/>
    </row>
    <row r="50" spans="1:13" s="7" customFormat="1" ht="14.25" customHeight="1">
      <c r="A50" s="52" t="s">
        <v>53</v>
      </c>
      <c r="B50" s="53" t="s">
        <v>60</v>
      </c>
      <c r="C50" s="82">
        <v>60000000</v>
      </c>
      <c r="D50" s="82">
        <v>50772000</v>
      </c>
      <c r="E50" s="82">
        <f>F50-50191272.48</f>
        <v>0</v>
      </c>
      <c r="F50" s="82">
        <v>50191272.48</v>
      </c>
      <c r="G50" s="56">
        <f t="shared" si="0"/>
        <v>0.05985623353849334</v>
      </c>
      <c r="H50" s="82">
        <f t="shared" si="2"/>
        <v>580727.5200000033</v>
      </c>
      <c r="I50" s="82">
        <f>J50-50191272.48</f>
        <v>0</v>
      </c>
      <c r="J50" s="82">
        <v>50191272.48</v>
      </c>
      <c r="K50" s="56">
        <f t="shared" si="1"/>
        <v>0.06412354457912411</v>
      </c>
      <c r="L50" s="85">
        <f t="shared" si="3"/>
        <v>580727.5200000033</v>
      </c>
      <c r="M50" s="8"/>
    </row>
    <row r="51" spans="1:13" s="7" customFormat="1" ht="14.25" customHeight="1">
      <c r="A51" s="101" t="s">
        <v>135</v>
      </c>
      <c r="B51" s="53" t="s">
        <v>136</v>
      </c>
      <c r="C51" s="82">
        <v>0</v>
      </c>
      <c r="D51" s="82">
        <v>0</v>
      </c>
      <c r="E51" s="82">
        <f>F51-0</f>
        <v>0</v>
      </c>
      <c r="F51" s="82">
        <v>0</v>
      </c>
      <c r="G51" s="56">
        <f t="shared" si="0"/>
        <v>0</v>
      </c>
      <c r="H51" s="82">
        <f t="shared" si="2"/>
        <v>0</v>
      </c>
      <c r="I51" s="82">
        <f t="shared" si="4"/>
        <v>0</v>
      </c>
      <c r="J51" s="82">
        <v>0</v>
      </c>
      <c r="K51" s="56">
        <f t="shared" si="1"/>
        <v>0</v>
      </c>
      <c r="L51" s="85">
        <f t="shared" si="3"/>
        <v>0</v>
      </c>
      <c r="M51" s="8"/>
    </row>
    <row r="52" spans="1:13" s="7" customFormat="1" ht="14.25" customHeight="1">
      <c r="A52" s="52" t="s">
        <v>151</v>
      </c>
      <c r="B52" s="53" t="s">
        <v>152</v>
      </c>
      <c r="C52" s="82">
        <v>7945423</v>
      </c>
      <c r="D52" s="82">
        <v>7945423</v>
      </c>
      <c r="E52" s="82">
        <f>F52-2663251.72</f>
        <v>0</v>
      </c>
      <c r="F52" s="82">
        <v>2663251.72</v>
      </c>
      <c r="G52" s="56">
        <f t="shared" si="0"/>
        <v>0.0031760943496229543</v>
      </c>
      <c r="H52" s="82">
        <f t="shared" si="2"/>
        <v>5282171.279999999</v>
      </c>
      <c r="I52" s="82">
        <f>J52-172762.6</f>
        <v>174903.19999999998</v>
      </c>
      <c r="J52" s="82">
        <v>347665.8</v>
      </c>
      <c r="K52" s="56">
        <f t="shared" si="1"/>
        <v>0.00044417211047638396</v>
      </c>
      <c r="L52" s="85">
        <f t="shared" si="3"/>
        <v>7597757.2</v>
      </c>
      <c r="M52" s="8"/>
    </row>
    <row r="53" spans="1:13" s="7" customFormat="1" ht="14.25" customHeight="1">
      <c r="A53" s="52" t="s">
        <v>139</v>
      </c>
      <c r="B53" s="53" t="s">
        <v>140</v>
      </c>
      <c r="C53" s="82">
        <v>1167625</v>
      </c>
      <c r="D53" s="82">
        <v>1167625</v>
      </c>
      <c r="E53" s="82">
        <f>F53-0</f>
        <v>0</v>
      </c>
      <c r="F53" s="82">
        <v>0</v>
      </c>
      <c r="G53" s="56">
        <f t="shared" si="0"/>
        <v>0</v>
      </c>
      <c r="H53" s="82">
        <f t="shared" si="2"/>
        <v>1167625</v>
      </c>
      <c r="I53" s="82">
        <f t="shared" si="4"/>
        <v>0</v>
      </c>
      <c r="J53" s="82">
        <v>0</v>
      </c>
      <c r="K53" s="56">
        <f t="shared" si="1"/>
        <v>0</v>
      </c>
      <c r="L53" s="85">
        <f t="shared" si="3"/>
        <v>1167625</v>
      </c>
      <c r="M53" s="8"/>
    </row>
    <row r="54" spans="1:13" s="7" customFormat="1" ht="14.25" customHeight="1">
      <c r="A54" s="52" t="s">
        <v>143</v>
      </c>
      <c r="B54" s="53" t="s">
        <v>144</v>
      </c>
      <c r="C54" s="82">
        <v>20640167</v>
      </c>
      <c r="D54" s="82">
        <v>15721050.35</v>
      </c>
      <c r="E54" s="82">
        <f>F54-2641452.42</f>
        <v>20750.399999999907</v>
      </c>
      <c r="F54" s="82">
        <v>2662202.82</v>
      </c>
      <c r="G54" s="56">
        <f t="shared" si="0"/>
        <v>0.0031748434707299447</v>
      </c>
      <c r="H54" s="82">
        <f t="shared" si="2"/>
        <v>13058847.53</v>
      </c>
      <c r="I54" s="82">
        <f>J54-1047977.59</f>
        <v>160239.20000000007</v>
      </c>
      <c r="J54" s="82">
        <v>1208216.79</v>
      </c>
      <c r="K54" s="56">
        <f t="shared" si="1"/>
        <v>0.0015435979078968999</v>
      </c>
      <c r="L54" s="85">
        <f t="shared" si="3"/>
        <v>14512833.559999999</v>
      </c>
      <c r="M54" s="8"/>
    </row>
    <row r="55" spans="1:13" s="7" customFormat="1" ht="14.25" customHeight="1">
      <c r="A55" s="52" t="s">
        <v>96</v>
      </c>
      <c r="B55" s="53" t="s">
        <v>102</v>
      </c>
      <c r="C55" s="82">
        <v>5000</v>
      </c>
      <c r="D55" s="82">
        <v>10204231</v>
      </c>
      <c r="E55" s="82">
        <f>F55-10200000</f>
        <v>0</v>
      </c>
      <c r="F55" s="82">
        <v>10200000</v>
      </c>
      <c r="G55" s="56">
        <f t="shared" si="0"/>
        <v>0.012164138343691422</v>
      </c>
      <c r="H55" s="82">
        <f t="shared" si="2"/>
        <v>4231</v>
      </c>
      <c r="I55" s="82">
        <f>J55-10200000</f>
        <v>0</v>
      </c>
      <c r="J55" s="82">
        <v>10200000</v>
      </c>
      <c r="K55" s="56">
        <f t="shared" si="1"/>
        <v>0.013031352312649437</v>
      </c>
      <c r="L55" s="85">
        <f t="shared" si="3"/>
        <v>4231</v>
      </c>
      <c r="M55" s="8"/>
    </row>
    <row r="56" spans="1:13" s="7" customFormat="1" ht="14.25" customHeight="1">
      <c r="A56" s="52" t="s">
        <v>97</v>
      </c>
      <c r="B56" s="53" t="s">
        <v>236</v>
      </c>
      <c r="C56" s="82">
        <v>12478544</v>
      </c>
      <c r="D56" s="82">
        <v>21375707.76</v>
      </c>
      <c r="E56" s="82">
        <f>F56-4446655.88</f>
        <v>1088899.4299999997</v>
      </c>
      <c r="F56" s="82">
        <v>5535555.31</v>
      </c>
      <c r="G56" s="56">
        <f t="shared" si="0"/>
        <v>0.006601496137254476</v>
      </c>
      <c r="H56" s="82">
        <f t="shared" si="2"/>
        <v>15840152.450000003</v>
      </c>
      <c r="I56" s="82">
        <f>J56-1448980</f>
        <v>220816.1399999999</v>
      </c>
      <c r="J56" s="82">
        <v>1669796.14</v>
      </c>
      <c r="K56" s="56">
        <f t="shared" si="1"/>
        <v>0.0021333040971217745</v>
      </c>
      <c r="L56" s="85">
        <f t="shared" si="3"/>
        <v>19705911.62</v>
      </c>
      <c r="M56" s="8"/>
    </row>
    <row r="57" spans="1:13" s="7" customFormat="1" ht="14.25" customHeight="1">
      <c r="A57" s="52" t="s">
        <v>180</v>
      </c>
      <c r="B57" s="53" t="s">
        <v>181</v>
      </c>
      <c r="C57" s="82">
        <v>0</v>
      </c>
      <c r="D57" s="82">
        <v>0</v>
      </c>
      <c r="E57" s="82">
        <f>F57-0</f>
        <v>0</v>
      </c>
      <c r="F57" s="82">
        <v>0</v>
      </c>
      <c r="G57" s="56">
        <f t="shared" si="0"/>
        <v>0</v>
      </c>
      <c r="H57" s="82">
        <f t="shared" si="2"/>
        <v>0</v>
      </c>
      <c r="I57" s="82">
        <v>0</v>
      </c>
      <c r="J57" s="82">
        <v>0</v>
      </c>
      <c r="K57" s="56">
        <f t="shared" si="1"/>
        <v>0</v>
      </c>
      <c r="L57" s="85">
        <f t="shared" si="3"/>
        <v>0</v>
      </c>
      <c r="M57" s="8"/>
    </row>
    <row r="58" spans="1:13" s="7" customFormat="1" ht="14.25" customHeight="1">
      <c r="A58" s="52" t="s">
        <v>54</v>
      </c>
      <c r="B58" s="53" t="s">
        <v>61</v>
      </c>
      <c r="C58" s="82">
        <v>1639380513</v>
      </c>
      <c r="D58" s="82">
        <v>1655575801.11</v>
      </c>
      <c r="E58" s="82">
        <f>F58-1047840460.69</f>
        <v>263108393.98000002</v>
      </c>
      <c r="F58" s="82">
        <v>1310948854.67</v>
      </c>
      <c r="G58" s="56">
        <f t="shared" si="0"/>
        <v>1.5633885519323236</v>
      </c>
      <c r="H58" s="82">
        <f t="shared" si="2"/>
        <v>344626946.4399998</v>
      </c>
      <c r="I58" s="82">
        <f>J58-1047840460.69</f>
        <v>263108393.98000002</v>
      </c>
      <c r="J58" s="82">
        <v>1310948854.67</v>
      </c>
      <c r="K58" s="56">
        <f t="shared" si="1"/>
        <v>1.6748467048106896</v>
      </c>
      <c r="L58" s="85">
        <f t="shared" si="3"/>
        <v>344626946.4399998</v>
      </c>
      <c r="M58" s="8"/>
    </row>
    <row r="59" spans="1:13" s="7" customFormat="1" ht="14.25" customHeight="1">
      <c r="A59" s="52" t="s">
        <v>185</v>
      </c>
      <c r="B59" s="53" t="s">
        <v>186</v>
      </c>
      <c r="C59" s="82">
        <v>0</v>
      </c>
      <c r="D59" s="82">
        <v>0</v>
      </c>
      <c r="E59" s="82">
        <f>F59-0</f>
        <v>0</v>
      </c>
      <c r="F59" s="82">
        <v>0</v>
      </c>
      <c r="G59" s="56">
        <f t="shared" si="0"/>
        <v>0</v>
      </c>
      <c r="H59" s="82">
        <f t="shared" si="2"/>
        <v>0</v>
      </c>
      <c r="I59" s="82">
        <f>J59-0</f>
        <v>0</v>
      </c>
      <c r="J59" s="82">
        <v>0</v>
      </c>
      <c r="K59" s="56">
        <f t="shared" si="1"/>
        <v>0</v>
      </c>
      <c r="L59" s="85">
        <f t="shared" si="3"/>
        <v>0</v>
      </c>
      <c r="M59" s="8"/>
    </row>
    <row r="60" spans="1:13" s="7" customFormat="1" ht="14.25" customHeight="1">
      <c r="A60" s="52" t="s">
        <v>197</v>
      </c>
      <c r="B60" s="53" t="s">
        <v>198</v>
      </c>
      <c r="C60" s="82">
        <v>100000</v>
      </c>
      <c r="D60" s="82">
        <v>100000</v>
      </c>
      <c r="E60" s="82">
        <f>F60-0</f>
        <v>0</v>
      </c>
      <c r="F60" s="82">
        <v>0</v>
      </c>
      <c r="G60" s="56">
        <f t="shared" si="0"/>
        <v>0</v>
      </c>
      <c r="H60" s="82">
        <f t="shared" si="2"/>
        <v>100000</v>
      </c>
      <c r="I60" s="82">
        <f>J60-0</f>
        <v>0</v>
      </c>
      <c r="J60" s="82">
        <v>0</v>
      </c>
      <c r="K60" s="56">
        <f t="shared" si="1"/>
        <v>0</v>
      </c>
      <c r="L60" s="85">
        <f t="shared" si="3"/>
        <v>100000</v>
      </c>
      <c r="M60" s="8"/>
    </row>
    <row r="61" spans="1:13" s="7" customFormat="1" ht="14.25" customHeight="1">
      <c r="A61" s="52" t="s">
        <v>209</v>
      </c>
      <c r="B61" s="53" t="s">
        <v>210</v>
      </c>
      <c r="C61" s="82">
        <v>0</v>
      </c>
      <c r="D61" s="82">
        <v>0</v>
      </c>
      <c r="E61" s="82">
        <f>F61-0</f>
        <v>0</v>
      </c>
      <c r="F61" s="82">
        <v>0</v>
      </c>
      <c r="G61" s="56">
        <f t="shared" si="0"/>
        <v>0</v>
      </c>
      <c r="H61" s="82">
        <f t="shared" si="2"/>
        <v>0</v>
      </c>
      <c r="I61" s="82">
        <f>J61-0</f>
        <v>0</v>
      </c>
      <c r="J61" s="82">
        <v>0</v>
      </c>
      <c r="K61" s="56">
        <f t="shared" si="1"/>
        <v>0</v>
      </c>
      <c r="L61" s="85">
        <f t="shared" si="3"/>
        <v>0</v>
      </c>
      <c r="M61" s="8"/>
    </row>
    <row r="62" spans="1:13" s="7" customFormat="1" ht="14.25" customHeight="1">
      <c r="A62" s="103" t="s">
        <v>63</v>
      </c>
      <c r="B62" s="104" t="s">
        <v>62</v>
      </c>
      <c r="C62" s="81">
        <f>SUM(C63:C85)</f>
        <v>15042188569</v>
      </c>
      <c r="D62" s="81">
        <f>SUM(D63:D85)</f>
        <v>16732701804.39</v>
      </c>
      <c r="E62" s="81">
        <f>SUM(E63:E85)</f>
        <v>2462786934.340001</v>
      </c>
      <c r="F62" s="81">
        <f>SUM(F63:F85)</f>
        <v>12661017894.020002</v>
      </c>
      <c r="G62" s="51">
        <f t="shared" si="0"/>
        <v>15.099056199491368</v>
      </c>
      <c r="H62" s="81">
        <f t="shared" si="2"/>
        <v>4071683910.369997</v>
      </c>
      <c r="I62" s="81">
        <f>SUM(I63:I85)</f>
        <v>2495353708.839999</v>
      </c>
      <c r="J62" s="81">
        <f>SUM(J63:J85)</f>
        <v>11936125550.519997</v>
      </c>
      <c r="K62" s="51">
        <f t="shared" si="1"/>
        <v>15.249397774200274</v>
      </c>
      <c r="L62" s="84">
        <f t="shared" si="3"/>
        <v>4796576253.870003</v>
      </c>
      <c r="M62" s="8"/>
    </row>
    <row r="63" spans="1:13" s="7" customFormat="1" ht="14.25" customHeight="1">
      <c r="A63" s="52" t="s">
        <v>38</v>
      </c>
      <c r="B63" s="53" t="s">
        <v>282</v>
      </c>
      <c r="C63" s="82">
        <v>10000000</v>
      </c>
      <c r="D63" s="82">
        <v>7500000</v>
      </c>
      <c r="E63" s="82">
        <f>F63-0</f>
        <v>0</v>
      </c>
      <c r="F63" s="82">
        <v>0</v>
      </c>
      <c r="G63" s="56">
        <f t="shared" si="0"/>
        <v>0</v>
      </c>
      <c r="H63" s="82">
        <f t="shared" si="2"/>
        <v>7500000</v>
      </c>
      <c r="I63" s="82">
        <f>J63-0</f>
        <v>0</v>
      </c>
      <c r="J63" s="82">
        <v>0</v>
      </c>
      <c r="K63" s="56">
        <f t="shared" si="1"/>
        <v>0</v>
      </c>
      <c r="L63" s="85">
        <f t="shared" si="3"/>
        <v>7500000</v>
      </c>
      <c r="M63" s="8"/>
    </row>
    <row r="64" spans="1:13" s="7" customFormat="1" ht="14.25" customHeight="1">
      <c r="A64" s="52" t="s">
        <v>28</v>
      </c>
      <c r="B64" s="53" t="s">
        <v>33</v>
      </c>
      <c r="C64" s="82">
        <v>13393781383</v>
      </c>
      <c r="D64" s="82">
        <v>14328504779.77</v>
      </c>
      <c r="E64" s="82">
        <f>F64-8862229248.3</f>
        <v>2150207454.550001</v>
      </c>
      <c r="F64" s="82">
        <v>11012436702.85</v>
      </c>
      <c r="G64" s="56">
        <f t="shared" si="0"/>
        <v>13.133019956334554</v>
      </c>
      <c r="H64" s="82">
        <f t="shared" si="2"/>
        <v>3316068076.92</v>
      </c>
      <c r="I64" s="82">
        <f>J64-8637248195.4</f>
        <v>2227533964.1499996</v>
      </c>
      <c r="J64" s="82">
        <v>10864782159.55</v>
      </c>
      <c r="K64" s="56">
        <f t="shared" si="1"/>
        <v>13.88066707071414</v>
      </c>
      <c r="L64" s="85">
        <f t="shared" si="3"/>
        <v>3463722620.220001</v>
      </c>
      <c r="M64" s="8"/>
    </row>
    <row r="65" spans="1:13" s="7" customFormat="1" ht="14.25" customHeight="1">
      <c r="A65" s="52" t="s">
        <v>49</v>
      </c>
      <c r="B65" s="53" t="s">
        <v>56</v>
      </c>
      <c r="C65" s="82">
        <v>115283103</v>
      </c>
      <c r="D65" s="82">
        <v>201066592.84</v>
      </c>
      <c r="E65" s="82">
        <f>F65-124868063.81</f>
        <v>33944306.25</v>
      </c>
      <c r="F65" s="82">
        <v>158812370.06</v>
      </c>
      <c r="G65" s="56">
        <f t="shared" si="0"/>
        <v>0.1893936902058194</v>
      </c>
      <c r="H65" s="82">
        <f t="shared" si="2"/>
        <v>42254222.78</v>
      </c>
      <c r="I65" s="82">
        <f>J65-112221229.91</f>
        <v>32314990.930000007</v>
      </c>
      <c r="J65" s="82">
        <v>144536220.84</v>
      </c>
      <c r="K65" s="56">
        <f t="shared" si="1"/>
        <v>0.18465709957891607</v>
      </c>
      <c r="L65" s="85">
        <f t="shared" si="3"/>
        <v>56530372</v>
      </c>
      <c r="M65" s="8"/>
    </row>
    <row r="66" spans="1:13" s="7" customFormat="1" ht="14.25" customHeight="1">
      <c r="A66" s="101" t="s">
        <v>50</v>
      </c>
      <c r="B66" s="102" t="s">
        <v>57</v>
      </c>
      <c r="C66" s="82">
        <v>91784019</v>
      </c>
      <c r="D66" s="82">
        <v>115856990.83</v>
      </c>
      <c r="E66" s="82">
        <f>F66-78700544.96</f>
        <v>13450453.39</v>
      </c>
      <c r="F66" s="82">
        <v>92150998.35</v>
      </c>
      <c r="G66" s="56">
        <f t="shared" si="0"/>
        <v>0.10989583259202747</v>
      </c>
      <c r="H66" s="82">
        <f t="shared" si="2"/>
        <v>23705992.480000004</v>
      </c>
      <c r="I66" s="82">
        <f>J66-47387629.31</f>
        <v>17512773.699999996</v>
      </c>
      <c r="J66" s="82">
        <v>64900403.01</v>
      </c>
      <c r="K66" s="56">
        <f t="shared" si="1"/>
        <v>0.08291568792708275</v>
      </c>
      <c r="L66" s="85">
        <f t="shared" si="3"/>
        <v>50956587.82</v>
      </c>
      <c r="M66" s="8"/>
    </row>
    <row r="67" spans="1:13" s="7" customFormat="1" ht="14.25" customHeight="1">
      <c r="A67" s="52" t="s">
        <v>29</v>
      </c>
      <c r="B67" s="53" t="s">
        <v>34</v>
      </c>
      <c r="C67" s="82">
        <v>20555679</v>
      </c>
      <c r="D67" s="82">
        <v>21590922.55</v>
      </c>
      <c r="E67" s="82">
        <f>F67-5652192.54</f>
        <v>240654.0499999998</v>
      </c>
      <c r="F67" s="82">
        <v>5892846.59</v>
      </c>
      <c r="G67" s="56">
        <f t="shared" si="0"/>
        <v>0.00702758834891277</v>
      </c>
      <c r="H67" s="82">
        <f t="shared" si="2"/>
        <v>15698075.96</v>
      </c>
      <c r="I67" s="82">
        <f>J67-2977973.1</f>
        <v>2349599.2499999995</v>
      </c>
      <c r="J67" s="82">
        <v>5327572.35</v>
      </c>
      <c r="K67" s="56">
        <f t="shared" si="1"/>
        <v>0.006806418849409773</v>
      </c>
      <c r="L67" s="85">
        <f t="shared" si="3"/>
        <v>16263350.200000001</v>
      </c>
      <c r="M67" s="8"/>
    </row>
    <row r="68" spans="1:13" s="7" customFormat="1" ht="14.25" customHeight="1">
      <c r="A68" s="52" t="s">
        <v>64</v>
      </c>
      <c r="B68" s="53" t="s">
        <v>72</v>
      </c>
      <c r="C68" s="82">
        <v>407925893</v>
      </c>
      <c r="D68" s="82">
        <v>639111188.77</v>
      </c>
      <c r="E68" s="82">
        <f>F68-319428328.99</f>
        <v>92663293.76999998</v>
      </c>
      <c r="F68" s="82">
        <v>412091622.76</v>
      </c>
      <c r="G68" s="56">
        <f t="shared" si="0"/>
        <v>0.4914450499538174</v>
      </c>
      <c r="H68" s="82">
        <f t="shared" si="2"/>
        <v>227019566.01</v>
      </c>
      <c r="I68" s="82">
        <f>J68-142861590.58</f>
        <v>44530152.22999999</v>
      </c>
      <c r="J68" s="82">
        <v>187391742.81</v>
      </c>
      <c r="K68" s="56">
        <f t="shared" si="1"/>
        <v>0.23940860990573548</v>
      </c>
      <c r="L68" s="85">
        <f t="shared" si="3"/>
        <v>451719445.96</v>
      </c>
      <c r="M68" s="8"/>
    </row>
    <row r="69" spans="1:13" s="7" customFormat="1" ht="14.25" customHeight="1">
      <c r="A69" s="52" t="s">
        <v>65</v>
      </c>
      <c r="B69" s="53" t="s">
        <v>73</v>
      </c>
      <c r="C69" s="82">
        <v>162993547</v>
      </c>
      <c r="D69" s="82">
        <v>490807893.48</v>
      </c>
      <c r="E69" s="82">
        <f>F69-398461253.72</f>
        <v>34321154.70999998</v>
      </c>
      <c r="F69" s="82">
        <v>432782408.43</v>
      </c>
      <c r="G69" s="56">
        <f t="shared" si="0"/>
        <v>0.5161201067508319</v>
      </c>
      <c r="H69" s="82">
        <f t="shared" si="2"/>
        <v>58025485.05000001</v>
      </c>
      <c r="I69" s="82">
        <f>J69-210660978.73</f>
        <v>58734967.34</v>
      </c>
      <c r="J69" s="82">
        <v>269395946.07</v>
      </c>
      <c r="K69" s="56">
        <f t="shared" si="1"/>
        <v>0.34417583184683115</v>
      </c>
      <c r="L69" s="85">
        <f t="shared" si="3"/>
        <v>221411947.41000003</v>
      </c>
      <c r="M69" s="8"/>
    </row>
    <row r="70" spans="1:13" s="7" customFormat="1" ht="14.25" customHeight="1">
      <c r="A70" s="52" t="s">
        <v>66</v>
      </c>
      <c r="B70" s="53" t="s">
        <v>74</v>
      </c>
      <c r="C70" s="82">
        <v>17427570</v>
      </c>
      <c r="D70" s="82">
        <v>8427570</v>
      </c>
      <c r="E70" s="82">
        <f>F70-2219246.08</f>
        <v>0</v>
      </c>
      <c r="F70" s="82">
        <v>2219246.08</v>
      </c>
      <c r="G70" s="56">
        <f t="shared" si="0"/>
        <v>0.0026465898368445966</v>
      </c>
      <c r="H70" s="82">
        <f t="shared" si="2"/>
        <v>6208323.92</v>
      </c>
      <c r="I70" s="82">
        <f>J70-1113464.55</f>
        <v>334207.67999999993</v>
      </c>
      <c r="J70" s="82">
        <v>1447672.23</v>
      </c>
      <c r="K70" s="56">
        <f t="shared" si="1"/>
        <v>0.0018495222414087126</v>
      </c>
      <c r="L70" s="85">
        <f t="shared" si="3"/>
        <v>6979897.77</v>
      </c>
      <c r="M70" s="8"/>
    </row>
    <row r="71" spans="1:13" s="7" customFormat="1" ht="14.25" customHeight="1">
      <c r="A71" s="52" t="s">
        <v>131</v>
      </c>
      <c r="B71" s="53" t="s">
        <v>132</v>
      </c>
      <c r="C71" s="82">
        <v>1550000</v>
      </c>
      <c r="D71" s="82">
        <v>1019311.71</v>
      </c>
      <c r="E71" s="82">
        <f>F71-0</f>
        <v>0</v>
      </c>
      <c r="F71" s="82">
        <v>0</v>
      </c>
      <c r="G71" s="56">
        <f t="shared" si="0"/>
        <v>0</v>
      </c>
      <c r="H71" s="82">
        <f t="shared" si="2"/>
        <v>1019311.71</v>
      </c>
      <c r="I71" s="82">
        <f>J71-0</f>
        <v>0</v>
      </c>
      <c r="J71" s="82">
        <v>0</v>
      </c>
      <c r="K71" s="56">
        <f t="shared" si="1"/>
        <v>0</v>
      </c>
      <c r="L71" s="85">
        <f t="shared" si="3"/>
        <v>1019311.71</v>
      </c>
      <c r="M71" s="8"/>
    </row>
    <row r="72" spans="1:13" s="7" customFormat="1" ht="14.25" customHeight="1">
      <c r="A72" s="52" t="s">
        <v>82</v>
      </c>
      <c r="B72" s="53" t="s">
        <v>84</v>
      </c>
      <c r="C72" s="82">
        <v>0</v>
      </c>
      <c r="D72" s="82">
        <v>0</v>
      </c>
      <c r="E72" s="82">
        <f>F72-0</f>
        <v>0</v>
      </c>
      <c r="F72" s="82">
        <v>0</v>
      </c>
      <c r="G72" s="56">
        <f t="shared" si="0"/>
        <v>0</v>
      </c>
      <c r="H72" s="82">
        <f t="shared" si="2"/>
        <v>0</v>
      </c>
      <c r="I72" s="82">
        <f>J72-0</f>
        <v>0</v>
      </c>
      <c r="J72" s="82">
        <v>0</v>
      </c>
      <c r="K72" s="56">
        <f t="shared" si="1"/>
        <v>0</v>
      </c>
      <c r="L72" s="85">
        <f t="shared" si="3"/>
        <v>0</v>
      </c>
      <c r="M72" s="8"/>
    </row>
    <row r="73" spans="1:13" s="7" customFormat="1" ht="14.25" customHeight="1">
      <c r="A73" s="52" t="s">
        <v>83</v>
      </c>
      <c r="B73" s="53" t="s">
        <v>85</v>
      </c>
      <c r="C73" s="82">
        <v>19005186</v>
      </c>
      <c r="D73" s="82">
        <v>4874231.13</v>
      </c>
      <c r="E73" s="82">
        <f>F73-1008240.09</f>
        <v>64074.68000000005</v>
      </c>
      <c r="F73" s="82">
        <v>1072314.77</v>
      </c>
      <c r="G73" s="56">
        <f t="shared" si="0"/>
        <v>0.0012788024715944756</v>
      </c>
      <c r="H73" s="82">
        <f t="shared" si="2"/>
        <v>3801916.36</v>
      </c>
      <c r="I73" s="82">
        <f>J73-518716.12</f>
        <v>156484.95999999996</v>
      </c>
      <c r="J73" s="82">
        <v>675201.08</v>
      </c>
      <c r="K73" s="56">
        <f t="shared" si="1"/>
        <v>0.000862625799545235</v>
      </c>
      <c r="L73" s="85">
        <f t="shared" si="3"/>
        <v>4199030.05</v>
      </c>
      <c r="M73" s="8"/>
    </row>
    <row r="74" spans="1:13" s="7" customFormat="1" ht="14.25" customHeight="1">
      <c r="A74" s="52" t="s">
        <v>92</v>
      </c>
      <c r="B74" s="53" t="s">
        <v>98</v>
      </c>
      <c r="C74" s="82">
        <v>1700000</v>
      </c>
      <c r="D74" s="82">
        <v>1218510</v>
      </c>
      <c r="E74" s="82">
        <f>F74-0</f>
        <v>0</v>
      </c>
      <c r="F74" s="82">
        <v>0</v>
      </c>
      <c r="G74" s="56">
        <f t="shared" si="0"/>
        <v>0</v>
      </c>
      <c r="H74" s="82">
        <f t="shared" si="2"/>
        <v>1218510</v>
      </c>
      <c r="I74" s="82">
        <f>J74-0</f>
        <v>0</v>
      </c>
      <c r="J74" s="82">
        <v>0</v>
      </c>
      <c r="K74" s="56">
        <f t="shared" si="1"/>
        <v>0</v>
      </c>
      <c r="L74" s="85">
        <f t="shared" si="3"/>
        <v>1218510</v>
      </c>
      <c r="M74" s="8"/>
    </row>
    <row r="75" spans="1:13" s="7" customFormat="1" ht="14.25" customHeight="1">
      <c r="A75" s="52" t="s">
        <v>67</v>
      </c>
      <c r="B75" s="53" t="s">
        <v>75</v>
      </c>
      <c r="C75" s="82">
        <v>334693012</v>
      </c>
      <c r="D75" s="82">
        <v>303246915.58</v>
      </c>
      <c r="E75" s="82">
        <f>F75-116783967.87</f>
        <v>24654508.96000001</v>
      </c>
      <c r="F75" s="82">
        <v>141438476.83</v>
      </c>
      <c r="G75" s="56">
        <f t="shared" si="0"/>
        <v>0.16867423522363864</v>
      </c>
      <c r="H75" s="82">
        <f t="shared" si="2"/>
        <v>161808438.74999997</v>
      </c>
      <c r="I75" s="82">
        <f>J75-51789488.65</f>
        <v>18169253.809999995</v>
      </c>
      <c r="J75" s="82">
        <v>69958742.46</v>
      </c>
      <c r="K75" s="56">
        <f t="shared" si="1"/>
        <v>0.08937813924962423</v>
      </c>
      <c r="L75" s="85">
        <f t="shared" si="3"/>
        <v>233288173.12</v>
      </c>
      <c r="M75" s="8"/>
    </row>
    <row r="76" spans="1:13" s="7" customFormat="1" ht="14.25" customHeight="1">
      <c r="A76" s="52" t="s">
        <v>68</v>
      </c>
      <c r="B76" s="53" t="s">
        <v>76</v>
      </c>
      <c r="C76" s="82">
        <v>133527816</v>
      </c>
      <c r="D76" s="82">
        <v>159703593.3</v>
      </c>
      <c r="E76" s="82">
        <f>F76-113295053.98</f>
        <v>32330327.939999983</v>
      </c>
      <c r="F76" s="82">
        <v>145625381.92</v>
      </c>
      <c r="G76" s="56">
        <f t="shared" si="0"/>
        <v>0.17366738157135092</v>
      </c>
      <c r="H76" s="82">
        <f t="shared" si="2"/>
        <v>14078211.380000025</v>
      </c>
      <c r="I76" s="82">
        <f>J76-113295052.98</f>
        <v>32330326.939999983</v>
      </c>
      <c r="J76" s="82">
        <v>145625379.92</v>
      </c>
      <c r="K76" s="56">
        <f t="shared" si="1"/>
        <v>0.1860485913138181</v>
      </c>
      <c r="L76" s="85">
        <f t="shared" si="3"/>
        <v>14078213.380000025</v>
      </c>
      <c r="M76" s="8"/>
    </row>
    <row r="77" spans="1:13" s="7" customFormat="1" ht="14.25" customHeight="1">
      <c r="A77" s="52" t="s">
        <v>237</v>
      </c>
      <c r="B77" s="53" t="s">
        <v>238</v>
      </c>
      <c r="C77" s="82">
        <v>0</v>
      </c>
      <c r="D77" s="82">
        <v>0</v>
      </c>
      <c r="E77" s="82">
        <f>F77-0</f>
        <v>0</v>
      </c>
      <c r="F77" s="82">
        <v>0</v>
      </c>
      <c r="G77" s="56">
        <f aca="true" t="shared" si="5" ref="G77:G140">(F77/$F$303)*100</f>
        <v>0</v>
      </c>
      <c r="H77" s="82">
        <f t="shared" si="2"/>
        <v>0</v>
      </c>
      <c r="I77" s="82">
        <f>J77-0</f>
        <v>0</v>
      </c>
      <c r="J77" s="82">
        <v>0</v>
      </c>
      <c r="K77" s="56">
        <f aca="true" t="shared" si="6" ref="K77:K140">(J77/$J$303)*100</f>
        <v>0</v>
      </c>
      <c r="L77" s="85">
        <f t="shared" si="3"/>
        <v>0</v>
      </c>
      <c r="M77" s="8"/>
    </row>
    <row r="78" spans="1:13" s="7" customFormat="1" ht="14.25" customHeight="1">
      <c r="A78" s="52" t="s">
        <v>106</v>
      </c>
      <c r="B78" s="53" t="s">
        <v>108</v>
      </c>
      <c r="C78" s="82">
        <v>0</v>
      </c>
      <c r="D78" s="82">
        <v>0</v>
      </c>
      <c r="E78" s="82">
        <f>F78-0</f>
        <v>0</v>
      </c>
      <c r="F78" s="82">
        <v>0</v>
      </c>
      <c r="G78" s="56">
        <f t="shared" si="5"/>
        <v>0</v>
      </c>
      <c r="H78" s="82">
        <f aca="true" t="shared" si="7" ref="H78:H141">D78-F78</f>
        <v>0</v>
      </c>
      <c r="I78" s="82">
        <f>J78-0</f>
        <v>0</v>
      </c>
      <c r="J78" s="82">
        <v>0</v>
      </c>
      <c r="K78" s="56">
        <f t="shared" si="6"/>
        <v>0</v>
      </c>
      <c r="L78" s="85">
        <f aca="true" t="shared" si="8" ref="L78:L141">D78-J78</f>
        <v>0</v>
      </c>
      <c r="M78" s="8"/>
    </row>
    <row r="79" spans="1:13" s="7" customFormat="1" ht="14.25" customHeight="1">
      <c r="A79" s="52" t="s">
        <v>115</v>
      </c>
      <c r="B79" s="53" t="s">
        <v>122</v>
      </c>
      <c r="C79" s="82">
        <v>0</v>
      </c>
      <c r="D79" s="82">
        <v>0</v>
      </c>
      <c r="E79" s="82">
        <f>F79-0</f>
        <v>0</v>
      </c>
      <c r="F79" s="82">
        <v>0</v>
      </c>
      <c r="G79" s="56">
        <f t="shared" si="5"/>
        <v>0</v>
      </c>
      <c r="H79" s="82">
        <f t="shared" si="7"/>
        <v>0</v>
      </c>
      <c r="I79" s="82">
        <f>J79-0</f>
        <v>0</v>
      </c>
      <c r="J79" s="82">
        <v>0</v>
      </c>
      <c r="K79" s="56">
        <f t="shared" si="6"/>
        <v>0</v>
      </c>
      <c r="L79" s="85">
        <f t="shared" si="8"/>
        <v>0</v>
      </c>
      <c r="M79" s="8"/>
    </row>
    <row r="80" spans="1:13" s="7" customFormat="1" ht="14.25" customHeight="1">
      <c r="A80" s="52" t="s">
        <v>69</v>
      </c>
      <c r="B80" s="53" t="s">
        <v>77</v>
      </c>
      <c r="C80" s="82">
        <v>189655485</v>
      </c>
      <c r="D80" s="82">
        <v>226485209.11</v>
      </c>
      <c r="E80" s="82">
        <f>F80-70627042.92</f>
        <v>23828631.950000003</v>
      </c>
      <c r="F80" s="82">
        <v>94455674.87</v>
      </c>
      <c r="G80" s="56">
        <f t="shared" si="5"/>
        <v>0.11264430357504093</v>
      </c>
      <c r="H80" s="82">
        <f t="shared" si="7"/>
        <v>132029534.24000001</v>
      </c>
      <c r="I80" s="82">
        <f>J80-42500305.8</f>
        <v>14849252.380000003</v>
      </c>
      <c r="J80" s="82">
        <v>57349558.18</v>
      </c>
      <c r="K80" s="56">
        <f t="shared" si="6"/>
        <v>0.07326885270768298</v>
      </c>
      <c r="L80" s="85">
        <f t="shared" si="8"/>
        <v>169135650.93</v>
      </c>
      <c r="M80" s="8"/>
    </row>
    <row r="81" spans="1:13" s="7" customFormat="1" ht="14.25" customHeight="1">
      <c r="A81" s="52" t="s">
        <v>53</v>
      </c>
      <c r="B81" s="53" t="s">
        <v>60</v>
      </c>
      <c r="C81" s="82">
        <v>104521503</v>
      </c>
      <c r="D81" s="82">
        <v>161960800.94</v>
      </c>
      <c r="E81" s="82">
        <f>F81-79004534.49</f>
        <v>57999516.57000001</v>
      </c>
      <c r="F81" s="82">
        <v>137004051.06</v>
      </c>
      <c r="G81" s="56">
        <f t="shared" si="5"/>
        <v>0.16338590497451017</v>
      </c>
      <c r="H81" s="82">
        <f t="shared" si="7"/>
        <v>24956749.879999995</v>
      </c>
      <c r="I81" s="82">
        <f>J81-67599785.72</f>
        <v>44740790.489999995</v>
      </c>
      <c r="J81" s="82">
        <v>112340576.21</v>
      </c>
      <c r="K81" s="56">
        <f t="shared" si="6"/>
        <v>0.14352447329397586</v>
      </c>
      <c r="L81" s="85">
        <f t="shared" si="8"/>
        <v>49620224.730000004</v>
      </c>
      <c r="M81" s="8"/>
    </row>
    <row r="82" spans="1:13" s="7" customFormat="1" ht="14.25" customHeight="1">
      <c r="A82" s="52" t="s">
        <v>70</v>
      </c>
      <c r="B82" s="53" t="s">
        <v>78</v>
      </c>
      <c r="C82" s="82">
        <v>10000</v>
      </c>
      <c r="D82" s="82">
        <v>22827657.95</v>
      </c>
      <c r="E82" s="82">
        <f>F82-20022171</f>
        <v>-917442.4800000004</v>
      </c>
      <c r="F82" s="82">
        <v>19104728.52</v>
      </c>
      <c r="G82" s="56">
        <f t="shared" si="5"/>
        <v>0.022783584385877166</v>
      </c>
      <c r="H82" s="82">
        <f t="shared" si="7"/>
        <v>3722929.4299999997</v>
      </c>
      <c r="I82" s="82">
        <f>J82-4694259.9</f>
        <v>1796944.9799999995</v>
      </c>
      <c r="J82" s="82">
        <v>6491204.88</v>
      </c>
      <c r="K82" s="56">
        <f t="shared" si="6"/>
        <v>0.00829305663969307</v>
      </c>
      <c r="L82" s="85">
        <f t="shared" si="8"/>
        <v>16336453.07</v>
      </c>
      <c r="M82" s="8"/>
    </row>
    <row r="83" spans="1:13" s="7" customFormat="1" ht="14.25" customHeight="1">
      <c r="A83" s="52" t="s">
        <v>71</v>
      </c>
      <c r="B83" s="53" t="s">
        <v>79</v>
      </c>
      <c r="C83" s="82">
        <v>35369373</v>
      </c>
      <c r="D83" s="82">
        <v>37749636.43</v>
      </c>
      <c r="E83" s="82">
        <f>F83-5931070.93</f>
        <v>0</v>
      </c>
      <c r="F83" s="82">
        <v>5931070.93</v>
      </c>
      <c r="G83" s="56">
        <f t="shared" si="5"/>
        <v>0.00707317326654574</v>
      </c>
      <c r="H83" s="82">
        <f t="shared" si="7"/>
        <v>31818565.5</v>
      </c>
      <c r="I83" s="82">
        <f>J83-5903170.93</f>
        <v>0</v>
      </c>
      <c r="J83" s="82">
        <v>5903170.93</v>
      </c>
      <c r="K83" s="56">
        <f t="shared" si="6"/>
        <v>0.007541794132413767</v>
      </c>
      <c r="L83" s="85">
        <f t="shared" si="8"/>
        <v>31846465.5</v>
      </c>
      <c r="M83" s="8"/>
    </row>
    <row r="84" spans="1:13" s="7" customFormat="1" ht="14.25" customHeight="1">
      <c r="A84" s="52" t="s">
        <v>199</v>
      </c>
      <c r="B84" s="53" t="s">
        <v>200</v>
      </c>
      <c r="C84" s="82">
        <v>55000</v>
      </c>
      <c r="D84" s="82">
        <v>0</v>
      </c>
      <c r="E84" s="82">
        <f>F84-0</f>
        <v>0</v>
      </c>
      <c r="F84" s="82">
        <v>0</v>
      </c>
      <c r="G84" s="56">
        <f t="shared" si="5"/>
        <v>0</v>
      </c>
      <c r="H84" s="82">
        <f t="shared" si="7"/>
        <v>0</v>
      </c>
      <c r="I84" s="82">
        <f>J84-0</f>
        <v>0</v>
      </c>
      <c r="J84" s="82">
        <v>0</v>
      </c>
      <c r="K84" s="56">
        <f t="shared" si="6"/>
        <v>0</v>
      </c>
      <c r="L84" s="85">
        <f t="shared" si="8"/>
        <v>0</v>
      </c>
      <c r="M84" s="8"/>
    </row>
    <row r="85" spans="1:13" s="7" customFormat="1" ht="14.25" customHeight="1">
      <c r="A85" s="52" t="s">
        <v>207</v>
      </c>
      <c r="B85" s="53" t="s">
        <v>208</v>
      </c>
      <c r="C85" s="82">
        <v>2350000</v>
      </c>
      <c r="D85" s="82">
        <v>750000</v>
      </c>
      <c r="E85" s="82">
        <f>F85-0</f>
        <v>0</v>
      </c>
      <c r="F85" s="82">
        <v>0</v>
      </c>
      <c r="G85" s="56">
        <f t="shared" si="5"/>
        <v>0</v>
      </c>
      <c r="H85" s="82">
        <f t="shared" si="7"/>
        <v>750000</v>
      </c>
      <c r="I85" s="82">
        <f>J85-0</f>
        <v>0</v>
      </c>
      <c r="J85" s="82">
        <v>0</v>
      </c>
      <c r="K85" s="56">
        <f t="shared" si="6"/>
        <v>0</v>
      </c>
      <c r="L85" s="85">
        <f t="shared" si="8"/>
        <v>750000</v>
      </c>
      <c r="M85" s="8"/>
    </row>
    <row r="86" spans="1:13" s="7" customFormat="1" ht="14.25" customHeight="1">
      <c r="A86" s="47" t="s">
        <v>81</v>
      </c>
      <c r="B86" s="50" t="s">
        <v>80</v>
      </c>
      <c r="C86" s="81">
        <f>SUM(C87:C99)</f>
        <v>1112267531</v>
      </c>
      <c r="D86" s="81">
        <f>SUM(D87:D99)</f>
        <v>1212027984.9499998</v>
      </c>
      <c r="E86" s="81">
        <f>SUM(E87:E99)</f>
        <v>209816825.77</v>
      </c>
      <c r="F86" s="81">
        <f>SUM(F87:F99)</f>
        <v>617225832.51</v>
      </c>
      <c r="G86" s="51">
        <f t="shared" si="5"/>
        <v>0.7360804329364462</v>
      </c>
      <c r="H86" s="81">
        <f t="shared" si="7"/>
        <v>594802152.4399998</v>
      </c>
      <c r="I86" s="81">
        <f>SUM(I87:I99)</f>
        <v>125003867.22000004</v>
      </c>
      <c r="J86" s="81">
        <f>SUM(J87:J99)</f>
        <v>509900758.69</v>
      </c>
      <c r="K86" s="51">
        <f t="shared" si="6"/>
        <v>0.6514408265663366</v>
      </c>
      <c r="L86" s="84">
        <f t="shared" si="8"/>
        <v>702127226.2599998</v>
      </c>
      <c r="M86" s="8"/>
    </row>
    <row r="87" spans="1:13" s="7" customFormat="1" ht="14.25" customHeight="1">
      <c r="A87" s="52" t="s">
        <v>28</v>
      </c>
      <c r="B87" s="53" t="s">
        <v>33</v>
      </c>
      <c r="C87" s="82">
        <v>182693140</v>
      </c>
      <c r="D87" s="82">
        <v>158256274.25</v>
      </c>
      <c r="E87" s="82">
        <f>F87-67313649.84</f>
        <v>21071312.629999995</v>
      </c>
      <c r="F87" s="82">
        <v>88384962.47</v>
      </c>
      <c r="G87" s="56">
        <f t="shared" si="5"/>
        <v>0.10540459911637788</v>
      </c>
      <c r="H87" s="82">
        <f t="shared" si="7"/>
        <v>69871311.78</v>
      </c>
      <c r="I87" s="82">
        <f>J87-63684447.5</f>
        <v>17166088.810000002</v>
      </c>
      <c r="J87" s="82">
        <v>80850536.31</v>
      </c>
      <c r="K87" s="56">
        <f t="shared" si="6"/>
        <v>0.10329331601198682</v>
      </c>
      <c r="L87" s="85">
        <f t="shared" si="8"/>
        <v>77405737.94</v>
      </c>
      <c r="M87" s="8"/>
    </row>
    <row r="88" spans="1:13" s="7" customFormat="1" ht="14.25" customHeight="1">
      <c r="A88" s="52" t="s">
        <v>29</v>
      </c>
      <c r="B88" s="53" t="s">
        <v>34</v>
      </c>
      <c r="C88" s="82">
        <v>0</v>
      </c>
      <c r="D88" s="82">
        <v>0</v>
      </c>
      <c r="E88" s="82">
        <f aca="true" t="shared" si="9" ref="E88:E99">F88-0</f>
        <v>0</v>
      </c>
      <c r="F88" s="82">
        <v>0</v>
      </c>
      <c r="G88" s="56">
        <f t="shared" si="5"/>
        <v>0</v>
      </c>
      <c r="H88" s="82">
        <f t="shared" si="7"/>
        <v>0</v>
      </c>
      <c r="I88" s="82">
        <f>J88-0</f>
        <v>0</v>
      </c>
      <c r="J88" s="82">
        <v>0</v>
      </c>
      <c r="K88" s="56">
        <f t="shared" si="6"/>
        <v>0</v>
      </c>
      <c r="L88" s="85">
        <f t="shared" si="8"/>
        <v>0</v>
      </c>
      <c r="M88" s="8"/>
    </row>
    <row r="89" spans="1:13" s="7" customFormat="1" ht="14.25" customHeight="1">
      <c r="A89" s="52" t="s">
        <v>164</v>
      </c>
      <c r="B89" s="53" t="s">
        <v>165</v>
      </c>
      <c r="C89" s="82">
        <v>0</v>
      </c>
      <c r="D89" s="82">
        <v>0</v>
      </c>
      <c r="E89" s="82">
        <f t="shared" si="9"/>
        <v>0</v>
      </c>
      <c r="F89" s="82">
        <v>0</v>
      </c>
      <c r="G89" s="56">
        <f t="shared" si="5"/>
        <v>0</v>
      </c>
      <c r="H89" s="82">
        <f t="shared" si="7"/>
        <v>0</v>
      </c>
      <c r="I89" s="82">
        <f>J89-0</f>
        <v>0</v>
      </c>
      <c r="J89" s="82">
        <v>0</v>
      </c>
      <c r="K89" s="56">
        <f t="shared" si="6"/>
        <v>0</v>
      </c>
      <c r="L89" s="85">
        <f t="shared" si="8"/>
        <v>0</v>
      </c>
      <c r="M89" s="8"/>
    </row>
    <row r="90" spans="1:13" s="7" customFormat="1" ht="14.25" customHeight="1">
      <c r="A90" s="52" t="s">
        <v>64</v>
      </c>
      <c r="B90" s="53" t="s">
        <v>72</v>
      </c>
      <c r="C90" s="82">
        <v>0</v>
      </c>
      <c r="D90" s="82">
        <v>0</v>
      </c>
      <c r="E90" s="82">
        <f t="shared" si="9"/>
        <v>0</v>
      </c>
      <c r="F90" s="82">
        <v>0</v>
      </c>
      <c r="G90" s="56">
        <f t="shared" si="5"/>
        <v>0</v>
      </c>
      <c r="H90" s="82">
        <f t="shared" si="7"/>
        <v>0</v>
      </c>
      <c r="I90" s="82">
        <v>0</v>
      </c>
      <c r="J90" s="82">
        <v>0</v>
      </c>
      <c r="K90" s="56">
        <f t="shared" si="6"/>
        <v>0</v>
      </c>
      <c r="L90" s="85">
        <f t="shared" si="8"/>
        <v>0</v>
      </c>
      <c r="M90" s="8"/>
    </row>
    <row r="91" spans="1:13" s="7" customFormat="1" ht="14.25" customHeight="1">
      <c r="A91" s="52" t="s">
        <v>52</v>
      </c>
      <c r="B91" s="53" t="s">
        <v>59</v>
      </c>
      <c r="C91" s="82">
        <v>21646043</v>
      </c>
      <c r="D91" s="82">
        <v>43198040.42</v>
      </c>
      <c r="E91" s="82">
        <f>F91-7722059.18</f>
        <v>12996025.440000001</v>
      </c>
      <c r="F91" s="82">
        <v>20718084.62</v>
      </c>
      <c r="G91" s="56">
        <f t="shared" si="5"/>
        <v>0.024707612503331918</v>
      </c>
      <c r="H91" s="82">
        <f t="shared" si="7"/>
        <v>22479955.8</v>
      </c>
      <c r="I91" s="82">
        <f>J91-7407917.18</f>
        <v>9782118.39</v>
      </c>
      <c r="J91" s="82">
        <v>17190035.57</v>
      </c>
      <c r="K91" s="56">
        <f t="shared" si="6"/>
        <v>0.021961706841141723</v>
      </c>
      <c r="L91" s="85">
        <f t="shared" si="8"/>
        <v>26008004.85</v>
      </c>
      <c r="M91" s="8"/>
    </row>
    <row r="92" spans="1:13" s="7" customFormat="1" ht="14.25" customHeight="1">
      <c r="A92" s="52" t="s">
        <v>131</v>
      </c>
      <c r="B92" s="53" t="s">
        <v>132</v>
      </c>
      <c r="C92" s="82">
        <v>30875237</v>
      </c>
      <c r="D92" s="82">
        <v>3832578.87</v>
      </c>
      <c r="E92" s="82">
        <f t="shared" si="9"/>
        <v>0</v>
      </c>
      <c r="F92" s="82">
        <v>0</v>
      </c>
      <c r="G92" s="56">
        <f t="shared" si="5"/>
        <v>0</v>
      </c>
      <c r="H92" s="82">
        <f t="shared" si="7"/>
        <v>3832578.87</v>
      </c>
      <c r="I92" s="82">
        <f aca="true" t="shared" si="10" ref="I92:I99">J92-0</f>
        <v>0</v>
      </c>
      <c r="J92" s="82">
        <v>0</v>
      </c>
      <c r="K92" s="56">
        <f t="shared" si="6"/>
        <v>0</v>
      </c>
      <c r="L92" s="85">
        <f t="shared" si="8"/>
        <v>3832578.87</v>
      </c>
      <c r="M92" s="8"/>
    </row>
    <row r="93" spans="1:13" s="7" customFormat="1" ht="14.25" customHeight="1">
      <c r="A93" s="52" t="s">
        <v>82</v>
      </c>
      <c r="B93" s="53" t="s">
        <v>84</v>
      </c>
      <c r="C93" s="82">
        <v>285804817</v>
      </c>
      <c r="D93" s="82">
        <v>186097178.7</v>
      </c>
      <c r="E93" s="82">
        <f>F93-37657694.5</f>
        <v>15456912.229999997</v>
      </c>
      <c r="F93" s="82">
        <v>53114606.73</v>
      </c>
      <c r="G93" s="56">
        <f t="shared" si="5"/>
        <v>0.06334249258181211</v>
      </c>
      <c r="H93" s="82">
        <f t="shared" si="7"/>
        <v>132982571.97</v>
      </c>
      <c r="I93" s="82">
        <f>J93-36204430.62</f>
        <v>10955629.380000003</v>
      </c>
      <c r="J93" s="82">
        <v>47160060</v>
      </c>
      <c r="K93" s="56">
        <f t="shared" si="6"/>
        <v>0.06025091734761629</v>
      </c>
      <c r="L93" s="85">
        <f t="shared" si="8"/>
        <v>138937118.7</v>
      </c>
      <c r="M93" s="8"/>
    </row>
    <row r="94" spans="1:13" s="7" customFormat="1" ht="14.25" customHeight="1">
      <c r="A94" s="52" t="s">
        <v>83</v>
      </c>
      <c r="B94" s="53" t="s">
        <v>85</v>
      </c>
      <c r="C94" s="82">
        <v>475135735</v>
      </c>
      <c r="D94" s="82">
        <v>616131775.22</v>
      </c>
      <c r="E94" s="82">
        <f>F94-250332867.42</f>
        <v>123540389.08000001</v>
      </c>
      <c r="F94" s="82">
        <v>373873256.5</v>
      </c>
      <c r="G94" s="56">
        <f t="shared" si="5"/>
        <v>0.44586725637964986</v>
      </c>
      <c r="H94" s="82">
        <f t="shared" si="7"/>
        <v>242258518.72000003</v>
      </c>
      <c r="I94" s="82">
        <f>J94-247732789.98</f>
        <v>71786054.07000002</v>
      </c>
      <c r="J94" s="82">
        <v>319518844.05</v>
      </c>
      <c r="K94" s="56">
        <f t="shared" si="6"/>
        <v>0.4082120222888277</v>
      </c>
      <c r="L94" s="85">
        <f t="shared" si="8"/>
        <v>296612931.17</v>
      </c>
      <c r="M94" s="8"/>
    </row>
    <row r="95" spans="1:13" s="7" customFormat="1" ht="14.25" customHeight="1">
      <c r="A95" s="52" t="s">
        <v>67</v>
      </c>
      <c r="B95" s="53" t="s">
        <v>75</v>
      </c>
      <c r="C95" s="82"/>
      <c r="D95" s="82">
        <v>0</v>
      </c>
      <c r="E95" s="82">
        <f t="shared" si="9"/>
        <v>0</v>
      </c>
      <c r="F95" s="82">
        <v>0</v>
      </c>
      <c r="G95" s="56">
        <f t="shared" si="5"/>
        <v>0</v>
      </c>
      <c r="H95" s="82">
        <f t="shared" si="7"/>
        <v>0</v>
      </c>
      <c r="I95" s="98">
        <f t="shared" si="10"/>
        <v>0</v>
      </c>
      <c r="J95" s="98">
        <v>0</v>
      </c>
      <c r="K95" s="56">
        <f t="shared" si="6"/>
        <v>0</v>
      </c>
      <c r="L95" s="85">
        <f t="shared" si="8"/>
        <v>0</v>
      </c>
      <c r="M95" s="8"/>
    </row>
    <row r="96" spans="1:13" s="7" customFormat="1" ht="14.25" customHeight="1">
      <c r="A96" s="52" t="s">
        <v>93</v>
      </c>
      <c r="B96" s="53" t="s">
        <v>99</v>
      </c>
      <c r="C96" s="82"/>
      <c r="D96" s="82">
        <v>0</v>
      </c>
      <c r="E96" s="82">
        <f t="shared" si="9"/>
        <v>0</v>
      </c>
      <c r="F96" s="82">
        <v>0</v>
      </c>
      <c r="G96" s="56">
        <f t="shared" si="5"/>
        <v>0</v>
      </c>
      <c r="H96" s="82">
        <f t="shared" si="7"/>
        <v>0</v>
      </c>
      <c r="I96" s="82">
        <f t="shared" si="10"/>
        <v>0</v>
      </c>
      <c r="J96" s="82">
        <v>0</v>
      </c>
      <c r="K96" s="56">
        <f t="shared" si="6"/>
        <v>0</v>
      </c>
      <c r="L96" s="85">
        <f t="shared" si="8"/>
        <v>0</v>
      </c>
      <c r="M96" s="8"/>
    </row>
    <row r="97" spans="1:13" s="7" customFormat="1" ht="14.25" customHeight="1">
      <c r="A97" s="52" t="s">
        <v>68</v>
      </c>
      <c r="B97" s="53" t="s">
        <v>76</v>
      </c>
      <c r="C97" s="82">
        <v>96752950</v>
      </c>
      <c r="D97" s="82">
        <v>180063995.39</v>
      </c>
      <c r="E97" s="82">
        <f>F97-43188923.14</f>
        <v>33492367.92</v>
      </c>
      <c r="F97" s="82">
        <v>76681291.06</v>
      </c>
      <c r="G97" s="56">
        <f t="shared" si="5"/>
        <v>0.0914472385124224</v>
      </c>
      <c r="H97" s="82">
        <f t="shared" si="7"/>
        <v>103382704.32999998</v>
      </c>
      <c r="I97" s="82">
        <f>J97-28673493.53</f>
        <v>13952186.089999996</v>
      </c>
      <c r="J97" s="82">
        <v>42625679.62</v>
      </c>
      <c r="K97" s="56">
        <f t="shared" si="6"/>
        <v>0.05445786751905303</v>
      </c>
      <c r="L97" s="85">
        <f t="shared" si="8"/>
        <v>137438315.76999998</v>
      </c>
      <c r="M97" s="8"/>
    </row>
    <row r="98" spans="1:13" s="7" customFormat="1" ht="14.25" customHeight="1">
      <c r="A98" s="52" t="s">
        <v>53</v>
      </c>
      <c r="B98" s="53" t="s">
        <v>60</v>
      </c>
      <c r="C98" s="82">
        <v>19359609</v>
      </c>
      <c r="D98" s="82">
        <v>24448142.1</v>
      </c>
      <c r="E98" s="82">
        <f>F98-1193812.66</f>
        <v>3259818.4699999997</v>
      </c>
      <c r="F98" s="82">
        <v>4453631.13</v>
      </c>
      <c r="G98" s="56">
        <f t="shared" si="5"/>
        <v>0.005311233842852035</v>
      </c>
      <c r="H98" s="82">
        <f t="shared" si="7"/>
        <v>19994510.970000003</v>
      </c>
      <c r="I98" s="82">
        <f>J98-1193812.66</f>
        <v>1361790.4800000002</v>
      </c>
      <c r="J98" s="82">
        <v>2555603.14</v>
      </c>
      <c r="K98" s="56">
        <f t="shared" si="6"/>
        <v>0.0032649965577110944</v>
      </c>
      <c r="L98" s="85">
        <f t="shared" si="8"/>
        <v>21892538.96</v>
      </c>
      <c r="M98" s="8"/>
    </row>
    <row r="99" spans="1:13" s="7" customFormat="1" ht="14.25" customHeight="1">
      <c r="A99" s="52" t="s">
        <v>96</v>
      </c>
      <c r="B99" s="53" t="s">
        <v>102</v>
      </c>
      <c r="C99" s="82">
        <v>0</v>
      </c>
      <c r="D99" s="82">
        <v>0</v>
      </c>
      <c r="E99" s="82">
        <f t="shared" si="9"/>
        <v>0</v>
      </c>
      <c r="F99" s="82">
        <v>0</v>
      </c>
      <c r="G99" s="56">
        <f t="shared" si="5"/>
        <v>0</v>
      </c>
      <c r="H99" s="82">
        <f t="shared" si="7"/>
        <v>0</v>
      </c>
      <c r="I99" s="82">
        <f t="shared" si="10"/>
        <v>0</v>
      </c>
      <c r="J99" s="82">
        <v>0</v>
      </c>
      <c r="K99" s="56">
        <f t="shared" si="6"/>
        <v>0</v>
      </c>
      <c r="L99" s="85">
        <f t="shared" si="8"/>
        <v>0</v>
      </c>
      <c r="M99" s="8"/>
    </row>
    <row r="100" spans="1:13" s="7" customFormat="1" ht="14.25" customHeight="1">
      <c r="A100" s="47" t="s">
        <v>87</v>
      </c>
      <c r="B100" s="50" t="s">
        <v>86</v>
      </c>
      <c r="C100" s="81">
        <f>SUM(C101:C106)</f>
        <v>31090984003</v>
      </c>
      <c r="D100" s="81">
        <f>SUM(D101:D106)</f>
        <v>34128863691.1</v>
      </c>
      <c r="E100" s="81">
        <f>SUM(E101:E106)</f>
        <v>3962032772.4699993</v>
      </c>
      <c r="F100" s="81">
        <f>SUM(F101:F106)</f>
        <v>23164541003.89</v>
      </c>
      <c r="G100" s="51">
        <f t="shared" si="5"/>
        <v>27.625164847003</v>
      </c>
      <c r="H100" s="81">
        <f t="shared" si="7"/>
        <v>10964322687.21</v>
      </c>
      <c r="I100" s="81">
        <f>SUM(I101:I106)</f>
        <v>3972943578.92</v>
      </c>
      <c r="J100" s="81">
        <f>SUM(J101:J106)</f>
        <v>22269050795.79</v>
      </c>
      <c r="K100" s="51">
        <f t="shared" si="6"/>
        <v>28.4505731949241</v>
      </c>
      <c r="L100" s="84">
        <f t="shared" si="8"/>
        <v>11859812895.309998</v>
      </c>
      <c r="M100" s="8"/>
    </row>
    <row r="101" spans="1:13" s="7" customFormat="1" ht="14.25" customHeight="1">
      <c r="A101" s="52" t="s">
        <v>28</v>
      </c>
      <c r="B101" s="53" t="s">
        <v>33</v>
      </c>
      <c r="C101" s="82">
        <v>11903337877</v>
      </c>
      <c r="D101" s="82">
        <v>11974000263.85</v>
      </c>
      <c r="E101" s="82">
        <f>F101-7933353513.49</f>
        <v>1424728603.33</v>
      </c>
      <c r="F101" s="82">
        <v>9358082116.82</v>
      </c>
      <c r="G101" s="56">
        <f t="shared" si="5"/>
        <v>11.160098578492466</v>
      </c>
      <c r="H101" s="82">
        <f t="shared" si="7"/>
        <v>2615918147.0300007</v>
      </c>
      <c r="I101" s="82">
        <f>J101-7302865177.54</f>
        <v>1274942625.42</v>
      </c>
      <c r="J101" s="82">
        <v>8577807802.96</v>
      </c>
      <c r="K101" s="56">
        <f t="shared" si="6"/>
        <v>10.958866230447567</v>
      </c>
      <c r="L101" s="85">
        <f t="shared" si="8"/>
        <v>3396192460.8900003</v>
      </c>
      <c r="M101" s="8"/>
    </row>
    <row r="102" spans="1:13" s="7" customFormat="1" ht="14.25" customHeight="1">
      <c r="A102" s="52" t="s">
        <v>39</v>
      </c>
      <c r="B102" s="53" t="s">
        <v>41</v>
      </c>
      <c r="C102" s="82">
        <v>0</v>
      </c>
      <c r="D102" s="82">
        <v>0</v>
      </c>
      <c r="E102" s="82">
        <f>F102-0</f>
        <v>0</v>
      </c>
      <c r="F102" s="82">
        <v>0</v>
      </c>
      <c r="G102" s="56">
        <f t="shared" si="5"/>
        <v>0</v>
      </c>
      <c r="H102" s="82">
        <f t="shared" si="7"/>
        <v>0</v>
      </c>
      <c r="I102" s="82">
        <f>J102-0</f>
        <v>0</v>
      </c>
      <c r="J102" s="82">
        <v>0</v>
      </c>
      <c r="K102" s="56">
        <f t="shared" si="6"/>
        <v>0</v>
      </c>
      <c r="L102" s="85">
        <f t="shared" si="8"/>
        <v>0</v>
      </c>
      <c r="M102" s="8"/>
    </row>
    <row r="103" spans="1:13" s="7" customFormat="1" ht="14.25" customHeight="1">
      <c r="A103" s="52" t="s">
        <v>231</v>
      </c>
      <c r="B103" s="53" t="s">
        <v>230</v>
      </c>
      <c r="C103" s="82">
        <v>4000000</v>
      </c>
      <c r="D103" s="82">
        <v>4000000</v>
      </c>
      <c r="E103" s="82">
        <f>F103-0</f>
        <v>0</v>
      </c>
      <c r="F103" s="82">
        <v>0</v>
      </c>
      <c r="G103" s="56">
        <f t="shared" si="5"/>
        <v>0</v>
      </c>
      <c r="H103" s="82">
        <f t="shared" si="7"/>
        <v>4000000</v>
      </c>
      <c r="I103" s="82">
        <f>J103-0</f>
        <v>0</v>
      </c>
      <c r="J103" s="82">
        <v>0</v>
      </c>
      <c r="K103" s="56">
        <f t="shared" si="6"/>
        <v>0</v>
      </c>
      <c r="L103" s="85">
        <f t="shared" si="8"/>
        <v>4000000</v>
      </c>
      <c r="M103" s="8"/>
    </row>
    <row r="104" spans="1:13" s="7" customFormat="1" ht="14.25" customHeight="1">
      <c r="A104" s="52" t="s">
        <v>49</v>
      </c>
      <c r="B104" s="53" t="s">
        <v>56</v>
      </c>
      <c r="C104" s="82"/>
      <c r="D104" s="82">
        <v>0</v>
      </c>
      <c r="E104" s="82">
        <f>F104-0</f>
        <v>0</v>
      </c>
      <c r="F104" s="82">
        <v>0</v>
      </c>
      <c r="G104" s="56">
        <f t="shared" si="5"/>
        <v>0</v>
      </c>
      <c r="H104" s="82">
        <f t="shared" si="7"/>
        <v>0</v>
      </c>
      <c r="I104" s="82">
        <f>J104-0</f>
        <v>0</v>
      </c>
      <c r="J104" s="82">
        <v>0</v>
      </c>
      <c r="K104" s="56">
        <f t="shared" si="6"/>
        <v>0</v>
      </c>
      <c r="L104" s="85">
        <f t="shared" si="8"/>
        <v>0</v>
      </c>
      <c r="M104" s="8"/>
    </row>
    <row r="105" spans="1:13" s="7" customFormat="1" ht="14.25" customHeight="1">
      <c r="A105" s="52" t="s">
        <v>88</v>
      </c>
      <c r="B105" s="53" t="s">
        <v>89</v>
      </c>
      <c r="C105" s="82">
        <v>19130867126</v>
      </c>
      <c r="D105" s="82">
        <v>22098084427.25</v>
      </c>
      <c r="E105" s="82">
        <f>F105-11269154717.93</f>
        <v>2537304169.1399994</v>
      </c>
      <c r="F105" s="82">
        <v>13806458887.07</v>
      </c>
      <c r="G105" s="56">
        <f t="shared" si="5"/>
        <v>16.46506626851053</v>
      </c>
      <c r="H105" s="82">
        <f t="shared" si="7"/>
        <v>8291625540.18</v>
      </c>
      <c r="I105" s="82">
        <f>J105-10993242039.33</f>
        <v>2698000953.5</v>
      </c>
      <c r="J105" s="82">
        <v>13691242992.83</v>
      </c>
      <c r="K105" s="56">
        <f t="shared" si="6"/>
        <v>17.49170696447653</v>
      </c>
      <c r="L105" s="85">
        <f t="shared" si="8"/>
        <v>8406841434.42</v>
      </c>
      <c r="M105" s="8"/>
    </row>
    <row r="106" spans="1:13" s="7" customFormat="1" ht="14.25" customHeight="1">
      <c r="A106" s="52" t="s">
        <v>283</v>
      </c>
      <c r="B106" s="53" t="s">
        <v>284</v>
      </c>
      <c r="C106" s="82">
        <v>52779000</v>
      </c>
      <c r="D106" s="82">
        <v>52779000</v>
      </c>
      <c r="E106" s="82">
        <f>F106-0</f>
        <v>0</v>
      </c>
      <c r="F106" s="82">
        <v>0</v>
      </c>
      <c r="G106" s="56">
        <f t="shared" si="5"/>
        <v>0</v>
      </c>
      <c r="H106" s="82">
        <f t="shared" si="7"/>
        <v>52779000</v>
      </c>
      <c r="I106" s="82">
        <f>J106-0</f>
        <v>0</v>
      </c>
      <c r="J106" s="82">
        <v>0</v>
      </c>
      <c r="K106" s="56">
        <f t="shared" si="6"/>
        <v>0</v>
      </c>
      <c r="L106" s="85">
        <f t="shared" si="8"/>
        <v>52779000</v>
      </c>
      <c r="M106" s="8"/>
    </row>
    <row r="107" spans="1:13" s="7" customFormat="1" ht="14.25" customHeight="1">
      <c r="A107" s="47" t="s">
        <v>90</v>
      </c>
      <c r="B107" s="50" t="s">
        <v>91</v>
      </c>
      <c r="C107" s="81">
        <f>SUM(C108:C118)</f>
        <v>8091195812</v>
      </c>
      <c r="D107" s="81">
        <f>SUM(D108:D118)</f>
        <v>8338606998.22</v>
      </c>
      <c r="E107" s="81">
        <f>SUM(E108:E118)</f>
        <v>1231975570.9800003</v>
      </c>
      <c r="F107" s="81">
        <f>SUM(F108:F118)</f>
        <v>7085006977.75</v>
      </c>
      <c r="G107" s="51">
        <f t="shared" si="5"/>
        <v>8.449314219938241</v>
      </c>
      <c r="H107" s="81">
        <f t="shared" si="7"/>
        <v>1253600020.4700003</v>
      </c>
      <c r="I107" s="81">
        <f>SUM(I108:I118)</f>
        <v>1381337895.1699994</v>
      </c>
      <c r="J107" s="81">
        <f>SUM(J108:J118)</f>
        <v>6593198817.990001</v>
      </c>
      <c r="K107" s="51">
        <f t="shared" si="6"/>
        <v>8.423362418095248</v>
      </c>
      <c r="L107" s="84">
        <f t="shared" si="8"/>
        <v>1745408180.2299995</v>
      </c>
      <c r="M107" s="8"/>
    </row>
    <row r="108" spans="1:13" s="7" customFormat="1" ht="14.25" customHeight="1">
      <c r="A108" s="52" t="s">
        <v>28</v>
      </c>
      <c r="B108" s="53" t="s">
        <v>33</v>
      </c>
      <c r="C108" s="82">
        <v>1541638541</v>
      </c>
      <c r="D108" s="82">
        <v>1297692725.69</v>
      </c>
      <c r="E108" s="82">
        <f>F108-908387377.01</f>
        <v>211865564.78999996</v>
      </c>
      <c r="F108" s="82">
        <v>1120252941.8</v>
      </c>
      <c r="G108" s="56">
        <f t="shared" si="5"/>
        <v>1.3359717415669115</v>
      </c>
      <c r="H108" s="82">
        <f t="shared" si="7"/>
        <v>177439783.8900001</v>
      </c>
      <c r="I108" s="82">
        <f>J108-822009954.46</f>
        <v>227081777</v>
      </c>
      <c r="J108" s="82">
        <v>1049091731.46</v>
      </c>
      <c r="K108" s="56">
        <f t="shared" si="6"/>
        <v>1.3403023491120267</v>
      </c>
      <c r="L108" s="85">
        <f t="shared" si="8"/>
        <v>248600994.23000002</v>
      </c>
      <c r="M108" s="8"/>
    </row>
    <row r="109" spans="1:13" s="7" customFormat="1" ht="14.25" customHeight="1">
      <c r="A109" s="52" t="s">
        <v>29</v>
      </c>
      <c r="B109" s="53" t="s">
        <v>34</v>
      </c>
      <c r="C109" s="82">
        <v>22466621</v>
      </c>
      <c r="D109" s="82">
        <v>20747810.86</v>
      </c>
      <c r="E109" s="82">
        <f>F109-13326040.35</f>
        <v>1441819.17</v>
      </c>
      <c r="F109" s="82">
        <v>14767859.52</v>
      </c>
      <c r="G109" s="56">
        <f t="shared" si="5"/>
        <v>0.01761159669034122</v>
      </c>
      <c r="H109" s="82">
        <f t="shared" si="7"/>
        <v>5979951.34</v>
      </c>
      <c r="I109" s="82">
        <f>J109-10931881.34</f>
        <v>2755613.1400000006</v>
      </c>
      <c r="J109" s="82">
        <v>13687494.48</v>
      </c>
      <c r="K109" s="56">
        <f t="shared" si="6"/>
        <v>0.017486917926110235</v>
      </c>
      <c r="L109" s="85">
        <f t="shared" si="8"/>
        <v>7060316.379999999</v>
      </c>
      <c r="M109" s="8"/>
    </row>
    <row r="110" spans="1:13" s="7" customFormat="1" ht="14.25" customHeight="1">
      <c r="A110" s="52" t="s">
        <v>65</v>
      </c>
      <c r="B110" s="53" t="s">
        <v>73</v>
      </c>
      <c r="C110" s="82">
        <v>199233377</v>
      </c>
      <c r="D110" s="82">
        <v>197965567</v>
      </c>
      <c r="E110" s="82">
        <f>F110-126762342.52</f>
        <v>30208222.86</v>
      </c>
      <c r="F110" s="82">
        <v>156970565.38</v>
      </c>
      <c r="G110" s="56">
        <f t="shared" si="5"/>
        <v>0.1871972228597823</v>
      </c>
      <c r="H110" s="82">
        <f t="shared" si="7"/>
        <v>40995001.620000005</v>
      </c>
      <c r="I110" s="82">
        <f>J110-126762342.52</f>
        <v>30208222.86</v>
      </c>
      <c r="J110" s="82">
        <v>156970565.38</v>
      </c>
      <c r="K110" s="56">
        <f t="shared" si="6"/>
        <v>0.20054301374338748</v>
      </c>
      <c r="L110" s="85">
        <f t="shared" si="8"/>
        <v>40995001.620000005</v>
      </c>
      <c r="M110" s="8"/>
    </row>
    <row r="111" spans="1:13" s="7" customFormat="1" ht="14.25" customHeight="1">
      <c r="A111" s="52" t="s">
        <v>83</v>
      </c>
      <c r="B111" s="53" t="s">
        <v>85</v>
      </c>
      <c r="C111" s="82">
        <v>0</v>
      </c>
      <c r="D111" s="82">
        <v>0</v>
      </c>
      <c r="E111" s="82">
        <f>F111-0</f>
        <v>0</v>
      </c>
      <c r="F111" s="82">
        <v>0</v>
      </c>
      <c r="G111" s="56">
        <f t="shared" si="5"/>
        <v>0</v>
      </c>
      <c r="H111" s="82">
        <f t="shared" si="7"/>
        <v>0</v>
      </c>
      <c r="I111" s="82">
        <f>J111-0</f>
        <v>0</v>
      </c>
      <c r="J111" s="82">
        <v>0</v>
      </c>
      <c r="K111" s="56">
        <f t="shared" si="6"/>
        <v>0</v>
      </c>
      <c r="L111" s="85">
        <f t="shared" si="8"/>
        <v>0</v>
      </c>
      <c r="M111" s="8"/>
    </row>
    <row r="112" spans="1:13" s="7" customFormat="1" ht="14.25" customHeight="1">
      <c r="A112" s="52" t="s">
        <v>92</v>
      </c>
      <c r="B112" s="53" t="s">
        <v>98</v>
      </c>
      <c r="C112" s="82">
        <v>153480000</v>
      </c>
      <c r="D112" s="82">
        <v>116035841.1</v>
      </c>
      <c r="E112" s="82">
        <f>F112-98335527.22</f>
        <v>14049133.14</v>
      </c>
      <c r="F112" s="82">
        <v>112384660.36</v>
      </c>
      <c r="G112" s="56">
        <f t="shared" si="5"/>
        <v>0.1340257408164523</v>
      </c>
      <c r="H112" s="82">
        <f t="shared" si="7"/>
        <v>3651180.7399999946</v>
      </c>
      <c r="I112" s="82">
        <f>J112-98335485.22</f>
        <v>14049175.14</v>
      </c>
      <c r="J112" s="82">
        <v>112384660.36</v>
      </c>
      <c r="K112" s="56">
        <f t="shared" si="6"/>
        <v>0.14358079447927524</v>
      </c>
      <c r="L112" s="85">
        <f t="shared" si="8"/>
        <v>3651180.7399999946</v>
      </c>
      <c r="M112" s="8"/>
    </row>
    <row r="113" spans="1:13" s="7" customFormat="1" ht="14.25" customHeight="1">
      <c r="A113" s="52" t="s">
        <v>67</v>
      </c>
      <c r="B113" s="53" t="s">
        <v>75</v>
      </c>
      <c r="C113" s="82">
        <v>5852035056</v>
      </c>
      <c r="D113" s="82">
        <v>6531140611.18</v>
      </c>
      <c r="E113" s="82">
        <f>F113-4613194057.88</f>
        <v>949795745.9700003</v>
      </c>
      <c r="F113" s="82">
        <v>5562989803.85</v>
      </c>
      <c r="G113" s="56">
        <f t="shared" si="5"/>
        <v>6.634213488095709</v>
      </c>
      <c r="H113" s="82">
        <f t="shared" si="7"/>
        <v>968150807.3299999</v>
      </c>
      <c r="I113" s="82">
        <f>J113-4085537794.8</f>
        <v>1090365758.0299997</v>
      </c>
      <c r="J113" s="82">
        <v>5175903552.83</v>
      </c>
      <c r="K113" s="56">
        <f t="shared" si="6"/>
        <v>6.6126492875707505</v>
      </c>
      <c r="L113" s="85">
        <f t="shared" si="8"/>
        <v>1355237058.3500004</v>
      </c>
      <c r="M113" s="8"/>
    </row>
    <row r="114" spans="1:13" s="7" customFormat="1" ht="14.25" customHeight="1">
      <c r="A114" s="52" t="s">
        <v>93</v>
      </c>
      <c r="B114" s="53" t="s">
        <v>99</v>
      </c>
      <c r="C114" s="82">
        <v>255774096</v>
      </c>
      <c r="D114" s="82">
        <v>145158032</v>
      </c>
      <c r="E114" s="82">
        <f>F114-82179810.96</f>
        <v>20816553.070000008</v>
      </c>
      <c r="F114" s="82">
        <v>102996364.03</v>
      </c>
      <c r="G114" s="56">
        <f t="shared" si="5"/>
        <v>0.12282960989785521</v>
      </c>
      <c r="H114" s="82">
        <f t="shared" si="7"/>
        <v>42161667.97</v>
      </c>
      <c r="I114" s="82">
        <f>J114-65435302.65</f>
        <v>15948169.32</v>
      </c>
      <c r="J114" s="82">
        <v>81383471.97</v>
      </c>
      <c r="K114" s="56">
        <f t="shared" si="6"/>
        <v>0.10397418584977451</v>
      </c>
      <c r="L114" s="85">
        <f t="shared" si="8"/>
        <v>63774560.03</v>
      </c>
      <c r="M114" s="8"/>
    </row>
    <row r="115" spans="1:13" s="7" customFormat="1" ht="14.25" customHeight="1">
      <c r="A115" s="52" t="s">
        <v>94</v>
      </c>
      <c r="B115" s="53" t="s">
        <v>100</v>
      </c>
      <c r="C115" s="82">
        <v>12078760</v>
      </c>
      <c r="D115" s="82">
        <v>6326948.55</v>
      </c>
      <c r="E115" s="82">
        <f>F115-2902006.62</f>
        <v>198265.06000000006</v>
      </c>
      <c r="F115" s="82">
        <v>3100271.68</v>
      </c>
      <c r="G115" s="56">
        <f t="shared" si="5"/>
        <v>0.003697268001818493</v>
      </c>
      <c r="H115" s="82">
        <f t="shared" si="7"/>
        <v>3226676.8699999996</v>
      </c>
      <c r="I115" s="82">
        <f>J115-402197.13</f>
        <v>132959.32999999996</v>
      </c>
      <c r="J115" s="82">
        <v>535156.46</v>
      </c>
      <c r="K115" s="56">
        <f t="shared" si="6"/>
        <v>0.0006837070953578711</v>
      </c>
      <c r="L115" s="85">
        <f t="shared" si="8"/>
        <v>5791792.09</v>
      </c>
      <c r="M115" s="8"/>
    </row>
    <row r="116" spans="1:13" s="7" customFormat="1" ht="14.25" customHeight="1">
      <c r="A116" s="52" t="s">
        <v>95</v>
      </c>
      <c r="B116" s="53" t="s">
        <v>101</v>
      </c>
      <c r="C116" s="82">
        <v>54324361</v>
      </c>
      <c r="D116" s="82">
        <v>23374461.84</v>
      </c>
      <c r="E116" s="82">
        <f>F116-7943144.13</f>
        <v>3600266.920000001</v>
      </c>
      <c r="F116" s="82">
        <v>11543411.05</v>
      </c>
      <c r="G116" s="56">
        <f t="shared" si="5"/>
        <v>0.013766240095127086</v>
      </c>
      <c r="H116" s="82">
        <f t="shared" si="7"/>
        <v>11831050.79</v>
      </c>
      <c r="I116" s="82">
        <f>J116-2444864.62</f>
        <v>796220.3500000001</v>
      </c>
      <c r="J116" s="82">
        <v>3241084.97</v>
      </c>
      <c r="K116" s="56">
        <f t="shared" si="6"/>
        <v>0.004140756874441454</v>
      </c>
      <c r="L116" s="85">
        <f t="shared" si="8"/>
        <v>20133376.87</v>
      </c>
      <c r="M116" s="8"/>
    </row>
    <row r="117" spans="1:13" s="7" customFormat="1" ht="14.25" customHeight="1">
      <c r="A117" s="52" t="s">
        <v>68</v>
      </c>
      <c r="B117" s="53" t="s">
        <v>76</v>
      </c>
      <c r="C117" s="82">
        <v>160000</v>
      </c>
      <c r="D117" s="82">
        <v>160000</v>
      </c>
      <c r="E117" s="82">
        <f>F117-1100.08</f>
        <v>0</v>
      </c>
      <c r="F117" s="82">
        <v>1100.08</v>
      </c>
      <c r="G117" s="56">
        <f t="shared" si="5"/>
        <v>1.311914245992947E-06</v>
      </c>
      <c r="H117" s="82">
        <f t="shared" si="7"/>
        <v>158899.92</v>
      </c>
      <c r="I117" s="82">
        <f>J117-1100.08</f>
        <v>0</v>
      </c>
      <c r="J117" s="82">
        <v>1100.08</v>
      </c>
      <c r="K117" s="56">
        <f t="shared" si="6"/>
        <v>1.4054441227548422E-06</v>
      </c>
      <c r="L117" s="85">
        <f t="shared" si="8"/>
        <v>158899.92</v>
      </c>
      <c r="M117" s="8"/>
    </row>
    <row r="118" spans="1:13" s="7" customFormat="1" ht="14.25" customHeight="1">
      <c r="A118" s="52" t="s">
        <v>97</v>
      </c>
      <c r="B118" s="53" t="s">
        <v>240</v>
      </c>
      <c r="C118" s="82">
        <v>5000</v>
      </c>
      <c r="D118" s="82">
        <v>5000</v>
      </c>
      <c r="E118" s="82">
        <f>F118-0</f>
        <v>0</v>
      </c>
      <c r="F118" s="82">
        <v>0</v>
      </c>
      <c r="G118" s="56">
        <f t="shared" si="5"/>
        <v>0</v>
      </c>
      <c r="H118" s="82">
        <f t="shared" si="7"/>
        <v>5000</v>
      </c>
      <c r="I118" s="82">
        <f>J118-0</f>
        <v>0</v>
      </c>
      <c r="J118" s="82">
        <v>0</v>
      </c>
      <c r="K118" s="56">
        <f t="shared" si="6"/>
        <v>0</v>
      </c>
      <c r="L118" s="85">
        <f t="shared" si="8"/>
        <v>5000</v>
      </c>
      <c r="M118" s="8"/>
    </row>
    <row r="119" spans="1:17" s="7" customFormat="1" ht="14.25" customHeight="1">
      <c r="A119" s="47" t="s">
        <v>104</v>
      </c>
      <c r="B119" s="50" t="s">
        <v>103</v>
      </c>
      <c r="C119" s="81">
        <f>SUM(C120:C127)</f>
        <v>95578290</v>
      </c>
      <c r="D119" s="81">
        <f>SUM(D120:D127)</f>
        <v>106416801.08</v>
      </c>
      <c r="E119" s="81">
        <f>SUM(E120:E127)</f>
        <v>3839155.6300000004</v>
      </c>
      <c r="F119" s="81">
        <f>SUM(F120:F127)</f>
        <v>15343908.38</v>
      </c>
      <c r="G119" s="51">
        <f t="shared" si="5"/>
        <v>0.01829857100659276</v>
      </c>
      <c r="H119" s="81">
        <f t="shared" si="7"/>
        <v>91072892.7</v>
      </c>
      <c r="I119" s="81">
        <f>SUM(I120:I127)</f>
        <v>2453380.6899999995</v>
      </c>
      <c r="J119" s="81">
        <f>SUM(J120:J127)</f>
        <v>13336464.81</v>
      </c>
      <c r="K119" s="51">
        <f t="shared" si="6"/>
        <v>0.01703844819062366</v>
      </c>
      <c r="L119" s="84">
        <f t="shared" si="8"/>
        <v>93080336.27</v>
      </c>
      <c r="M119" s="8"/>
      <c r="N119" s="86"/>
      <c r="O119" s="86"/>
      <c r="P119" s="86"/>
      <c r="Q119" s="86"/>
    </row>
    <row r="120" spans="1:17" s="7" customFormat="1" ht="14.25" customHeight="1">
      <c r="A120" s="52" t="s">
        <v>48</v>
      </c>
      <c r="B120" s="53" t="s">
        <v>55</v>
      </c>
      <c r="C120" s="82">
        <v>1208947</v>
      </c>
      <c r="D120" s="82">
        <v>1100000</v>
      </c>
      <c r="E120" s="82">
        <f aca="true" t="shared" si="11" ref="E120:E127">F120-0</f>
        <v>0</v>
      </c>
      <c r="F120" s="82">
        <v>0</v>
      </c>
      <c r="G120" s="51">
        <f t="shared" si="5"/>
        <v>0</v>
      </c>
      <c r="H120" s="82">
        <f t="shared" si="7"/>
        <v>1100000</v>
      </c>
      <c r="I120" s="82">
        <f aca="true" t="shared" si="12" ref="I120:I127">J120-0</f>
        <v>0</v>
      </c>
      <c r="J120" s="82">
        <v>0</v>
      </c>
      <c r="K120" s="51">
        <f t="shared" si="6"/>
        <v>0</v>
      </c>
      <c r="L120" s="85">
        <f t="shared" si="8"/>
        <v>1100000</v>
      </c>
      <c r="M120" s="8"/>
      <c r="N120" s="86"/>
      <c r="O120" s="86"/>
      <c r="P120" s="86"/>
      <c r="Q120" s="86"/>
    </row>
    <row r="121" spans="1:13" s="7" customFormat="1" ht="14.25" customHeight="1">
      <c r="A121" s="52" t="s">
        <v>28</v>
      </c>
      <c r="B121" s="53" t="s">
        <v>33</v>
      </c>
      <c r="C121" s="82">
        <v>15327014</v>
      </c>
      <c r="D121" s="82">
        <v>17590357.41</v>
      </c>
      <c r="E121" s="82">
        <f>F121-8297925</f>
        <v>3089852.0500000007</v>
      </c>
      <c r="F121" s="82">
        <v>11387777.05</v>
      </c>
      <c r="G121" s="56">
        <f t="shared" si="5"/>
        <v>0.013580636810128844</v>
      </c>
      <c r="H121" s="82">
        <f t="shared" si="7"/>
        <v>6202580.359999999</v>
      </c>
      <c r="I121" s="82">
        <f>J121-8103647.03</f>
        <v>2049337.1399999997</v>
      </c>
      <c r="J121" s="82">
        <v>10152984.17</v>
      </c>
      <c r="K121" s="56">
        <f t="shared" si="6"/>
        <v>0.012971285661178689</v>
      </c>
      <c r="L121" s="85">
        <f t="shared" si="8"/>
        <v>7437373.24</v>
      </c>
      <c r="M121" s="8"/>
    </row>
    <row r="122" spans="1:13" s="7" customFormat="1" ht="14.25" customHeight="1">
      <c r="A122" s="52" t="s">
        <v>50</v>
      </c>
      <c r="B122" s="53" t="s">
        <v>57</v>
      </c>
      <c r="C122" s="82">
        <v>2005000</v>
      </c>
      <c r="D122" s="82">
        <v>1700000</v>
      </c>
      <c r="E122" s="82">
        <f t="shared" si="11"/>
        <v>0</v>
      </c>
      <c r="F122" s="82">
        <v>0</v>
      </c>
      <c r="G122" s="56">
        <f t="shared" si="5"/>
        <v>0</v>
      </c>
      <c r="H122" s="82">
        <f t="shared" si="7"/>
        <v>1700000</v>
      </c>
      <c r="I122" s="82">
        <f t="shared" si="12"/>
        <v>0</v>
      </c>
      <c r="J122" s="82">
        <v>0</v>
      </c>
      <c r="K122" s="56">
        <f t="shared" si="6"/>
        <v>0</v>
      </c>
      <c r="L122" s="85">
        <f t="shared" si="8"/>
        <v>1700000</v>
      </c>
      <c r="M122" s="8"/>
    </row>
    <row r="123" spans="1:13" s="7" customFormat="1" ht="14.25" customHeight="1">
      <c r="A123" s="52" t="s">
        <v>131</v>
      </c>
      <c r="B123" s="53" t="s">
        <v>132</v>
      </c>
      <c r="C123" s="82">
        <v>1005000</v>
      </c>
      <c r="D123" s="82">
        <v>1000000</v>
      </c>
      <c r="E123" s="82">
        <f>F123-15216.8</f>
        <v>0</v>
      </c>
      <c r="F123" s="82">
        <v>15216.8</v>
      </c>
      <c r="G123" s="56">
        <f t="shared" si="5"/>
        <v>1.8146986308655258E-05</v>
      </c>
      <c r="H123" s="82">
        <f t="shared" si="7"/>
        <v>984783.2</v>
      </c>
      <c r="I123" s="82">
        <f>J123-15216.8</f>
        <v>0</v>
      </c>
      <c r="J123" s="82">
        <v>15216.8</v>
      </c>
      <c r="K123" s="56">
        <f t="shared" si="6"/>
        <v>1.9440733516776856E-05</v>
      </c>
      <c r="L123" s="85">
        <f t="shared" si="8"/>
        <v>984783.2</v>
      </c>
      <c r="M123" s="8"/>
    </row>
    <row r="124" spans="1:13" s="7" customFormat="1" ht="14.25" customHeight="1">
      <c r="A124" s="52" t="s">
        <v>241</v>
      </c>
      <c r="B124" s="53" t="s">
        <v>242</v>
      </c>
      <c r="C124" s="82">
        <v>0</v>
      </c>
      <c r="D124" s="82">
        <v>0</v>
      </c>
      <c r="E124" s="82">
        <f t="shared" si="11"/>
        <v>0</v>
      </c>
      <c r="F124" s="82">
        <v>0</v>
      </c>
      <c r="G124" s="56">
        <f t="shared" si="5"/>
        <v>0</v>
      </c>
      <c r="H124" s="82">
        <f t="shared" si="7"/>
        <v>0</v>
      </c>
      <c r="I124" s="82">
        <f t="shared" si="12"/>
        <v>0</v>
      </c>
      <c r="J124" s="82">
        <v>0</v>
      </c>
      <c r="K124" s="56">
        <f t="shared" si="6"/>
        <v>0</v>
      </c>
      <c r="L124" s="85">
        <f t="shared" si="8"/>
        <v>0</v>
      </c>
      <c r="M124" s="8"/>
    </row>
    <row r="125" spans="1:13" s="7" customFormat="1" ht="14.25" customHeight="1">
      <c r="A125" s="52" t="s">
        <v>105</v>
      </c>
      <c r="B125" s="53" t="s">
        <v>107</v>
      </c>
      <c r="C125" s="82">
        <v>73690092</v>
      </c>
      <c r="D125" s="82">
        <v>82692406.67</v>
      </c>
      <c r="E125" s="82">
        <f>F125-3188810.95</f>
        <v>749303.5799999996</v>
      </c>
      <c r="F125" s="82">
        <v>3938114.53</v>
      </c>
      <c r="G125" s="56">
        <f t="shared" si="5"/>
        <v>0.004696448034923659</v>
      </c>
      <c r="H125" s="82">
        <f t="shared" si="7"/>
        <v>78754292.14</v>
      </c>
      <c r="I125" s="82">
        <f>J125-2761420.29</f>
        <v>404043.5499999998</v>
      </c>
      <c r="J125" s="82">
        <v>3165463.84</v>
      </c>
      <c r="K125" s="56">
        <f t="shared" si="6"/>
        <v>0.004044144561960016</v>
      </c>
      <c r="L125" s="85">
        <f t="shared" si="8"/>
        <v>79526942.83</v>
      </c>
      <c r="M125" s="8"/>
    </row>
    <row r="126" spans="1:13" s="7" customFormat="1" ht="14.25" customHeight="1">
      <c r="A126" s="52" t="s">
        <v>106</v>
      </c>
      <c r="B126" s="53" t="s">
        <v>108</v>
      </c>
      <c r="C126" s="82">
        <v>2342237</v>
      </c>
      <c r="D126" s="82">
        <v>2334037</v>
      </c>
      <c r="E126" s="82">
        <f>F126-2800</f>
        <v>0</v>
      </c>
      <c r="F126" s="82">
        <v>2800</v>
      </c>
      <c r="G126" s="56">
        <f t="shared" si="5"/>
        <v>3.339175231601567E-06</v>
      </c>
      <c r="H126" s="82">
        <f t="shared" si="7"/>
        <v>2331237</v>
      </c>
      <c r="I126" s="82">
        <f>J126-2800</f>
        <v>0</v>
      </c>
      <c r="J126" s="82">
        <v>2800</v>
      </c>
      <c r="K126" s="56">
        <f t="shared" si="6"/>
        <v>3.5772339681782765E-06</v>
      </c>
      <c r="L126" s="85">
        <f t="shared" si="8"/>
        <v>2331237</v>
      </c>
      <c r="M126" s="8"/>
    </row>
    <row r="127" spans="1:13" s="7" customFormat="1" ht="14.25" customHeight="1">
      <c r="A127" s="52" t="s">
        <v>53</v>
      </c>
      <c r="B127" s="53" t="s">
        <v>60</v>
      </c>
      <c r="C127" s="82">
        <v>0</v>
      </c>
      <c r="D127" s="82">
        <v>0</v>
      </c>
      <c r="E127" s="82">
        <f t="shared" si="11"/>
        <v>0</v>
      </c>
      <c r="F127" s="82">
        <v>0</v>
      </c>
      <c r="G127" s="56">
        <f t="shared" si="5"/>
        <v>0</v>
      </c>
      <c r="H127" s="82">
        <f t="shared" si="7"/>
        <v>0</v>
      </c>
      <c r="I127" s="82">
        <f t="shared" si="12"/>
        <v>0</v>
      </c>
      <c r="J127" s="82">
        <v>0</v>
      </c>
      <c r="K127" s="56">
        <f t="shared" si="6"/>
        <v>0</v>
      </c>
      <c r="L127" s="85">
        <f t="shared" si="8"/>
        <v>0</v>
      </c>
      <c r="M127" s="8"/>
    </row>
    <row r="128" spans="1:13" s="7" customFormat="1" ht="14.25" customHeight="1">
      <c r="A128" s="47" t="s">
        <v>109</v>
      </c>
      <c r="B128" s="50" t="s">
        <v>110</v>
      </c>
      <c r="C128" s="81">
        <f>SUM(C129:C147)</f>
        <v>8573733326</v>
      </c>
      <c r="D128" s="81">
        <f>SUM(D129:D147)</f>
        <v>10381524644.94</v>
      </c>
      <c r="E128" s="81">
        <f>SUM(E129:E147)</f>
        <v>1379771182.4699996</v>
      </c>
      <c r="F128" s="81">
        <f>SUM(F129:F147)</f>
        <v>7705048274.54</v>
      </c>
      <c r="G128" s="51">
        <f t="shared" si="5"/>
        <v>9.188752270227987</v>
      </c>
      <c r="H128" s="81">
        <f t="shared" si="7"/>
        <v>2676476370.4000006</v>
      </c>
      <c r="I128" s="81">
        <f>SUM(I129:I147)</f>
        <v>1955263366.9</v>
      </c>
      <c r="J128" s="81">
        <f>SUM(J129:J147)</f>
        <v>7085905496.830001</v>
      </c>
      <c r="K128" s="51">
        <f t="shared" si="6"/>
        <v>9.052836370914804</v>
      </c>
      <c r="L128" s="84">
        <f t="shared" si="8"/>
        <v>3295619148.1099997</v>
      </c>
      <c r="M128" s="8"/>
    </row>
    <row r="129" spans="1:13" s="7" customFormat="1" ht="14.25" customHeight="1">
      <c r="A129" s="52" t="s">
        <v>28</v>
      </c>
      <c r="B129" s="53" t="s">
        <v>33</v>
      </c>
      <c r="C129" s="82">
        <v>2935136731</v>
      </c>
      <c r="D129" s="82">
        <v>2840700101.51</v>
      </c>
      <c r="E129" s="82">
        <f>F129-1723107275.93</f>
        <v>493212843.0599997</v>
      </c>
      <c r="F129" s="82">
        <v>2216320118.99</v>
      </c>
      <c r="G129" s="56">
        <f t="shared" si="5"/>
        <v>2.6431004452255875</v>
      </c>
      <c r="H129" s="82">
        <f t="shared" si="7"/>
        <v>624379982.5200005</v>
      </c>
      <c r="I129" s="82">
        <f>J129-1628281861.8</f>
        <v>476397845.83000016</v>
      </c>
      <c r="J129" s="82">
        <v>2104679707.63</v>
      </c>
      <c r="K129" s="56">
        <f t="shared" si="6"/>
        <v>2.6889041936677</v>
      </c>
      <c r="L129" s="85">
        <f t="shared" si="8"/>
        <v>736020393.8800001</v>
      </c>
      <c r="M129" s="8"/>
    </row>
    <row r="130" spans="1:13" s="7" customFormat="1" ht="14.25" customHeight="1">
      <c r="A130" s="52" t="s">
        <v>50</v>
      </c>
      <c r="B130" s="53" t="s">
        <v>57</v>
      </c>
      <c r="C130" s="82">
        <v>5000</v>
      </c>
      <c r="D130" s="82">
        <v>505000</v>
      </c>
      <c r="E130" s="82">
        <f>F130-0</f>
        <v>0</v>
      </c>
      <c r="F130" s="82">
        <v>0</v>
      </c>
      <c r="G130" s="56">
        <f t="shared" si="5"/>
        <v>0</v>
      </c>
      <c r="H130" s="82">
        <f t="shared" si="7"/>
        <v>505000</v>
      </c>
      <c r="I130" s="82">
        <f>J130-0</f>
        <v>0</v>
      </c>
      <c r="J130" s="82">
        <v>0</v>
      </c>
      <c r="K130" s="56">
        <f t="shared" si="6"/>
        <v>0</v>
      </c>
      <c r="L130" s="85">
        <f t="shared" si="8"/>
        <v>505000</v>
      </c>
      <c r="M130" s="8"/>
    </row>
    <row r="131" spans="1:13" s="7" customFormat="1" ht="14.25" customHeight="1">
      <c r="A131" s="52" t="s">
        <v>29</v>
      </c>
      <c r="B131" s="53" t="s">
        <v>34</v>
      </c>
      <c r="C131" s="82">
        <v>13279124</v>
      </c>
      <c r="D131" s="82">
        <v>8879124</v>
      </c>
      <c r="E131" s="82">
        <f>F131-1492426</f>
        <v>3849607.7</v>
      </c>
      <c r="F131" s="82">
        <v>5342033.7</v>
      </c>
      <c r="G131" s="56">
        <f t="shared" si="5"/>
        <v>0.006370709506221742</v>
      </c>
      <c r="H131" s="82">
        <f t="shared" si="7"/>
        <v>3537090.3</v>
      </c>
      <c r="I131" s="82">
        <f>J131-1492426</f>
        <v>1720673</v>
      </c>
      <c r="J131" s="82">
        <v>3213099</v>
      </c>
      <c r="K131" s="56">
        <f t="shared" si="6"/>
        <v>0.004105002459257019</v>
      </c>
      <c r="L131" s="85">
        <f t="shared" si="8"/>
        <v>5666025</v>
      </c>
      <c r="M131" s="8"/>
    </row>
    <row r="132" spans="1:13" s="7" customFormat="1" ht="14.25" customHeight="1">
      <c r="A132" s="52" t="s">
        <v>64</v>
      </c>
      <c r="B132" s="53" t="s">
        <v>72</v>
      </c>
      <c r="C132" s="82">
        <v>200000</v>
      </c>
      <c r="D132" s="82">
        <v>200000</v>
      </c>
      <c r="E132" s="82">
        <f>F132-0</f>
        <v>0</v>
      </c>
      <c r="F132" s="82">
        <v>0</v>
      </c>
      <c r="G132" s="56">
        <f t="shared" si="5"/>
        <v>0</v>
      </c>
      <c r="H132" s="82">
        <f t="shared" si="7"/>
        <v>200000</v>
      </c>
      <c r="I132" s="82">
        <f>J132-0</f>
        <v>0</v>
      </c>
      <c r="J132" s="82">
        <v>0</v>
      </c>
      <c r="K132" s="56">
        <f t="shared" si="6"/>
        <v>0</v>
      </c>
      <c r="L132" s="85">
        <f t="shared" si="8"/>
        <v>200000</v>
      </c>
      <c r="M132" s="8"/>
    </row>
    <row r="133" spans="1:13" s="7" customFormat="1" ht="14.25" customHeight="1">
      <c r="A133" s="52" t="s">
        <v>131</v>
      </c>
      <c r="B133" s="53" t="s">
        <v>132</v>
      </c>
      <c r="C133" s="82">
        <v>0</v>
      </c>
      <c r="D133" s="82">
        <v>0</v>
      </c>
      <c r="E133" s="82">
        <f>F133-0</f>
        <v>0</v>
      </c>
      <c r="F133" s="82">
        <v>0</v>
      </c>
      <c r="G133" s="56">
        <f t="shared" si="5"/>
        <v>0</v>
      </c>
      <c r="H133" s="82">
        <f t="shared" si="7"/>
        <v>0</v>
      </c>
      <c r="I133" s="82">
        <f>J133-0</f>
        <v>0</v>
      </c>
      <c r="J133" s="82">
        <v>0</v>
      </c>
      <c r="K133" s="56">
        <f t="shared" si="6"/>
        <v>0</v>
      </c>
      <c r="L133" s="85">
        <f t="shared" si="8"/>
        <v>0</v>
      </c>
      <c r="M133" s="8"/>
    </row>
    <row r="134" spans="1:13" s="7" customFormat="1" ht="14.25" customHeight="1">
      <c r="A134" s="52" t="s">
        <v>82</v>
      </c>
      <c r="B134" s="53" t="s">
        <v>84</v>
      </c>
      <c r="C134" s="82">
        <v>70036300</v>
      </c>
      <c r="D134" s="82">
        <v>75900757.28</v>
      </c>
      <c r="E134" s="82">
        <f>F134-42962289.04</f>
        <v>9221115.86</v>
      </c>
      <c r="F134" s="82">
        <v>52183404.9</v>
      </c>
      <c r="G134" s="56">
        <f t="shared" si="5"/>
        <v>0.062231976122398516</v>
      </c>
      <c r="H134" s="82">
        <f t="shared" si="7"/>
        <v>23717352.380000003</v>
      </c>
      <c r="I134" s="82">
        <f>J134-32041445.82</f>
        <v>11465507.68</v>
      </c>
      <c r="J134" s="82">
        <v>43506953.5</v>
      </c>
      <c r="K134" s="56">
        <f t="shared" si="6"/>
        <v>0.055583768540054555</v>
      </c>
      <c r="L134" s="85">
        <f t="shared" si="8"/>
        <v>32393803.78</v>
      </c>
      <c r="M134" s="8"/>
    </row>
    <row r="135" spans="1:13" s="7" customFormat="1" ht="14.25" customHeight="1">
      <c r="A135" s="52" t="s">
        <v>67</v>
      </c>
      <c r="B135" s="53" t="s">
        <v>75</v>
      </c>
      <c r="C135" s="82">
        <v>5000</v>
      </c>
      <c r="D135" s="82">
        <v>5000</v>
      </c>
      <c r="E135" s="82">
        <f>F135-1</f>
        <v>-1</v>
      </c>
      <c r="F135" s="82">
        <v>0</v>
      </c>
      <c r="G135" s="56">
        <f t="shared" si="5"/>
        <v>0</v>
      </c>
      <c r="H135" s="82">
        <f t="shared" si="7"/>
        <v>5000</v>
      </c>
      <c r="I135" s="82">
        <f>J135-0</f>
        <v>0</v>
      </c>
      <c r="J135" s="82">
        <v>0</v>
      </c>
      <c r="K135" s="56">
        <f t="shared" si="6"/>
        <v>0</v>
      </c>
      <c r="L135" s="85">
        <f t="shared" si="8"/>
        <v>5000</v>
      </c>
      <c r="M135" s="8"/>
    </row>
    <row r="136" spans="1:13" s="7" customFormat="1" ht="14.25" customHeight="1">
      <c r="A136" s="52" t="s">
        <v>68</v>
      </c>
      <c r="B136" s="53" t="s">
        <v>76</v>
      </c>
      <c r="C136" s="82">
        <v>343681889</v>
      </c>
      <c r="D136" s="82">
        <v>250185295.14</v>
      </c>
      <c r="E136" s="82">
        <f>F136-206580806.26</f>
        <v>19578908.25</v>
      </c>
      <c r="F136" s="82">
        <v>226159714.51</v>
      </c>
      <c r="G136" s="56">
        <f t="shared" si="5"/>
        <v>0.2697096132420977</v>
      </c>
      <c r="H136" s="82">
        <f t="shared" si="7"/>
        <v>24025580.629999995</v>
      </c>
      <c r="I136" s="82">
        <f>J136-152813537.34</f>
        <v>44298466.879999995</v>
      </c>
      <c r="J136" s="82">
        <v>197112004.22</v>
      </c>
      <c r="K136" s="56">
        <f t="shared" si="6"/>
        <v>0.2518270560826728</v>
      </c>
      <c r="L136" s="85">
        <f t="shared" si="8"/>
        <v>53073290.91999999</v>
      </c>
      <c r="M136" s="8"/>
    </row>
    <row r="137" spans="1:13" s="7" customFormat="1" ht="14.25" customHeight="1">
      <c r="A137" s="52" t="s">
        <v>237</v>
      </c>
      <c r="B137" s="53" t="s">
        <v>238</v>
      </c>
      <c r="C137" s="82">
        <v>5000</v>
      </c>
      <c r="D137" s="82">
        <v>5000</v>
      </c>
      <c r="E137" s="82">
        <f>F137-0</f>
        <v>0</v>
      </c>
      <c r="F137" s="82">
        <v>0</v>
      </c>
      <c r="G137" s="56">
        <f t="shared" si="5"/>
        <v>0</v>
      </c>
      <c r="H137" s="82">
        <f t="shared" si="7"/>
        <v>5000</v>
      </c>
      <c r="I137" s="82">
        <f>J137-0</f>
        <v>0</v>
      </c>
      <c r="J137" s="82">
        <v>0</v>
      </c>
      <c r="K137" s="56">
        <f t="shared" si="6"/>
        <v>0</v>
      </c>
      <c r="L137" s="85">
        <f t="shared" si="8"/>
        <v>5000</v>
      </c>
      <c r="M137" s="8"/>
    </row>
    <row r="138" spans="1:13" s="7" customFormat="1" ht="14.25" customHeight="1">
      <c r="A138" s="52" t="s">
        <v>111</v>
      </c>
      <c r="B138" s="53" t="s">
        <v>118</v>
      </c>
      <c r="C138" s="82">
        <v>1162399602</v>
      </c>
      <c r="D138" s="82">
        <v>1214035034.31</v>
      </c>
      <c r="E138" s="82">
        <f>F138-699632446.24</f>
        <v>93427157.31999993</v>
      </c>
      <c r="F138" s="82">
        <v>793059603.56</v>
      </c>
      <c r="G138" s="56">
        <f t="shared" si="5"/>
        <v>0.9457732090683248</v>
      </c>
      <c r="H138" s="82">
        <f t="shared" si="7"/>
        <v>420975430.75</v>
      </c>
      <c r="I138" s="82">
        <f>J138-699632446.24</f>
        <v>93427157.31999993</v>
      </c>
      <c r="J138" s="82">
        <v>793059603.56</v>
      </c>
      <c r="K138" s="56">
        <f t="shared" si="6"/>
        <v>1.0131999116588677</v>
      </c>
      <c r="L138" s="85">
        <f t="shared" si="8"/>
        <v>420975430.75</v>
      </c>
      <c r="M138" s="8"/>
    </row>
    <row r="139" spans="1:13" s="7" customFormat="1" ht="14.25" customHeight="1">
      <c r="A139" s="52" t="s">
        <v>112</v>
      </c>
      <c r="B139" s="53" t="s">
        <v>119</v>
      </c>
      <c r="C139" s="82">
        <v>2852498093</v>
      </c>
      <c r="D139" s="82">
        <v>3215461032.98</v>
      </c>
      <c r="E139" s="82">
        <f>F139-1621050628.61</f>
        <v>494584064.09000015</v>
      </c>
      <c r="F139" s="82">
        <v>2115634692.7</v>
      </c>
      <c r="G139" s="56">
        <f t="shared" si="5"/>
        <v>2.5230267732074405</v>
      </c>
      <c r="H139" s="82">
        <f t="shared" si="7"/>
        <v>1099826340.28</v>
      </c>
      <c r="I139" s="82">
        <f>J139-1620850628.61</f>
        <v>494364473.72</v>
      </c>
      <c r="J139" s="82">
        <v>2115215102.33</v>
      </c>
      <c r="K139" s="56">
        <f t="shared" si="6"/>
        <v>2.7023640407352016</v>
      </c>
      <c r="L139" s="85">
        <f t="shared" si="8"/>
        <v>1100245930.65</v>
      </c>
      <c r="M139" s="8"/>
    </row>
    <row r="140" spans="1:13" s="7" customFormat="1" ht="14.25" customHeight="1">
      <c r="A140" s="52" t="s">
        <v>113</v>
      </c>
      <c r="B140" s="53" t="s">
        <v>120</v>
      </c>
      <c r="C140" s="82">
        <v>66629297</v>
      </c>
      <c r="D140" s="82">
        <v>143151480.6</v>
      </c>
      <c r="E140" s="82">
        <f>F140-64440078.15</f>
        <v>26569632.750000007</v>
      </c>
      <c r="F140" s="82">
        <v>91009710.9</v>
      </c>
      <c r="G140" s="56">
        <f t="shared" si="5"/>
        <v>0.10853477588303542</v>
      </c>
      <c r="H140" s="82">
        <f t="shared" si="7"/>
        <v>52141769.69999999</v>
      </c>
      <c r="I140" s="82">
        <f>J140-45551297.38</f>
        <v>37497442.46999999</v>
      </c>
      <c r="J140" s="82">
        <v>83048739.85</v>
      </c>
      <c r="K140" s="56">
        <f t="shared" si="6"/>
        <v>0.10610170471636458</v>
      </c>
      <c r="L140" s="85">
        <f t="shared" si="8"/>
        <v>60102740.75</v>
      </c>
      <c r="M140" s="8"/>
    </row>
    <row r="141" spans="1:13" s="7" customFormat="1" ht="14.25" customHeight="1">
      <c r="A141" s="52" t="s">
        <v>114</v>
      </c>
      <c r="B141" s="53" t="s">
        <v>121</v>
      </c>
      <c r="C141" s="82">
        <v>314760210</v>
      </c>
      <c r="D141" s="82">
        <v>534928636.02</v>
      </c>
      <c r="E141" s="82">
        <f>F141-295986099.62</f>
        <v>80471525.01999998</v>
      </c>
      <c r="F141" s="82">
        <v>376457624.64</v>
      </c>
      <c r="G141" s="56">
        <f aca="true" t="shared" si="13" ref="G141:G152">(F141/$F$303)*100</f>
        <v>0.44894927712337424</v>
      </c>
      <c r="H141" s="82">
        <f t="shared" si="7"/>
        <v>158471011.38</v>
      </c>
      <c r="I141" s="82">
        <f>J141-252696717.89</f>
        <v>99525827.57</v>
      </c>
      <c r="J141" s="82">
        <v>352222545.46</v>
      </c>
      <c r="K141" s="56">
        <f aca="true" t="shared" si="14" ref="K141:K152">(J141/$J$303)*100</f>
        <v>0.4499937335634747</v>
      </c>
      <c r="L141" s="85">
        <f t="shared" si="8"/>
        <v>182706090.56</v>
      </c>
      <c r="M141" s="8"/>
    </row>
    <row r="142" spans="1:13" s="7" customFormat="1" ht="14.25" customHeight="1">
      <c r="A142" s="52" t="s">
        <v>115</v>
      </c>
      <c r="B142" s="53" t="s">
        <v>122</v>
      </c>
      <c r="C142" s="82">
        <v>19581274</v>
      </c>
      <c r="D142" s="82">
        <v>18026769.75</v>
      </c>
      <c r="E142" s="82">
        <f>F142-9665089.56</f>
        <v>2646547.3499999996</v>
      </c>
      <c r="F142" s="82">
        <v>12311636.91</v>
      </c>
      <c r="G142" s="56">
        <f t="shared" si="13"/>
        <v>0.014682397510837018</v>
      </c>
      <c r="H142" s="82">
        <f aca="true" t="shared" si="15" ref="H142:H152">D142-F142</f>
        <v>5715132.84</v>
      </c>
      <c r="I142" s="82">
        <f>J142-9536100.66</f>
        <v>2360370.3000000007</v>
      </c>
      <c r="J142" s="82">
        <v>11896470.96</v>
      </c>
      <c r="K142" s="56">
        <f t="shared" si="14"/>
        <v>0.01519873572127087</v>
      </c>
      <c r="L142" s="85">
        <f aca="true" t="shared" si="16" ref="L142:L152">D142-J142</f>
        <v>6130298.789999999</v>
      </c>
      <c r="M142" s="8"/>
    </row>
    <row r="143" spans="1:13" s="7" customFormat="1" ht="14.25" customHeight="1">
      <c r="A143" s="52" t="s">
        <v>116</v>
      </c>
      <c r="B143" s="53" t="s">
        <v>123</v>
      </c>
      <c r="C143" s="82">
        <v>54845267</v>
      </c>
      <c r="D143" s="82">
        <v>57959898.53</v>
      </c>
      <c r="E143" s="82">
        <f>F143-28348617.67</f>
        <v>1306160.8399999999</v>
      </c>
      <c r="F143" s="82">
        <v>29654778.51</v>
      </c>
      <c r="G143" s="56">
        <f t="shared" si="13"/>
        <v>0.035365179249722295</v>
      </c>
      <c r="H143" s="82">
        <f t="shared" si="15"/>
        <v>28305120.02</v>
      </c>
      <c r="I143" s="82">
        <f>J143-14770751.95</f>
        <v>4935313.150000002</v>
      </c>
      <c r="J143" s="82">
        <v>19706065.1</v>
      </c>
      <c r="K143" s="56">
        <f t="shared" si="14"/>
        <v>0.025176144805304446</v>
      </c>
      <c r="L143" s="85">
        <f t="shared" si="16"/>
        <v>38253833.43</v>
      </c>
      <c r="M143" s="8"/>
    </row>
    <row r="144" spans="1:13" s="7" customFormat="1" ht="14.25" customHeight="1">
      <c r="A144" s="52" t="s">
        <v>250</v>
      </c>
      <c r="B144" s="53" t="s">
        <v>251</v>
      </c>
      <c r="C144" s="82">
        <v>517028608</v>
      </c>
      <c r="D144" s="82">
        <v>1714363044.78</v>
      </c>
      <c r="E144" s="82">
        <f>F144-1374486437.25</f>
        <v>138052756.18000007</v>
      </c>
      <c r="F144" s="82">
        <v>1512539193.43</v>
      </c>
      <c r="G144" s="56">
        <f t="shared" si="13"/>
        <v>1.80379764697431</v>
      </c>
      <c r="H144" s="82">
        <f t="shared" si="15"/>
        <v>201823851.3499999</v>
      </c>
      <c r="I144" s="82">
        <f>J144-490829730.68</f>
        <v>629683301.3299999</v>
      </c>
      <c r="J144" s="82">
        <v>1120513032.01</v>
      </c>
      <c r="K144" s="56">
        <f t="shared" si="14"/>
        <v>1.4315490285330732</v>
      </c>
      <c r="L144" s="85">
        <f t="shared" si="16"/>
        <v>593850012.77</v>
      </c>
      <c r="M144" s="8"/>
    </row>
    <row r="145" spans="1:13" s="7" customFormat="1" ht="14.25" customHeight="1">
      <c r="A145" s="52" t="s">
        <v>117</v>
      </c>
      <c r="B145" s="53" t="s">
        <v>124</v>
      </c>
      <c r="C145" s="82">
        <v>276425</v>
      </c>
      <c r="D145" s="82">
        <v>105315</v>
      </c>
      <c r="E145" s="82">
        <f>F145-52252.5</f>
        <v>3062.5</v>
      </c>
      <c r="F145" s="82">
        <v>55315</v>
      </c>
      <c r="G145" s="56">
        <f t="shared" si="13"/>
        <v>6.596659926287168E-05</v>
      </c>
      <c r="H145" s="82">
        <f t="shared" si="15"/>
        <v>50000</v>
      </c>
      <c r="I145" s="82">
        <f>J145-18912.5</f>
        <v>1225</v>
      </c>
      <c r="J145" s="82">
        <v>20137.5</v>
      </c>
      <c r="K145" s="56">
        <f t="shared" si="14"/>
        <v>2.5727338940782158E-05</v>
      </c>
      <c r="L145" s="85">
        <f t="shared" si="16"/>
        <v>85177.5</v>
      </c>
      <c r="M145" s="8"/>
    </row>
    <row r="146" spans="1:13" s="7" customFormat="1" ht="14.25" customHeight="1">
      <c r="A146" s="52" t="s">
        <v>96</v>
      </c>
      <c r="B146" s="53" t="s">
        <v>102</v>
      </c>
      <c r="C146" s="82">
        <v>10792</v>
      </c>
      <c r="D146" s="82">
        <v>51434744.03</v>
      </c>
      <c r="E146" s="82">
        <f>F146-17000000</f>
        <v>16821683.85</v>
      </c>
      <c r="F146" s="82">
        <v>33821683.85</v>
      </c>
      <c r="G146" s="56">
        <f t="shared" si="13"/>
        <v>0.04033447464392098</v>
      </c>
      <c r="H146" s="82">
        <f t="shared" si="15"/>
        <v>17613060.18</v>
      </c>
      <c r="I146" s="82">
        <f>J146-13848480.82</f>
        <v>18510823.95</v>
      </c>
      <c r="J146" s="82">
        <v>32359304.77</v>
      </c>
      <c r="K146" s="56">
        <f t="shared" si="14"/>
        <v>0.0413417157892419</v>
      </c>
      <c r="L146" s="85">
        <f t="shared" si="16"/>
        <v>19075439.26</v>
      </c>
      <c r="M146" s="8"/>
    </row>
    <row r="147" spans="1:13" s="7" customFormat="1" ht="14.25" customHeight="1">
      <c r="A147" s="52" t="s">
        <v>97</v>
      </c>
      <c r="B147" s="53" t="s">
        <v>240</v>
      </c>
      <c r="C147" s="82">
        <v>223354714</v>
      </c>
      <c r="D147" s="82">
        <v>255678411.01</v>
      </c>
      <c r="E147" s="82">
        <f>F147-240472644.24</f>
        <v>26118.69999998808</v>
      </c>
      <c r="F147" s="82">
        <v>240498762.94</v>
      </c>
      <c r="G147" s="56">
        <f t="shared" si="13"/>
        <v>0.28680982587145176</v>
      </c>
      <c r="H147" s="82">
        <f t="shared" si="15"/>
        <v>15179648.069999993</v>
      </c>
      <c r="I147" s="82">
        <f>J147-168277792.24</f>
        <v>41074938.69999999</v>
      </c>
      <c r="J147" s="82">
        <v>209352730.94</v>
      </c>
      <c r="K147" s="56">
        <f t="shared" si="14"/>
        <v>0.2674656073033769</v>
      </c>
      <c r="L147" s="85">
        <f t="shared" si="16"/>
        <v>46325680.06999999</v>
      </c>
      <c r="M147" s="8"/>
    </row>
    <row r="148" spans="1:13" s="7" customFormat="1" ht="14.25" customHeight="1">
      <c r="A148" s="47" t="s">
        <v>125</v>
      </c>
      <c r="B148" s="50" t="s">
        <v>126</v>
      </c>
      <c r="C148" s="81">
        <f>SUM(C149:C152)</f>
        <v>416943210</v>
      </c>
      <c r="D148" s="81">
        <f>SUM(D149:D152)</f>
        <v>544114816.61</v>
      </c>
      <c r="E148" s="81">
        <f>SUM(E149:E152)</f>
        <v>37570751.57000001</v>
      </c>
      <c r="F148" s="81">
        <f>SUM(F149:F152)</f>
        <v>176267956</v>
      </c>
      <c r="G148" s="51">
        <f t="shared" si="13"/>
        <v>0.21021056885722672</v>
      </c>
      <c r="H148" s="81">
        <f t="shared" si="15"/>
        <v>367846860.61</v>
      </c>
      <c r="I148" s="81">
        <f>SUM(I149:I152)</f>
        <v>26026392.279999994</v>
      </c>
      <c r="J148" s="81">
        <f>SUM(J149:J152)</f>
        <v>138816810.07999998</v>
      </c>
      <c r="K148" s="51">
        <f t="shared" si="14"/>
        <v>0.17735007441868875</v>
      </c>
      <c r="L148" s="84">
        <f t="shared" si="16"/>
        <v>405298006.53000003</v>
      </c>
      <c r="M148" s="8"/>
    </row>
    <row r="149" spans="1:13" s="7" customFormat="1" ht="14.25" customHeight="1">
      <c r="A149" s="52" t="s">
        <v>28</v>
      </c>
      <c r="B149" s="53" t="s">
        <v>33</v>
      </c>
      <c r="C149" s="82">
        <v>120340322</v>
      </c>
      <c r="D149" s="82">
        <v>138862008</v>
      </c>
      <c r="E149" s="82">
        <f>F149-71567620.82</f>
        <v>24030910.540000007</v>
      </c>
      <c r="F149" s="82">
        <v>95598531.36</v>
      </c>
      <c r="G149" s="56">
        <f t="shared" si="13"/>
        <v>0.11400723146242774</v>
      </c>
      <c r="H149" s="82">
        <f t="shared" si="15"/>
        <v>43263476.64</v>
      </c>
      <c r="I149" s="82">
        <f>J149-70265537.04</f>
        <v>18377921.909999996</v>
      </c>
      <c r="J149" s="82">
        <v>88643458.95</v>
      </c>
      <c r="K149" s="56">
        <f t="shared" si="14"/>
        <v>0.11324942586169882</v>
      </c>
      <c r="L149" s="85">
        <f t="shared" si="16"/>
        <v>50218549.05</v>
      </c>
      <c r="M149" s="8"/>
    </row>
    <row r="150" spans="1:13" s="7" customFormat="1" ht="14.25" customHeight="1">
      <c r="A150" s="52" t="s">
        <v>127</v>
      </c>
      <c r="B150" s="53" t="s">
        <v>128</v>
      </c>
      <c r="C150" s="82">
        <v>2070200</v>
      </c>
      <c r="D150" s="82">
        <v>4953961.06</v>
      </c>
      <c r="E150" s="82">
        <f>F150-4372359.64</f>
        <v>5231</v>
      </c>
      <c r="F150" s="82">
        <v>4377590.64</v>
      </c>
      <c r="G150" s="56">
        <f t="shared" si="13"/>
        <v>0.005220550799706733</v>
      </c>
      <c r="H150" s="82">
        <f t="shared" si="15"/>
        <v>576370.4199999999</v>
      </c>
      <c r="I150" s="82">
        <f>J150-37260.58</f>
        <v>4759.5</v>
      </c>
      <c r="J150" s="82">
        <v>42020.08</v>
      </c>
      <c r="K150" s="56">
        <f t="shared" si="14"/>
        <v>5.368416340056023E-05</v>
      </c>
      <c r="L150" s="85">
        <f t="shared" si="16"/>
        <v>4911940.9799999995</v>
      </c>
      <c r="M150" s="8"/>
    </row>
    <row r="151" spans="1:13" s="7" customFormat="1" ht="14.25" customHeight="1">
      <c r="A151" s="52" t="s">
        <v>117</v>
      </c>
      <c r="B151" s="53" t="s">
        <v>124</v>
      </c>
      <c r="C151" s="82">
        <v>294532688</v>
      </c>
      <c r="D151" s="82">
        <v>400298847.55</v>
      </c>
      <c r="E151" s="82">
        <f>F151-62757223.97</f>
        <v>13534610.030000001</v>
      </c>
      <c r="F151" s="82">
        <v>76291834</v>
      </c>
      <c r="G151" s="56">
        <f t="shared" si="13"/>
        <v>0.09098278659509226</v>
      </c>
      <c r="H151" s="82">
        <f t="shared" si="15"/>
        <v>324007013.55</v>
      </c>
      <c r="I151" s="82">
        <f>J151-42487620.18</f>
        <v>7643710.869999997</v>
      </c>
      <c r="J151" s="82">
        <v>50131331.05</v>
      </c>
      <c r="K151" s="56">
        <f t="shared" si="14"/>
        <v>0.06404696439358941</v>
      </c>
      <c r="L151" s="85">
        <f t="shared" si="16"/>
        <v>350167516.5</v>
      </c>
      <c r="M151" s="8"/>
    </row>
    <row r="152" spans="1:13" s="7" customFormat="1" ht="14.25" customHeight="1">
      <c r="A152" s="58" t="s">
        <v>185</v>
      </c>
      <c r="B152" s="59" t="s">
        <v>186</v>
      </c>
      <c r="C152" s="83">
        <v>0</v>
      </c>
      <c r="D152" s="83">
        <v>0</v>
      </c>
      <c r="E152" s="83">
        <f>F152-0</f>
        <v>0</v>
      </c>
      <c r="F152" s="83">
        <v>0</v>
      </c>
      <c r="G152" s="60">
        <f t="shared" si="13"/>
        <v>0</v>
      </c>
      <c r="H152" s="83">
        <f t="shared" si="15"/>
        <v>0</v>
      </c>
      <c r="I152" s="83">
        <f>J152-0</f>
        <v>0</v>
      </c>
      <c r="J152" s="83">
        <v>0</v>
      </c>
      <c r="K152" s="60">
        <f t="shared" si="14"/>
        <v>0</v>
      </c>
      <c r="L152" s="87">
        <f t="shared" si="16"/>
        <v>0</v>
      </c>
      <c r="M152" s="8"/>
    </row>
    <row r="153" spans="1:13" s="7" customFormat="1" ht="15" customHeight="1">
      <c r="A153" s="61"/>
      <c r="B153" s="62"/>
      <c r="C153" s="63"/>
      <c r="D153" s="63"/>
      <c r="E153" s="63"/>
      <c r="F153" s="63"/>
      <c r="G153" s="64"/>
      <c r="H153" s="63"/>
      <c r="I153" s="63"/>
      <c r="J153" s="63"/>
      <c r="K153" s="64"/>
      <c r="L153" s="65" t="s">
        <v>227</v>
      </c>
      <c r="M153" s="8"/>
    </row>
    <row r="154" spans="1:13" s="7" customFormat="1" ht="13.5" customHeight="1">
      <c r="A154" s="31"/>
      <c r="B154" s="28"/>
      <c r="C154" s="32"/>
      <c r="D154" s="32"/>
      <c r="E154" s="32"/>
      <c r="F154" s="32"/>
      <c r="G154" s="33"/>
      <c r="H154" s="32"/>
      <c r="I154" s="32"/>
      <c r="J154" s="32"/>
      <c r="K154" s="33"/>
      <c r="L154" s="32"/>
      <c r="M154" s="8"/>
    </row>
    <row r="155" spans="1:13" s="7" customFormat="1" ht="15.75">
      <c r="A155" s="31"/>
      <c r="B155" s="28"/>
      <c r="C155" s="32"/>
      <c r="D155" s="32"/>
      <c r="E155" s="32"/>
      <c r="F155" s="32"/>
      <c r="G155" s="33"/>
      <c r="H155" s="32"/>
      <c r="I155" s="32"/>
      <c r="J155" s="32"/>
      <c r="K155" s="33"/>
      <c r="L155" s="32"/>
      <c r="M155" s="8"/>
    </row>
    <row r="156" spans="1:13" s="7" customFormat="1" ht="15.75">
      <c r="A156" s="31"/>
      <c r="B156" s="28"/>
      <c r="C156" s="32"/>
      <c r="D156" s="32"/>
      <c r="E156" s="32"/>
      <c r="F156" s="32"/>
      <c r="G156" s="33"/>
      <c r="H156" s="32"/>
      <c r="I156" s="32"/>
      <c r="J156" s="32"/>
      <c r="K156" s="33"/>
      <c r="L156" s="32"/>
      <c r="M156" s="8"/>
    </row>
    <row r="157" spans="1:13" s="7" customFormat="1" ht="17.25" customHeight="1">
      <c r="A157" s="31"/>
      <c r="B157" s="28"/>
      <c r="C157" s="32"/>
      <c r="D157" s="32"/>
      <c r="E157" s="32"/>
      <c r="F157" s="32"/>
      <c r="G157" s="33"/>
      <c r="H157" s="32"/>
      <c r="I157" s="32"/>
      <c r="J157" s="32"/>
      <c r="K157" s="33"/>
      <c r="L157" s="25" t="s">
        <v>157</v>
      </c>
      <c r="M157" s="8"/>
    </row>
    <row r="158" spans="1:13" s="7" customFormat="1" ht="15.75">
      <c r="A158" s="119" t="s">
        <v>14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8"/>
    </row>
    <row r="159" spans="1:13" s="7" customFormat="1" ht="15.75">
      <c r="A159" s="119" t="s">
        <v>0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8"/>
    </row>
    <row r="160" spans="1:13" s="7" customFormat="1" ht="15.75">
      <c r="A160" s="120" t="s">
        <v>1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8"/>
    </row>
    <row r="161" spans="1:13" s="7" customFormat="1" ht="15.75">
      <c r="A161" s="119" t="s">
        <v>2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8"/>
    </row>
    <row r="162" spans="1:13" s="7" customFormat="1" ht="15.75">
      <c r="A162" s="119" t="str">
        <f>A7</f>
        <v>JANEIRO A OUTUBRO 2023/BIMESTRE SETEMBRO - OUTUBRO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8"/>
    </row>
    <row r="163" spans="1:13" s="7" customFormat="1" ht="15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5" t="str">
        <f>L8</f>
        <v>Emissão: 22/11/2023</v>
      </c>
      <c r="M163" s="8"/>
    </row>
    <row r="164" spans="1:13" s="7" customFormat="1" ht="15.75">
      <c r="A164" s="27" t="s">
        <v>239</v>
      </c>
      <c r="B164" s="26"/>
      <c r="C164" s="28"/>
      <c r="D164" s="26"/>
      <c r="E164" s="26"/>
      <c r="F164" s="29"/>
      <c r="G164" s="29"/>
      <c r="H164" s="29"/>
      <c r="I164" s="26"/>
      <c r="J164" s="26"/>
      <c r="K164" s="25"/>
      <c r="L164" s="30">
        <v>1</v>
      </c>
      <c r="M164" s="8"/>
    </row>
    <row r="165" spans="1:13" s="7" customFormat="1" ht="13.5" customHeight="1">
      <c r="A165" s="11"/>
      <c r="B165" s="12"/>
      <c r="C165" s="13" t="s">
        <v>3</v>
      </c>
      <c r="D165" s="13" t="s">
        <v>3</v>
      </c>
      <c r="E165" s="121" t="s">
        <v>4</v>
      </c>
      <c r="F165" s="122"/>
      <c r="G165" s="123"/>
      <c r="H165" s="13" t="s">
        <v>18</v>
      </c>
      <c r="I165" s="121" t="s">
        <v>5</v>
      </c>
      <c r="J165" s="122"/>
      <c r="K165" s="123"/>
      <c r="L165" s="14" t="s">
        <v>18</v>
      </c>
      <c r="M165" s="8"/>
    </row>
    <row r="166" spans="1:13" s="7" customFormat="1" ht="14.25" customHeight="1">
      <c r="A166" s="15" t="s">
        <v>23</v>
      </c>
      <c r="B166" s="16" t="s">
        <v>6</v>
      </c>
      <c r="C166" s="16" t="s">
        <v>7</v>
      </c>
      <c r="D166" s="16" t="s">
        <v>8</v>
      </c>
      <c r="E166" s="16" t="s">
        <v>9</v>
      </c>
      <c r="F166" s="16" t="s">
        <v>10</v>
      </c>
      <c r="G166" s="16" t="s">
        <v>11</v>
      </c>
      <c r="H166" s="17"/>
      <c r="I166" s="16" t="s">
        <v>9</v>
      </c>
      <c r="J166" s="16" t="s">
        <v>10</v>
      </c>
      <c r="K166" s="16" t="s">
        <v>11</v>
      </c>
      <c r="L166" s="18"/>
      <c r="M166" s="8"/>
    </row>
    <row r="167" spans="1:13" s="7" customFormat="1" ht="13.5" customHeight="1">
      <c r="A167" s="19"/>
      <c r="B167" s="20"/>
      <c r="C167" s="20"/>
      <c r="D167" s="21" t="s">
        <v>12</v>
      </c>
      <c r="E167" s="21"/>
      <c r="F167" s="21" t="s">
        <v>13</v>
      </c>
      <c r="G167" s="21" t="s">
        <v>17</v>
      </c>
      <c r="H167" s="22" t="s">
        <v>19</v>
      </c>
      <c r="I167" s="21"/>
      <c r="J167" s="21" t="s">
        <v>20</v>
      </c>
      <c r="K167" s="21" t="s">
        <v>21</v>
      </c>
      <c r="L167" s="23" t="s">
        <v>22</v>
      </c>
      <c r="M167" s="8"/>
    </row>
    <row r="168" spans="1:13" s="7" customFormat="1" ht="14.25" customHeight="1">
      <c r="A168" s="47" t="s">
        <v>129</v>
      </c>
      <c r="B168" s="50" t="s">
        <v>130</v>
      </c>
      <c r="C168" s="81">
        <f>SUM(C169:C176)</f>
        <v>354584154</v>
      </c>
      <c r="D168" s="81">
        <f>SUM(D169:D176)</f>
        <v>290093723.75</v>
      </c>
      <c r="E168" s="81">
        <f>SUM(E169:E176)</f>
        <v>64187738.28</v>
      </c>
      <c r="F168" s="81">
        <f>SUM(F169:F176)</f>
        <v>215101030.31</v>
      </c>
      <c r="G168" s="51">
        <f aca="true" t="shared" si="17" ref="G168:G231">(F168/$F$303)*100</f>
        <v>0.25652144025111784</v>
      </c>
      <c r="H168" s="81">
        <f aca="true" t="shared" si="18" ref="H168:H231">D168-F168</f>
        <v>74992693.44</v>
      </c>
      <c r="I168" s="81">
        <f>SUM(I169:I176)</f>
        <v>61570658.35000001</v>
      </c>
      <c r="J168" s="81">
        <f>SUM(J169:J176)</f>
        <v>210976280.53</v>
      </c>
      <c r="K168" s="51">
        <f aca="true" t="shared" si="19" ref="K168:K231">(J168/$J$303)*100</f>
        <v>0.269539827568509</v>
      </c>
      <c r="L168" s="84">
        <f aca="true" t="shared" si="20" ref="L168:L231">D168-J168</f>
        <v>79117443.22</v>
      </c>
      <c r="M168" s="8"/>
    </row>
    <row r="169" spans="1:13" s="7" customFormat="1" ht="14.25" customHeight="1">
      <c r="A169" s="52" t="s">
        <v>28</v>
      </c>
      <c r="B169" s="53" t="s">
        <v>33</v>
      </c>
      <c r="C169" s="82">
        <v>26009867</v>
      </c>
      <c r="D169" s="82">
        <v>19550591.12</v>
      </c>
      <c r="E169" s="82">
        <f>F169-10917937.35</f>
        <v>3253753.1400000006</v>
      </c>
      <c r="F169" s="82">
        <v>14171690.49</v>
      </c>
      <c r="G169" s="56">
        <f t="shared" si="17"/>
        <v>0.016900627812189813</v>
      </c>
      <c r="H169" s="82">
        <f t="shared" si="18"/>
        <v>5378900.630000001</v>
      </c>
      <c r="I169" s="82">
        <f>J169-10820155.69</f>
        <v>3176325.8200000003</v>
      </c>
      <c r="J169" s="82">
        <v>13996481.51</v>
      </c>
      <c r="K169" s="56">
        <f t="shared" si="19"/>
        <v>0.017881674675911136</v>
      </c>
      <c r="L169" s="85">
        <f t="shared" si="20"/>
        <v>5554109.610000001</v>
      </c>
      <c r="M169" s="8"/>
    </row>
    <row r="170" spans="1:13" s="7" customFormat="1" ht="14.25" customHeight="1">
      <c r="A170" s="52" t="s">
        <v>49</v>
      </c>
      <c r="B170" s="53" t="s">
        <v>56</v>
      </c>
      <c r="C170" s="82">
        <v>265872372</v>
      </c>
      <c r="D170" s="82">
        <v>190759232.63</v>
      </c>
      <c r="E170" s="82">
        <f>F170-115956566.34</f>
        <v>50474390.91</v>
      </c>
      <c r="F170" s="82">
        <v>166430957.25</v>
      </c>
      <c r="G170" s="56">
        <f t="shared" si="17"/>
        <v>0.19847933222176406</v>
      </c>
      <c r="H170" s="82">
        <f t="shared" si="18"/>
        <v>24328275.379999995</v>
      </c>
      <c r="I170" s="82">
        <f>J170-115802352.92</f>
        <v>50466515.10000001</v>
      </c>
      <c r="J170" s="82">
        <v>166268868.02</v>
      </c>
      <c r="K170" s="56">
        <f t="shared" si="19"/>
        <v>0.21242237233274813</v>
      </c>
      <c r="L170" s="85">
        <f t="shared" si="20"/>
        <v>24490364.609999985</v>
      </c>
      <c r="M170" s="8"/>
    </row>
    <row r="171" spans="1:13" s="7" customFormat="1" ht="14.25" customHeight="1">
      <c r="A171" s="52" t="s">
        <v>52</v>
      </c>
      <c r="B171" s="53" t="s">
        <v>59</v>
      </c>
      <c r="C171" s="82">
        <v>0</v>
      </c>
      <c r="D171" s="82">
        <v>0</v>
      </c>
      <c r="E171" s="82">
        <f>F171-0</f>
        <v>0</v>
      </c>
      <c r="F171" s="82">
        <v>0</v>
      </c>
      <c r="G171" s="56">
        <f t="shared" si="17"/>
        <v>0</v>
      </c>
      <c r="H171" s="82">
        <f t="shared" si="18"/>
        <v>0</v>
      </c>
      <c r="I171" s="82">
        <f>J171-0</f>
        <v>0</v>
      </c>
      <c r="J171" s="82">
        <v>0</v>
      </c>
      <c r="K171" s="56">
        <f t="shared" si="19"/>
        <v>0</v>
      </c>
      <c r="L171" s="85">
        <f t="shared" si="20"/>
        <v>0</v>
      </c>
      <c r="M171" s="8"/>
    </row>
    <row r="172" spans="1:13" s="7" customFormat="1" ht="14.25" customHeight="1">
      <c r="A172" s="52" t="s">
        <v>131</v>
      </c>
      <c r="B172" s="53" t="s">
        <v>132</v>
      </c>
      <c r="C172" s="82">
        <v>650000</v>
      </c>
      <c r="D172" s="82">
        <v>650000</v>
      </c>
      <c r="E172" s="82">
        <f>F172-0</f>
        <v>0</v>
      </c>
      <c r="F172" s="82">
        <v>0</v>
      </c>
      <c r="G172" s="56">
        <f t="shared" si="17"/>
        <v>0</v>
      </c>
      <c r="H172" s="82">
        <f t="shared" si="18"/>
        <v>650000</v>
      </c>
      <c r="I172" s="82">
        <f>J172-0</f>
        <v>0</v>
      </c>
      <c r="J172" s="82">
        <v>0</v>
      </c>
      <c r="K172" s="56">
        <f t="shared" si="19"/>
        <v>0</v>
      </c>
      <c r="L172" s="85">
        <f t="shared" si="20"/>
        <v>650000</v>
      </c>
      <c r="M172" s="8"/>
    </row>
    <row r="173" spans="1:13" s="7" customFormat="1" ht="14.25" customHeight="1">
      <c r="A173" s="52" t="s">
        <v>250</v>
      </c>
      <c r="B173" s="53" t="s">
        <v>251</v>
      </c>
      <c r="C173" s="82">
        <v>0</v>
      </c>
      <c r="D173" s="82">
        <v>0</v>
      </c>
      <c r="E173" s="82">
        <f>F173-0</f>
        <v>0</v>
      </c>
      <c r="F173" s="82">
        <v>0</v>
      </c>
      <c r="G173" s="56">
        <f t="shared" si="17"/>
        <v>0</v>
      </c>
      <c r="H173" s="82">
        <f t="shared" si="18"/>
        <v>0</v>
      </c>
      <c r="I173" s="82">
        <f>J173-0</f>
        <v>0</v>
      </c>
      <c r="J173" s="82">
        <v>0</v>
      </c>
      <c r="K173" s="56">
        <f t="shared" si="19"/>
        <v>0</v>
      </c>
      <c r="L173" s="85">
        <f t="shared" si="20"/>
        <v>0</v>
      </c>
      <c r="M173" s="8"/>
    </row>
    <row r="174" spans="1:13" s="7" customFormat="1" ht="14.25" customHeight="1">
      <c r="A174" s="52" t="s">
        <v>127</v>
      </c>
      <c r="B174" s="53" t="s">
        <v>268</v>
      </c>
      <c r="C174" s="82">
        <v>0</v>
      </c>
      <c r="D174" s="82">
        <v>0</v>
      </c>
      <c r="E174" s="82">
        <f>F174-0</f>
        <v>0</v>
      </c>
      <c r="F174" s="82">
        <v>0</v>
      </c>
      <c r="G174" s="56">
        <f t="shared" si="17"/>
        <v>0</v>
      </c>
      <c r="H174" s="82">
        <f t="shared" si="18"/>
        <v>0</v>
      </c>
      <c r="I174" s="82">
        <f>J174-0</f>
        <v>0</v>
      </c>
      <c r="J174" s="82">
        <v>0</v>
      </c>
      <c r="K174" s="56">
        <f t="shared" si="19"/>
        <v>0</v>
      </c>
      <c r="L174" s="85">
        <f t="shared" si="20"/>
        <v>0</v>
      </c>
      <c r="M174" s="8"/>
    </row>
    <row r="175" spans="1:13" s="7" customFormat="1" ht="14.25" customHeight="1">
      <c r="A175" s="52" t="s">
        <v>69</v>
      </c>
      <c r="B175" s="66" t="s">
        <v>77</v>
      </c>
      <c r="C175" s="85">
        <v>200000</v>
      </c>
      <c r="D175" s="85">
        <v>200000</v>
      </c>
      <c r="E175" s="85">
        <f>F175-0</f>
        <v>0</v>
      </c>
      <c r="F175" s="85">
        <v>0</v>
      </c>
      <c r="G175" s="56">
        <f t="shared" si="17"/>
        <v>0</v>
      </c>
      <c r="H175" s="85">
        <f t="shared" si="18"/>
        <v>200000</v>
      </c>
      <c r="I175" s="85">
        <f>J175-0</f>
        <v>0</v>
      </c>
      <c r="J175" s="85">
        <v>0</v>
      </c>
      <c r="K175" s="56">
        <f t="shared" si="19"/>
        <v>0</v>
      </c>
      <c r="L175" s="85">
        <f t="shared" si="20"/>
        <v>200000</v>
      </c>
      <c r="M175" s="8"/>
    </row>
    <row r="176" spans="1:13" s="7" customFormat="1" ht="14.25" customHeight="1">
      <c r="A176" s="61" t="s">
        <v>53</v>
      </c>
      <c r="B176" s="66" t="s">
        <v>60</v>
      </c>
      <c r="C176" s="85">
        <v>61851915</v>
      </c>
      <c r="D176" s="85">
        <v>78933900</v>
      </c>
      <c r="E176" s="85">
        <f>F176-24038788.34</f>
        <v>10459594.23</v>
      </c>
      <c r="F176" s="85">
        <v>34498382.57</v>
      </c>
      <c r="G176" s="67">
        <f t="shared" si="17"/>
        <v>0.04114148021716401</v>
      </c>
      <c r="H176" s="85">
        <f t="shared" si="18"/>
        <v>44435517.43</v>
      </c>
      <c r="I176" s="85">
        <f>J176-22783113.57</f>
        <v>7927817.43</v>
      </c>
      <c r="J176" s="85">
        <v>30710931</v>
      </c>
      <c r="K176" s="67">
        <f t="shared" si="19"/>
        <v>0.039235780559849734</v>
      </c>
      <c r="L176" s="85">
        <f t="shared" si="20"/>
        <v>48222969</v>
      </c>
      <c r="M176" s="8"/>
    </row>
    <row r="177" spans="1:13" s="7" customFormat="1" ht="14.25" customHeight="1">
      <c r="A177" s="47" t="s">
        <v>133</v>
      </c>
      <c r="B177" s="50" t="s">
        <v>134</v>
      </c>
      <c r="C177" s="81">
        <f>SUM(C178:C185)</f>
        <v>282709229</v>
      </c>
      <c r="D177" s="81">
        <f>SUM(D178:D185)</f>
        <v>1536442927.97</v>
      </c>
      <c r="E177" s="81">
        <f>SUM(E178:E185)</f>
        <v>210108858.73999998</v>
      </c>
      <c r="F177" s="81">
        <f>SUM(F178:F185)</f>
        <v>1330309815.83</v>
      </c>
      <c r="G177" s="51">
        <f t="shared" si="17"/>
        <v>1.586477709777135</v>
      </c>
      <c r="H177" s="81">
        <f t="shared" si="18"/>
        <v>206133112.1400001</v>
      </c>
      <c r="I177" s="81">
        <f>SUM(I178:I185)</f>
        <v>257993602.92000002</v>
      </c>
      <c r="J177" s="81">
        <f>SUM(J178:J185)</f>
        <v>1061601221.1</v>
      </c>
      <c r="K177" s="51">
        <f t="shared" si="19"/>
        <v>1.3562842674208775</v>
      </c>
      <c r="L177" s="84">
        <f t="shared" si="20"/>
        <v>474841706.87</v>
      </c>
      <c r="M177" s="8"/>
    </row>
    <row r="178" spans="1:13" s="7" customFormat="1" ht="14.25" customHeight="1">
      <c r="A178" s="52" t="s">
        <v>28</v>
      </c>
      <c r="B178" s="53" t="s">
        <v>33</v>
      </c>
      <c r="C178" s="82">
        <v>66123925</v>
      </c>
      <c r="D178" s="82">
        <v>438155236.62</v>
      </c>
      <c r="E178" s="82">
        <f>F178-359451898.56</f>
        <v>51259903.75</v>
      </c>
      <c r="F178" s="82">
        <v>410711802.31</v>
      </c>
      <c r="G178" s="56">
        <f t="shared" si="17"/>
        <v>0.48979952771428265</v>
      </c>
      <c r="H178" s="82">
        <f t="shared" si="18"/>
        <v>27443434.310000002</v>
      </c>
      <c r="I178" s="82">
        <f>J178-311988019.35</f>
        <v>62511429.21999997</v>
      </c>
      <c r="J178" s="82">
        <v>374499448.57</v>
      </c>
      <c r="K178" s="56">
        <f t="shared" si="19"/>
        <v>0.478454338745942</v>
      </c>
      <c r="L178" s="85">
        <f t="shared" si="20"/>
        <v>63655788.05000001</v>
      </c>
      <c r="M178" s="8"/>
    </row>
    <row r="179" spans="1:13" s="7" customFormat="1" ht="14.25" customHeight="1">
      <c r="A179" s="52" t="s">
        <v>50</v>
      </c>
      <c r="B179" s="53" t="s">
        <v>57</v>
      </c>
      <c r="C179" s="82">
        <v>10000</v>
      </c>
      <c r="D179" s="82">
        <v>26043816.35</v>
      </c>
      <c r="E179" s="82">
        <f aca="true" t="shared" si="21" ref="E179:E185">F179-0</f>
        <v>26039585.35</v>
      </c>
      <c r="F179" s="82">
        <v>26039585.35</v>
      </c>
      <c r="G179" s="56">
        <f t="shared" si="17"/>
        <v>0.03105383515781965</v>
      </c>
      <c r="H179" s="82">
        <f t="shared" si="18"/>
        <v>4231</v>
      </c>
      <c r="I179" s="82">
        <f aca="true" t="shared" si="22" ref="I179:I185">J179-0</f>
        <v>9690000.31</v>
      </c>
      <c r="J179" s="82">
        <v>9690000.31</v>
      </c>
      <c r="K179" s="56">
        <f t="shared" si="19"/>
        <v>0.012379785093067868</v>
      </c>
      <c r="L179" s="85">
        <f t="shared" si="20"/>
        <v>16353816.040000001</v>
      </c>
      <c r="M179" s="8"/>
    </row>
    <row r="180" spans="1:13" s="7" customFormat="1" ht="14.25" customHeight="1">
      <c r="A180" s="52" t="s">
        <v>51</v>
      </c>
      <c r="B180" s="53" t="s">
        <v>58</v>
      </c>
      <c r="C180" s="82">
        <v>0</v>
      </c>
      <c r="D180" s="82">
        <v>0</v>
      </c>
      <c r="E180" s="82">
        <f t="shared" si="21"/>
        <v>0</v>
      </c>
      <c r="F180" s="82">
        <v>0</v>
      </c>
      <c r="G180" s="56">
        <f t="shared" si="17"/>
        <v>0</v>
      </c>
      <c r="H180" s="82">
        <f t="shared" si="18"/>
        <v>0</v>
      </c>
      <c r="I180" s="82">
        <f t="shared" si="22"/>
        <v>0</v>
      </c>
      <c r="J180" s="82">
        <v>0</v>
      </c>
      <c r="K180" s="56">
        <f t="shared" si="19"/>
        <v>0</v>
      </c>
      <c r="L180" s="85">
        <f t="shared" si="20"/>
        <v>0</v>
      </c>
      <c r="M180" s="8"/>
    </row>
    <row r="181" spans="1:13" s="7" customFormat="1" ht="14.25" customHeight="1">
      <c r="A181" s="52" t="s">
        <v>29</v>
      </c>
      <c r="B181" s="53" t="s">
        <v>34</v>
      </c>
      <c r="C181" s="82">
        <v>5000</v>
      </c>
      <c r="D181" s="82">
        <v>4231</v>
      </c>
      <c r="E181" s="82">
        <f>F181-0</f>
        <v>0</v>
      </c>
      <c r="F181" s="82">
        <v>0</v>
      </c>
      <c r="G181" s="56">
        <f t="shared" si="17"/>
        <v>0</v>
      </c>
      <c r="H181" s="82">
        <f t="shared" si="18"/>
        <v>4231</v>
      </c>
      <c r="I181" s="82">
        <f>J181-0</f>
        <v>0</v>
      </c>
      <c r="J181" s="82">
        <v>0</v>
      </c>
      <c r="K181" s="56">
        <f t="shared" si="19"/>
        <v>0</v>
      </c>
      <c r="L181" s="85">
        <f t="shared" si="20"/>
        <v>4231</v>
      </c>
      <c r="M181" s="8"/>
    </row>
    <row r="182" spans="1:13" s="7" customFormat="1" ht="14.25" customHeight="1">
      <c r="A182" s="52" t="s">
        <v>135</v>
      </c>
      <c r="B182" s="53" t="s">
        <v>136</v>
      </c>
      <c r="C182" s="82">
        <v>214670304</v>
      </c>
      <c r="D182" s="82">
        <v>1070339644</v>
      </c>
      <c r="E182" s="82">
        <f>F182-760749058.53</f>
        <v>132809369.63999999</v>
      </c>
      <c r="F182" s="82">
        <v>893558428.17</v>
      </c>
      <c r="G182" s="56">
        <f t="shared" si="17"/>
        <v>1.0656243469050328</v>
      </c>
      <c r="H182" s="82">
        <f t="shared" si="18"/>
        <v>176781215.83000004</v>
      </c>
      <c r="I182" s="82">
        <f>J182-491619598.83</f>
        <v>185792173.39000005</v>
      </c>
      <c r="J182" s="82">
        <v>677411772.22</v>
      </c>
      <c r="K182" s="56">
        <f t="shared" si="19"/>
        <v>0.8654501435818677</v>
      </c>
      <c r="L182" s="85">
        <f t="shared" si="20"/>
        <v>392927871.78</v>
      </c>
      <c r="M182" s="8"/>
    </row>
    <row r="183" spans="1:13" s="7" customFormat="1" ht="14.25" customHeight="1">
      <c r="A183" s="52" t="s">
        <v>285</v>
      </c>
      <c r="B183" s="53" t="s">
        <v>286</v>
      </c>
      <c r="C183" s="82">
        <v>1900000</v>
      </c>
      <c r="D183" s="82">
        <v>1900000</v>
      </c>
      <c r="E183" s="82">
        <f>F183-0</f>
        <v>0</v>
      </c>
      <c r="F183" s="82">
        <v>0</v>
      </c>
      <c r="G183" s="56">
        <f t="shared" si="17"/>
        <v>0</v>
      </c>
      <c r="H183" s="82">
        <f t="shared" si="18"/>
        <v>1900000</v>
      </c>
      <c r="I183" s="82">
        <f>J183-0</f>
        <v>0</v>
      </c>
      <c r="J183" s="82">
        <v>0</v>
      </c>
      <c r="K183" s="56">
        <f t="shared" si="19"/>
        <v>0</v>
      </c>
      <c r="L183" s="85">
        <f t="shared" si="20"/>
        <v>1900000</v>
      </c>
      <c r="M183" s="8"/>
    </row>
    <row r="184" spans="1:15" s="7" customFormat="1" ht="14.25" customHeight="1">
      <c r="A184" s="52" t="s">
        <v>260</v>
      </c>
      <c r="B184" s="53" t="s">
        <v>261</v>
      </c>
      <c r="C184" s="82">
        <v>0</v>
      </c>
      <c r="D184" s="82">
        <v>0</v>
      </c>
      <c r="E184" s="82">
        <f t="shared" si="21"/>
        <v>0</v>
      </c>
      <c r="F184" s="82">
        <v>0</v>
      </c>
      <c r="G184" s="56">
        <f t="shared" si="17"/>
        <v>0</v>
      </c>
      <c r="H184" s="82">
        <f t="shared" si="18"/>
        <v>0</v>
      </c>
      <c r="I184" s="82">
        <f t="shared" si="22"/>
        <v>0</v>
      </c>
      <c r="J184" s="82">
        <v>0</v>
      </c>
      <c r="K184" s="56">
        <f t="shared" si="19"/>
        <v>0</v>
      </c>
      <c r="L184" s="85">
        <f t="shared" si="20"/>
        <v>0</v>
      </c>
      <c r="M184" s="118"/>
      <c r="N184" s="118"/>
      <c r="O184" s="118"/>
    </row>
    <row r="185" spans="1:15" s="7" customFormat="1" ht="14.25" customHeight="1">
      <c r="A185" s="52" t="s">
        <v>185</v>
      </c>
      <c r="B185" s="53" t="s">
        <v>186</v>
      </c>
      <c r="C185" s="82">
        <v>0</v>
      </c>
      <c r="D185" s="82">
        <v>0</v>
      </c>
      <c r="E185" s="82">
        <f t="shared" si="21"/>
        <v>0</v>
      </c>
      <c r="F185" s="82">
        <v>0</v>
      </c>
      <c r="G185" s="56">
        <f t="shared" si="17"/>
        <v>0</v>
      </c>
      <c r="H185" s="82">
        <f t="shared" si="18"/>
        <v>0</v>
      </c>
      <c r="I185" s="82">
        <f t="shared" si="22"/>
        <v>0</v>
      </c>
      <c r="J185" s="82">
        <v>0</v>
      </c>
      <c r="K185" s="56">
        <f t="shared" si="19"/>
        <v>0</v>
      </c>
      <c r="L185" s="85">
        <f t="shared" si="20"/>
        <v>0</v>
      </c>
      <c r="M185" s="110"/>
      <c r="N185" s="110"/>
      <c r="O185" s="110"/>
    </row>
    <row r="186" spans="1:13" s="7" customFormat="1" ht="14.25" customHeight="1">
      <c r="A186" s="47" t="s">
        <v>138</v>
      </c>
      <c r="B186" s="50" t="s">
        <v>137</v>
      </c>
      <c r="C186" s="81">
        <f>SUM(C187:C191)</f>
        <v>305553827</v>
      </c>
      <c r="D186" s="81">
        <f>SUM(D187:D191)</f>
        <v>802656403.31</v>
      </c>
      <c r="E186" s="81">
        <f>SUM(E187:E191)</f>
        <v>183435422.1</v>
      </c>
      <c r="F186" s="81">
        <f>SUM(F187:F191)</f>
        <v>589216046.6600001</v>
      </c>
      <c r="G186" s="51">
        <f t="shared" si="17"/>
        <v>0.7026770103818806</v>
      </c>
      <c r="H186" s="81">
        <f t="shared" si="18"/>
        <v>213440356.64999986</v>
      </c>
      <c r="I186" s="81">
        <f>SUM(I187:I191)</f>
        <v>112654314.42999998</v>
      </c>
      <c r="J186" s="81">
        <f>SUM(J187:J191)</f>
        <v>453109977.84</v>
      </c>
      <c r="K186" s="51">
        <f t="shared" si="19"/>
        <v>0.5788858585891979</v>
      </c>
      <c r="L186" s="84">
        <f t="shared" si="20"/>
        <v>349546425.46999997</v>
      </c>
      <c r="M186" s="8"/>
    </row>
    <row r="187" spans="1:13" s="7" customFormat="1" ht="14.25" customHeight="1">
      <c r="A187" s="52" t="s">
        <v>28</v>
      </c>
      <c r="B187" s="53" t="s">
        <v>33</v>
      </c>
      <c r="C187" s="82">
        <v>73103376</v>
      </c>
      <c r="D187" s="82">
        <v>135241952.14</v>
      </c>
      <c r="E187" s="82">
        <f>F187-103806740.86</f>
        <v>17000283.180000007</v>
      </c>
      <c r="F187" s="82">
        <v>120807024.04</v>
      </c>
      <c r="G187" s="56">
        <f t="shared" si="17"/>
        <v>0.14406993659923684</v>
      </c>
      <c r="H187" s="82">
        <f t="shared" si="18"/>
        <v>14434928.09999998</v>
      </c>
      <c r="I187" s="82">
        <f>J187-99877529.05</f>
        <v>16906629.92</v>
      </c>
      <c r="J187" s="82">
        <v>116784158.97</v>
      </c>
      <c r="K187" s="56">
        <f t="shared" si="19"/>
        <v>0.1492015215759342</v>
      </c>
      <c r="L187" s="85">
        <f t="shared" si="20"/>
        <v>18457793.169999987</v>
      </c>
      <c r="M187" s="8"/>
    </row>
    <row r="188" spans="1:13" s="7" customFormat="1" ht="14.25" customHeight="1">
      <c r="A188" s="52" t="s">
        <v>50</v>
      </c>
      <c r="B188" s="53" t="s">
        <v>57</v>
      </c>
      <c r="C188" s="82">
        <v>155000</v>
      </c>
      <c r="D188" s="82">
        <v>131930</v>
      </c>
      <c r="E188" s="82">
        <f>F188-0</f>
        <v>0</v>
      </c>
      <c r="F188" s="82">
        <v>0</v>
      </c>
      <c r="G188" s="56">
        <f t="shared" si="17"/>
        <v>0</v>
      </c>
      <c r="H188" s="82">
        <f t="shared" si="18"/>
        <v>131930</v>
      </c>
      <c r="I188" s="82">
        <f>J188-0</f>
        <v>0</v>
      </c>
      <c r="J188" s="82">
        <v>0</v>
      </c>
      <c r="K188" s="56">
        <f t="shared" si="19"/>
        <v>0</v>
      </c>
      <c r="L188" s="85">
        <f t="shared" si="20"/>
        <v>131930</v>
      </c>
      <c r="M188" s="8"/>
    </row>
    <row r="189" spans="1:13" s="7" customFormat="1" ht="14.25" customHeight="1">
      <c r="A189" s="52" t="s">
        <v>67</v>
      </c>
      <c r="B189" s="53" t="s">
        <v>75</v>
      </c>
      <c r="C189" s="82">
        <v>0</v>
      </c>
      <c r="D189" s="82">
        <v>0</v>
      </c>
      <c r="E189" s="82">
        <f>F189-0</f>
        <v>0</v>
      </c>
      <c r="F189" s="82">
        <v>0</v>
      </c>
      <c r="G189" s="56">
        <f t="shared" si="17"/>
        <v>0</v>
      </c>
      <c r="H189" s="82">
        <f t="shared" si="18"/>
        <v>0</v>
      </c>
      <c r="I189" s="82">
        <f>J189-0</f>
        <v>0</v>
      </c>
      <c r="J189" s="82">
        <v>0</v>
      </c>
      <c r="K189" s="56">
        <f t="shared" si="19"/>
        <v>0</v>
      </c>
      <c r="L189" s="85">
        <f t="shared" si="20"/>
        <v>0</v>
      </c>
      <c r="M189" s="8"/>
    </row>
    <row r="190" spans="1:13" s="7" customFormat="1" ht="14.25" customHeight="1">
      <c r="A190" s="52" t="s">
        <v>135</v>
      </c>
      <c r="B190" s="53" t="s">
        <v>136</v>
      </c>
      <c r="C190" s="82">
        <v>28821541</v>
      </c>
      <c r="D190" s="82">
        <v>224144679.64</v>
      </c>
      <c r="E190" s="82">
        <f>F190-130980149.09</f>
        <v>71085940.4</v>
      </c>
      <c r="F190" s="82">
        <v>202066089.49</v>
      </c>
      <c r="G190" s="56">
        <f t="shared" si="17"/>
        <v>0.24097645756128352</v>
      </c>
      <c r="H190" s="82">
        <f t="shared" si="18"/>
        <v>22078590.149999976</v>
      </c>
      <c r="I190" s="82">
        <f>J190-104901940.76</f>
        <v>51207157.219999984</v>
      </c>
      <c r="J190" s="82">
        <v>156109097.98</v>
      </c>
      <c r="K190" s="56">
        <f t="shared" si="19"/>
        <v>0.19944241715561672</v>
      </c>
      <c r="L190" s="85">
        <f t="shared" si="20"/>
        <v>68035581.66</v>
      </c>
      <c r="M190" s="8"/>
    </row>
    <row r="191" spans="1:13" s="7" customFormat="1" ht="14.25" customHeight="1">
      <c r="A191" s="52" t="s">
        <v>139</v>
      </c>
      <c r="B191" s="53" t="s">
        <v>140</v>
      </c>
      <c r="C191" s="82">
        <v>203473910</v>
      </c>
      <c r="D191" s="82">
        <v>443137841.53</v>
      </c>
      <c r="E191" s="82">
        <f>F191-170993734.61</f>
        <v>95349198.51999998</v>
      </c>
      <c r="F191" s="82">
        <v>266342933.13</v>
      </c>
      <c r="G191" s="56">
        <f t="shared" si="17"/>
        <v>0.3176306162213602</v>
      </c>
      <c r="H191" s="82">
        <f t="shared" si="18"/>
        <v>176794908.39999998</v>
      </c>
      <c r="I191" s="82">
        <f>J191-135676193.6</f>
        <v>44540527.28999999</v>
      </c>
      <c r="J191" s="82">
        <v>180216720.89</v>
      </c>
      <c r="K191" s="56">
        <f t="shared" si="19"/>
        <v>0.230241919857647</v>
      </c>
      <c r="L191" s="85">
        <f t="shared" si="20"/>
        <v>262921120.64</v>
      </c>
      <c r="M191" s="8"/>
    </row>
    <row r="192" spans="1:13" s="7" customFormat="1" ht="14.25" customHeight="1">
      <c r="A192" s="47" t="s">
        <v>141</v>
      </c>
      <c r="B192" s="50" t="s">
        <v>142</v>
      </c>
      <c r="C192" s="81">
        <f>SUM(C193:C196)</f>
        <v>563769546</v>
      </c>
      <c r="D192" s="81">
        <f>SUM(D193:D196)</f>
        <v>422294131.84</v>
      </c>
      <c r="E192" s="81">
        <f>SUM(E193:E196)</f>
        <v>10398354.160000026</v>
      </c>
      <c r="F192" s="81">
        <f>SUM(F193:F196)</f>
        <v>195209282.61</v>
      </c>
      <c r="G192" s="51">
        <f t="shared" si="17"/>
        <v>0.2327992862392938</v>
      </c>
      <c r="H192" s="81">
        <f t="shared" si="18"/>
        <v>227084849.22999996</v>
      </c>
      <c r="I192" s="81">
        <f>SUM(I194:I196)</f>
        <v>22911982.799999997</v>
      </c>
      <c r="J192" s="81">
        <f>SUM(J194:J196)</f>
        <v>117451573.42</v>
      </c>
      <c r="K192" s="51">
        <f t="shared" si="19"/>
        <v>0.15005419930500316</v>
      </c>
      <c r="L192" s="84">
        <f t="shared" si="20"/>
        <v>304842558.41999996</v>
      </c>
      <c r="M192" s="8"/>
    </row>
    <row r="193" spans="1:13" s="7" customFormat="1" ht="14.25" customHeight="1">
      <c r="A193" s="52" t="s">
        <v>51</v>
      </c>
      <c r="B193" s="53" t="s">
        <v>58</v>
      </c>
      <c r="C193" s="82">
        <v>0</v>
      </c>
      <c r="D193" s="82">
        <v>0</v>
      </c>
      <c r="E193" s="81">
        <f>F193-0</f>
        <v>0</v>
      </c>
      <c r="F193" s="81">
        <v>0</v>
      </c>
      <c r="G193" s="51">
        <f t="shared" si="17"/>
        <v>0</v>
      </c>
      <c r="H193" s="82">
        <f t="shared" si="18"/>
        <v>0</v>
      </c>
      <c r="I193" s="81">
        <f>J193-0</f>
        <v>0</v>
      </c>
      <c r="J193" s="81">
        <v>0</v>
      </c>
      <c r="K193" s="51">
        <f t="shared" si="19"/>
        <v>0</v>
      </c>
      <c r="L193" s="85">
        <f t="shared" si="20"/>
        <v>0</v>
      </c>
      <c r="M193" s="8"/>
    </row>
    <row r="194" spans="1:13" s="7" customFormat="1" ht="14.25" customHeight="1">
      <c r="A194" s="52" t="s">
        <v>143</v>
      </c>
      <c r="B194" s="53" t="s">
        <v>144</v>
      </c>
      <c r="C194" s="82">
        <v>563769546</v>
      </c>
      <c r="D194" s="82">
        <v>422294131.84</v>
      </c>
      <c r="E194" s="82">
        <f>F194-184810928.45</f>
        <v>10398354.160000026</v>
      </c>
      <c r="F194" s="82">
        <v>195209282.61</v>
      </c>
      <c r="G194" s="56">
        <f t="shared" si="17"/>
        <v>0.2327992862392938</v>
      </c>
      <c r="H194" s="82">
        <f t="shared" si="18"/>
        <v>227084849.22999996</v>
      </c>
      <c r="I194" s="82">
        <f>J194-94539590.62</f>
        <v>22911982.799999997</v>
      </c>
      <c r="J194" s="82">
        <v>117451573.42</v>
      </c>
      <c r="K194" s="56">
        <f t="shared" si="19"/>
        <v>0.15005419930500316</v>
      </c>
      <c r="L194" s="85">
        <f t="shared" si="20"/>
        <v>304842558.41999996</v>
      </c>
      <c r="M194" s="8"/>
    </row>
    <row r="195" spans="1:13" s="7" customFormat="1" ht="14.25" customHeight="1">
      <c r="A195" s="52" t="s">
        <v>153</v>
      </c>
      <c r="B195" s="53" t="s">
        <v>154</v>
      </c>
      <c r="C195" s="82">
        <v>0</v>
      </c>
      <c r="D195" s="82">
        <v>0</v>
      </c>
      <c r="E195" s="82">
        <f>F195-0</f>
        <v>0</v>
      </c>
      <c r="F195" s="82">
        <v>0</v>
      </c>
      <c r="G195" s="56">
        <f t="shared" si="17"/>
        <v>0</v>
      </c>
      <c r="H195" s="82">
        <f t="shared" si="18"/>
        <v>0</v>
      </c>
      <c r="I195" s="82">
        <f>J195-0</f>
        <v>0</v>
      </c>
      <c r="J195" s="82">
        <v>0</v>
      </c>
      <c r="K195" s="56">
        <f t="shared" si="19"/>
        <v>0</v>
      </c>
      <c r="L195" s="85">
        <f t="shared" si="20"/>
        <v>0</v>
      </c>
      <c r="M195" s="8"/>
    </row>
    <row r="196" spans="1:15" s="7" customFormat="1" ht="14.25" customHeight="1">
      <c r="A196" s="52" t="s">
        <v>147</v>
      </c>
      <c r="B196" s="53" t="s">
        <v>148</v>
      </c>
      <c r="C196" s="82">
        <v>0</v>
      </c>
      <c r="D196" s="82">
        <v>0</v>
      </c>
      <c r="E196" s="82">
        <f>F196-0</f>
        <v>0</v>
      </c>
      <c r="F196" s="82">
        <v>0</v>
      </c>
      <c r="G196" s="56">
        <f t="shared" si="17"/>
        <v>0</v>
      </c>
      <c r="H196" s="82">
        <f t="shared" si="18"/>
        <v>0</v>
      </c>
      <c r="I196" s="82">
        <f>J196-0</f>
        <v>0</v>
      </c>
      <c r="J196" s="82">
        <v>0</v>
      </c>
      <c r="K196" s="56">
        <f t="shared" si="19"/>
        <v>0</v>
      </c>
      <c r="L196" s="85">
        <f t="shared" si="20"/>
        <v>0</v>
      </c>
      <c r="M196" s="8"/>
      <c r="O196" s="9"/>
    </row>
    <row r="197" spans="1:15" s="7" customFormat="1" ht="14.25" customHeight="1">
      <c r="A197" s="47" t="s">
        <v>149</v>
      </c>
      <c r="B197" s="50" t="s">
        <v>150</v>
      </c>
      <c r="C197" s="81">
        <f>SUM(C198:C207)</f>
        <v>790617836</v>
      </c>
      <c r="D197" s="81">
        <f>SUM(D198:D207)</f>
        <v>1201737339.3100002</v>
      </c>
      <c r="E197" s="81">
        <f>SUM(E198:E207)</f>
        <v>204982911</v>
      </c>
      <c r="F197" s="81">
        <f>SUM(F198:F207)</f>
        <v>773386002.4299998</v>
      </c>
      <c r="G197" s="51">
        <f t="shared" si="17"/>
        <v>0.9223112084934303</v>
      </c>
      <c r="H197" s="81">
        <f t="shared" si="18"/>
        <v>428351336.88000035</v>
      </c>
      <c r="I197" s="81">
        <f>SUM(I198:I206)</f>
        <v>119879144.66000001</v>
      </c>
      <c r="J197" s="81">
        <f>SUM(J198:J206)</f>
        <v>531761344.3600001</v>
      </c>
      <c r="K197" s="51">
        <f t="shared" si="19"/>
        <v>0.6793695514316922</v>
      </c>
      <c r="L197" s="84">
        <f t="shared" si="20"/>
        <v>669975994.95</v>
      </c>
      <c r="M197" s="8"/>
      <c r="O197" s="10"/>
    </row>
    <row r="198" spans="1:13" s="7" customFormat="1" ht="14.25" customHeight="1">
      <c r="A198" s="52" t="s">
        <v>28</v>
      </c>
      <c r="B198" s="53" t="s">
        <v>33</v>
      </c>
      <c r="C198" s="82">
        <v>165737568</v>
      </c>
      <c r="D198" s="82">
        <v>241149152.74</v>
      </c>
      <c r="E198" s="82">
        <f>F198-118869587.41</f>
        <v>26867736.860000014</v>
      </c>
      <c r="F198" s="82">
        <v>145737324.27</v>
      </c>
      <c r="G198" s="56">
        <f t="shared" si="17"/>
        <v>0.17380087982938214</v>
      </c>
      <c r="H198" s="82">
        <f t="shared" si="18"/>
        <v>95411828.47</v>
      </c>
      <c r="I198" s="82">
        <f>J198-107044923.66</f>
        <v>26231258.370000005</v>
      </c>
      <c r="J198" s="82">
        <v>133276182.03</v>
      </c>
      <c r="K198" s="56">
        <f t="shared" si="19"/>
        <v>0.17027145910958116</v>
      </c>
      <c r="L198" s="85">
        <f t="shared" si="20"/>
        <v>107872970.71000001</v>
      </c>
      <c r="M198" s="8"/>
    </row>
    <row r="199" spans="1:13" s="7" customFormat="1" ht="14.25" customHeight="1">
      <c r="A199" s="52" t="s">
        <v>29</v>
      </c>
      <c r="B199" s="53" t="s">
        <v>34</v>
      </c>
      <c r="C199" s="82">
        <v>0</v>
      </c>
      <c r="D199" s="82">
        <v>0</v>
      </c>
      <c r="E199" s="82">
        <f>F199-0</f>
        <v>0</v>
      </c>
      <c r="F199" s="82">
        <v>0</v>
      </c>
      <c r="G199" s="56">
        <f t="shared" si="17"/>
        <v>0</v>
      </c>
      <c r="H199" s="82">
        <f t="shared" si="18"/>
        <v>0</v>
      </c>
      <c r="I199" s="82">
        <f>J199-0</f>
        <v>0</v>
      </c>
      <c r="J199" s="82">
        <v>0</v>
      </c>
      <c r="K199" s="56">
        <f t="shared" si="19"/>
        <v>0</v>
      </c>
      <c r="L199" s="85">
        <f t="shared" si="20"/>
        <v>0</v>
      </c>
      <c r="M199" s="8"/>
    </row>
    <row r="200" spans="1:13" s="7" customFormat="1" ht="14.25" customHeight="1">
      <c r="A200" s="52" t="s">
        <v>151</v>
      </c>
      <c r="B200" s="53" t="s">
        <v>152</v>
      </c>
      <c r="C200" s="82">
        <v>0</v>
      </c>
      <c r="D200" s="82">
        <v>0</v>
      </c>
      <c r="E200" s="82">
        <f>F200-0</f>
        <v>0</v>
      </c>
      <c r="F200" s="82">
        <v>0</v>
      </c>
      <c r="G200" s="56">
        <f t="shared" si="17"/>
        <v>0</v>
      </c>
      <c r="H200" s="82">
        <f t="shared" si="18"/>
        <v>0</v>
      </c>
      <c r="I200" s="82">
        <f>J200-0</f>
        <v>0</v>
      </c>
      <c r="J200" s="82">
        <v>0</v>
      </c>
      <c r="K200" s="56">
        <f t="shared" si="19"/>
        <v>0</v>
      </c>
      <c r="L200" s="85">
        <f t="shared" si="20"/>
        <v>0</v>
      </c>
      <c r="M200" s="8"/>
    </row>
    <row r="201" spans="1:13" s="7" customFormat="1" ht="14.25" customHeight="1">
      <c r="A201" s="52" t="s">
        <v>153</v>
      </c>
      <c r="B201" s="53" t="s">
        <v>154</v>
      </c>
      <c r="C201" s="82">
        <v>181974783</v>
      </c>
      <c r="D201" s="82">
        <v>283341780.11</v>
      </c>
      <c r="E201" s="82">
        <f>F201-82941263.22</f>
        <v>31362842.39</v>
      </c>
      <c r="F201" s="82">
        <v>114304105.61</v>
      </c>
      <c r="G201" s="56">
        <f t="shared" si="17"/>
        <v>0.13631479940117205</v>
      </c>
      <c r="H201" s="82">
        <f t="shared" si="18"/>
        <v>169037674.5</v>
      </c>
      <c r="I201" s="82">
        <f>J201-41400234.96</f>
        <v>11288414.530000001</v>
      </c>
      <c r="J201" s="82">
        <v>52688649.49</v>
      </c>
      <c r="K201" s="56">
        <f t="shared" si="19"/>
        <v>0.06731415239038109</v>
      </c>
      <c r="L201" s="85">
        <f t="shared" si="20"/>
        <v>230653130.62</v>
      </c>
      <c r="M201" s="8"/>
    </row>
    <row r="202" spans="1:13" s="7" customFormat="1" ht="14.25" customHeight="1">
      <c r="A202" s="52" t="s">
        <v>30</v>
      </c>
      <c r="B202" s="53" t="s">
        <v>35</v>
      </c>
      <c r="C202" s="82">
        <v>36200000</v>
      </c>
      <c r="D202" s="82">
        <v>44220258.28</v>
      </c>
      <c r="E202" s="82">
        <f>F202-26492862.52</f>
        <v>11361079.849999998</v>
      </c>
      <c r="F202" s="82">
        <v>37853942.37</v>
      </c>
      <c r="G202" s="56">
        <f t="shared" si="17"/>
        <v>0.04514319527870611</v>
      </c>
      <c r="H202" s="82">
        <f t="shared" si="18"/>
        <v>6366315.910000004</v>
      </c>
      <c r="I202" s="82">
        <f>J202-16639848.45</f>
        <v>5917190.010000002</v>
      </c>
      <c r="J202" s="82">
        <v>22557038.46</v>
      </c>
      <c r="K202" s="56">
        <f t="shared" si="19"/>
        <v>0.028818501500219928</v>
      </c>
      <c r="L202" s="85">
        <f t="shared" si="20"/>
        <v>21663219.82</v>
      </c>
      <c r="M202" s="8"/>
    </row>
    <row r="203" spans="1:13" s="7" customFormat="1" ht="14.25" customHeight="1">
      <c r="A203" s="52" t="s">
        <v>145</v>
      </c>
      <c r="B203" s="53" t="s">
        <v>146</v>
      </c>
      <c r="C203" s="82">
        <v>313471122</v>
      </c>
      <c r="D203" s="82">
        <v>498364461.33</v>
      </c>
      <c r="E203" s="82">
        <f>F203-270892550.37</f>
        <v>113317742.46999997</v>
      </c>
      <c r="F203" s="82">
        <v>384210292.84</v>
      </c>
      <c r="G203" s="56">
        <f t="shared" si="17"/>
        <v>0.45819481913489746</v>
      </c>
      <c r="H203" s="82">
        <f t="shared" si="18"/>
        <v>114154168.49000001</v>
      </c>
      <c r="I203" s="82">
        <f>J203-190182340.33</f>
        <v>52092078.22</v>
      </c>
      <c r="J203" s="82">
        <v>242274418.55</v>
      </c>
      <c r="K203" s="56">
        <f t="shared" si="19"/>
        <v>0.3095258141634647</v>
      </c>
      <c r="L203" s="85">
        <f t="shared" si="20"/>
        <v>256090042.77999997</v>
      </c>
      <c r="M203" s="8"/>
    </row>
    <row r="204" spans="1:13" s="7" customFormat="1" ht="14.25" customHeight="1">
      <c r="A204" s="68" t="s">
        <v>147</v>
      </c>
      <c r="B204" s="53" t="s">
        <v>148</v>
      </c>
      <c r="C204" s="82">
        <v>69115137</v>
      </c>
      <c r="D204" s="82">
        <v>108080078.53</v>
      </c>
      <c r="E204" s="82">
        <f>F204-54256697.04</f>
        <v>21718040.119999997</v>
      </c>
      <c r="F204" s="82">
        <v>75974737.16</v>
      </c>
      <c r="G204" s="56">
        <f t="shared" si="17"/>
        <v>0.09060462876861114</v>
      </c>
      <c r="H204" s="82">
        <f t="shared" si="18"/>
        <v>32105341.370000005</v>
      </c>
      <c r="I204" s="82">
        <f>J204-43628361.22</f>
        <v>23516834.700000003</v>
      </c>
      <c r="J204" s="82">
        <v>67145195.92</v>
      </c>
      <c r="K204" s="56">
        <f t="shared" si="19"/>
        <v>0.08578359844464624</v>
      </c>
      <c r="L204" s="85">
        <f t="shared" si="20"/>
        <v>40934882.61</v>
      </c>
      <c r="M204" s="8"/>
    </row>
    <row r="205" spans="1:13" s="7" customFormat="1" ht="14.25" customHeight="1">
      <c r="A205" s="68" t="s">
        <v>160</v>
      </c>
      <c r="B205" s="53" t="s">
        <v>161</v>
      </c>
      <c r="C205" s="88">
        <v>23000000</v>
      </c>
      <c r="D205" s="82">
        <v>8555644.88</v>
      </c>
      <c r="E205" s="82">
        <f>F205-4565918.21</f>
        <v>355469.3099999996</v>
      </c>
      <c r="F205" s="82">
        <v>4921387.52</v>
      </c>
      <c r="G205" s="56">
        <f t="shared" si="17"/>
        <v>0.005869062611391807</v>
      </c>
      <c r="H205" s="82">
        <f t="shared" si="18"/>
        <v>3634257.3600000013</v>
      </c>
      <c r="I205" s="82">
        <f>J205-2602278.42</f>
        <v>833368.8300000001</v>
      </c>
      <c r="J205" s="82">
        <v>3435647.25</v>
      </c>
      <c r="K205" s="56">
        <f t="shared" si="19"/>
        <v>0.004389326444777959</v>
      </c>
      <c r="L205" s="85">
        <f t="shared" si="20"/>
        <v>5119997.630000001</v>
      </c>
      <c r="M205" s="8"/>
    </row>
    <row r="206" spans="1:13" s="7" customFormat="1" ht="14.25" customHeight="1">
      <c r="A206" s="68" t="s">
        <v>97</v>
      </c>
      <c r="B206" s="53" t="s">
        <v>236</v>
      </c>
      <c r="C206" s="88">
        <v>1119226</v>
      </c>
      <c r="D206" s="82">
        <v>18025963.44</v>
      </c>
      <c r="E206" s="82">
        <f>F206-10384212.66</f>
        <v>0</v>
      </c>
      <c r="F206" s="82">
        <v>10384212.66</v>
      </c>
      <c r="G206" s="56">
        <f t="shared" si="17"/>
        <v>0.012383823469269795</v>
      </c>
      <c r="H206" s="82">
        <f t="shared" si="18"/>
        <v>7641750.780000001</v>
      </c>
      <c r="I206" s="82">
        <f>J206-10384212.66</f>
        <v>0</v>
      </c>
      <c r="J206" s="82">
        <v>10384212.66</v>
      </c>
      <c r="K206" s="56">
        <f t="shared" si="19"/>
        <v>0.013266699378621034</v>
      </c>
      <c r="L206" s="85">
        <f t="shared" si="20"/>
        <v>7641750.780000001</v>
      </c>
      <c r="M206" s="8"/>
    </row>
    <row r="207" spans="1:13" s="7" customFormat="1" ht="14.25" customHeight="1">
      <c r="A207" s="61" t="s">
        <v>201</v>
      </c>
      <c r="B207" s="53" t="s">
        <v>202</v>
      </c>
      <c r="C207" s="88">
        <v>0</v>
      </c>
      <c r="D207" s="82">
        <v>0</v>
      </c>
      <c r="E207" s="82">
        <f>F207-0</f>
        <v>0</v>
      </c>
      <c r="F207" s="82">
        <v>0</v>
      </c>
      <c r="G207" s="56">
        <f t="shared" si="17"/>
        <v>0</v>
      </c>
      <c r="H207" s="82">
        <f t="shared" si="18"/>
        <v>0</v>
      </c>
      <c r="I207" s="82">
        <f>J207-0</f>
        <v>0</v>
      </c>
      <c r="J207" s="82">
        <v>0</v>
      </c>
      <c r="K207" s="56">
        <f t="shared" si="19"/>
        <v>0</v>
      </c>
      <c r="L207" s="85">
        <f t="shared" si="20"/>
        <v>0</v>
      </c>
      <c r="M207" s="8"/>
    </row>
    <row r="208" spans="1:12" ht="14.25" customHeight="1">
      <c r="A208" s="47" t="s">
        <v>158</v>
      </c>
      <c r="B208" s="50" t="s">
        <v>159</v>
      </c>
      <c r="C208" s="81">
        <f>SUM(C209:C217)</f>
        <v>540441670</v>
      </c>
      <c r="D208" s="81">
        <f>SUM(D209:D217)</f>
        <v>545881705.72</v>
      </c>
      <c r="E208" s="81">
        <f>SUM(E209:E217)</f>
        <v>87843630.64</v>
      </c>
      <c r="F208" s="81">
        <f>SUM(F209:F217)</f>
        <v>445893510.33</v>
      </c>
      <c r="G208" s="51">
        <f t="shared" si="17"/>
        <v>0.5317559162949335</v>
      </c>
      <c r="H208" s="81">
        <f t="shared" si="18"/>
        <v>99988195.39000005</v>
      </c>
      <c r="I208" s="81">
        <f>SUM(I209:I217)</f>
        <v>81912666.4</v>
      </c>
      <c r="J208" s="81">
        <f>SUM(J209:J217)</f>
        <v>390814929.71</v>
      </c>
      <c r="K208" s="51">
        <f t="shared" si="19"/>
        <v>0.4992987292249348</v>
      </c>
      <c r="L208" s="84">
        <f t="shared" si="20"/>
        <v>155066776.01000005</v>
      </c>
    </row>
    <row r="209" spans="1:12" ht="14.25" customHeight="1">
      <c r="A209" s="52" t="s">
        <v>28</v>
      </c>
      <c r="B209" s="53" t="s">
        <v>33</v>
      </c>
      <c r="C209" s="82">
        <v>92137316</v>
      </c>
      <c r="D209" s="82">
        <v>108003994.21</v>
      </c>
      <c r="E209" s="82">
        <f>F209-60871395.19</f>
        <v>15591028.810000002</v>
      </c>
      <c r="F209" s="82">
        <v>76462424</v>
      </c>
      <c r="G209" s="56">
        <f t="shared" si="17"/>
        <v>0.09118622584607758</v>
      </c>
      <c r="H209" s="82">
        <f t="shared" si="18"/>
        <v>31541570.209999993</v>
      </c>
      <c r="I209" s="82">
        <f>J209-58675012.44</f>
        <v>13121480.969999999</v>
      </c>
      <c r="J209" s="82">
        <v>71796493.41</v>
      </c>
      <c r="K209" s="56">
        <f t="shared" si="19"/>
        <v>0.09172601965083564</v>
      </c>
      <c r="L209" s="85">
        <f t="shared" si="20"/>
        <v>36207500.8</v>
      </c>
    </row>
    <row r="210" spans="1:12" ht="14.25" customHeight="1">
      <c r="A210" s="52" t="s">
        <v>50</v>
      </c>
      <c r="B210" s="53" t="s">
        <v>57</v>
      </c>
      <c r="C210" s="82">
        <v>42636944</v>
      </c>
      <c r="D210" s="82">
        <v>126106982.1</v>
      </c>
      <c r="E210" s="82">
        <f>F210-105610466.43</f>
        <v>16533933.879999995</v>
      </c>
      <c r="F210" s="82">
        <v>122144400.31</v>
      </c>
      <c r="G210" s="56">
        <f t="shared" si="17"/>
        <v>0.14566484149784956</v>
      </c>
      <c r="H210" s="82">
        <f t="shared" si="18"/>
        <v>3962581.7899999917</v>
      </c>
      <c r="I210" s="82">
        <f>J210-65803912.81</f>
        <v>13267519.060000002</v>
      </c>
      <c r="J210" s="82">
        <v>79071431.87</v>
      </c>
      <c r="K210" s="56">
        <f t="shared" si="19"/>
        <v>0.10102036142780656</v>
      </c>
      <c r="L210" s="85">
        <f t="shared" si="20"/>
        <v>47035550.22999999</v>
      </c>
    </row>
    <row r="211" spans="1:12" ht="14.25" customHeight="1">
      <c r="A211" s="52" t="s">
        <v>29</v>
      </c>
      <c r="B211" s="53" t="s">
        <v>34</v>
      </c>
      <c r="C211" s="82">
        <v>5000</v>
      </c>
      <c r="D211" s="82">
        <v>1011726.28</v>
      </c>
      <c r="E211" s="82">
        <f>F211-867425.73</f>
        <v>144300.55000000005</v>
      </c>
      <c r="F211" s="82">
        <v>1011726.28</v>
      </c>
      <c r="G211" s="56">
        <f t="shared" si="17"/>
        <v>0.0012065469054772827</v>
      </c>
      <c r="H211" s="82">
        <f t="shared" si="18"/>
        <v>0</v>
      </c>
      <c r="I211" s="82">
        <f>J211-342216.73</f>
        <v>218582.28000000003</v>
      </c>
      <c r="J211" s="82">
        <v>560799.01</v>
      </c>
      <c r="K211" s="56">
        <f t="shared" si="19"/>
        <v>0.0007164675956759818</v>
      </c>
      <c r="L211" s="85">
        <f t="shared" si="20"/>
        <v>450927.27</v>
      </c>
    </row>
    <row r="212" spans="1:12" ht="14.25" customHeight="1">
      <c r="A212" s="52" t="s">
        <v>114</v>
      </c>
      <c r="B212" s="53" t="s">
        <v>121</v>
      </c>
      <c r="C212" s="82">
        <v>93000000</v>
      </c>
      <c r="D212" s="82">
        <v>104985000</v>
      </c>
      <c r="E212" s="82">
        <f>F212-60297034.21</f>
        <v>27173609.089999996</v>
      </c>
      <c r="F212" s="82">
        <v>87470643.3</v>
      </c>
      <c r="G212" s="56">
        <f t="shared" si="17"/>
        <v>0.10431421628557698</v>
      </c>
      <c r="H212" s="82">
        <f t="shared" si="18"/>
        <v>17514356.700000003</v>
      </c>
      <c r="I212" s="82">
        <f>J212-54127189.2</f>
        <v>27093449.379999995</v>
      </c>
      <c r="J212" s="82">
        <v>81220638.58</v>
      </c>
      <c r="K212" s="56">
        <f t="shared" si="19"/>
        <v>0.10376615258768108</v>
      </c>
      <c r="L212" s="85">
        <f t="shared" si="20"/>
        <v>23764361.42</v>
      </c>
    </row>
    <row r="213" spans="1:12" ht="14.25" customHeight="1">
      <c r="A213" s="52" t="s">
        <v>116</v>
      </c>
      <c r="B213" s="53" t="s">
        <v>123</v>
      </c>
      <c r="C213" s="82">
        <v>0</v>
      </c>
      <c r="D213" s="82">
        <v>0</v>
      </c>
      <c r="E213" s="82">
        <f>F213-0</f>
        <v>0</v>
      </c>
      <c r="F213" s="82">
        <v>0</v>
      </c>
      <c r="G213" s="56">
        <f t="shared" si="17"/>
        <v>0</v>
      </c>
      <c r="H213" s="82">
        <f t="shared" si="18"/>
        <v>0</v>
      </c>
      <c r="I213" s="82">
        <f>J213-0</f>
        <v>0</v>
      </c>
      <c r="J213" s="82">
        <v>0</v>
      </c>
      <c r="K213" s="56">
        <f t="shared" si="19"/>
        <v>0</v>
      </c>
      <c r="L213" s="85">
        <f t="shared" si="20"/>
        <v>0</v>
      </c>
    </row>
    <row r="214" spans="1:12" ht="14.25" customHeight="1">
      <c r="A214" s="52" t="s">
        <v>96</v>
      </c>
      <c r="B214" s="53" t="s">
        <v>102</v>
      </c>
      <c r="C214" s="82">
        <v>262868467</v>
      </c>
      <c r="D214" s="82">
        <v>152510813.5</v>
      </c>
      <c r="E214" s="82">
        <f>F214-100401311.97</f>
        <v>20381913.290000007</v>
      </c>
      <c r="F214" s="82">
        <v>120783225.26</v>
      </c>
      <c r="G214" s="56">
        <f t="shared" si="17"/>
        <v>0.14404155506469457</v>
      </c>
      <c r="H214" s="82">
        <f t="shared" si="18"/>
        <v>31727588.239999995</v>
      </c>
      <c r="I214" s="82">
        <f>J214-100131195.97</f>
        <v>20277809.290000007</v>
      </c>
      <c r="J214" s="82">
        <v>120409005.26</v>
      </c>
      <c r="K214" s="56">
        <f t="shared" si="19"/>
        <v>0.153832565603796</v>
      </c>
      <c r="L214" s="85">
        <f t="shared" si="20"/>
        <v>32101808.239999995</v>
      </c>
    </row>
    <row r="215" spans="1:12" ht="14.25" customHeight="1">
      <c r="A215" s="52" t="s">
        <v>160</v>
      </c>
      <c r="B215" s="53" t="s">
        <v>161</v>
      </c>
      <c r="C215" s="82">
        <v>0</v>
      </c>
      <c r="D215" s="82">
        <v>0</v>
      </c>
      <c r="E215" s="82">
        <f>F215-0</f>
        <v>0</v>
      </c>
      <c r="F215" s="82">
        <v>0</v>
      </c>
      <c r="G215" s="56">
        <f t="shared" si="17"/>
        <v>0</v>
      </c>
      <c r="H215" s="82">
        <f t="shared" si="18"/>
        <v>0</v>
      </c>
      <c r="I215" s="82">
        <f>J215-0</f>
        <v>0</v>
      </c>
      <c r="J215" s="82">
        <v>0</v>
      </c>
      <c r="K215" s="56">
        <f t="shared" si="19"/>
        <v>0</v>
      </c>
      <c r="L215" s="85">
        <f t="shared" si="20"/>
        <v>0</v>
      </c>
    </row>
    <row r="216" spans="1:12" ht="14.25" customHeight="1">
      <c r="A216" s="52" t="s">
        <v>97</v>
      </c>
      <c r="B216" s="53" t="s">
        <v>240</v>
      </c>
      <c r="C216" s="82">
        <v>49788943</v>
      </c>
      <c r="D216" s="82">
        <v>53258958.63</v>
      </c>
      <c r="E216" s="82">
        <f>F216-30002246.16</f>
        <v>8018845.02</v>
      </c>
      <c r="F216" s="82">
        <v>38021091.18</v>
      </c>
      <c r="G216" s="56">
        <f t="shared" si="17"/>
        <v>0.04534253069525743</v>
      </c>
      <c r="H216" s="82">
        <f t="shared" si="18"/>
        <v>15237867.450000003</v>
      </c>
      <c r="I216" s="82">
        <f>J216-29822736.16</f>
        <v>7933825.419999998</v>
      </c>
      <c r="J216" s="82">
        <v>37756561.58</v>
      </c>
      <c r="K216" s="56">
        <f t="shared" si="19"/>
        <v>0.04823716235913959</v>
      </c>
      <c r="L216" s="85">
        <f t="shared" si="20"/>
        <v>15502397.050000004</v>
      </c>
    </row>
    <row r="217" spans="1:12" ht="14.25" customHeight="1">
      <c r="A217" s="52" t="s">
        <v>187</v>
      </c>
      <c r="B217" s="53" t="s">
        <v>188</v>
      </c>
      <c r="C217" s="82">
        <v>5000</v>
      </c>
      <c r="D217" s="82">
        <v>4231</v>
      </c>
      <c r="E217" s="82">
        <f>F217-0</f>
        <v>0</v>
      </c>
      <c r="F217" s="82">
        <v>0</v>
      </c>
      <c r="G217" s="56">
        <f t="shared" si="17"/>
        <v>0</v>
      </c>
      <c r="H217" s="82">
        <f t="shared" si="18"/>
        <v>4231</v>
      </c>
      <c r="I217" s="82">
        <v>0</v>
      </c>
      <c r="J217" s="82">
        <v>0</v>
      </c>
      <c r="K217" s="56">
        <f t="shared" si="19"/>
        <v>0</v>
      </c>
      <c r="L217" s="85">
        <f t="shared" si="20"/>
        <v>4231</v>
      </c>
    </row>
    <row r="218" spans="1:12" ht="14.25" customHeight="1">
      <c r="A218" s="47" t="s">
        <v>162</v>
      </c>
      <c r="B218" s="50" t="s">
        <v>163</v>
      </c>
      <c r="C218" s="81">
        <f>SUM(C219:C236)</f>
        <v>783345997</v>
      </c>
      <c r="D218" s="81">
        <f>SUM(D219:D236)</f>
        <v>690212855.99</v>
      </c>
      <c r="E218" s="81">
        <f>SUM(E219:E236)</f>
        <v>143217095.91000003</v>
      </c>
      <c r="F218" s="81">
        <f>SUM(F219:F236)</f>
        <v>505739519.7500001</v>
      </c>
      <c r="G218" s="51">
        <f t="shared" si="17"/>
        <v>0.6031260278540257</v>
      </c>
      <c r="H218" s="81">
        <f t="shared" si="18"/>
        <v>184473336.2399999</v>
      </c>
      <c r="I218" s="81">
        <f>SUM(I219:I236)</f>
        <v>127991596.77000003</v>
      </c>
      <c r="J218" s="81">
        <f>SUM(J219:J236)</f>
        <v>457904420.17</v>
      </c>
      <c r="K218" s="51">
        <f t="shared" si="19"/>
        <v>0.5850111592896793</v>
      </c>
      <c r="L218" s="84">
        <f t="shared" si="20"/>
        <v>232308435.82</v>
      </c>
    </row>
    <row r="219" spans="1:12" ht="14.25" customHeight="1">
      <c r="A219" s="52" t="s">
        <v>28</v>
      </c>
      <c r="B219" s="53" t="s">
        <v>33</v>
      </c>
      <c r="C219" s="82">
        <v>437458093</v>
      </c>
      <c r="D219" s="82">
        <v>417457582.44</v>
      </c>
      <c r="E219" s="82">
        <f>F219-236083001.87</f>
        <v>75089102.68</v>
      </c>
      <c r="F219" s="82">
        <v>311172104.55</v>
      </c>
      <c r="G219" s="56">
        <f t="shared" si="17"/>
        <v>0.37109220867096193</v>
      </c>
      <c r="H219" s="82">
        <f t="shared" si="18"/>
        <v>106285477.88999999</v>
      </c>
      <c r="I219" s="82">
        <f>J219-225595730.8</f>
        <v>73966191.43</v>
      </c>
      <c r="J219" s="82">
        <v>299561922.23</v>
      </c>
      <c r="K219" s="56">
        <f t="shared" si="19"/>
        <v>0.3827153870621197</v>
      </c>
      <c r="L219" s="85">
        <f t="shared" si="20"/>
        <v>117895660.20999998</v>
      </c>
    </row>
    <row r="220" spans="1:12" ht="14.25" customHeight="1">
      <c r="A220" s="52" t="s">
        <v>50</v>
      </c>
      <c r="B220" s="53" t="s">
        <v>57</v>
      </c>
      <c r="C220" s="82">
        <v>18298</v>
      </c>
      <c r="D220" s="82">
        <v>4215519.73</v>
      </c>
      <c r="E220" s="82">
        <f>F220-4043063.38</f>
        <v>88303.72999999998</v>
      </c>
      <c r="F220" s="82">
        <v>4131367.11</v>
      </c>
      <c r="G220" s="56">
        <f t="shared" si="17"/>
        <v>0.004926913830844767</v>
      </c>
      <c r="H220" s="82">
        <f t="shared" si="18"/>
        <v>84152.62000000058</v>
      </c>
      <c r="I220" s="82">
        <f>J220-709318.53</f>
        <v>954133.03</v>
      </c>
      <c r="J220" s="82">
        <v>1663451.56</v>
      </c>
      <c r="K220" s="56">
        <f t="shared" si="19"/>
        <v>0.002125198366018266</v>
      </c>
      <c r="L220" s="85">
        <f t="shared" si="20"/>
        <v>2552068.1700000004</v>
      </c>
    </row>
    <row r="221" spans="1:12" ht="14.25" customHeight="1">
      <c r="A221" s="52" t="s">
        <v>51</v>
      </c>
      <c r="B221" s="53" t="s">
        <v>58</v>
      </c>
      <c r="C221" s="82">
        <v>0</v>
      </c>
      <c r="D221" s="82">
        <v>0</v>
      </c>
      <c r="E221" s="82">
        <f>F221-0</f>
        <v>0</v>
      </c>
      <c r="F221" s="82">
        <v>0</v>
      </c>
      <c r="G221" s="56">
        <f t="shared" si="17"/>
        <v>0</v>
      </c>
      <c r="H221" s="82">
        <f t="shared" si="18"/>
        <v>0</v>
      </c>
      <c r="I221" s="82">
        <f aca="true" t="shared" si="23" ref="I221:I235">J221-0</f>
        <v>0</v>
      </c>
      <c r="J221" s="82">
        <v>0</v>
      </c>
      <c r="K221" s="56">
        <f t="shared" si="19"/>
        <v>0</v>
      </c>
      <c r="L221" s="85">
        <f t="shared" si="20"/>
        <v>0</v>
      </c>
    </row>
    <row r="222" spans="1:12" ht="14.25" customHeight="1">
      <c r="A222" s="52" t="s">
        <v>29</v>
      </c>
      <c r="B222" s="53" t="s">
        <v>262</v>
      </c>
      <c r="C222" s="82">
        <v>0</v>
      </c>
      <c r="D222" s="82">
        <v>0</v>
      </c>
      <c r="E222" s="54">
        <f>F222-0</f>
        <v>0</v>
      </c>
      <c r="F222" s="54">
        <v>0</v>
      </c>
      <c r="G222" s="56">
        <f t="shared" si="17"/>
        <v>0</v>
      </c>
      <c r="H222" s="82">
        <f t="shared" si="18"/>
        <v>0</v>
      </c>
      <c r="I222" s="82">
        <f t="shared" si="23"/>
        <v>0</v>
      </c>
      <c r="J222" s="82">
        <v>0</v>
      </c>
      <c r="K222" s="56">
        <f t="shared" si="19"/>
        <v>0</v>
      </c>
      <c r="L222" s="85">
        <f t="shared" si="20"/>
        <v>0</v>
      </c>
    </row>
    <row r="223" spans="1:12" ht="14.25" customHeight="1">
      <c r="A223" s="52" t="s">
        <v>94</v>
      </c>
      <c r="B223" s="53" t="s">
        <v>100</v>
      </c>
      <c r="C223" s="54">
        <v>0</v>
      </c>
      <c r="D223" s="54">
        <v>0</v>
      </c>
      <c r="E223" s="54">
        <f>F223-0</f>
        <v>0</v>
      </c>
      <c r="F223" s="54">
        <v>0</v>
      </c>
      <c r="G223" s="56">
        <f t="shared" si="17"/>
        <v>0</v>
      </c>
      <c r="H223" s="82">
        <f t="shared" si="18"/>
        <v>0</v>
      </c>
      <c r="I223" s="82">
        <f t="shared" si="23"/>
        <v>0</v>
      </c>
      <c r="J223" s="82">
        <v>0</v>
      </c>
      <c r="K223" s="56">
        <f t="shared" si="19"/>
        <v>0</v>
      </c>
      <c r="L223" s="85">
        <f t="shared" si="20"/>
        <v>0</v>
      </c>
    </row>
    <row r="224" spans="1:12" ht="14.25" customHeight="1">
      <c r="A224" s="52" t="s">
        <v>68</v>
      </c>
      <c r="B224" s="53" t="s">
        <v>76</v>
      </c>
      <c r="C224" s="82">
        <v>10000</v>
      </c>
      <c r="D224" s="82">
        <v>10000</v>
      </c>
      <c r="E224" s="82">
        <f>F224-4526</f>
        <v>0</v>
      </c>
      <c r="F224" s="82">
        <v>4526</v>
      </c>
      <c r="G224" s="56">
        <f t="shared" si="17"/>
        <v>5.39753824936739E-06</v>
      </c>
      <c r="H224" s="82">
        <f t="shared" si="18"/>
        <v>5474</v>
      </c>
      <c r="I224" s="82">
        <f>J224-4526</f>
        <v>0</v>
      </c>
      <c r="J224" s="82">
        <v>4526</v>
      </c>
      <c r="K224" s="56">
        <f t="shared" si="19"/>
        <v>5.782343192848171E-06</v>
      </c>
      <c r="L224" s="85">
        <f t="shared" si="20"/>
        <v>5474</v>
      </c>
    </row>
    <row r="225" spans="1:12" ht="14.25" customHeight="1">
      <c r="A225" s="52" t="s">
        <v>106</v>
      </c>
      <c r="B225" s="53" t="s">
        <v>108</v>
      </c>
      <c r="C225" s="82">
        <v>0</v>
      </c>
      <c r="D225" s="82">
        <v>0</v>
      </c>
      <c r="E225" s="82">
        <f>F225-0</f>
        <v>0</v>
      </c>
      <c r="F225" s="82">
        <v>0</v>
      </c>
      <c r="G225" s="56">
        <f t="shared" si="17"/>
        <v>0</v>
      </c>
      <c r="H225" s="82">
        <f t="shared" si="18"/>
        <v>0</v>
      </c>
      <c r="I225" s="82">
        <f>J225-0</f>
        <v>0</v>
      </c>
      <c r="J225" s="82">
        <v>0</v>
      </c>
      <c r="K225" s="56">
        <f t="shared" si="19"/>
        <v>0</v>
      </c>
      <c r="L225" s="85">
        <f t="shared" si="20"/>
        <v>0</v>
      </c>
    </row>
    <row r="226" spans="1:12" ht="14.25" customHeight="1">
      <c r="A226" s="52" t="s">
        <v>135</v>
      </c>
      <c r="B226" s="53" t="s">
        <v>136</v>
      </c>
      <c r="C226" s="54">
        <v>0</v>
      </c>
      <c r="D226" s="82">
        <v>0</v>
      </c>
      <c r="E226" s="54">
        <f aca="true" t="shared" si="24" ref="E226:E235">F226-0</f>
        <v>0</v>
      </c>
      <c r="F226" s="54">
        <v>0</v>
      </c>
      <c r="G226" s="56">
        <f t="shared" si="17"/>
        <v>0</v>
      </c>
      <c r="H226" s="54">
        <f t="shared" si="18"/>
        <v>0</v>
      </c>
      <c r="I226" s="82">
        <f t="shared" si="23"/>
        <v>0</v>
      </c>
      <c r="J226" s="54">
        <v>0</v>
      </c>
      <c r="K226" s="56">
        <f t="shared" si="19"/>
        <v>0</v>
      </c>
      <c r="L226" s="85">
        <f t="shared" si="20"/>
        <v>0</v>
      </c>
    </row>
    <row r="227" spans="1:12" ht="14.25" customHeight="1">
      <c r="A227" s="52" t="s">
        <v>96</v>
      </c>
      <c r="B227" s="53" t="s">
        <v>102</v>
      </c>
      <c r="C227" s="82">
        <v>5000</v>
      </c>
      <c r="D227" s="82">
        <v>5000</v>
      </c>
      <c r="E227" s="54">
        <f>F227-0</f>
        <v>0</v>
      </c>
      <c r="F227" s="54">
        <v>0</v>
      </c>
      <c r="G227" s="56">
        <f t="shared" si="17"/>
        <v>0</v>
      </c>
      <c r="H227" s="82">
        <f t="shared" si="18"/>
        <v>5000</v>
      </c>
      <c r="I227" s="82">
        <f>J227-0</f>
        <v>0</v>
      </c>
      <c r="J227" s="54">
        <v>0</v>
      </c>
      <c r="K227" s="56">
        <f t="shared" si="19"/>
        <v>0</v>
      </c>
      <c r="L227" s="85">
        <f t="shared" si="20"/>
        <v>5000</v>
      </c>
    </row>
    <row r="228" spans="1:12" ht="14.25" customHeight="1">
      <c r="A228" s="52" t="s">
        <v>155</v>
      </c>
      <c r="B228" s="53" t="s">
        <v>156</v>
      </c>
      <c r="C228" s="54">
        <v>0</v>
      </c>
      <c r="D228" s="82">
        <v>0</v>
      </c>
      <c r="E228" s="54">
        <f t="shared" si="24"/>
        <v>0</v>
      </c>
      <c r="F228" s="54">
        <v>0</v>
      </c>
      <c r="G228" s="56">
        <f t="shared" si="17"/>
        <v>0</v>
      </c>
      <c r="H228" s="82">
        <f t="shared" si="18"/>
        <v>0</v>
      </c>
      <c r="I228" s="82">
        <f t="shared" si="23"/>
        <v>0</v>
      </c>
      <c r="J228" s="54">
        <v>0</v>
      </c>
      <c r="K228" s="56">
        <f t="shared" si="19"/>
        <v>0</v>
      </c>
      <c r="L228" s="85">
        <f t="shared" si="20"/>
        <v>0</v>
      </c>
    </row>
    <row r="229" spans="1:12" ht="14.25" customHeight="1">
      <c r="A229" s="52" t="s">
        <v>166</v>
      </c>
      <c r="B229" s="53" t="s">
        <v>167</v>
      </c>
      <c r="C229" s="54">
        <v>0</v>
      </c>
      <c r="D229" s="82">
        <v>0</v>
      </c>
      <c r="E229" s="54">
        <f t="shared" si="24"/>
        <v>0</v>
      </c>
      <c r="F229" s="54">
        <v>0</v>
      </c>
      <c r="G229" s="56">
        <f t="shared" si="17"/>
        <v>0</v>
      </c>
      <c r="H229" s="82">
        <f t="shared" si="18"/>
        <v>0</v>
      </c>
      <c r="I229" s="82">
        <f t="shared" si="23"/>
        <v>0</v>
      </c>
      <c r="J229" s="54">
        <v>0</v>
      </c>
      <c r="K229" s="56">
        <f t="shared" si="19"/>
        <v>0</v>
      </c>
      <c r="L229" s="85">
        <f t="shared" si="20"/>
        <v>0</v>
      </c>
    </row>
    <row r="230" spans="1:13" ht="14.25" customHeight="1">
      <c r="A230" s="52" t="s">
        <v>168</v>
      </c>
      <c r="B230" s="53" t="s">
        <v>169</v>
      </c>
      <c r="C230" s="54">
        <v>0</v>
      </c>
      <c r="D230" s="82">
        <v>0</v>
      </c>
      <c r="E230" s="54">
        <f t="shared" si="24"/>
        <v>0</v>
      </c>
      <c r="F230" s="54">
        <v>0</v>
      </c>
      <c r="G230" s="56">
        <f t="shared" si="17"/>
        <v>0</v>
      </c>
      <c r="H230" s="82">
        <f t="shared" si="18"/>
        <v>0</v>
      </c>
      <c r="I230" s="82">
        <f t="shared" si="23"/>
        <v>0</v>
      </c>
      <c r="J230" s="54">
        <v>0</v>
      </c>
      <c r="K230" s="56">
        <f t="shared" si="19"/>
        <v>0</v>
      </c>
      <c r="L230" s="85">
        <f t="shared" si="20"/>
        <v>0</v>
      </c>
      <c r="M230"/>
    </row>
    <row r="231" spans="1:13" ht="14.25" customHeight="1">
      <c r="A231" s="52" t="s">
        <v>170</v>
      </c>
      <c r="B231" s="53" t="s">
        <v>171</v>
      </c>
      <c r="C231" s="82">
        <v>10000</v>
      </c>
      <c r="D231" s="82">
        <v>10000</v>
      </c>
      <c r="E231" s="54">
        <f>F231-3775.41</f>
        <v>642.1999999999998</v>
      </c>
      <c r="F231" s="54">
        <v>4417.61</v>
      </c>
      <c r="G231" s="56">
        <f t="shared" si="17"/>
        <v>5.268276391026928E-06</v>
      </c>
      <c r="H231" s="82">
        <f t="shared" si="18"/>
        <v>5582.39</v>
      </c>
      <c r="I231" s="82">
        <f>J231-3775.41</f>
        <v>642.1999999999998</v>
      </c>
      <c r="J231" s="54">
        <v>4417.61</v>
      </c>
      <c r="K231" s="56">
        <f t="shared" si="19"/>
        <v>5.64386591077287E-06</v>
      </c>
      <c r="L231" s="85">
        <f t="shared" si="20"/>
        <v>5582.39</v>
      </c>
      <c r="M231"/>
    </row>
    <row r="232" spans="1:13" ht="14.25" customHeight="1">
      <c r="A232" s="52" t="s">
        <v>172</v>
      </c>
      <c r="B232" s="53" t="s">
        <v>173</v>
      </c>
      <c r="C232" s="82">
        <v>2533906</v>
      </c>
      <c r="D232" s="82">
        <v>4940110.13</v>
      </c>
      <c r="E232" s="82">
        <f>F232-320214.39</f>
        <v>2091392.52</v>
      </c>
      <c r="F232" s="82">
        <v>2411606.91</v>
      </c>
      <c r="G232" s="56">
        <f aca="true" t="shared" si="25" ref="G232:G295">(F232/$F$303)*100</f>
        <v>0.002875992165082568</v>
      </c>
      <c r="H232" s="82">
        <f aca="true" t="shared" si="26" ref="H232:H295">D232-F232</f>
        <v>2528503.2199999997</v>
      </c>
      <c r="I232" s="82">
        <f>J232-320214.39</f>
        <v>230464.37</v>
      </c>
      <c r="J232" s="82">
        <v>550678.76</v>
      </c>
      <c r="K232" s="56">
        <f aca="true" t="shared" si="27" ref="K232:K295">(J232/$J$303)*100</f>
        <v>0.0007035381306522475</v>
      </c>
      <c r="L232" s="85">
        <f aca="true" t="shared" si="28" ref="L232:L295">D232-J232</f>
        <v>4389431.37</v>
      </c>
      <c r="M232"/>
    </row>
    <row r="233" spans="1:13" ht="14.25" customHeight="1">
      <c r="A233" s="52" t="s">
        <v>269</v>
      </c>
      <c r="B233" s="53" t="s">
        <v>271</v>
      </c>
      <c r="C233" s="82">
        <v>22763357</v>
      </c>
      <c r="D233" s="82">
        <v>32541379.21</v>
      </c>
      <c r="E233" s="82">
        <f>F233-1794301.79</f>
        <v>5413359.01</v>
      </c>
      <c r="F233" s="82">
        <v>7207660.8</v>
      </c>
      <c r="G233" s="56">
        <f t="shared" si="25"/>
        <v>0.00859558657898055</v>
      </c>
      <c r="H233" s="82">
        <f t="shared" si="26"/>
        <v>25333718.41</v>
      </c>
      <c r="I233" s="82">
        <f>J233-1552069.62</f>
        <v>1210817.8599999999</v>
      </c>
      <c r="J233" s="82">
        <v>2762887.48</v>
      </c>
      <c r="K233" s="56">
        <f t="shared" si="27"/>
        <v>0.0035298196227537427</v>
      </c>
      <c r="L233" s="57">
        <f t="shared" si="28"/>
        <v>29778491.73</v>
      </c>
      <c r="M233"/>
    </row>
    <row r="234" spans="1:13" ht="14.25" customHeight="1">
      <c r="A234" s="52" t="s">
        <v>270</v>
      </c>
      <c r="B234" s="53" t="s">
        <v>272</v>
      </c>
      <c r="C234" s="82">
        <v>60552349</v>
      </c>
      <c r="D234" s="82">
        <v>88206125.26</v>
      </c>
      <c r="E234" s="82">
        <f>F234-39350191.11</f>
        <v>13110945.009999998</v>
      </c>
      <c r="F234" s="82">
        <v>52461136.12</v>
      </c>
      <c r="G234" s="56">
        <f t="shared" si="25"/>
        <v>0.06256318798342225</v>
      </c>
      <c r="H234" s="82">
        <f t="shared" si="26"/>
        <v>35744989.14000001</v>
      </c>
      <c r="I234" s="82">
        <f>J234-37818662.49</f>
        <v>13567669.530000001</v>
      </c>
      <c r="J234" s="82">
        <v>51386332.02</v>
      </c>
      <c r="K234" s="56">
        <f t="shared" si="27"/>
        <v>0.06565033300072537</v>
      </c>
      <c r="L234" s="57">
        <f t="shared" si="28"/>
        <v>36819793.24</v>
      </c>
      <c r="M234"/>
    </row>
    <row r="235" spans="1:13" ht="14.25" customHeight="1">
      <c r="A235" s="52" t="s">
        <v>243</v>
      </c>
      <c r="B235" s="53" t="s">
        <v>244</v>
      </c>
      <c r="C235" s="54">
        <v>0</v>
      </c>
      <c r="D235" s="82">
        <v>0</v>
      </c>
      <c r="E235" s="54">
        <f t="shared" si="24"/>
        <v>0</v>
      </c>
      <c r="F235" s="54">
        <v>0</v>
      </c>
      <c r="G235" s="56">
        <f t="shared" si="25"/>
        <v>0</v>
      </c>
      <c r="H235" s="54">
        <f t="shared" si="26"/>
        <v>0</v>
      </c>
      <c r="I235" s="82">
        <f t="shared" si="23"/>
        <v>0</v>
      </c>
      <c r="J235" s="54">
        <v>0</v>
      </c>
      <c r="K235" s="56">
        <f t="shared" si="27"/>
        <v>0</v>
      </c>
      <c r="L235" s="57">
        <f t="shared" si="28"/>
        <v>0</v>
      </c>
      <c r="M235"/>
    </row>
    <row r="236" spans="1:13" ht="14.25" customHeight="1">
      <c r="A236" s="52" t="s">
        <v>71</v>
      </c>
      <c r="B236" s="53" t="s">
        <v>79</v>
      </c>
      <c r="C236" s="54">
        <v>259994994</v>
      </c>
      <c r="D236" s="82">
        <v>142827139.22</v>
      </c>
      <c r="E236" s="82">
        <f>F236-80923349.89</f>
        <v>47423350.760000005</v>
      </c>
      <c r="F236" s="82">
        <v>128346700.65</v>
      </c>
      <c r="G236" s="56">
        <f t="shared" si="25"/>
        <v>0.15306147281009314</v>
      </c>
      <c r="H236" s="54">
        <f t="shared" si="26"/>
        <v>14480438.569999993</v>
      </c>
      <c r="I236" s="82">
        <f>J236-63908526.16</f>
        <v>38061678.35000001</v>
      </c>
      <c r="J236" s="82">
        <v>101970204.51</v>
      </c>
      <c r="K236" s="56">
        <f t="shared" si="27"/>
        <v>0.13027545689830633</v>
      </c>
      <c r="L236" s="57">
        <f t="shared" si="28"/>
        <v>40856934.70999999</v>
      </c>
      <c r="M236"/>
    </row>
    <row r="237" spans="1:13" ht="14.25" customHeight="1">
      <c r="A237" s="47" t="s">
        <v>175</v>
      </c>
      <c r="B237" s="50" t="s">
        <v>174</v>
      </c>
      <c r="C237" s="81">
        <f>SUM(C238:C240)</f>
        <v>51511406</v>
      </c>
      <c r="D237" s="81">
        <f>SUM(D238:D240)</f>
        <v>107449596.33</v>
      </c>
      <c r="E237" s="81">
        <f>SUM(E238:E240)</f>
        <v>370680.95000000484</v>
      </c>
      <c r="F237" s="81">
        <f>SUM(F238:F240)</f>
        <v>72452988.74000001</v>
      </c>
      <c r="G237" s="51">
        <f t="shared" si="25"/>
        <v>0.08640472337718402</v>
      </c>
      <c r="H237" s="81">
        <f t="shared" si="26"/>
        <v>34996607.58999999</v>
      </c>
      <c r="I237" s="81">
        <f>SUM(I238:I240)</f>
        <v>15063658.690000003</v>
      </c>
      <c r="J237" s="81">
        <f>SUM(J238:J240)</f>
        <v>64551532.88</v>
      </c>
      <c r="K237" s="51">
        <f t="shared" si="27"/>
        <v>0.08246997718439747</v>
      </c>
      <c r="L237" s="84">
        <f t="shared" si="28"/>
        <v>42898063.449999996</v>
      </c>
      <c r="M237"/>
    </row>
    <row r="238" spans="1:12" ht="14.25" customHeight="1">
      <c r="A238" s="52" t="s">
        <v>28</v>
      </c>
      <c r="B238" s="53" t="s">
        <v>33</v>
      </c>
      <c r="C238" s="82">
        <v>14992447</v>
      </c>
      <c r="D238" s="82">
        <v>20003086.36</v>
      </c>
      <c r="E238" s="82">
        <f>F238-12496867.56</f>
        <v>3492079.049999999</v>
      </c>
      <c r="F238" s="82">
        <v>15988946.61</v>
      </c>
      <c r="G238" s="56">
        <f t="shared" si="25"/>
        <v>0.019067819464111374</v>
      </c>
      <c r="H238" s="82">
        <f t="shared" si="26"/>
        <v>4014139.75</v>
      </c>
      <c r="I238" s="82">
        <f>J238-11670976.76</f>
        <v>2892460.67</v>
      </c>
      <c r="J238" s="82">
        <v>14563437.43</v>
      </c>
      <c r="K238" s="56">
        <f t="shared" si="27"/>
        <v>0.01860600823858391</v>
      </c>
      <c r="L238" s="85">
        <f t="shared" si="28"/>
        <v>5439648.93</v>
      </c>
    </row>
    <row r="239" spans="1:12" ht="14.25" customHeight="1">
      <c r="A239" s="52" t="s">
        <v>139</v>
      </c>
      <c r="B239" s="53" t="s">
        <v>140</v>
      </c>
      <c r="C239" s="82">
        <v>5005000</v>
      </c>
      <c r="D239" s="82">
        <v>5004231</v>
      </c>
      <c r="E239" s="82">
        <f>F239-900000</f>
        <v>0</v>
      </c>
      <c r="F239" s="82">
        <v>900000</v>
      </c>
      <c r="G239" s="56">
        <f t="shared" si="25"/>
        <v>0.001073306324443361</v>
      </c>
      <c r="H239" s="82">
        <f t="shared" si="26"/>
        <v>4104231</v>
      </c>
      <c r="I239" s="82">
        <f>J239-871911.64</f>
        <v>0</v>
      </c>
      <c r="J239" s="82">
        <v>871911.64</v>
      </c>
      <c r="K239" s="56">
        <f t="shared" si="27"/>
        <v>0.0011139399770921533</v>
      </c>
      <c r="L239" s="85">
        <f t="shared" si="28"/>
        <v>4132319.36</v>
      </c>
    </row>
    <row r="240" spans="1:12" ht="14.25" customHeight="1">
      <c r="A240" s="52" t="s">
        <v>176</v>
      </c>
      <c r="B240" s="53" t="s">
        <v>177</v>
      </c>
      <c r="C240" s="82">
        <v>31513959</v>
      </c>
      <c r="D240" s="82">
        <v>82442278.97</v>
      </c>
      <c r="E240" s="82">
        <f>F240-58685440.23</f>
        <v>-3121398.099999994</v>
      </c>
      <c r="F240" s="82">
        <v>55564042.13</v>
      </c>
      <c r="G240" s="56">
        <f t="shared" si="25"/>
        <v>0.06626359758862929</v>
      </c>
      <c r="H240" s="82">
        <f t="shared" si="26"/>
        <v>26878236.839999996</v>
      </c>
      <c r="I240" s="82">
        <f>J240-36944985.79</f>
        <v>12171198.020000003</v>
      </c>
      <c r="J240" s="82">
        <v>49116183.81</v>
      </c>
      <c r="K240" s="56">
        <f t="shared" si="27"/>
        <v>0.06275002896872141</v>
      </c>
      <c r="L240" s="85">
        <f t="shared" si="28"/>
        <v>33326095.159999996</v>
      </c>
    </row>
    <row r="241" spans="1:12" ht="14.25" customHeight="1">
      <c r="A241" s="47" t="s">
        <v>178</v>
      </c>
      <c r="B241" s="50" t="s">
        <v>179</v>
      </c>
      <c r="C241" s="81">
        <f>SUM(C242:C255)</f>
        <v>244407567</v>
      </c>
      <c r="D241" s="81">
        <f>SUM(D242:D255)</f>
        <v>242685672.28</v>
      </c>
      <c r="E241" s="81">
        <f>SUM(E242:E255)</f>
        <v>27112827.68</v>
      </c>
      <c r="F241" s="81">
        <f>SUM(F242:F255)</f>
        <v>137356203.81</v>
      </c>
      <c r="G241" s="51">
        <f t="shared" si="25"/>
        <v>0.1638058691675603</v>
      </c>
      <c r="H241" s="81">
        <f t="shared" si="26"/>
        <v>105329468.47</v>
      </c>
      <c r="I241" s="81">
        <f>SUM(I242:I255)</f>
        <v>43203392.89</v>
      </c>
      <c r="J241" s="81">
        <f>SUM(J242:J255)</f>
        <v>127469087.67999999</v>
      </c>
      <c r="K241" s="51">
        <f t="shared" si="27"/>
        <v>0.16285241083628252</v>
      </c>
      <c r="L241" s="84">
        <f t="shared" si="28"/>
        <v>115216584.60000001</v>
      </c>
    </row>
    <row r="242" spans="1:12" ht="14.25" customHeight="1">
      <c r="A242" s="52" t="s">
        <v>28</v>
      </c>
      <c r="B242" s="53" t="s">
        <v>33</v>
      </c>
      <c r="C242" s="82">
        <v>102577166</v>
      </c>
      <c r="D242" s="82">
        <v>125907288.42</v>
      </c>
      <c r="E242" s="82">
        <f>F242-74756729.38</f>
        <v>19375430.08</v>
      </c>
      <c r="F242" s="82">
        <v>94132159.46</v>
      </c>
      <c r="G242" s="56">
        <f t="shared" si="25"/>
        <v>0.11225849120214326</v>
      </c>
      <c r="H242" s="82">
        <f t="shared" si="26"/>
        <v>31775128.96000001</v>
      </c>
      <c r="I242" s="82">
        <f>J242-70391141.73</f>
        <v>18363023.049999997</v>
      </c>
      <c r="J242" s="82">
        <v>88754164.78</v>
      </c>
      <c r="K242" s="56">
        <f t="shared" si="27"/>
        <v>0.11339086181011002</v>
      </c>
      <c r="L242" s="85">
        <f t="shared" si="28"/>
        <v>37153123.64</v>
      </c>
    </row>
    <row r="243" spans="1:13" ht="14.25" customHeight="1">
      <c r="A243" s="52" t="s">
        <v>231</v>
      </c>
      <c r="B243" s="53" t="s">
        <v>230</v>
      </c>
      <c r="C243" s="82">
        <v>0</v>
      </c>
      <c r="D243" s="82">
        <v>0</v>
      </c>
      <c r="E243" s="82">
        <f aca="true" t="shared" si="29" ref="E243:E255">F243-0</f>
        <v>0</v>
      </c>
      <c r="F243" s="82">
        <v>0</v>
      </c>
      <c r="G243" s="56">
        <f t="shared" si="25"/>
        <v>0</v>
      </c>
      <c r="H243" s="82">
        <f t="shared" si="26"/>
        <v>0</v>
      </c>
      <c r="I243" s="82">
        <f>J243-0</f>
        <v>0</v>
      </c>
      <c r="J243" s="82">
        <v>0</v>
      </c>
      <c r="K243" s="56">
        <f t="shared" si="27"/>
        <v>0</v>
      </c>
      <c r="L243" s="85">
        <f t="shared" si="28"/>
        <v>0</v>
      </c>
      <c r="M243"/>
    </row>
    <row r="244" spans="1:13" ht="14.25" customHeight="1">
      <c r="A244" s="52" t="s">
        <v>49</v>
      </c>
      <c r="B244" s="53" t="s">
        <v>56</v>
      </c>
      <c r="C244" s="82">
        <v>0</v>
      </c>
      <c r="D244" s="82">
        <v>0</v>
      </c>
      <c r="E244" s="82">
        <f t="shared" si="29"/>
        <v>0</v>
      </c>
      <c r="F244" s="82">
        <v>0</v>
      </c>
      <c r="G244" s="56">
        <f t="shared" si="25"/>
        <v>0</v>
      </c>
      <c r="H244" s="82">
        <f t="shared" si="26"/>
        <v>0</v>
      </c>
      <c r="I244" s="82">
        <f>J244-0</f>
        <v>0</v>
      </c>
      <c r="J244" s="82">
        <v>0</v>
      </c>
      <c r="K244" s="56">
        <f t="shared" si="27"/>
        <v>0</v>
      </c>
      <c r="L244" s="85">
        <f t="shared" si="28"/>
        <v>0</v>
      </c>
      <c r="M244"/>
    </row>
    <row r="245" spans="1:13" ht="14.25" customHeight="1">
      <c r="A245" s="52" t="s">
        <v>50</v>
      </c>
      <c r="B245" s="53" t="s">
        <v>57</v>
      </c>
      <c r="C245" s="82">
        <v>0</v>
      </c>
      <c r="D245" s="82">
        <v>0</v>
      </c>
      <c r="E245" s="82">
        <f t="shared" si="29"/>
        <v>0</v>
      </c>
      <c r="F245" s="82">
        <v>0</v>
      </c>
      <c r="G245" s="56">
        <f t="shared" si="25"/>
        <v>0</v>
      </c>
      <c r="H245" s="82">
        <f t="shared" si="26"/>
        <v>0</v>
      </c>
      <c r="I245" s="82">
        <f aca="true" t="shared" si="30" ref="I245:I254">J245-0</f>
        <v>0</v>
      </c>
      <c r="J245" s="82">
        <v>0</v>
      </c>
      <c r="K245" s="56">
        <f t="shared" si="27"/>
        <v>0</v>
      </c>
      <c r="L245" s="85">
        <f t="shared" si="28"/>
        <v>0</v>
      </c>
      <c r="M245"/>
    </row>
    <row r="246" spans="1:13" ht="14.25" customHeight="1">
      <c r="A246" s="52" t="s">
        <v>160</v>
      </c>
      <c r="B246" s="53" t="s">
        <v>161</v>
      </c>
      <c r="C246" s="82">
        <v>0</v>
      </c>
      <c r="D246" s="82">
        <v>0</v>
      </c>
      <c r="E246" s="82">
        <f t="shared" si="29"/>
        <v>0</v>
      </c>
      <c r="F246" s="82">
        <v>0</v>
      </c>
      <c r="G246" s="56">
        <f t="shared" si="25"/>
        <v>0</v>
      </c>
      <c r="H246" s="82">
        <f t="shared" si="26"/>
        <v>0</v>
      </c>
      <c r="I246" s="82">
        <f t="shared" si="30"/>
        <v>0</v>
      </c>
      <c r="J246" s="82">
        <v>0</v>
      </c>
      <c r="K246" s="56">
        <f t="shared" si="27"/>
        <v>0</v>
      </c>
      <c r="L246" s="85">
        <f t="shared" si="28"/>
        <v>0</v>
      </c>
      <c r="M246"/>
    </row>
    <row r="247" spans="1:13" ht="14.25" customHeight="1">
      <c r="A247" s="52" t="s">
        <v>97</v>
      </c>
      <c r="B247" s="53" t="s">
        <v>240</v>
      </c>
      <c r="C247" s="82">
        <v>0</v>
      </c>
      <c r="D247" s="82">
        <v>0</v>
      </c>
      <c r="E247" s="82">
        <f t="shared" si="29"/>
        <v>0</v>
      </c>
      <c r="F247" s="82">
        <v>0</v>
      </c>
      <c r="G247" s="56">
        <f t="shared" si="25"/>
        <v>0</v>
      </c>
      <c r="H247" s="82">
        <f t="shared" si="26"/>
        <v>0</v>
      </c>
      <c r="I247" s="82">
        <f>J247-0</f>
        <v>0</v>
      </c>
      <c r="J247" s="82">
        <v>0</v>
      </c>
      <c r="K247" s="56">
        <f t="shared" si="27"/>
        <v>0</v>
      </c>
      <c r="L247" s="85">
        <f t="shared" si="28"/>
        <v>0</v>
      </c>
      <c r="M247"/>
    </row>
    <row r="248" spans="1:13" ht="14.25" customHeight="1">
      <c r="A248" s="52" t="s">
        <v>180</v>
      </c>
      <c r="B248" s="53" t="s">
        <v>181</v>
      </c>
      <c r="C248" s="82">
        <v>59301011</v>
      </c>
      <c r="D248" s="82">
        <v>14253800.28</v>
      </c>
      <c r="E248" s="82">
        <f>F248-3857424.73</f>
        <v>7727397.6</v>
      </c>
      <c r="F248" s="82">
        <v>11584822.33</v>
      </c>
      <c r="G248" s="56">
        <f t="shared" si="25"/>
        <v>0.013815625638157414</v>
      </c>
      <c r="H248" s="82">
        <f t="shared" si="26"/>
        <v>2668977.9499999993</v>
      </c>
      <c r="I248" s="82">
        <f>J248-2554322.33</f>
        <v>4972206.8</v>
      </c>
      <c r="J248" s="82">
        <v>7526529.13</v>
      </c>
      <c r="K248" s="56">
        <f t="shared" si="27"/>
        <v>0.00961576988082832</v>
      </c>
      <c r="L248" s="85">
        <f t="shared" si="28"/>
        <v>6727271.149999999</v>
      </c>
      <c r="M248"/>
    </row>
    <row r="249" spans="1:13" ht="14.25" customHeight="1">
      <c r="A249" s="52" t="s">
        <v>182</v>
      </c>
      <c r="B249" s="53" t="s">
        <v>183</v>
      </c>
      <c r="C249" s="82">
        <v>5000</v>
      </c>
      <c r="D249" s="82">
        <v>4424.58</v>
      </c>
      <c r="E249" s="82">
        <f>F249-3655.58</f>
        <v>0</v>
      </c>
      <c r="F249" s="82">
        <v>3655.58</v>
      </c>
      <c r="G249" s="56">
        <f t="shared" si="25"/>
        <v>4.359507926120735E-06</v>
      </c>
      <c r="H249" s="82">
        <f t="shared" si="26"/>
        <v>769</v>
      </c>
      <c r="I249" s="82">
        <f>J249-3655.58</f>
        <v>0</v>
      </c>
      <c r="J249" s="82">
        <v>3655.58</v>
      </c>
      <c r="K249" s="56">
        <f t="shared" si="27"/>
        <v>4.670308910497552E-06</v>
      </c>
      <c r="L249" s="85">
        <f t="shared" si="28"/>
        <v>769</v>
      </c>
      <c r="M249"/>
    </row>
    <row r="250" spans="1:13" ht="14.25" customHeight="1">
      <c r="A250" s="52" t="s">
        <v>184</v>
      </c>
      <c r="B250" s="53" t="s">
        <v>249</v>
      </c>
      <c r="C250" s="82">
        <v>5000</v>
      </c>
      <c r="D250" s="82">
        <v>5000</v>
      </c>
      <c r="E250" s="82">
        <f t="shared" si="29"/>
        <v>0</v>
      </c>
      <c r="F250" s="82">
        <v>0</v>
      </c>
      <c r="G250" s="56">
        <f t="shared" si="25"/>
        <v>0</v>
      </c>
      <c r="H250" s="82">
        <f t="shared" si="26"/>
        <v>5000</v>
      </c>
      <c r="I250" s="82">
        <f>J250-0</f>
        <v>0</v>
      </c>
      <c r="J250" s="82">
        <v>0</v>
      </c>
      <c r="K250" s="56">
        <f t="shared" si="27"/>
        <v>0</v>
      </c>
      <c r="L250" s="85">
        <f t="shared" si="28"/>
        <v>5000</v>
      </c>
      <c r="M250"/>
    </row>
    <row r="251" spans="1:13" ht="14.25" customHeight="1">
      <c r="A251" s="52" t="s">
        <v>191</v>
      </c>
      <c r="B251" s="53" t="s">
        <v>192</v>
      </c>
      <c r="C251" s="82">
        <v>82514390</v>
      </c>
      <c r="D251" s="82">
        <v>102514390</v>
      </c>
      <c r="E251" s="82">
        <f>F251-31625566.44</f>
        <v>10000</v>
      </c>
      <c r="F251" s="82">
        <v>31635566.44</v>
      </c>
      <c r="G251" s="56">
        <f t="shared" si="25"/>
        <v>0.03772739281933349</v>
      </c>
      <c r="H251" s="82">
        <f t="shared" si="26"/>
        <v>70878823.56</v>
      </c>
      <c r="I251" s="82">
        <f>J251-11316575.15</f>
        <v>19868163.04</v>
      </c>
      <c r="J251" s="82">
        <v>31184738.19</v>
      </c>
      <c r="K251" s="56">
        <f t="shared" si="27"/>
        <v>0.0398411088364337</v>
      </c>
      <c r="L251" s="85">
        <f t="shared" si="28"/>
        <v>71329651.81</v>
      </c>
      <c r="M251"/>
    </row>
    <row r="252" spans="1:13" ht="14.25" customHeight="1">
      <c r="A252" s="52" t="s">
        <v>185</v>
      </c>
      <c r="B252" s="53" t="s">
        <v>186</v>
      </c>
      <c r="C252" s="82">
        <v>0</v>
      </c>
      <c r="D252" s="82">
        <v>0</v>
      </c>
      <c r="E252" s="82">
        <f t="shared" si="29"/>
        <v>0</v>
      </c>
      <c r="F252" s="82">
        <v>0</v>
      </c>
      <c r="G252" s="56">
        <f t="shared" si="25"/>
        <v>0</v>
      </c>
      <c r="H252" s="82">
        <f t="shared" si="26"/>
        <v>0</v>
      </c>
      <c r="I252" s="82">
        <f t="shared" si="30"/>
        <v>0</v>
      </c>
      <c r="J252" s="82">
        <v>0</v>
      </c>
      <c r="K252" s="56">
        <f t="shared" si="27"/>
        <v>0</v>
      </c>
      <c r="L252" s="85">
        <f t="shared" si="28"/>
        <v>0</v>
      </c>
      <c r="M252"/>
    </row>
    <row r="253" spans="1:12" ht="14.25" customHeight="1">
      <c r="A253" s="52" t="s">
        <v>187</v>
      </c>
      <c r="B253" s="53" t="s">
        <v>188</v>
      </c>
      <c r="C253" s="82">
        <v>0</v>
      </c>
      <c r="D253" s="82">
        <v>0</v>
      </c>
      <c r="E253" s="82">
        <f t="shared" si="29"/>
        <v>0</v>
      </c>
      <c r="F253" s="82">
        <v>0</v>
      </c>
      <c r="G253" s="56">
        <f t="shared" si="25"/>
        <v>0</v>
      </c>
      <c r="H253" s="82">
        <f t="shared" si="26"/>
        <v>0</v>
      </c>
      <c r="I253" s="82">
        <f t="shared" si="30"/>
        <v>0</v>
      </c>
      <c r="J253" s="82">
        <v>0</v>
      </c>
      <c r="K253" s="56">
        <f t="shared" si="27"/>
        <v>0</v>
      </c>
      <c r="L253" s="85">
        <f t="shared" si="28"/>
        <v>0</v>
      </c>
    </row>
    <row r="254" spans="1:12" ht="14.25" customHeight="1">
      <c r="A254" s="52" t="s">
        <v>252</v>
      </c>
      <c r="B254" s="53" t="s">
        <v>253</v>
      </c>
      <c r="C254" s="82">
        <v>0</v>
      </c>
      <c r="D254" s="82">
        <v>0</v>
      </c>
      <c r="E254" s="82">
        <f t="shared" si="29"/>
        <v>0</v>
      </c>
      <c r="F254" s="82">
        <v>0</v>
      </c>
      <c r="G254" s="56">
        <f t="shared" si="25"/>
        <v>0</v>
      </c>
      <c r="H254" s="82">
        <f t="shared" si="26"/>
        <v>0</v>
      </c>
      <c r="I254" s="82">
        <f t="shared" si="30"/>
        <v>0</v>
      </c>
      <c r="J254" s="82">
        <v>0</v>
      </c>
      <c r="K254" s="56">
        <f t="shared" si="27"/>
        <v>0</v>
      </c>
      <c r="L254" s="85">
        <f t="shared" si="28"/>
        <v>0</v>
      </c>
    </row>
    <row r="255" spans="1:12" ht="14.25" customHeight="1">
      <c r="A255" s="52" t="s">
        <v>275</v>
      </c>
      <c r="B255" s="53" t="s">
        <v>276</v>
      </c>
      <c r="C255" s="82">
        <v>5000</v>
      </c>
      <c r="D255" s="98">
        <v>769</v>
      </c>
      <c r="E255" s="98">
        <f t="shared" si="29"/>
        <v>0</v>
      </c>
      <c r="F255" s="98">
        <v>0</v>
      </c>
      <c r="G255" s="56">
        <f t="shared" si="25"/>
        <v>0</v>
      </c>
      <c r="H255" s="82">
        <f t="shared" si="26"/>
        <v>769</v>
      </c>
      <c r="I255" s="82">
        <f>J255-0</f>
        <v>0</v>
      </c>
      <c r="J255" s="82">
        <v>0</v>
      </c>
      <c r="K255" s="56">
        <f t="shared" si="27"/>
        <v>0</v>
      </c>
      <c r="L255" s="85">
        <f t="shared" si="28"/>
        <v>769</v>
      </c>
    </row>
    <row r="256" spans="1:12" ht="14.25" customHeight="1">
      <c r="A256" s="47" t="s">
        <v>189</v>
      </c>
      <c r="B256" s="50" t="s">
        <v>190</v>
      </c>
      <c r="C256" s="81">
        <f>SUM(C257:C266)</f>
        <v>415971391</v>
      </c>
      <c r="D256" s="81">
        <f>SUM(D257:D266)</f>
        <v>455388718.3</v>
      </c>
      <c r="E256" s="81">
        <f>SUM(E257:E266)</f>
        <v>45721016.739999995</v>
      </c>
      <c r="F256" s="81">
        <f>SUM(F257:F266)</f>
        <v>250146283.85000002</v>
      </c>
      <c r="G256" s="51">
        <f t="shared" si="25"/>
        <v>0.29831509832467684</v>
      </c>
      <c r="H256" s="81">
        <f t="shared" si="26"/>
        <v>205242434.45</v>
      </c>
      <c r="I256" s="81">
        <f>SUM(I257:I266)</f>
        <v>35303299.11</v>
      </c>
      <c r="J256" s="81">
        <f>SUM(J257:J266)</f>
        <v>219737937.44</v>
      </c>
      <c r="K256" s="51">
        <f t="shared" si="27"/>
        <v>0.2807335763956433</v>
      </c>
      <c r="L256" s="84">
        <f t="shared" si="28"/>
        <v>235650780.86</v>
      </c>
    </row>
    <row r="257" spans="1:12" ht="14.25" customHeight="1">
      <c r="A257" s="52" t="s">
        <v>28</v>
      </c>
      <c r="B257" s="53" t="s">
        <v>33</v>
      </c>
      <c r="C257" s="82">
        <v>117072503</v>
      </c>
      <c r="D257" s="82">
        <v>141388605.23</v>
      </c>
      <c r="E257" s="82">
        <f>F257-66720696.71</f>
        <v>20611948.499999993</v>
      </c>
      <c r="F257" s="82">
        <v>87332645.21</v>
      </c>
      <c r="G257" s="56">
        <f t="shared" si="25"/>
        <v>0.10414964492695686</v>
      </c>
      <c r="H257" s="82">
        <f t="shared" si="26"/>
        <v>54055960.019999996</v>
      </c>
      <c r="I257" s="82">
        <f>J257-57595058.77</f>
        <v>14482844.96</v>
      </c>
      <c r="J257" s="82">
        <v>72077903.73</v>
      </c>
      <c r="K257" s="56">
        <f t="shared" si="27"/>
        <v>0.0920855448492999</v>
      </c>
      <c r="L257" s="85">
        <f t="shared" si="28"/>
        <v>69310701.49999999</v>
      </c>
    </row>
    <row r="258" spans="1:12" ht="14.25" customHeight="1">
      <c r="A258" s="52" t="s">
        <v>39</v>
      </c>
      <c r="B258" s="53" t="s">
        <v>41</v>
      </c>
      <c r="C258" s="82">
        <v>10000</v>
      </c>
      <c r="D258" s="82">
        <v>10000</v>
      </c>
      <c r="E258" s="82">
        <f aca="true" t="shared" si="31" ref="E258:E263">F258-0</f>
        <v>0</v>
      </c>
      <c r="F258" s="82">
        <v>0</v>
      </c>
      <c r="G258" s="56">
        <f t="shared" si="25"/>
        <v>0</v>
      </c>
      <c r="H258" s="82">
        <f t="shared" si="26"/>
        <v>10000</v>
      </c>
      <c r="I258" s="82">
        <f aca="true" t="shared" si="32" ref="I258:I263">J258-0</f>
        <v>0</v>
      </c>
      <c r="J258" s="82">
        <v>0</v>
      </c>
      <c r="K258" s="56">
        <f t="shared" si="27"/>
        <v>0</v>
      </c>
      <c r="L258" s="85">
        <f t="shared" si="28"/>
        <v>10000</v>
      </c>
    </row>
    <row r="259" spans="1:12" ht="14.25" customHeight="1">
      <c r="A259" s="52" t="s">
        <v>131</v>
      </c>
      <c r="B259" s="53" t="s">
        <v>132</v>
      </c>
      <c r="C259" s="82">
        <v>1500000</v>
      </c>
      <c r="D259" s="82">
        <v>1500000</v>
      </c>
      <c r="E259" s="82">
        <f>F259-0</f>
        <v>0</v>
      </c>
      <c r="F259" s="82">
        <v>0</v>
      </c>
      <c r="G259" s="56">
        <f t="shared" si="25"/>
        <v>0</v>
      </c>
      <c r="H259" s="82">
        <f t="shared" si="26"/>
        <v>1500000</v>
      </c>
      <c r="I259" s="82">
        <f>J259-0</f>
        <v>0</v>
      </c>
      <c r="J259" s="82">
        <v>0</v>
      </c>
      <c r="K259" s="56">
        <f t="shared" si="27"/>
        <v>0</v>
      </c>
      <c r="L259" s="85">
        <f t="shared" si="28"/>
        <v>1500000</v>
      </c>
    </row>
    <row r="260" spans="1:12" ht="14.25" customHeight="1">
      <c r="A260" s="52" t="s">
        <v>83</v>
      </c>
      <c r="B260" s="53" t="s">
        <v>85</v>
      </c>
      <c r="C260" s="82">
        <v>4500000</v>
      </c>
      <c r="D260" s="82">
        <v>6500000</v>
      </c>
      <c r="E260" s="82">
        <f>F260-2107469.18</f>
        <v>640904</v>
      </c>
      <c r="F260" s="82">
        <v>2748373.18</v>
      </c>
      <c r="G260" s="56">
        <f t="shared" si="25"/>
        <v>0.003277607017805013</v>
      </c>
      <c r="H260" s="82">
        <f t="shared" si="26"/>
        <v>3751626.82</v>
      </c>
      <c r="I260" s="82">
        <f>J260-2107469.18</f>
        <v>640904</v>
      </c>
      <c r="J260" s="82">
        <v>2748373.18</v>
      </c>
      <c r="K260" s="56">
        <f t="shared" si="27"/>
        <v>0.0035112763916879106</v>
      </c>
      <c r="L260" s="85">
        <f t="shared" si="28"/>
        <v>3751626.82</v>
      </c>
    </row>
    <row r="261" spans="1:12" ht="14.25" customHeight="1">
      <c r="A261" s="52" t="s">
        <v>53</v>
      </c>
      <c r="B261" s="53" t="s">
        <v>60</v>
      </c>
      <c r="C261" s="82">
        <v>0</v>
      </c>
      <c r="D261" s="82">
        <v>0</v>
      </c>
      <c r="E261" s="82">
        <f t="shared" si="31"/>
        <v>0</v>
      </c>
      <c r="F261" s="82">
        <v>0</v>
      </c>
      <c r="G261" s="56">
        <f t="shared" si="25"/>
        <v>0</v>
      </c>
      <c r="H261" s="82">
        <f t="shared" si="26"/>
        <v>0</v>
      </c>
      <c r="I261" s="82">
        <f t="shared" si="32"/>
        <v>0</v>
      </c>
      <c r="J261" s="82">
        <v>0</v>
      </c>
      <c r="K261" s="56">
        <f t="shared" si="27"/>
        <v>0</v>
      </c>
      <c r="L261" s="85">
        <f t="shared" si="28"/>
        <v>0</v>
      </c>
    </row>
    <row r="262" spans="1:12" ht="14.25" customHeight="1">
      <c r="A262" s="52" t="s">
        <v>191</v>
      </c>
      <c r="B262" s="53" t="s">
        <v>192</v>
      </c>
      <c r="C262" s="82">
        <v>14665000</v>
      </c>
      <c r="D262" s="82">
        <v>12212011</v>
      </c>
      <c r="E262" s="82">
        <f>F262-7273455.41</f>
        <v>1728747.1500000004</v>
      </c>
      <c r="F262" s="82">
        <v>9002202.56</v>
      </c>
      <c r="G262" s="56">
        <f t="shared" si="25"/>
        <v>0.010735689935075794</v>
      </c>
      <c r="H262" s="82">
        <f t="shared" si="26"/>
        <v>3209808.4399999995</v>
      </c>
      <c r="I262" s="82">
        <f>J262-4560806.77</f>
        <v>1167188.5500000007</v>
      </c>
      <c r="J262" s="82">
        <v>5727995.32</v>
      </c>
      <c r="K262" s="56">
        <f t="shared" si="27"/>
        <v>0.007317992652953643</v>
      </c>
      <c r="L262" s="85">
        <f t="shared" si="28"/>
        <v>6484015.68</v>
      </c>
    </row>
    <row r="263" spans="1:12" ht="14.25" customHeight="1">
      <c r="A263" s="52" t="s">
        <v>243</v>
      </c>
      <c r="B263" s="53" t="s">
        <v>244</v>
      </c>
      <c r="C263" s="82">
        <v>0</v>
      </c>
      <c r="D263" s="82">
        <v>0</v>
      </c>
      <c r="E263" s="82">
        <f t="shared" si="31"/>
        <v>0</v>
      </c>
      <c r="F263" s="82">
        <v>0</v>
      </c>
      <c r="G263" s="56">
        <f t="shared" si="25"/>
        <v>0</v>
      </c>
      <c r="H263" s="82">
        <f t="shared" si="26"/>
        <v>0</v>
      </c>
      <c r="I263" s="82">
        <f t="shared" si="32"/>
        <v>0</v>
      </c>
      <c r="J263" s="82">
        <v>0</v>
      </c>
      <c r="K263" s="56">
        <f t="shared" si="27"/>
        <v>0</v>
      </c>
      <c r="L263" s="85">
        <f t="shared" si="28"/>
        <v>0</v>
      </c>
    </row>
    <row r="264" spans="1:12" ht="14.25" customHeight="1">
      <c r="A264" s="52" t="s">
        <v>273</v>
      </c>
      <c r="B264" s="53" t="s">
        <v>274</v>
      </c>
      <c r="C264" s="82">
        <v>420000</v>
      </c>
      <c r="D264" s="82">
        <v>355404</v>
      </c>
      <c r="E264" s="82">
        <f>F264-13808.19</f>
        <v>0</v>
      </c>
      <c r="F264" s="82">
        <v>13808.19</v>
      </c>
      <c r="G264" s="56">
        <f t="shared" si="25"/>
        <v>1.6467130729017303E-05</v>
      </c>
      <c r="H264" s="82">
        <f t="shared" si="26"/>
        <v>341595.81</v>
      </c>
      <c r="I264" s="82">
        <f>J264-13808.19</f>
        <v>0</v>
      </c>
      <c r="J264" s="82">
        <v>13808.19</v>
      </c>
      <c r="K264" s="56">
        <f t="shared" si="27"/>
        <v>1.7641116538235573E-05</v>
      </c>
      <c r="L264" s="85">
        <f t="shared" si="28"/>
        <v>341595.81</v>
      </c>
    </row>
    <row r="265" spans="1:12" ht="14.25" customHeight="1">
      <c r="A265" s="52" t="s">
        <v>54</v>
      </c>
      <c r="B265" s="53" t="s">
        <v>61</v>
      </c>
      <c r="C265" s="82">
        <v>231235871</v>
      </c>
      <c r="D265" s="82">
        <v>227715732.52</v>
      </c>
      <c r="E265" s="82">
        <f>F265-78887922.01</f>
        <v>7480000</v>
      </c>
      <c r="F265" s="82">
        <v>86367922.01</v>
      </c>
      <c r="G265" s="56">
        <f t="shared" si="25"/>
        <v>0.10299915213595995</v>
      </c>
      <c r="H265" s="82">
        <f t="shared" si="26"/>
        <v>141347810.51</v>
      </c>
      <c r="I265" s="82">
        <f>J265-77057720.38</f>
        <v>2673679.5600000024</v>
      </c>
      <c r="J265" s="82">
        <v>79731399.94</v>
      </c>
      <c r="K265" s="56">
        <f t="shared" si="27"/>
        <v>0.10186352578420549</v>
      </c>
      <c r="L265" s="85">
        <f t="shared" si="28"/>
        <v>147984332.58</v>
      </c>
    </row>
    <row r="266" spans="1:12" ht="14.25" customHeight="1">
      <c r="A266" s="52" t="s">
        <v>185</v>
      </c>
      <c r="B266" s="53" t="s">
        <v>186</v>
      </c>
      <c r="C266" s="82">
        <v>46568017</v>
      </c>
      <c r="D266" s="82">
        <v>65706965.55</v>
      </c>
      <c r="E266" s="82">
        <f>F266-49421915.61</f>
        <v>15259417.090000004</v>
      </c>
      <c r="F266" s="82">
        <v>64681332.7</v>
      </c>
      <c r="G266" s="56">
        <f t="shared" si="25"/>
        <v>0.0771365371781502</v>
      </c>
      <c r="H266" s="82">
        <f t="shared" si="26"/>
        <v>1025632.849999994</v>
      </c>
      <c r="I266" s="82">
        <f>J266-43099775.04</f>
        <v>16338682.04</v>
      </c>
      <c r="J266" s="82">
        <v>59438457.08</v>
      </c>
      <c r="K266" s="56">
        <f t="shared" si="27"/>
        <v>0.07593759560095806</v>
      </c>
      <c r="L266" s="85">
        <f t="shared" si="28"/>
        <v>6268508.469999999</v>
      </c>
    </row>
    <row r="267" spans="1:12" ht="14.25" customHeight="1">
      <c r="A267" s="47" t="s">
        <v>193</v>
      </c>
      <c r="B267" s="50" t="s">
        <v>194</v>
      </c>
      <c r="C267" s="81">
        <f>SUM(C268:C270)</f>
        <v>0</v>
      </c>
      <c r="D267" s="81">
        <f>SUM(D268:D270)</f>
        <v>0</v>
      </c>
      <c r="E267" s="81">
        <f>SUM(E268:E270)</f>
        <v>0</v>
      </c>
      <c r="F267" s="81">
        <f>SUM(F268:F270)</f>
        <v>0</v>
      </c>
      <c r="G267" s="51">
        <f t="shared" si="25"/>
        <v>0</v>
      </c>
      <c r="H267" s="81">
        <f t="shared" si="26"/>
        <v>0</v>
      </c>
      <c r="I267" s="81">
        <f>SUM(I268:I270)</f>
        <v>0</v>
      </c>
      <c r="J267" s="81">
        <f>SUM(J268:J270)</f>
        <v>0</v>
      </c>
      <c r="K267" s="51">
        <f t="shared" si="27"/>
        <v>0</v>
      </c>
      <c r="L267" s="84">
        <f t="shared" si="28"/>
        <v>0</v>
      </c>
    </row>
    <row r="268" spans="1:12" ht="14.25" customHeight="1">
      <c r="A268" s="52" t="s">
        <v>28</v>
      </c>
      <c r="B268" s="53" t="s">
        <v>33</v>
      </c>
      <c r="C268" s="82">
        <v>0</v>
      </c>
      <c r="D268" s="82">
        <v>0</v>
      </c>
      <c r="E268" s="82">
        <f>F268-0</f>
        <v>0</v>
      </c>
      <c r="F268" s="82">
        <v>0</v>
      </c>
      <c r="G268" s="56">
        <f t="shared" si="25"/>
        <v>0</v>
      </c>
      <c r="H268" s="82">
        <f t="shared" si="26"/>
        <v>0</v>
      </c>
      <c r="I268" s="82">
        <f>J268-0</f>
        <v>0</v>
      </c>
      <c r="J268" s="82">
        <v>0</v>
      </c>
      <c r="K268" s="56">
        <f t="shared" si="27"/>
        <v>0</v>
      </c>
      <c r="L268" s="85">
        <f t="shared" si="28"/>
        <v>0</v>
      </c>
    </row>
    <row r="269" spans="1:12" ht="14.25" customHeight="1">
      <c r="A269" s="52" t="s">
        <v>164</v>
      </c>
      <c r="B269" s="53" t="s">
        <v>165</v>
      </c>
      <c r="C269" s="82">
        <v>0</v>
      </c>
      <c r="D269" s="82">
        <v>0</v>
      </c>
      <c r="E269" s="82">
        <f>F269-0</f>
        <v>0</v>
      </c>
      <c r="F269" s="82">
        <v>0</v>
      </c>
      <c r="G269" s="56">
        <f t="shared" si="25"/>
        <v>0</v>
      </c>
      <c r="H269" s="82">
        <f t="shared" si="26"/>
        <v>0</v>
      </c>
      <c r="I269" s="82">
        <f>J269-0</f>
        <v>0</v>
      </c>
      <c r="J269" s="82">
        <v>0</v>
      </c>
      <c r="K269" s="56">
        <f t="shared" si="27"/>
        <v>0</v>
      </c>
      <c r="L269" s="85">
        <f t="shared" si="28"/>
        <v>0</v>
      </c>
    </row>
    <row r="270" spans="1:12" ht="14.25" customHeight="1">
      <c r="A270" s="52" t="s">
        <v>117</v>
      </c>
      <c r="B270" s="53" t="s">
        <v>124</v>
      </c>
      <c r="C270" s="82">
        <v>0</v>
      </c>
      <c r="D270" s="82">
        <v>0</v>
      </c>
      <c r="E270" s="82">
        <f>F270-0</f>
        <v>0</v>
      </c>
      <c r="F270" s="82">
        <v>0</v>
      </c>
      <c r="G270" s="56">
        <f t="shared" si="25"/>
        <v>0</v>
      </c>
      <c r="H270" s="82">
        <f t="shared" si="26"/>
        <v>0</v>
      </c>
      <c r="I270" s="82">
        <f>J270-0</f>
        <v>0</v>
      </c>
      <c r="J270" s="82">
        <v>0</v>
      </c>
      <c r="K270" s="56">
        <f t="shared" si="27"/>
        <v>0</v>
      </c>
      <c r="L270" s="85">
        <f t="shared" si="28"/>
        <v>0</v>
      </c>
    </row>
    <row r="271" spans="1:12" ht="14.25" customHeight="1">
      <c r="A271" s="47" t="s">
        <v>277</v>
      </c>
      <c r="B271" s="50" t="s">
        <v>278</v>
      </c>
      <c r="C271" s="81">
        <f>C272</f>
        <v>21000</v>
      </c>
      <c r="D271" s="81">
        <f>D272</f>
        <v>21000</v>
      </c>
      <c r="E271" s="81">
        <f>E272</f>
        <v>-91.94000000000051</v>
      </c>
      <c r="F271" s="81">
        <f>F272</f>
        <v>10049.46</v>
      </c>
      <c r="G271" s="51">
        <f t="shared" si="25"/>
        <v>1.1984609972489528E-05</v>
      </c>
      <c r="H271" s="81">
        <f t="shared" si="26"/>
        <v>10950.54</v>
      </c>
      <c r="I271" s="81">
        <f>I272</f>
        <v>-91.94000000000051</v>
      </c>
      <c r="J271" s="81">
        <f>J272</f>
        <v>10049.46</v>
      </c>
      <c r="K271" s="51">
        <f t="shared" si="27"/>
        <v>1.283902488351745E-05</v>
      </c>
      <c r="L271" s="84">
        <f t="shared" si="28"/>
        <v>10950.54</v>
      </c>
    </row>
    <row r="272" spans="1:12" ht="14.25" customHeight="1">
      <c r="A272" s="52" t="s">
        <v>187</v>
      </c>
      <c r="B272" s="53" t="s">
        <v>188</v>
      </c>
      <c r="C272" s="82">
        <v>21000</v>
      </c>
      <c r="D272" s="82">
        <v>21000</v>
      </c>
      <c r="E272" s="82">
        <f>F272-10141.4</f>
        <v>-91.94000000000051</v>
      </c>
      <c r="F272" s="82">
        <v>10049.46</v>
      </c>
      <c r="G272" s="82">
        <f t="shared" si="25"/>
        <v>1.1984609972489528E-05</v>
      </c>
      <c r="H272" s="82">
        <f t="shared" si="26"/>
        <v>10950.54</v>
      </c>
      <c r="I272" s="82">
        <f>J272-10141.4</f>
        <v>-91.94000000000051</v>
      </c>
      <c r="J272" s="82">
        <v>10049.46</v>
      </c>
      <c r="K272" s="56">
        <f t="shared" si="27"/>
        <v>1.283902488351745E-05</v>
      </c>
      <c r="L272" s="85">
        <f t="shared" si="28"/>
        <v>10950.54</v>
      </c>
    </row>
    <row r="273" spans="1:12" ht="14.25" customHeight="1">
      <c r="A273" s="47" t="s">
        <v>195</v>
      </c>
      <c r="B273" s="50" t="s">
        <v>196</v>
      </c>
      <c r="C273" s="81">
        <f>SUM(C274:C285)</f>
        <v>1378216828</v>
      </c>
      <c r="D273" s="81">
        <f>SUM(D274:D285)</f>
        <v>2946057997.6600003</v>
      </c>
      <c r="E273" s="81">
        <f>SUM(E274:E285)</f>
        <v>307554420.99</v>
      </c>
      <c r="F273" s="81">
        <f>SUM(F274:F285)</f>
        <v>2321499331.46</v>
      </c>
      <c r="G273" s="51">
        <f t="shared" si="25"/>
        <v>2.7685332384967247</v>
      </c>
      <c r="H273" s="81">
        <f t="shared" si="26"/>
        <v>624558666.2000003</v>
      </c>
      <c r="I273" s="81">
        <f>SUM(I274:I285)</f>
        <v>409688778.78000003</v>
      </c>
      <c r="J273" s="81">
        <f>SUM(J274:J285)</f>
        <v>2050098003.12</v>
      </c>
      <c r="K273" s="51">
        <f t="shared" si="27"/>
        <v>2.619171505305471</v>
      </c>
      <c r="L273" s="84">
        <f t="shared" si="28"/>
        <v>895959994.5400004</v>
      </c>
    </row>
    <row r="274" spans="1:12" ht="14.25" customHeight="1">
      <c r="A274" s="52" t="s">
        <v>28</v>
      </c>
      <c r="B274" s="53" t="s">
        <v>33</v>
      </c>
      <c r="C274" s="82">
        <v>323723096</v>
      </c>
      <c r="D274" s="82">
        <v>1055825566.09</v>
      </c>
      <c r="E274" s="82">
        <f>F274-780431741.91</f>
        <v>73786385.91000009</v>
      </c>
      <c r="F274" s="82">
        <v>854218127.82</v>
      </c>
      <c r="G274" s="56">
        <f t="shared" si="25"/>
        <v>1.0187085767148591</v>
      </c>
      <c r="H274" s="82">
        <f t="shared" si="26"/>
        <v>201607438.26999998</v>
      </c>
      <c r="I274" s="82">
        <f>J274-718155202.61</f>
        <v>118247564.27999997</v>
      </c>
      <c r="J274" s="82">
        <v>836402766.89</v>
      </c>
      <c r="K274" s="56">
        <f t="shared" si="27"/>
        <v>1.0685744245704303</v>
      </c>
      <c r="L274" s="85">
        <f t="shared" si="28"/>
        <v>219422799.20000005</v>
      </c>
    </row>
    <row r="275" spans="1:12" ht="14.25" customHeight="1">
      <c r="A275" s="52" t="s">
        <v>29</v>
      </c>
      <c r="B275" s="53" t="s">
        <v>34</v>
      </c>
      <c r="C275" s="82">
        <v>0</v>
      </c>
      <c r="D275" s="82">
        <v>0</v>
      </c>
      <c r="E275" s="82">
        <f aca="true" t="shared" si="33" ref="E275:E280">F275-0</f>
        <v>0</v>
      </c>
      <c r="F275" s="82">
        <v>0</v>
      </c>
      <c r="G275" s="56">
        <f t="shared" si="25"/>
        <v>0</v>
      </c>
      <c r="H275" s="82">
        <f t="shared" si="26"/>
        <v>0</v>
      </c>
      <c r="I275" s="82">
        <f>J275-0</f>
        <v>0</v>
      </c>
      <c r="J275" s="82">
        <v>0</v>
      </c>
      <c r="K275" s="56">
        <f t="shared" si="27"/>
        <v>0</v>
      </c>
      <c r="L275" s="85">
        <f t="shared" si="28"/>
        <v>0</v>
      </c>
    </row>
    <row r="276" spans="1:12" ht="14.25" customHeight="1">
      <c r="A276" s="52" t="s">
        <v>235</v>
      </c>
      <c r="B276" s="53" t="s">
        <v>234</v>
      </c>
      <c r="C276" s="82">
        <v>5000</v>
      </c>
      <c r="D276" s="82">
        <v>5000</v>
      </c>
      <c r="E276" s="82">
        <f t="shared" si="33"/>
        <v>0</v>
      </c>
      <c r="F276" s="82">
        <v>0</v>
      </c>
      <c r="G276" s="56">
        <f t="shared" si="25"/>
        <v>0</v>
      </c>
      <c r="H276" s="82">
        <f t="shared" si="26"/>
        <v>5000</v>
      </c>
      <c r="I276" s="82">
        <f>J276-0</f>
        <v>0</v>
      </c>
      <c r="J276" s="82">
        <v>0</v>
      </c>
      <c r="K276" s="56">
        <f t="shared" si="27"/>
        <v>0</v>
      </c>
      <c r="L276" s="85">
        <f t="shared" si="28"/>
        <v>5000</v>
      </c>
    </row>
    <row r="277" spans="1:12" ht="14.25" customHeight="1">
      <c r="A277" s="52" t="s">
        <v>83</v>
      </c>
      <c r="B277" s="53" t="s">
        <v>85</v>
      </c>
      <c r="C277" s="82">
        <v>300000</v>
      </c>
      <c r="D277" s="82">
        <v>300000</v>
      </c>
      <c r="E277" s="82">
        <f t="shared" si="33"/>
        <v>0</v>
      </c>
      <c r="F277" s="82">
        <v>0</v>
      </c>
      <c r="G277" s="56">
        <f t="shared" si="25"/>
        <v>0</v>
      </c>
      <c r="H277" s="82">
        <f t="shared" si="26"/>
        <v>300000</v>
      </c>
      <c r="I277" s="82">
        <f>J277-0</f>
        <v>0</v>
      </c>
      <c r="J277" s="82">
        <v>0</v>
      </c>
      <c r="K277" s="56">
        <f t="shared" si="27"/>
        <v>0</v>
      </c>
      <c r="L277" s="85">
        <f t="shared" si="28"/>
        <v>300000</v>
      </c>
    </row>
    <row r="278" spans="1:12" ht="14.25" customHeight="1">
      <c r="A278" s="52" t="s">
        <v>135</v>
      </c>
      <c r="B278" s="53" t="s">
        <v>136</v>
      </c>
      <c r="C278" s="82">
        <v>610000</v>
      </c>
      <c r="D278" s="82">
        <v>35870775.93</v>
      </c>
      <c r="E278" s="82">
        <f>F278-30703955.22</f>
        <v>4431544.460000001</v>
      </c>
      <c r="F278" s="82">
        <v>35135499.68</v>
      </c>
      <c r="G278" s="56">
        <f t="shared" si="25"/>
        <v>0.04190128224335742</v>
      </c>
      <c r="H278" s="82">
        <f t="shared" si="26"/>
        <v>735276.25</v>
      </c>
      <c r="I278" s="82">
        <f>J278-14551061.09</f>
        <v>4037275.0700000003</v>
      </c>
      <c r="J278" s="82">
        <v>18588336.16</v>
      </c>
      <c r="K278" s="56">
        <f t="shared" si="27"/>
        <v>0.02374815268695305</v>
      </c>
      <c r="L278" s="85">
        <f t="shared" si="28"/>
        <v>17282439.77</v>
      </c>
    </row>
    <row r="279" spans="1:12" ht="14.25" customHeight="1">
      <c r="A279" s="52" t="s">
        <v>151</v>
      </c>
      <c r="B279" s="53" t="s">
        <v>152</v>
      </c>
      <c r="C279" s="82">
        <v>614623162</v>
      </c>
      <c r="D279" s="82">
        <v>956876895.97</v>
      </c>
      <c r="E279" s="82">
        <f>F279-545264166.7</f>
        <v>100611602.4799999</v>
      </c>
      <c r="F279" s="82">
        <v>645875769.18</v>
      </c>
      <c r="G279" s="56">
        <f t="shared" si="25"/>
        <v>0.7702472754062382</v>
      </c>
      <c r="H279" s="82">
        <f t="shared" si="26"/>
        <v>311001126.7900001</v>
      </c>
      <c r="I279" s="82">
        <f>J279-500956580.56</f>
        <v>107485327.03000003</v>
      </c>
      <c r="J279" s="82">
        <v>608441907.59</v>
      </c>
      <c r="K279" s="56">
        <f t="shared" si="27"/>
        <v>0.7773353783907629</v>
      </c>
      <c r="L279" s="85">
        <f t="shared" si="28"/>
        <v>348434988.38</v>
      </c>
    </row>
    <row r="280" spans="1:12" ht="14.25" customHeight="1">
      <c r="A280" s="52" t="s">
        <v>145</v>
      </c>
      <c r="B280" s="53" t="s">
        <v>146</v>
      </c>
      <c r="C280" s="82">
        <v>0</v>
      </c>
      <c r="D280" s="82">
        <v>0</v>
      </c>
      <c r="E280" s="82">
        <f t="shared" si="33"/>
        <v>0</v>
      </c>
      <c r="F280" s="82">
        <v>0</v>
      </c>
      <c r="G280" s="56">
        <f t="shared" si="25"/>
        <v>0</v>
      </c>
      <c r="H280" s="82">
        <f t="shared" si="26"/>
        <v>0</v>
      </c>
      <c r="I280" s="82">
        <f>J280-0</f>
        <v>0</v>
      </c>
      <c r="J280" s="82">
        <v>0</v>
      </c>
      <c r="K280" s="56">
        <f t="shared" si="27"/>
        <v>0</v>
      </c>
      <c r="L280" s="85">
        <f t="shared" si="28"/>
        <v>0</v>
      </c>
    </row>
    <row r="281" spans="1:12" ht="14.25" customHeight="1">
      <c r="A281" s="52" t="s">
        <v>70</v>
      </c>
      <c r="B281" s="53" t="s">
        <v>78</v>
      </c>
      <c r="C281" s="82">
        <v>5000</v>
      </c>
      <c r="D281" s="82">
        <v>18288295</v>
      </c>
      <c r="E281" s="82">
        <f>F281-9354377.26</f>
        <v>8479326.290000001</v>
      </c>
      <c r="F281" s="82">
        <v>17833703.55</v>
      </c>
      <c r="G281" s="56">
        <f t="shared" si="25"/>
        <v>0.02126780756495891</v>
      </c>
      <c r="H281" s="82">
        <f t="shared" si="26"/>
        <v>454591.44999999925</v>
      </c>
      <c r="I281" s="82">
        <f>J281-7516604.95</f>
        <v>8188310.739999999</v>
      </c>
      <c r="J281" s="82">
        <v>15704915.69</v>
      </c>
      <c r="K281" s="56">
        <f t="shared" si="27"/>
        <v>0.020064342097729993</v>
      </c>
      <c r="L281" s="85">
        <f t="shared" si="28"/>
        <v>2583379.3100000005</v>
      </c>
    </row>
    <row r="282" spans="1:12" ht="14.25" customHeight="1">
      <c r="A282" s="52" t="s">
        <v>71</v>
      </c>
      <c r="B282" s="53" t="s">
        <v>79</v>
      </c>
      <c r="C282" s="82">
        <v>282103281</v>
      </c>
      <c r="D282" s="82">
        <v>717656467.35</v>
      </c>
      <c r="E282" s="82">
        <f>F282-528508128.98</f>
        <v>119916779.38</v>
      </c>
      <c r="F282" s="82">
        <v>648424908.36</v>
      </c>
      <c r="G282" s="56">
        <f t="shared" si="25"/>
        <v>0.7732872834104386</v>
      </c>
      <c r="H282" s="82">
        <f t="shared" si="26"/>
        <v>69231558.99000001</v>
      </c>
      <c r="I282" s="82">
        <f>J282-289391432.45</f>
        <v>171479647.19</v>
      </c>
      <c r="J282" s="82">
        <v>460871079.64</v>
      </c>
      <c r="K282" s="56">
        <f t="shared" si="27"/>
        <v>0.5888013146568585</v>
      </c>
      <c r="L282" s="85">
        <f t="shared" si="28"/>
        <v>256785387.71000004</v>
      </c>
    </row>
    <row r="283" spans="1:12" ht="14.25" customHeight="1">
      <c r="A283" s="52" t="s">
        <v>197</v>
      </c>
      <c r="B283" s="53" t="s">
        <v>198</v>
      </c>
      <c r="C283" s="82">
        <v>137673996</v>
      </c>
      <c r="D283" s="82">
        <v>137695227</v>
      </c>
      <c r="E283" s="82">
        <f>F283-114992833.55</f>
        <v>0</v>
      </c>
      <c r="F283" s="82">
        <v>114992833.55</v>
      </c>
      <c r="G283" s="56">
        <f t="shared" si="25"/>
        <v>0.1371361505720863</v>
      </c>
      <c r="H283" s="82">
        <f t="shared" si="26"/>
        <v>22702393.450000003</v>
      </c>
      <c r="I283" s="82">
        <f>J283-107104529.43</f>
        <v>32550</v>
      </c>
      <c r="J283" s="82">
        <v>107137079.43</v>
      </c>
      <c r="K283" s="56">
        <f t="shared" si="27"/>
        <v>0.1368765713530036</v>
      </c>
      <c r="L283" s="85">
        <f t="shared" si="28"/>
        <v>30558147.569999993</v>
      </c>
    </row>
    <row r="284" spans="1:12" ht="14.25" customHeight="1">
      <c r="A284" s="52" t="s">
        <v>199</v>
      </c>
      <c r="B284" s="53" t="s">
        <v>200</v>
      </c>
      <c r="C284" s="82">
        <v>10000</v>
      </c>
      <c r="D284" s="82">
        <v>3579000</v>
      </c>
      <c r="E284" s="82">
        <f>F284-3569000</f>
        <v>0</v>
      </c>
      <c r="F284" s="82">
        <v>3569000</v>
      </c>
      <c r="G284" s="56">
        <f t="shared" si="25"/>
        <v>0.004256255857709283</v>
      </c>
      <c r="H284" s="82">
        <f t="shared" si="26"/>
        <v>10000</v>
      </c>
      <c r="I284" s="82">
        <f>J284-1831210.9</f>
        <v>0</v>
      </c>
      <c r="J284" s="82">
        <v>1831210.9</v>
      </c>
      <c r="K284" s="56">
        <f t="shared" si="27"/>
        <v>0.0023395249408493975</v>
      </c>
      <c r="L284" s="85">
        <f t="shared" si="28"/>
        <v>1747789.1</v>
      </c>
    </row>
    <row r="285" spans="1:12" ht="14.25" customHeight="1">
      <c r="A285" s="52" t="s">
        <v>201</v>
      </c>
      <c r="B285" s="53" t="s">
        <v>202</v>
      </c>
      <c r="C285" s="82">
        <v>19163293</v>
      </c>
      <c r="D285" s="82">
        <v>19960770.32</v>
      </c>
      <c r="E285" s="82">
        <f>F285-1120706.85</f>
        <v>328782.47</v>
      </c>
      <c r="F285" s="82">
        <v>1449489.32</v>
      </c>
      <c r="G285" s="56">
        <f t="shared" si="25"/>
        <v>0.0017286067270767852</v>
      </c>
      <c r="H285" s="82">
        <f t="shared" si="26"/>
        <v>18511281</v>
      </c>
      <c r="I285" s="82">
        <f>J285-902602.35</f>
        <v>218104.4700000001</v>
      </c>
      <c r="J285" s="82">
        <v>1120706.82</v>
      </c>
      <c r="K285" s="56">
        <f t="shared" si="27"/>
        <v>0.001431796608883235</v>
      </c>
      <c r="L285" s="85">
        <f t="shared" si="28"/>
        <v>18840063.5</v>
      </c>
    </row>
    <row r="286" spans="1:12" ht="14.25" customHeight="1">
      <c r="A286" s="47" t="s">
        <v>203</v>
      </c>
      <c r="B286" s="50" t="s">
        <v>204</v>
      </c>
      <c r="C286" s="81">
        <f>SUM(C287:C291)</f>
        <v>69532523</v>
      </c>
      <c r="D286" s="81">
        <f>SUM(D287:D291)</f>
        <v>121898058.71000001</v>
      </c>
      <c r="E286" s="81">
        <f>SUM(E287:E291)</f>
        <v>25211872.339999996</v>
      </c>
      <c r="F286" s="81">
        <f>SUM(F287:F291)</f>
        <v>53556610.06</v>
      </c>
      <c r="G286" s="51">
        <f t="shared" si="25"/>
        <v>0.06386960921460548</v>
      </c>
      <c r="H286" s="81">
        <f t="shared" si="26"/>
        <v>68341448.65</v>
      </c>
      <c r="I286" s="81">
        <f>SUM(I287:I291)</f>
        <v>23228879.5</v>
      </c>
      <c r="J286" s="81">
        <f>SUM(J287:J291)</f>
        <v>49577703.34</v>
      </c>
      <c r="K286" s="51">
        <f t="shared" si="27"/>
        <v>0.06333965873289772</v>
      </c>
      <c r="L286" s="84">
        <f t="shared" si="28"/>
        <v>72320355.37</v>
      </c>
    </row>
    <row r="287" spans="1:12" ht="14.25" customHeight="1">
      <c r="A287" s="52" t="s">
        <v>28</v>
      </c>
      <c r="B287" s="53" t="s">
        <v>33</v>
      </c>
      <c r="C287" s="82">
        <v>33949716</v>
      </c>
      <c r="D287" s="82">
        <v>37618465.06</v>
      </c>
      <c r="E287" s="82">
        <f>F287-17912890.05</f>
        <v>5694530.039999999</v>
      </c>
      <c r="F287" s="82">
        <v>23607420.09</v>
      </c>
      <c r="G287" s="56">
        <f t="shared" si="25"/>
        <v>0.02815332587376473</v>
      </c>
      <c r="H287" s="82">
        <f t="shared" si="26"/>
        <v>14011044.970000003</v>
      </c>
      <c r="I287" s="82">
        <f>J287-16982662.33</f>
        <v>5073448.900000002</v>
      </c>
      <c r="J287" s="82">
        <v>22056111.23</v>
      </c>
      <c r="K287" s="56">
        <f t="shared" si="27"/>
        <v>0.0281785251063837</v>
      </c>
      <c r="L287" s="85">
        <f t="shared" si="28"/>
        <v>15562353.830000002</v>
      </c>
    </row>
    <row r="288" spans="1:12" ht="14.25" customHeight="1">
      <c r="A288" s="52" t="s">
        <v>53</v>
      </c>
      <c r="B288" s="53" t="s">
        <v>60</v>
      </c>
      <c r="C288" s="82">
        <v>0</v>
      </c>
      <c r="D288" s="82">
        <v>0</v>
      </c>
      <c r="E288" s="82">
        <f>F288-0</f>
        <v>0</v>
      </c>
      <c r="F288" s="82">
        <v>0</v>
      </c>
      <c r="G288" s="56">
        <f t="shared" si="25"/>
        <v>0</v>
      </c>
      <c r="H288" s="82">
        <f t="shared" si="26"/>
        <v>0</v>
      </c>
      <c r="I288" s="82">
        <f>J288-0</f>
        <v>0</v>
      </c>
      <c r="J288" s="82">
        <v>0</v>
      </c>
      <c r="K288" s="56">
        <f t="shared" si="27"/>
        <v>0</v>
      </c>
      <c r="L288" s="85">
        <f t="shared" si="28"/>
        <v>0</v>
      </c>
    </row>
    <row r="289" spans="1:12" ht="14.25" customHeight="1">
      <c r="A289" s="52" t="s">
        <v>205</v>
      </c>
      <c r="B289" s="53" t="s">
        <v>206</v>
      </c>
      <c r="C289" s="82">
        <v>125000</v>
      </c>
      <c r="D289" s="82">
        <v>9196561.26</v>
      </c>
      <c r="E289" s="82">
        <f>F289-3363620</f>
        <v>3200960</v>
      </c>
      <c r="F289" s="82">
        <v>6564580</v>
      </c>
      <c r="G289" s="56">
        <f t="shared" si="25"/>
        <v>0.00782867247923822</v>
      </c>
      <c r="H289" s="82">
        <f t="shared" si="26"/>
        <v>2631981.26</v>
      </c>
      <c r="I289" s="82">
        <f>J289-2563380</f>
        <v>2366880</v>
      </c>
      <c r="J289" s="82">
        <v>4930260</v>
      </c>
      <c r="K289" s="56">
        <f t="shared" si="27"/>
        <v>0.006298819122839511</v>
      </c>
      <c r="L289" s="85">
        <f t="shared" si="28"/>
        <v>4266301.26</v>
      </c>
    </row>
    <row r="290" spans="1:12" ht="14.25" customHeight="1">
      <c r="A290" s="52" t="s">
        <v>207</v>
      </c>
      <c r="B290" s="53" t="s">
        <v>208</v>
      </c>
      <c r="C290" s="82">
        <v>35402807</v>
      </c>
      <c r="D290" s="82">
        <v>75078032.39</v>
      </c>
      <c r="E290" s="82">
        <f>F290-7068227.67</f>
        <v>16316382.299999999</v>
      </c>
      <c r="F290" s="82">
        <v>23384609.97</v>
      </c>
      <c r="G290" s="56">
        <f t="shared" si="25"/>
        <v>0.027887610861602526</v>
      </c>
      <c r="H290" s="82">
        <f t="shared" si="26"/>
        <v>51693422.42</v>
      </c>
      <c r="I290" s="82">
        <f>J290-6802781.51</f>
        <v>15788550.6</v>
      </c>
      <c r="J290" s="82">
        <v>22591332.11</v>
      </c>
      <c r="K290" s="56">
        <f t="shared" si="27"/>
        <v>0.028862314503674505</v>
      </c>
      <c r="L290" s="85">
        <f t="shared" si="28"/>
        <v>52486700.28</v>
      </c>
    </row>
    <row r="291" spans="1:12" ht="14.25" customHeight="1">
      <c r="A291" s="52" t="s">
        <v>209</v>
      </c>
      <c r="B291" s="53" t="s">
        <v>210</v>
      </c>
      <c r="C291" s="82">
        <v>55000</v>
      </c>
      <c r="D291" s="82">
        <v>5000</v>
      </c>
      <c r="E291" s="82">
        <f>F291-0</f>
        <v>0</v>
      </c>
      <c r="F291" s="82">
        <v>0</v>
      </c>
      <c r="G291" s="56">
        <f t="shared" si="25"/>
        <v>0</v>
      </c>
      <c r="H291" s="82">
        <f t="shared" si="26"/>
        <v>5000</v>
      </c>
      <c r="I291" s="56">
        <f>J291-0</f>
        <v>0</v>
      </c>
      <c r="J291" s="82">
        <v>0</v>
      </c>
      <c r="K291" s="56">
        <f t="shared" si="27"/>
        <v>0</v>
      </c>
      <c r="L291" s="85">
        <f t="shared" si="28"/>
        <v>5000</v>
      </c>
    </row>
    <row r="292" spans="1:12" ht="14.25" customHeight="1">
      <c r="A292" s="47" t="s">
        <v>211</v>
      </c>
      <c r="B292" s="50" t="s">
        <v>212</v>
      </c>
      <c r="C292" s="81">
        <f>SUM(C293:C297)</f>
        <v>5112869451</v>
      </c>
      <c r="D292" s="81">
        <f>SUM(D293:D297)</f>
        <v>7203852121.3</v>
      </c>
      <c r="E292" s="81">
        <f>SUM(E293:E297)</f>
        <v>1326284245.2099998</v>
      </c>
      <c r="F292" s="81">
        <f>SUM(F293:F297)</f>
        <v>6097650100.74</v>
      </c>
      <c r="G292" s="51">
        <f t="shared" si="25"/>
        <v>7.271829352629931</v>
      </c>
      <c r="H292" s="81">
        <f t="shared" si="26"/>
        <v>1106202020.5600004</v>
      </c>
      <c r="I292" s="81">
        <f>SUM(I293:I297)</f>
        <v>1326284245.2099998</v>
      </c>
      <c r="J292" s="81">
        <f>SUM(J293:J297)</f>
        <v>6097650100.74</v>
      </c>
      <c r="K292" s="51">
        <f t="shared" si="27"/>
        <v>7.790257523726006</v>
      </c>
      <c r="L292" s="84">
        <f t="shared" si="28"/>
        <v>1106202020.5600004</v>
      </c>
    </row>
    <row r="293" spans="1:12" ht="14.25" customHeight="1">
      <c r="A293" s="52" t="s">
        <v>39</v>
      </c>
      <c r="B293" s="53" t="s">
        <v>41</v>
      </c>
      <c r="C293" s="82">
        <v>167014027</v>
      </c>
      <c r="D293" s="116">
        <v>70611909.89</v>
      </c>
      <c r="E293" s="82">
        <f>F293-865938.56</f>
        <v>96687.96999999997</v>
      </c>
      <c r="F293" s="82">
        <v>962626.53</v>
      </c>
      <c r="G293" s="56">
        <f t="shared" si="25"/>
        <v>0.0011479923808066297</v>
      </c>
      <c r="H293" s="82">
        <f t="shared" si="26"/>
        <v>69649283.36</v>
      </c>
      <c r="I293" s="82">
        <f>J293-865938.56</f>
        <v>96687.96999999997</v>
      </c>
      <c r="J293" s="82">
        <v>962626.53</v>
      </c>
      <c r="K293" s="56">
        <f t="shared" si="27"/>
        <v>0.0012298358292091374</v>
      </c>
      <c r="L293" s="85">
        <f t="shared" si="28"/>
        <v>69649283.36</v>
      </c>
    </row>
    <row r="294" spans="1:12" ht="14.25" customHeight="1">
      <c r="A294" s="52" t="s">
        <v>213</v>
      </c>
      <c r="B294" s="53" t="s">
        <v>214</v>
      </c>
      <c r="C294" s="82">
        <v>1273188041</v>
      </c>
      <c r="D294" s="116">
        <v>4267610100.2</v>
      </c>
      <c r="E294" s="82">
        <f>F294-2858972383.73</f>
        <v>872463530.3699999</v>
      </c>
      <c r="F294" s="82">
        <v>3731435914.1</v>
      </c>
      <c r="G294" s="56">
        <f t="shared" si="25"/>
        <v>4.449970850954026</v>
      </c>
      <c r="H294" s="82">
        <f t="shared" si="26"/>
        <v>536174186.0999999</v>
      </c>
      <c r="I294" s="82">
        <f>J294-2858972383.73</f>
        <v>872463530.3699999</v>
      </c>
      <c r="J294" s="82">
        <v>3731435914.1</v>
      </c>
      <c r="K294" s="56">
        <f t="shared" si="27"/>
        <v>4.767221179285314</v>
      </c>
      <c r="L294" s="85">
        <f t="shared" si="28"/>
        <v>536174186.0999999</v>
      </c>
    </row>
    <row r="295" spans="1:12" ht="14.25" customHeight="1">
      <c r="A295" s="52" t="s">
        <v>215</v>
      </c>
      <c r="B295" s="53" t="s">
        <v>216</v>
      </c>
      <c r="C295" s="82">
        <v>533080158</v>
      </c>
      <c r="D295" s="116">
        <v>213853031.21</v>
      </c>
      <c r="E295" s="82">
        <f>F295-155660700.83</f>
        <v>37440611.75999999</v>
      </c>
      <c r="F295" s="82">
        <v>193101312.59</v>
      </c>
      <c r="G295" s="56">
        <f t="shared" si="25"/>
        <v>0.2302854000679571</v>
      </c>
      <c r="H295" s="82">
        <f t="shared" si="26"/>
        <v>20751718.620000005</v>
      </c>
      <c r="I295" s="82">
        <f>J295-155660700.83</f>
        <v>37440611.75999999</v>
      </c>
      <c r="J295" s="82">
        <v>193101312.59</v>
      </c>
      <c r="K295" s="56">
        <f t="shared" si="27"/>
        <v>0.2467030623916998</v>
      </c>
      <c r="L295" s="85">
        <f t="shared" si="28"/>
        <v>20751718.620000005</v>
      </c>
    </row>
    <row r="296" spans="1:12" ht="14.25" customHeight="1">
      <c r="A296" s="52" t="s">
        <v>217</v>
      </c>
      <c r="B296" s="53" t="s">
        <v>218</v>
      </c>
      <c r="C296" s="82">
        <v>117919547</v>
      </c>
      <c r="D296" s="116">
        <v>0</v>
      </c>
      <c r="E296" s="82">
        <f>F296-0</f>
        <v>0</v>
      </c>
      <c r="F296" s="82">
        <v>0</v>
      </c>
      <c r="G296" s="56">
        <f aca="true" t="shared" si="34" ref="G296:G302">(F296/$F$303)*100</f>
        <v>0</v>
      </c>
      <c r="H296" s="82">
        <f aca="true" t="shared" si="35" ref="H296:H302">D296-F296</f>
        <v>0</v>
      </c>
      <c r="I296" s="82">
        <f>J296-0</f>
        <v>0</v>
      </c>
      <c r="J296" s="82">
        <v>0</v>
      </c>
      <c r="K296" s="56">
        <f aca="true" t="shared" si="36" ref="K296:K302">(J296/$J$303)*100</f>
        <v>0</v>
      </c>
      <c r="L296" s="85">
        <f aca="true" t="shared" si="37" ref="L296:L302">D296-J296</f>
        <v>0</v>
      </c>
    </row>
    <row r="297" spans="1:12" ht="14.25" customHeight="1">
      <c r="A297" s="52" t="s">
        <v>219</v>
      </c>
      <c r="B297" s="53" t="s">
        <v>220</v>
      </c>
      <c r="C297" s="82">
        <v>3021667678</v>
      </c>
      <c r="D297" s="116">
        <v>2651777080</v>
      </c>
      <c r="E297" s="82">
        <f>F297-1755866832.41</f>
        <v>416283415.1099999</v>
      </c>
      <c r="F297" s="82">
        <v>2172150247.52</v>
      </c>
      <c r="G297" s="56">
        <f t="shared" si="34"/>
        <v>2.5904251092271418</v>
      </c>
      <c r="H297" s="82">
        <f t="shared" si="35"/>
        <v>479626832.48</v>
      </c>
      <c r="I297" s="82">
        <f>J297-1755866832.41</f>
        <v>416283415.1099999</v>
      </c>
      <c r="J297" s="82">
        <v>2172150247.52</v>
      </c>
      <c r="K297" s="56">
        <f t="shared" si="36"/>
        <v>2.775103446219784</v>
      </c>
      <c r="L297" s="85">
        <f t="shared" si="37"/>
        <v>479626832.48</v>
      </c>
    </row>
    <row r="298" spans="1:12" ht="14.25" customHeight="1">
      <c r="A298" s="47" t="s">
        <v>221</v>
      </c>
      <c r="B298" s="50" t="s">
        <v>222</v>
      </c>
      <c r="C298" s="81">
        <f>SUM(C299:C301)</f>
        <v>1501460486</v>
      </c>
      <c r="D298" s="84">
        <f>SUM(D299:D301)</f>
        <v>1500460486</v>
      </c>
      <c r="E298" s="112"/>
      <c r="F298" s="112"/>
      <c r="G298" s="112"/>
      <c r="H298" s="81">
        <f t="shared" si="35"/>
        <v>1500460486</v>
      </c>
      <c r="I298" s="112"/>
      <c r="J298" s="112"/>
      <c r="K298" s="112"/>
      <c r="L298" s="84">
        <f t="shared" si="37"/>
        <v>1500460486</v>
      </c>
    </row>
    <row r="299" spans="1:12" ht="14.25" customHeight="1">
      <c r="A299" s="52" t="s">
        <v>28</v>
      </c>
      <c r="B299" s="66" t="s">
        <v>33</v>
      </c>
      <c r="C299" s="82">
        <v>900000000</v>
      </c>
      <c r="D299" s="92">
        <v>900000000</v>
      </c>
      <c r="E299" s="112"/>
      <c r="F299" s="112"/>
      <c r="G299" s="112"/>
      <c r="H299" s="82">
        <f t="shared" si="35"/>
        <v>900000000</v>
      </c>
      <c r="I299" s="112"/>
      <c r="J299" s="112"/>
      <c r="K299" s="112"/>
      <c r="L299" s="85">
        <f t="shared" si="37"/>
        <v>900000000</v>
      </c>
    </row>
    <row r="300" spans="1:12" ht="14.25" customHeight="1">
      <c r="A300" s="52" t="s">
        <v>245</v>
      </c>
      <c r="B300" s="66" t="s">
        <v>246</v>
      </c>
      <c r="C300" s="82">
        <v>598960486</v>
      </c>
      <c r="D300" s="89">
        <v>597960486</v>
      </c>
      <c r="E300" s="112"/>
      <c r="F300" s="112"/>
      <c r="G300" s="112"/>
      <c r="H300" s="82">
        <f t="shared" si="35"/>
        <v>597960486</v>
      </c>
      <c r="I300" s="112"/>
      <c r="J300" s="112"/>
      <c r="K300" s="112"/>
      <c r="L300" s="85">
        <f t="shared" si="37"/>
        <v>597960486</v>
      </c>
    </row>
    <row r="301" spans="1:12" ht="14.25" customHeight="1">
      <c r="A301" s="52" t="s">
        <v>223</v>
      </c>
      <c r="B301" s="53" t="s">
        <v>222</v>
      </c>
      <c r="C301" s="82">
        <v>2500000</v>
      </c>
      <c r="D301" s="82">
        <v>2500000</v>
      </c>
      <c r="E301" s="112"/>
      <c r="F301" s="112"/>
      <c r="G301" s="112"/>
      <c r="H301" s="82">
        <f t="shared" si="35"/>
        <v>2500000</v>
      </c>
      <c r="I301" s="112"/>
      <c r="J301" s="112"/>
      <c r="K301" s="112"/>
      <c r="L301" s="85">
        <f t="shared" si="37"/>
        <v>2500000</v>
      </c>
    </row>
    <row r="302" spans="1:12" ht="14.25" customHeight="1">
      <c r="A302" s="47"/>
      <c r="B302" s="50" t="s">
        <v>16</v>
      </c>
      <c r="C302" s="81">
        <f>C319</f>
        <v>7270290835</v>
      </c>
      <c r="D302" s="81">
        <f>D319</f>
        <v>6880040506.719999</v>
      </c>
      <c r="E302" s="81">
        <f>E319</f>
        <v>961830066.97</v>
      </c>
      <c r="F302" s="81">
        <f>F319</f>
        <v>5623876160.34</v>
      </c>
      <c r="G302" s="51">
        <f t="shared" si="34"/>
        <v>6.70682427864352</v>
      </c>
      <c r="H302" s="81">
        <f t="shared" si="35"/>
        <v>1256164346.3799992</v>
      </c>
      <c r="I302" s="81">
        <f>I319</f>
        <v>1020022251.3200002</v>
      </c>
      <c r="J302" s="81">
        <f>J319</f>
        <v>5437094177.810001</v>
      </c>
      <c r="K302" s="51">
        <f t="shared" si="36"/>
        <v>6.946342136087956</v>
      </c>
      <c r="L302" s="84">
        <f t="shared" si="37"/>
        <v>1442946328.909998</v>
      </c>
    </row>
    <row r="303" spans="1:12" ht="14.25" customHeight="1">
      <c r="A303" s="125" t="s">
        <v>224</v>
      </c>
      <c r="B303" s="126"/>
      <c r="C303" s="95">
        <f aca="true" t="shared" si="38" ref="C303:L303">C13+C302</f>
        <v>102347253916</v>
      </c>
      <c r="D303" s="95">
        <f t="shared" si="38"/>
        <v>115078182500.70003</v>
      </c>
      <c r="E303" s="95">
        <f t="shared" si="38"/>
        <v>14950587911.529997</v>
      </c>
      <c r="F303" s="95">
        <f t="shared" si="38"/>
        <v>83853041718.24002</v>
      </c>
      <c r="G303" s="95">
        <f t="shared" si="38"/>
        <v>100</v>
      </c>
      <c r="H303" s="95">
        <f t="shared" si="38"/>
        <v>31225140782.46</v>
      </c>
      <c r="I303" s="95">
        <f t="shared" si="38"/>
        <v>16380446066.2</v>
      </c>
      <c r="J303" s="95">
        <f t="shared" si="38"/>
        <v>78272766749.60999</v>
      </c>
      <c r="K303" s="95">
        <f t="shared" si="38"/>
        <v>100</v>
      </c>
      <c r="L303" s="96">
        <f t="shared" si="38"/>
        <v>36805415751.090034</v>
      </c>
    </row>
    <row r="304" spans="1:12" ht="15">
      <c r="A304" s="69"/>
      <c r="B304" s="69"/>
      <c r="C304" s="99"/>
      <c r="D304" s="99"/>
      <c r="E304" s="99"/>
      <c r="F304" s="99"/>
      <c r="G304" s="99"/>
      <c r="H304" s="99"/>
      <c r="I304" s="99"/>
      <c r="J304" s="99"/>
      <c r="K304" s="99"/>
      <c r="L304" s="65" t="s">
        <v>225</v>
      </c>
    </row>
    <row r="305" spans="1:12" ht="15">
      <c r="A305" s="69"/>
      <c r="B305" s="69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1:12" ht="15">
      <c r="A306" s="34"/>
      <c r="B306" s="35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</row>
    <row r="307" spans="1:12" ht="15.75">
      <c r="A307" s="34"/>
      <c r="B307" s="35"/>
      <c r="C307" s="36"/>
      <c r="D307" s="36"/>
      <c r="E307" s="36"/>
      <c r="F307" s="37"/>
      <c r="G307" s="38"/>
      <c r="H307" s="37"/>
      <c r="I307" s="37"/>
      <c r="J307" s="37"/>
      <c r="K307" s="38"/>
      <c r="L307" s="37"/>
    </row>
    <row r="308" spans="1:12" ht="15.75">
      <c r="A308" s="31"/>
      <c r="B308" s="28"/>
      <c r="C308" s="32"/>
      <c r="D308" s="32"/>
      <c r="E308" s="32"/>
      <c r="F308" s="32"/>
      <c r="G308" s="33"/>
      <c r="H308" s="32"/>
      <c r="I308" s="32"/>
      <c r="J308" s="32"/>
      <c r="K308" s="33"/>
      <c r="L308" s="25" t="s">
        <v>157</v>
      </c>
    </row>
    <row r="309" spans="1:12" ht="15.75">
      <c r="A309" s="119" t="s">
        <v>14</v>
      </c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1:12" ht="15.75">
      <c r="A310" s="119" t="s">
        <v>0</v>
      </c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1:12" ht="15.75">
      <c r="A311" s="120" t="s">
        <v>1</v>
      </c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1:12" ht="15.75">
      <c r="A312" s="119" t="s">
        <v>2</v>
      </c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1:12" ht="15.75">
      <c r="A313" s="119" t="str">
        <f>A162</f>
        <v>JANEIRO A OUTUBRO 2023/BIMESTRE SETEMBRO - OUTUBRO</v>
      </c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1:12" ht="15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5" t="str">
        <f>L163</f>
        <v>Emissão: 22/11/2023</v>
      </c>
    </row>
    <row r="315" spans="1:12" ht="15.75">
      <c r="A315" s="27" t="s">
        <v>239</v>
      </c>
      <c r="B315" s="26"/>
      <c r="C315" s="28"/>
      <c r="D315" s="26"/>
      <c r="E315" s="26"/>
      <c r="F315" s="29"/>
      <c r="G315" s="29"/>
      <c r="H315" s="29"/>
      <c r="I315" s="26"/>
      <c r="J315" s="26"/>
      <c r="K315" s="25"/>
      <c r="L315" s="30">
        <v>1</v>
      </c>
    </row>
    <row r="316" spans="1:12" ht="15.75">
      <c r="A316" s="11"/>
      <c r="B316" s="12"/>
      <c r="C316" s="13" t="s">
        <v>3</v>
      </c>
      <c r="D316" s="13" t="s">
        <v>3</v>
      </c>
      <c r="E316" s="121" t="s">
        <v>4</v>
      </c>
      <c r="F316" s="122"/>
      <c r="G316" s="123"/>
      <c r="H316" s="13" t="s">
        <v>18</v>
      </c>
      <c r="I316" s="121" t="s">
        <v>5</v>
      </c>
      <c r="J316" s="122"/>
      <c r="K316" s="123"/>
      <c r="L316" s="14" t="s">
        <v>18</v>
      </c>
    </row>
    <row r="317" spans="1:12" ht="15.75">
      <c r="A317" s="15" t="s">
        <v>23</v>
      </c>
      <c r="B317" s="16" t="s">
        <v>264</v>
      </c>
      <c r="C317" s="16" t="s">
        <v>7</v>
      </c>
      <c r="D317" s="16" t="s">
        <v>8</v>
      </c>
      <c r="E317" s="16" t="s">
        <v>9</v>
      </c>
      <c r="F317" s="16" t="s">
        <v>10</v>
      </c>
      <c r="G317" s="16" t="s">
        <v>11</v>
      </c>
      <c r="H317" s="17"/>
      <c r="I317" s="16" t="s">
        <v>9</v>
      </c>
      <c r="J317" s="16" t="s">
        <v>10</v>
      </c>
      <c r="K317" s="16" t="s">
        <v>11</v>
      </c>
      <c r="L317" s="18"/>
    </row>
    <row r="318" spans="1:12" ht="15.75">
      <c r="A318" s="19"/>
      <c r="B318" s="20"/>
      <c r="C318" s="20"/>
      <c r="D318" s="21" t="s">
        <v>12</v>
      </c>
      <c r="E318" s="21"/>
      <c r="F318" s="21" t="s">
        <v>13</v>
      </c>
      <c r="G318" s="21" t="s">
        <v>265</v>
      </c>
      <c r="H318" s="22" t="s">
        <v>19</v>
      </c>
      <c r="I318" s="21"/>
      <c r="J318" s="21" t="s">
        <v>20</v>
      </c>
      <c r="K318" s="21" t="s">
        <v>266</v>
      </c>
      <c r="L318" s="23" t="s">
        <v>22</v>
      </c>
    </row>
    <row r="319" spans="1:12" ht="14.25" customHeight="1">
      <c r="A319" s="47"/>
      <c r="B319" s="71" t="s">
        <v>16</v>
      </c>
      <c r="C319" s="90">
        <f>C320+C325+C328+C334+C343+C349+C353+C355+C360+C363+C371+C374+C377+C380+C382+C384+C386+C391+C396+C399+C402+C405+C409+C412</f>
        <v>7270290835</v>
      </c>
      <c r="D319" s="90">
        <f>D320+D325+D328+D334+D343+D349+D353+D355+D360+D363+D371+D374+D377+D380+D382+D384+D386+D391+D396+D399+D402+D405+D409+D412</f>
        <v>6880040506.719999</v>
      </c>
      <c r="E319" s="90">
        <f>E320+E325+E328+E334+E343+E349+E353+E355+E360+E363+E371+E374+E377+E380+E382+E384+E386+E391+E396+E399+E402+E405+E409+E412</f>
        <v>961830066.97</v>
      </c>
      <c r="F319" s="90">
        <f>F320+F325+F328+F334+F343+F349+F353+F355+F360+F363+F371+F374+F377+F380+F382+F384+F386+F391+F396+F399+F402+F405+F409+F412</f>
        <v>5623876160.34</v>
      </c>
      <c r="G319" s="70">
        <f aca="true" t="shared" si="39" ref="G319:G384">(F319/$F$303)*100</f>
        <v>6.70682427864352</v>
      </c>
      <c r="H319" s="90">
        <f>D319-F319</f>
        <v>1256164346.3799992</v>
      </c>
      <c r="I319" s="90">
        <f>I320+I325+I328+I334+I343+I349+I353+I355+I360+I363+I371+I374+I377+I380+I382+I384+I386+I391+I396+I399+I402+I405+I409+I412</f>
        <v>1020022251.3200002</v>
      </c>
      <c r="J319" s="90">
        <f>J320+J325+J328+J334+J343+J349+J353+J355+J360+J363+J371+J374+J377+J380+J382+J384+J386+J391+J396+J399+J402+J405+J409+J412</f>
        <v>5437094177.810001</v>
      </c>
      <c r="K319" s="72">
        <f aca="true" t="shared" si="40" ref="K319:K384">(J319/$J$303)*100</f>
        <v>6.946342136087956</v>
      </c>
      <c r="L319" s="91">
        <f>D319-J319</f>
        <v>1442946328.909998</v>
      </c>
    </row>
    <row r="320" spans="1:12" ht="14.25" customHeight="1">
      <c r="A320" s="47" t="s">
        <v>25</v>
      </c>
      <c r="B320" s="71" t="s">
        <v>24</v>
      </c>
      <c r="C320" s="81">
        <f>SUM(C321:C324)</f>
        <v>150910471</v>
      </c>
      <c r="D320" s="81">
        <f>SUM(D321:D324)</f>
        <v>199662887</v>
      </c>
      <c r="E320" s="81">
        <f>SUM(E321:E324)</f>
        <v>2592554.0100000054</v>
      </c>
      <c r="F320" s="81">
        <f>SUM(F321:F324)</f>
        <v>136240047.39000002</v>
      </c>
      <c r="G320" s="70">
        <f t="shared" si="39"/>
        <v>0.16247478278461136</v>
      </c>
      <c r="H320" s="81">
        <f aca="true" t="shared" si="41" ref="H320:H385">D320-F320</f>
        <v>63422839.609999985</v>
      </c>
      <c r="I320" s="81">
        <f>SUM(I321:I323)</f>
        <v>20044048.220000006</v>
      </c>
      <c r="J320" s="81">
        <f>SUM(J321:J323)</f>
        <v>103480626.25</v>
      </c>
      <c r="K320" s="51">
        <f t="shared" si="40"/>
        <v>0.1322051468820931</v>
      </c>
      <c r="L320" s="91">
        <f aca="true" t="shared" si="42" ref="L320:L385">D320-J320</f>
        <v>96182260.75</v>
      </c>
    </row>
    <row r="321" spans="1:12" ht="14.25" customHeight="1">
      <c r="A321" s="52" t="s">
        <v>26</v>
      </c>
      <c r="B321" s="66" t="s">
        <v>31</v>
      </c>
      <c r="C321" s="82">
        <v>2153400</v>
      </c>
      <c r="D321" s="82">
        <v>2153400</v>
      </c>
      <c r="E321" s="82">
        <f>F321-357658.8</f>
        <v>0</v>
      </c>
      <c r="F321" s="82">
        <v>357658.8</v>
      </c>
      <c r="G321" s="64">
        <f t="shared" si="39"/>
        <v>0.00042653050225869237</v>
      </c>
      <c r="H321" s="81">
        <f t="shared" si="41"/>
        <v>1795741.2</v>
      </c>
      <c r="I321" s="82">
        <f>J321-105546.54</f>
        <v>78000.96</v>
      </c>
      <c r="J321" s="82">
        <v>183547.5</v>
      </c>
      <c r="K321" s="56">
        <f t="shared" si="40"/>
        <v>0.00023449726849078653</v>
      </c>
      <c r="L321" s="92">
        <f t="shared" si="42"/>
        <v>1969852.5</v>
      </c>
    </row>
    <row r="322" spans="1:12" ht="14.25" customHeight="1">
      <c r="A322" s="52" t="s">
        <v>28</v>
      </c>
      <c r="B322" s="66" t="s">
        <v>33</v>
      </c>
      <c r="C322" s="82">
        <v>148452071</v>
      </c>
      <c r="D322" s="82">
        <v>197204487</v>
      </c>
      <c r="E322" s="82">
        <f>F322-133289834.58</f>
        <v>2592554.0100000054</v>
      </c>
      <c r="F322" s="82">
        <v>135882388.59</v>
      </c>
      <c r="G322" s="64">
        <f t="shared" si="39"/>
        <v>0.16204825228235265</v>
      </c>
      <c r="H322" s="82">
        <f t="shared" si="41"/>
        <v>61322098.41</v>
      </c>
      <c r="I322" s="82">
        <f>J322-83331031.49</f>
        <v>19966047.260000005</v>
      </c>
      <c r="J322" s="82">
        <v>103297078.75</v>
      </c>
      <c r="K322" s="56">
        <f t="shared" si="40"/>
        <v>0.1319706496136023</v>
      </c>
      <c r="L322" s="92">
        <f t="shared" si="42"/>
        <v>93907408.25</v>
      </c>
    </row>
    <row r="323" spans="1:12" ht="14.25" customHeight="1">
      <c r="A323" s="52" t="s">
        <v>50</v>
      </c>
      <c r="B323" s="66" t="s">
        <v>57</v>
      </c>
      <c r="C323" s="82">
        <v>5000</v>
      </c>
      <c r="D323" s="82">
        <v>5000</v>
      </c>
      <c r="E323" s="82">
        <f>F323-0</f>
        <v>0</v>
      </c>
      <c r="F323" s="82">
        <v>0</v>
      </c>
      <c r="G323" s="64">
        <f t="shared" si="39"/>
        <v>0</v>
      </c>
      <c r="H323" s="82">
        <f t="shared" si="41"/>
        <v>5000</v>
      </c>
      <c r="I323" s="82">
        <f>J323-0</f>
        <v>0</v>
      </c>
      <c r="J323" s="82">
        <v>0</v>
      </c>
      <c r="K323" s="56">
        <f t="shared" si="40"/>
        <v>0</v>
      </c>
      <c r="L323" s="92">
        <f t="shared" si="42"/>
        <v>5000</v>
      </c>
    </row>
    <row r="324" spans="1:12" ht="14.25" customHeight="1">
      <c r="A324" s="101" t="s">
        <v>29</v>
      </c>
      <c r="B324" s="105" t="s">
        <v>34</v>
      </c>
      <c r="C324" s="98">
        <v>300000</v>
      </c>
      <c r="D324" s="98">
        <v>300000</v>
      </c>
      <c r="E324" s="98">
        <f>F324-0</f>
        <v>0</v>
      </c>
      <c r="F324" s="98">
        <v>0</v>
      </c>
      <c r="G324" s="106">
        <f t="shared" si="39"/>
        <v>0</v>
      </c>
      <c r="H324" s="98">
        <f t="shared" si="41"/>
        <v>300000</v>
      </c>
      <c r="I324" s="98">
        <v>0</v>
      </c>
      <c r="J324" s="98">
        <v>0</v>
      </c>
      <c r="K324" s="107">
        <f t="shared" si="40"/>
        <v>0</v>
      </c>
      <c r="L324" s="108">
        <f t="shared" si="42"/>
        <v>300000</v>
      </c>
    </row>
    <row r="325" spans="1:12" ht="14.25" customHeight="1">
      <c r="A325" s="47" t="s">
        <v>36</v>
      </c>
      <c r="B325" s="71" t="s">
        <v>37</v>
      </c>
      <c r="C325" s="81">
        <f>SUM(C326:C327)</f>
        <v>961408268</v>
      </c>
      <c r="D325" s="81">
        <f>SUM(D326:D327)</f>
        <v>712430000</v>
      </c>
      <c r="E325" s="81">
        <f>SUM(E326:E327)</f>
        <v>115399951.19999993</v>
      </c>
      <c r="F325" s="81">
        <f>SUM(F326:F327)</f>
        <v>588107904.8</v>
      </c>
      <c r="G325" s="70">
        <f t="shared" si="39"/>
        <v>0.7013554818633044</v>
      </c>
      <c r="H325" s="81">
        <f t="shared" si="41"/>
        <v>124322095.20000005</v>
      </c>
      <c r="I325" s="81">
        <f>SUM(I326:I327)</f>
        <v>115399951.19999993</v>
      </c>
      <c r="J325" s="81">
        <f>SUM(J326:J327)</f>
        <v>588107904.8</v>
      </c>
      <c r="K325" s="51">
        <f t="shared" si="40"/>
        <v>0.7513569907159701</v>
      </c>
      <c r="L325" s="91">
        <f t="shared" si="42"/>
        <v>124322095.20000005</v>
      </c>
    </row>
    <row r="326" spans="1:12" ht="14.25" customHeight="1">
      <c r="A326" s="52" t="s">
        <v>38</v>
      </c>
      <c r="B326" s="66" t="s">
        <v>40</v>
      </c>
      <c r="C326" s="82">
        <v>249078268</v>
      </c>
      <c r="D326" s="82">
        <v>100000</v>
      </c>
      <c r="E326" s="82">
        <f>F326-91.5</f>
        <v>0</v>
      </c>
      <c r="F326" s="82">
        <v>91.5</v>
      </c>
      <c r="G326" s="64">
        <f t="shared" si="39"/>
        <v>1.0911947631840836E-07</v>
      </c>
      <c r="H326" s="82">
        <f t="shared" si="41"/>
        <v>99908.5</v>
      </c>
      <c r="I326" s="82">
        <f>J326-91.5</f>
        <v>0</v>
      </c>
      <c r="J326" s="82">
        <v>91.5</v>
      </c>
      <c r="K326" s="56">
        <f t="shared" si="40"/>
        <v>1.1689889574582582E-07</v>
      </c>
      <c r="L326" s="92">
        <f t="shared" si="42"/>
        <v>99908.5</v>
      </c>
    </row>
    <row r="327" spans="1:12" ht="14.25" customHeight="1">
      <c r="A327" s="52" t="s">
        <v>28</v>
      </c>
      <c r="B327" s="66" t="s">
        <v>33</v>
      </c>
      <c r="C327" s="82">
        <v>712330000</v>
      </c>
      <c r="D327" s="82">
        <v>712330000</v>
      </c>
      <c r="E327" s="82">
        <f>F327-472707862.1</f>
        <v>115399951.19999993</v>
      </c>
      <c r="F327" s="82">
        <v>588107813.3</v>
      </c>
      <c r="G327" s="64">
        <f t="shared" si="39"/>
        <v>0.7013553727438281</v>
      </c>
      <c r="H327" s="82">
        <f t="shared" si="41"/>
        <v>124222186.70000005</v>
      </c>
      <c r="I327" s="82">
        <f>J327-472707862.1</f>
        <v>115399951.19999993</v>
      </c>
      <c r="J327" s="82">
        <v>588107813.3</v>
      </c>
      <c r="K327" s="56">
        <f t="shared" si="40"/>
        <v>0.7513568738170743</v>
      </c>
      <c r="L327" s="92">
        <f t="shared" si="42"/>
        <v>124222186.70000005</v>
      </c>
    </row>
    <row r="328" spans="1:12" ht="14.25" customHeight="1">
      <c r="A328" s="47" t="s">
        <v>42</v>
      </c>
      <c r="B328" s="71" t="s">
        <v>43</v>
      </c>
      <c r="C328" s="81">
        <f>SUM(C329:C333)</f>
        <v>472132239</v>
      </c>
      <c r="D328" s="81">
        <f>SUM(D329:D333)</f>
        <v>464388742.58</v>
      </c>
      <c r="E328" s="81">
        <f>SUM(E329:E333)</f>
        <v>41905042.67000002</v>
      </c>
      <c r="F328" s="81">
        <f>SUM(F329:F333)</f>
        <v>419126402.69</v>
      </c>
      <c r="G328" s="70">
        <f t="shared" si="39"/>
        <v>0.49983446527596875</v>
      </c>
      <c r="H328" s="81">
        <f t="shared" si="41"/>
        <v>45262339.889999986</v>
      </c>
      <c r="I328" s="81">
        <f>SUM(I329+I330+I331+I332+I333)</f>
        <v>78739902.21000004</v>
      </c>
      <c r="J328" s="81">
        <f>SUM(J329:J333)</f>
        <v>387095899.72</v>
      </c>
      <c r="K328" s="51">
        <f t="shared" si="40"/>
        <v>0.4945473576503271</v>
      </c>
      <c r="L328" s="91">
        <f t="shared" si="42"/>
        <v>77292842.85999995</v>
      </c>
    </row>
    <row r="329" spans="1:12" ht="14.25" customHeight="1">
      <c r="A329" s="52" t="s">
        <v>44</v>
      </c>
      <c r="B329" s="66" t="s">
        <v>45</v>
      </c>
      <c r="C329" s="81">
        <v>0</v>
      </c>
      <c r="D329" s="82">
        <v>0</v>
      </c>
      <c r="E329" s="82">
        <f>F329-0</f>
        <v>0</v>
      </c>
      <c r="F329" s="82">
        <v>0</v>
      </c>
      <c r="G329" s="70">
        <f t="shared" si="39"/>
        <v>0</v>
      </c>
      <c r="H329" s="81">
        <f t="shared" si="41"/>
        <v>0</v>
      </c>
      <c r="I329" s="81">
        <f>J329-0</f>
        <v>0</v>
      </c>
      <c r="J329" s="81">
        <v>0</v>
      </c>
      <c r="K329" s="51">
        <f t="shared" si="40"/>
        <v>0</v>
      </c>
      <c r="L329" s="91">
        <f t="shared" si="42"/>
        <v>0</v>
      </c>
    </row>
    <row r="330" spans="1:12" ht="14.25" customHeight="1">
      <c r="A330" s="52" t="s">
        <v>228</v>
      </c>
      <c r="B330" s="66" t="s">
        <v>229</v>
      </c>
      <c r="C330" s="82">
        <v>100000</v>
      </c>
      <c r="D330" s="82">
        <v>100000</v>
      </c>
      <c r="E330" s="82">
        <f>F330-0</f>
        <v>0</v>
      </c>
      <c r="F330" s="82">
        <v>0</v>
      </c>
      <c r="G330" s="64">
        <f t="shared" si="39"/>
        <v>0</v>
      </c>
      <c r="H330" s="82">
        <f t="shared" si="41"/>
        <v>100000</v>
      </c>
      <c r="I330" s="82">
        <f>J330-0</f>
        <v>387017950.1</v>
      </c>
      <c r="J330" s="82">
        <v>387017950.1</v>
      </c>
      <c r="K330" s="56">
        <f t="shared" si="40"/>
        <v>0.49444777049730193</v>
      </c>
      <c r="L330" s="92">
        <f t="shared" si="42"/>
        <v>-386917950.1</v>
      </c>
    </row>
    <row r="331" spans="1:12" ht="14.25" customHeight="1">
      <c r="A331" s="52" t="s">
        <v>28</v>
      </c>
      <c r="B331" s="66" t="s">
        <v>33</v>
      </c>
      <c r="C331" s="82">
        <v>466308954</v>
      </c>
      <c r="D331" s="82">
        <v>457583954</v>
      </c>
      <c r="E331" s="82">
        <f>F331-377066779.14</f>
        <v>41905042.67000002</v>
      </c>
      <c r="F331" s="82">
        <v>418971821.81</v>
      </c>
      <c r="G331" s="64">
        <f t="shared" si="39"/>
        <v>0.49965011790247765</v>
      </c>
      <c r="H331" s="82">
        <f t="shared" si="41"/>
        <v>38612132.19</v>
      </c>
      <c r="I331" s="82">
        <f>J331-308316840.71</f>
        <v>-308316840.71</v>
      </c>
      <c r="J331" s="82">
        <v>0</v>
      </c>
      <c r="K331" s="56">
        <f t="shared" si="40"/>
        <v>0</v>
      </c>
      <c r="L331" s="92">
        <f t="shared" si="42"/>
        <v>457583954</v>
      </c>
    </row>
    <row r="332" spans="1:12" ht="14.25" customHeight="1">
      <c r="A332" s="52" t="s">
        <v>50</v>
      </c>
      <c r="B332" s="66" t="s">
        <v>57</v>
      </c>
      <c r="C332" s="82">
        <v>0</v>
      </c>
      <c r="D332" s="82">
        <v>481503.58</v>
      </c>
      <c r="E332" s="82">
        <f>F332-129474.88</f>
        <v>0</v>
      </c>
      <c r="F332" s="82">
        <v>129474.88</v>
      </c>
      <c r="G332" s="64">
        <f t="shared" si="39"/>
        <v>0.00015440689728949468</v>
      </c>
      <c r="H332" s="82">
        <f t="shared" si="41"/>
        <v>352028.7</v>
      </c>
      <c r="I332" s="82">
        <f>J332-30210.8</f>
        <v>36992.81999999999</v>
      </c>
      <c r="J332" s="82">
        <v>67203.62</v>
      </c>
      <c r="K332" s="56">
        <f t="shared" si="40"/>
        <v>8.585824008876606E-05</v>
      </c>
      <c r="L332" s="92">
        <f t="shared" si="42"/>
        <v>414299.96</v>
      </c>
    </row>
    <row r="333" spans="1:12" ht="14.25" customHeight="1">
      <c r="A333" s="52" t="s">
        <v>29</v>
      </c>
      <c r="B333" s="66" t="s">
        <v>262</v>
      </c>
      <c r="C333" s="82">
        <v>5723285</v>
      </c>
      <c r="D333" s="82">
        <v>6223285</v>
      </c>
      <c r="E333" s="82">
        <f>F333-25106</f>
        <v>0</v>
      </c>
      <c r="F333" s="82">
        <v>25106</v>
      </c>
      <c r="G333" s="64">
        <f t="shared" si="39"/>
        <v>2.994047620163891E-05</v>
      </c>
      <c r="H333" s="82">
        <f t="shared" si="41"/>
        <v>6198179</v>
      </c>
      <c r="I333" s="82">
        <f>J333-8946</f>
        <v>1800</v>
      </c>
      <c r="J333" s="82">
        <v>10746</v>
      </c>
      <c r="K333" s="56">
        <f t="shared" si="40"/>
        <v>1.3728912936444201E-05</v>
      </c>
      <c r="L333" s="92">
        <f t="shared" si="42"/>
        <v>6212539</v>
      </c>
    </row>
    <row r="334" spans="1:12" ht="14.25" customHeight="1">
      <c r="A334" s="47" t="s">
        <v>46</v>
      </c>
      <c r="B334" s="71" t="s">
        <v>47</v>
      </c>
      <c r="C334" s="81">
        <f>SUM(C335:C342)</f>
        <v>186186228</v>
      </c>
      <c r="D334" s="81">
        <f>SUM(D335:D342)</f>
        <v>164159480.5</v>
      </c>
      <c r="E334" s="81">
        <f>SUM(E335:E342)</f>
        <v>27006823.349999994</v>
      </c>
      <c r="F334" s="81">
        <f>SUM(F335:F342)</f>
        <v>139723082.92</v>
      </c>
      <c r="G334" s="70">
        <f t="shared" si="39"/>
        <v>0.16662852063195568</v>
      </c>
      <c r="H334" s="81">
        <f t="shared" si="41"/>
        <v>24436397.580000013</v>
      </c>
      <c r="I334" s="81">
        <f>SUM(I335:I342)</f>
        <v>27732637.77000001</v>
      </c>
      <c r="J334" s="81">
        <f>SUM(J335:J342)</f>
        <v>134607679.65</v>
      </c>
      <c r="K334" s="51">
        <f t="shared" si="40"/>
        <v>0.17197255857915708</v>
      </c>
      <c r="L334" s="91">
        <f t="shared" si="42"/>
        <v>29551800.849999994</v>
      </c>
    </row>
    <row r="335" spans="1:12" ht="14.25" customHeight="1">
      <c r="A335" s="52" t="s">
        <v>28</v>
      </c>
      <c r="B335" s="66" t="s">
        <v>33</v>
      </c>
      <c r="C335" s="82">
        <v>186186228</v>
      </c>
      <c r="D335" s="82">
        <v>163814159.96</v>
      </c>
      <c r="E335" s="82">
        <f>F335-112666199.8</f>
        <v>26742669.459999993</v>
      </c>
      <c r="F335" s="98">
        <v>139408869.26</v>
      </c>
      <c r="G335" s="64">
        <f t="shared" si="39"/>
        <v>0.16625380117806182</v>
      </c>
      <c r="H335" s="82">
        <f t="shared" si="41"/>
        <v>24405290.700000018</v>
      </c>
      <c r="I335" s="82">
        <f>J335-106851347.65</f>
        <v>27463646.21000001</v>
      </c>
      <c r="J335" s="82">
        <v>134314993.86</v>
      </c>
      <c r="K335" s="56">
        <f t="shared" si="40"/>
        <v>0.1715986280255888</v>
      </c>
      <c r="L335" s="92">
        <f t="shared" si="42"/>
        <v>29499166.099999994</v>
      </c>
    </row>
    <row r="336" spans="1:12" ht="14.25" customHeight="1">
      <c r="A336" s="52" t="s">
        <v>39</v>
      </c>
      <c r="B336" s="66" t="s">
        <v>41</v>
      </c>
      <c r="C336" s="82">
        <v>0</v>
      </c>
      <c r="D336" s="82">
        <v>0</v>
      </c>
      <c r="E336" s="82">
        <f aca="true" t="shared" si="43" ref="E336:E342">F336-0</f>
        <v>0</v>
      </c>
      <c r="F336" s="82">
        <v>0</v>
      </c>
      <c r="G336" s="64">
        <f t="shared" si="39"/>
        <v>0</v>
      </c>
      <c r="H336" s="82">
        <f t="shared" si="41"/>
        <v>0</v>
      </c>
      <c r="I336" s="82">
        <f aca="true" t="shared" si="44" ref="I336:I342">J336-0</f>
        <v>0</v>
      </c>
      <c r="J336" s="82">
        <v>0</v>
      </c>
      <c r="K336" s="56">
        <f t="shared" si="40"/>
        <v>0</v>
      </c>
      <c r="L336" s="92">
        <f t="shared" si="42"/>
        <v>0</v>
      </c>
    </row>
    <row r="337" spans="1:15" ht="14.25" customHeight="1">
      <c r="A337" s="52" t="s">
        <v>231</v>
      </c>
      <c r="B337" s="66" t="s">
        <v>230</v>
      </c>
      <c r="C337" s="82">
        <v>0</v>
      </c>
      <c r="D337" s="82">
        <v>0</v>
      </c>
      <c r="E337" s="82">
        <f t="shared" si="43"/>
        <v>0</v>
      </c>
      <c r="F337" s="82">
        <v>0</v>
      </c>
      <c r="G337" s="64">
        <f t="shared" si="39"/>
        <v>0</v>
      </c>
      <c r="H337" s="82">
        <f t="shared" si="41"/>
        <v>0</v>
      </c>
      <c r="I337" s="82">
        <f t="shared" si="44"/>
        <v>0</v>
      </c>
      <c r="J337" s="82">
        <v>0</v>
      </c>
      <c r="K337" s="56">
        <f t="shared" si="40"/>
        <v>0</v>
      </c>
      <c r="L337" s="92">
        <f t="shared" si="42"/>
        <v>0</v>
      </c>
      <c r="N337" s="117"/>
      <c r="O337" s="117"/>
    </row>
    <row r="338" spans="1:15" ht="14.25" customHeight="1">
      <c r="A338" s="52" t="s">
        <v>49</v>
      </c>
      <c r="B338" s="66" t="s">
        <v>56</v>
      </c>
      <c r="C338" s="82">
        <v>0</v>
      </c>
      <c r="D338" s="82">
        <v>51991.92</v>
      </c>
      <c r="E338" s="82">
        <f>F338-50059.77</f>
        <v>1932.1100000000006</v>
      </c>
      <c r="F338" s="82">
        <v>51991.88</v>
      </c>
      <c r="G338" s="64">
        <f t="shared" si="39"/>
        <v>6.200357069300031E-05</v>
      </c>
      <c r="H338" s="82">
        <f t="shared" si="41"/>
        <v>0.040000000000873115</v>
      </c>
      <c r="I338" s="82">
        <f>J338-23694.23</f>
        <v>6769.779999999999</v>
      </c>
      <c r="J338" s="82">
        <v>30464.01</v>
      </c>
      <c r="K338" s="56">
        <f t="shared" si="40"/>
        <v>3.892031834961525E-05</v>
      </c>
      <c r="L338" s="92">
        <f t="shared" si="42"/>
        <v>21527.91</v>
      </c>
      <c r="N338" s="114"/>
      <c r="O338" s="114"/>
    </row>
    <row r="339" spans="1:12" ht="14.25" customHeight="1">
      <c r="A339" s="52" t="s">
        <v>235</v>
      </c>
      <c r="B339" s="66" t="s">
        <v>234</v>
      </c>
      <c r="C339" s="82">
        <v>0</v>
      </c>
      <c r="D339" s="82">
        <v>31106.84</v>
      </c>
      <c r="E339" s="82">
        <f t="shared" si="43"/>
        <v>0</v>
      </c>
      <c r="F339" s="82">
        <v>0</v>
      </c>
      <c r="G339" s="64">
        <f t="shared" si="39"/>
        <v>0</v>
      </c>
      <c r="H339" s="82">
        <f t="shared" si="41"/>
        <v>31106.84</v>
      </c>
      <c r="I339" s="82">
        <f t="shared" si="44"/>
        <v>0</v>
      </c>
      <c r="J339" s="82">
        <v>0</v>
      </c>
      <c r="K339" s="56">
        <f t="shared" si="40"/>
        <v>0</v>
      </c>
      <c r="L339" s="92">
        <f t="shared" si="42"/>
        <v>31106.84</v>
      </c>
    </row>
    <row r="340" spans="1:12" ht="14.25" customHeight="1">
      <c r="A340" s="52" t="s">
        <v>164</v>
      </c>
      <c r="B340" s="66" t="s">
        <v>165</v>
      </c>
      <c r="C340" s="82">
        <v>0</v>
      </c>
      <c r="D340" s="82">
        <v>262221.78</v>
      </c>
      <c r="E340" s="82">
        <f>F340-0</f>
        <v>262221.78</v>
      </c>
      <c r="F340" s="82">
        <v>262221.78</v>
      </c>
      <c r="G340" s="64">
        <v>0</v>
      </c>
      <c r="H340" s="82">
        <v>0</v>
      </c>
      <c r="I340" s="82">
        <f>J340-0</f>
        <v>262221.78</v>
      </c>
      <c r="J340" s="82">
        <v>262221.78</v>
      </c>
      <c r="K340" s="56">
        <v>0</v>
      </c>
      <c r="L340" s="92">
        <v>0</v>
      </c>
    </row>
    <row r="341" spans="1:12" ht="14.25" customHeight="1">
      <c r="A341" s="52" t="s">
        <v>96</v>
      </c>
      <c r="B341" s="66" t="s">
        <v>102</v>
      </c>
      <c r="C341" s="82">
        <v>0</v>
      </c>
      <c r="D341" s="82">
        <v>0</v>
      </c>
      <c r="E341" s="82">
        <f t="shared" si="43"/>
        <v>0</v>
      </c>
      <c r="F341" s="82">
        <v>0</v>
      </c>
      <c r="G341" s="64">
        <f t="shared" si="39"/>
        <v>0</v>
      </c>
      <c r="H341" s="82">
        <f t="shared" si="41"/>
        <v>0</v>
      </c>
      <c r="I341" s="82">
        <f t="shared" si="44"/>
        <v>0</v>
      </c>
      <c r="J341" s="82">
        <v>0</v>
      </c>
      <c r="K341" s="56">
        <f t="shared" si="40"/>
        <v>0</v>
      </c>
      <c r="L341" s="92">
        <f t="shared" si="42"/>
        <v>0</v>
      </c>
    </row>
    <row r="342" spans="1:12" ht="14.25" customHeight="1">
      <c r="A342" s="52" t="s">
        <v>97</v>
      </c>
      <c r="B342" s="66" t="s">
        <v>236</v>
      </c>
      <c r="C342" s="82">
        <v>0</v>
      </c>
      <c r="D342" s="82">
        <v>0</v>
      </c>
      <c r="E342" s="82">
        <f t="shared" si="43"/>
        <v>0</v>
      </c>
      <c r="F342" s="82">
        <v>0</v>
      </c>
      <c r="G342" s="64">
        <f t="shared" si="39"/>
        <v>0</v>
      </c>
      <c r="H342" s="82">
        <f t="shared" si="41"/>
        <v>0</v>
      </c>
      <c r="I342" s="82">
        <f t="shared" si="44"/>
        <v>0</v>
      </c>
      <c r="J342" s="82">
        <v>0</v>
      </c>
      <c r="K342" s="56">
        <f t="shared" si="40"/>
        <v>0</v>
      </c>
      <c r="L342" s="92">
        <f t="shared" si="42"/>
        <v>0</v>
      </c>
    </row>
    <row r="343" spans="1:12" ht="14.25" customHeight="1">
      <c r="A343" s="47" t="s">
        <v>63</v>
      </c>
      <c r="B343" s="71" t="s">
        <v>62</v>
      </c>
      <c r="C343" s="81">
        <f>SUM(C344:C348)</f>
        <v>899894003</v>
      </c>
      <c r="D343" s="81">
        <f>SUM(D344:D348)</f>
        <v>972782995.19</v>
      </c>
      <c r="E343" s="81">
        <f>SUM(E344:E348)</f>
        <v>170972510.22000003</v>
      </c>
      <c r="F343" s="81">
        <f>SUM(F344:F348)</f>
        <v>841448616.62</v>
      </c>
      <c r="G343" s="70">
        <f t="shared" si="39"/>
        <v>1.003480135458181</v>
      </c>
      <c r="H343" s="81">
        <f t="shared" si="41"/>
        <v>131334378.57000005</v>
      </c>
      <c r="I343" s="81">
        <f>SUM(I344:I348)</f>
        <v>173142217.50000006</v>
      </c>
      <c r="J343" s="81">
        <f>SUM(J344:J348)</f>
        <v>837810408.2</v>
      </c>
      <c r="K343" s="51">
        <f t="shared" si="40"/>
        <v>1.0703728039665528</v>
      </c>
      <c r="L343" s="91">
        <f t="shared" si="42"/>
        <v>134972586.99</v>
      </c>
    </row>
    <row r="344" spans="1:12" ht="14.25" customHeight="1">
      <c r="A344" s="52" t="s">
        <v>28</v>
      </c>
      <c r="B344" s="66" t="s">
        <v>33</v>
      </c>
      <c r="C344" s="82">
        <v>757785252</v>
      </c>
      <c r="D344" s="82">
        <v>842736793.19</v>
      </c>
      <c r="E344" s="82">
        <f>F344-629742102.27</f>
        <v>170972510.22000003</v>
      </c>
      <c r="F344" s="82">
        <v>800714612.49</v>
      </c>
      <c r="G344" s="64">
        <f t="shared" si="39"/>
        <v>0.9549022862885911</v>
      </c>
      <c r="H344" s="82">
        <f t="shared" si="41"/>
        <v>42022180.70000005</v>
      </c>
      <c r="I344" s="82">
        <f>J344-624754012.67</f>
        <v>173117208.81000006</v>
      </c>
      <c r="J344" s="82">
        <v>797871221.48</v>
      </c>
      <c r="K344" s="56">
        <f t="shared" si="40"/>
        <v>1.0193471556107676</v>
      </c>
      <c r="L344" s="92">
        <f t="shared" si="42"/>
        <v>44865571.71000004</v>
      </c>
    </row>
    <row r="345" spans="1:12" ht="14.25" customHeight="1">
      <c r="A345" s="52" t="s">
        <v>49</v>
      </c>
      <c r="B345" s="66" t="s">
        <v>56</v>
      </c>
      <c r="C345" s="82">
        <v>140046202</v>
      </c>
      <c r="D345" s="82">
        <v>130046202</v>
      </c>
      <c r="E345" s="82">
        <f>F345-40734004.13</f>
        <v>0</v>
      </c>
      <c r="F345" s="82">
        <v>40734004.13</v>
      </c>
      <c r="G345" s="64">
        <f t="shared" si="39"/>
        <v>0.04857784916958999</v>
      </c>
      <c r="H345" s="82">
        <f t="shared" si="41"/>
        <v>89312197.87</v>
      </c>
      <c r="I345" s="82">
        <f>J345-39914178.03</f>
        <v>25008.689999997616</v>
      </c>
      <c r="J345" s="82">
        <v>39939186.72</v>
      </c>
      <c r="K345" s="56">
        <f t="shared" si="40"/>
        <v>0.051025648355785255</v>
      </c>
      <c r="L345" s="92">
        <f t="shared" si="42"/>
        <v>90107015.28</v>
      </c>
    </row>
    <row r="346" spans="1:12" ht="14.25" customHeight="1">
      <c r="A346" s="52" t="s">
        <v>29</v>
      </c>
      <c r="B346" s="66" t="s">
        <v>34</v>
      </c>
      <c r="C346" s="82">
        <v>2062549</v>
      </c>
      <c r="D346" s="82">
        <v>0</v>
      </c>
      <c r="E346" s="82">
        <f>F346-0</f>
        <v>0</v>
      </c>
      <c r="F346" s="82">
        <v>0</v>
      </c>
      <c r="G346" s="64">
        <f t="shared" si="39"/>
        <v>0</v>
      </c>
      <c r="H346" s="82">
        <f t="shared" si="41"/>
        <v>0</v>
      </c>
      <c r="I346" s="82">
        <f>J346-0</f>
        <v>0</v>
      </c>
      <c r="J346" s="82">
        <v>0</v>
      </c>
      <c r="K346" s="56">
        <f t="shared" si="40"/>
        <v>0</v>
      </c>
      <c r="L346" s="92">
        <f t="shared" si="42"/>
        <v>0</v>
      </c>
    </row>
    <row r="347" spans="1:12" ht="14.25" customHeight="1">
      <c r="A347" s="52" t="s">
        <v>64</v>
      </c>
      <c r="B347" s="66" t="s">
        <v>72</v>
      </c>
      <c r="C347" s="82">
        <v>0</v>
      </c>
      <c r="D347" s="82">
        <v>0</v>
      </c>
      <c r="E347" s="82">
        <f>F347-0</f>
        <v>0</v>
      </c>
      <c r="F347" s="82">
        <v>0</v>
      </c>
      <c r="G347" s="64">
        <f t="shared" si="39"/>
        <v>0</v>
      </c>
      <c r="H347" s="82">
        <f t="shared" si="41"/>
        <v>0</v>
      </c>
      <c r="I347" s="82">
        <f>J347-0</f>
        <v>0</v>
      </c>
      <c r="J347" s="82">
        <v>0</v>
      </c>
      <c r="K347" s="56">
        <f t="shared" si="40"/>
        <v>0</v>
      </c>
      <c r="L347" s="92">
        <f t="shared" si="42"/>
        <v>0</v>
      </c>
    </row>
    <row r="348" spans="1:12" ht="14.25" customHeight="1">
      <c r="A348" s="52" t="s">
        <v>65</v>
      </c>
      <c r="B348" s="66" t="s">
        <v>73</v>
      </c>
      <c r="C348" s="82">
        <v>0</v>
      </c>
      <c r="D348" s="82">
        <v>0</v>
      </c>
      <c r="E348" s="82">
        <f>F348-0</f>
        <v>0</v>
      </c>
      <c r="F348" s="82">
        <v>0</v>
      </c>
      <c r="G348" s="64">
        <f t="shared" si="39"/>
        <v>0</v>
      </c>
      <c r="H348" s="82">
        <f t="shared" si="41"/>
        <v>0</v>
      </c>
      <c r="I348" s="82">
        <f>J348-0</f>
        <v>0</v>
      </c>
      <c r="J348" s="82">
        <v>0</v>
      </c>
      <c r="K348" s="56">
        <f t="shared" si="40"/>
        <v>0</v>
      </c>
      <c r="L348" s="92">
        <f t="shared" si="42"/>
        <v>0</v>
      </c>
    </row>
    <row r="349" spans="1:12" ht="14.25" customHeight="1">
      <c r="A349" s="47" t="s">
        <v>81</v>
      </c>
      <c r="B349" s="71" t="s">
        <v>80</v>
      </c>
      <c r="C349" s="81">
        <f>SUM(C350:C352)</f>
        <v>7124982</v>
      </c>
      <c r="D349" s="81">
        <f>SUM(D350:D352)</f>
        <v>7249179.44</v>
      </c>
      <c r="E349" s="81">
        <f>SUM(E350:E352)</f>
        <v>1319594.9200000006</v>
      </c>
      <c r="F349" s="81">
        <f>SUM(F350:F352)</f>
        <v>5861438.07</v>
      </c>
      <c r="G349" s="70">
        <f t="shared" si="39"/>
        <v>0.006990131723182319</v>
      </c>
      <c r="H349" s="81">
        <f t="shared" si="41"/>
        <v>1387741.37</v>
      </c>
      <c r="I349" s="81">
        <f>SUM(I350:I352)</f>
        <v>1107306.1400000001</v>
      </c>
      <c r="J349" s="81">
        <f>SUM(J350:J352)</f>
        <v>5257656.65</v>
      </c>
      <c r="K349" s="51">
        <f t="shared" si="40"/>
        <v>0.00671709570049943</v>
      </c>
      <c r="L349" s="91">
        <f t="shared" si="42"/>
        <v>1991522.79</v>
      </c>
    </row>
    <row r="350" spans="1:12" ht="14.25" customHeight="1">
      <c r="A350" s="52" t="s">
        <v>28</v>
      </c>
      <c r="B350" s="66" t="s">
        <v>33</v>
      </c>
      <c r="C350" s="82">
        <v>6802885</v>
      </c>
      <c r="D350" s="82">
        <v>6678116.4</v>
      </c>
      <c r="E350" s="82">
        <f>F350-4198962.05</f>
        <v>1194643.5600000005</v>
      </c>
      <c r="F350" s="82">
        <v>5393605.61</v>
      </c>
      <c r="G350" s="64">
        <f t="shared" si="39"/>
        <v>0.00643221223640688</v>
      </c>
      <c r="H350" s="82">
        <f t="shared" si="41"/>
        <v>1284510.79</v>
      </c>
      <c r="I350" s="82">
        <f>J350-3936216.01</f>
        <v>1045308.4100000001</v>
      </c>
      <c r="J350" s="82">
        <v>4981524.42</v>
      </c>
      <c r="K350" s="56">
        <f t="shared" si="40"/>
        <v>0.006364313703047709</v>
      </c>
      <c r="L350" s="92">
        <f t="shared" si="42"/>
        <v>1696591.9800000004</v>
      </c>
    </row>
    <row r="351" spans="1:12" ht="14.25" customHeight="1">
      <c r="A351" s="52" t="s">
        <v>82</v>
      </c>
      <c r="B351" s="66" t="s">
        <v>84</v>
      </c>
      <c r="C351" s="82">
        <v>322097</v>
      </c>
      <c r="D351" s="82">
        <v>571063.04</v>
      </c>
      <c r="E351" s="82">
        <f>F351-342881.1</f>
        <v>124951.36000000004</v>
      </c>
      <c r="F351" s="82">
        <v>467832.46</v>
      </c>
      <c r="G351" s="64">
        <f t="shared" si="39"/>
        <v>0.0005579194867754397</v>
      </c>
      <c r="H351" s="82">
        <f t="shared" si="41"/>
        <v>103230.58000000002</v>
      </c>
      <c r="I351" s="82">
        <f>J351-214134.5</f>
        <v>61997.72999999998</v>
      </c>
      <c r="J351" s="82">
        <v>276132.23</v>
      </c>
      <c r="K351" s="56">
        <f t="shared" si="40"/>
        <v>0.0003527819974517202</v>
      </c>
      <c r="L351" s="92">
        <f t="shared" si="42"/>
        <v>294930.81000000006</v>
      </c>
    </row>
    <row r="352" spans="1:12" ht="14.25" customHeight="1">
      <c r="A352" s="52" t="s">
        <v>83</v>
      </c>
      <c r="B352" s="66" t="s">
        <v>263</v>
      </c>
      <c r="C352" s="82">
        <v>0</v>
      </c>
      <c r="D352" s="82">
        <v>0</v>
      </c>
      <c r="E352" s="82">
        <f>F352-0</f>
        <v>0</v>
      </c>
      <c r="F352" s="82">
        <v>0</v>
      </c>
      <c r="G352" s="64">
        <f t="shared" si="39"/>
        <v>0</v>
      </c>
      <c r="H352" s="82">
        <f t="shared" si="41"/>
        <v>0</v>
      </c>
      <c r="I352" s="82">
        <f>J352-0</f>
        <v>0</v>
      </c>
      <c r="J352" s="82">
        <v>0</v>
      </c>
      <c r="K352" s="56">
        <f t="shared" si="40"/>
        <v>0</v>
      </c>
      <c r="L352" s="92">
        <f t="shared" si="42"/>
        <v>0</v>
      </c>
    </row>
    <row r="353" spans="1:12" ht="14.25" customHeight="1">
      <c r="A353" s="47" t="s">
        <v>87</v>
      </c>
      <c r="B353" s="71" t="s">
        <v>86</v>
      </c>
      <c r="C353" s="81">
        <f>C354</f>
        <v>509251810</v>
      </c>
      <c r="D353" s="81">
        <f>D354</f>
        <v>514469733.39</v>
      </c>
      <c r="E353" s="81">
        <f>E354</f>
        <v>1423712.2800000012</v>
      </c>
      <c r="F353" s="81">
        <f>F354</f>
        <v>86332125.13</v>
      </c>
      <c r="G353" s="70">
        <f t="shared" si="39"/>
        <v>0.102956462116294</v>
      </c>
      <c r="H353" s="81">
        <f t="shared" si="41"/>
        <v>428137608.26</v>
      </c>
      <c r="I353" s="81">
        <f>I354</f>
        <v>1474753.1599999964</v>
      </c>
      <c r="J353" s="81">
        <f>J354</f>
        <v>85714960.52</v>
      </c>
      <c r="K353" s="51">
        <f t="shared" si="40"/>
        <v>0.10950802441185854</v>
      </c>
      <c r="L353" s="91">
        <f t="shared" si="42"/>
        <v>428754772.87</v>
      </c>
    </row>
    <row r="354" spans="1:12" ht="14.25" customHeight="1">
      <c r="A354" s="52" t="s">
        <v>28</v>
      </c>
      <c r="B354" s="66" t="s">
        <v>33</v>
      </c>
      <c r="C354" s="82">
        <v>509251810</v>
      </c>
      <c r="D354" s="82">
        <v>514469733.39</v>
      </c>
      <c r="E354" s="82">
        <f>F354-84908412.85</f>
        <v>1423712.2800000012</v>
      </c>
      <c r="F354" s="82">
        <v>86332125.13</v>
      </c>
      <c r="G354" s="64">
        <f t="shared" si="39"/>
        <v>0.102956462116294</v>
      </c>
      <c r="H354" s="82">
        <f t="shared" si="41"/>
        <v>428137608.26</v>
      </c>
      <c r="I354" s="82">
        <f>J354-84240207.36</f>
        <v>1474753.1599999964</v>
      </c>
      <c r="J354" s="82">
        <v>85714960.52</v>
      </c>
      <c r="K354" s="56">
        <f t="shared" si="40"/>
        <v>0.10950802441185854</v>
      </c>
      <c r="L354" s="92">
        <f t="shared" si="42"/>
        <v>428754772.87</v>
      </c>
    </row>
    <row r="355" spans="1:12" ht="14.25" customHeight="1">
      <c r="A355" s="47" t="s">
        <v>90</v>
      </c>
      <c r="B355" s="71" t="s">
        <v>91</v>
      </c>
      <c r="C355" s="81">
        <f>SUM(C356:C359)</f>
        <v>2058597545</v>
      </c>
      <c r="D355" s="81">
        <f>SUM(D356:D359)</f>
        <v>2274795764.2000003</v>
      </c>
      <c r="E355" s="81">
        <f>SUM(E356:E359)</f>
        <v>340879987.24</v>
      </c>
      <c r="F355" s="81">
        <f>SUM(F356:F359)</f>
        <v>2104011671.9299998</v>
      </c>
      <c r="G355" s="70">
        <f t="shared" si="39"/>
        <v>2.509165593539021</v>
      </c>
      <c r="H355" s="81">
        <f t="shared" si="41"/>
        <v>170784092.27000046</v>
      </c>
      <c r="I355" s="81">
        <f>SUM(I356:I359)</f>
        <v>340877655.31</v>
      </c>
      <c r="J355" s="81">
        <f>SUM(J356:J359)</f>
        <v>1999253106.78</v>
      </c>
      <c r="K355" s="51">
        <f t="shared" si="40"/>
        <v>2.5542129016283455</v>
      </c>
      <c r="L355" s="91">
        <f t="shared" si="42"/>
        <v>275542657.4200003</v>
      </c>
    </row>
    <row r="356" spans="1:12" ht="14.25" customHeight="1">
      <c r="A356" s="52" t="s">
        <v>28</v>
      </c>
      <c r="B356" s="66" t="s">
        <v>33</v>
      </c>
      <c r="C356" s="82">
        <v>155192880</v>
      </c>
      <c r="D356" s="82">
        <v>93003900.9</v>
      </c>
      <c r="E356" s="82">
        <f>F356-71659022.58</f>
        <v>18943033.230000004</v>
      </c>
      <c r="F356" s="82">
        <v>90602055.81</v>
      </c>
      <c r="G356" s="64">
        <f t="shared" si="39"/>
        <v>0.10804862167604816</v>
      </c>
      <c r="H356" s="82">
        <f t="shared" si="41"/>
        <v>2401845.0900000036</v>
      </c>
      <c r="I356" s="82">
        <f>J356-71467781.39</f>
        <v>18940701.299999997</v>
      </c>
      <c r="J356" s="82">
        <v>90408482.69</v>
      </c>
      <c r="K356" s="56">
        <f t="shared" si="40"/>
        <v>0.11550439117504491</v>
      </c>
      <c r="L356" s="92">
        <f t="shared" si="42"/>
        <v>2595418.2100000083</v>
      </c>
    </row>
    <row r="357" spans="1:12" ht="14.25" customHeight="1">
      <c r="A357" s="52" t="s">
        <v>67</v>
      </c>
      <c r="B357" s="66" t="s">
        <v>75</v>
      </c>
      <c r="C357" s="82">
        <v>1903404665</v>
      </c>
      <c r="D357" s="82">
        <v>2181791863.3</v>
      </c>
      <c r="E357" s="82">
        <f>F357-1691472662.11</f>
        <v>321936954.01</v>
      </c>
      <c r="F357" s="82">
        <v>2013409616.12</v>
      </c>
      <c r="G357" s="64">
        <f t="shared" si="39"/>
        <v>2.4011169718629723</v>
      </c>
      <c r="H357" s="82">
        <f t="shared" si="41"/>
        <v>168382247.1800003</v>
      </c>
      <c r="I357" s="82">
        <f>J357-1586907670.08</f>
        <v>321936954.01</v>
      </c>
      <c r="J357" s="82">
        <v>1908844624.09</v>
      </c>
      <c r="K357" s="56">
        <f t="shared" si="40"/>
        <v>2.4387085104533</v>
      </c>
      <c r="L357" s="92">
        <f t="shared" si="42"/>
        <v>272947239.2100003</v>
      </c>
    </row>
    <row r="358" spans="1:12" ht="14.25" customHeight="1">
      <c r="A358" s="52" t="s">
        <v>93</v>
      </c>
      <c r="B358" s="66" t="s">
        <v>99</v>
      </c>
      <c r="C358" s="82">
        <v>0</v>
      </c>
      <c r="D358" s="82">
        <v>0</v>
      </c>
      <c r="E358" s="82">
        <f>F358-0</f>
        <v>0</v>
      </c>
      <c r="F358" s="82">
        <v>0</v>
      </c>
      <c r="G358" s="64">
        <f t="shared" si="39"/>
        <v>0</v>
      </c>
      <c r="H358" s="82">
        <f t="shared" si="41"/>
        <v>0</v>
      </c>
      <c r="I358" s="82">
        <f>J358-0</f>
        <v>0</v>
      </c>
      <c r="J358" s="82">
        <v>0</v>
      </c>
      <c r="K358" s="56">
        <f t="shared" si="40"/>
        <v>0</v>
      </c>
      <c r="L358" s="92">
        <f t="shared" si="42"/>
        <v>0</v>
      </c>
    </row>
    <row r="359" spans="1:12" ht="14.25" customHeight="1">
      <c r="A359" s="52" t="s">
        <v>94</v>
      </c>
      <c r="B359" s="66" t="s">
        <v>100</v>
      </c>
      <c r="C359" s="82">
        <v>0</v>
      </c>
      <c r="D359" s="82">
        <v>0</v>
      </c>
      <c r="E359" s="82">
        <f>F359-0</f>
        <v>0</v>
      </c>
      <c r="F359" s="82">
        <v>0</v>
      </c>
      <c r="G359" s="64">
        <f t="shared" si="39"/>
        <v>0</v>
      </c>
      <c r="H359" s="82">
        <f t="shared" si="41"/>
        <v>0</v>
      </c>
      <c r="I359" s="82">
        <f>J359-0</f>
        <v>0</v>
      </c>
      <c r="J359" s="82">
        <v>0</v>
      </c>
      <c r="K359" s="56">
        <f t="shared" si="40"/>
        <v>0</v>
      </c>
      <c r="L359" s="92">
        <f t="shared" si="42"/>
        <v>0</v>
      </c>
    </row>
    <row r="360" spans="1:12" ht="14.25" customHeight="1">
      <c r="A360" s="47" t="s">
        <v>104</v>
      </c>
      <c r="B360" s="71" t="s">
        <v>103</v>
      </c>
      <c r="C360" s="81">
        <f>C361+C362</f>
        <v>547675</v>
      </c>
      <c r="D360" s="81">
        <f>D361+D362</f>
        <v>1407675</v>
      </c>
      <c r="E360" s="81">
        <f>E361+E362</f>
        <v>369720.3300000001</v>
      </c>
      <c r="F360" s="81">
        <f>F361+F362</f>
        <v>1156660.3</v>
      </c>
      <c r="G360" s="70">
        <f t="shared" si="39"/>
        <v>0.001379389794691728</v>
      </c>
      <c r="H360" s="81">
        <f t="shared" si="41"/>
        <v>251014.69999999995</v>
      </c>
      <c r="I360" s="81">
        <f>I361+I362</f>
        <v>224455.01</v>
      </c>
      <c r="J360" s="81">
        <f>J361+J362</f>
        <v>1000694.3</v>
      </c>
      <c r="K360" s="51">
        <f t="shared" si="40"/>
        <v>0.0012784705863294224</v>
      </c>
      <c r="L360" s="91">
        <f t="shared" si="42"/>
        <v>406980.69999999995</v>
      </c>
    </row>
    <row r="361" spans="1:12" ht="14.25" customHeight="1">
      <c r="A361" s="52" t="s">
        <v>28</v>
      </c>
      <c r="B361" s="66" t="s">
        <v>33</v>
      </c>
      <c r="C361" s="82">
        <v>547675</v>
      </c>
      <c r="D361" s="82">
        <v>1407675</v>
      </c>
      <c r="E361" s="82">
        <f>F361-786939.97</f>
        <v>369720.3300000001</v>
      </c>
      <c r="F361" s="82">
        <v>1156660.3</v>
      </c>
      <c r="G361" s="64">
        <f t="shared" si="39"/>
        <v>0.001379389794691728</v>
      </c>
      <c r="H361" s="82">
        <f t="shared" si="41"/>
        <v>251014.69999999995</v>
      </c>
      <c r="I361" s="82">
        <f>J361-776239.29</f>
        <v>224455.01</v>
      </c>
      <c r="J361" s="82">
        <v>1000694.3</v>
      </c>
      <c r="K361" s="56">
        <f t="shared" si="40"/>
        <v>0.0012784705863294224</v>
      </c>
      <c r="L361" s="92">
        <f t="shared" si="42"/>
        <v>406980.69999999995</v>
      </c>
    </row>
    <row r="362" spans="1:12" ht="14.25" customHeight="1">
      <c r="A362" s="52" t="s">
        <v>105</v>
      </c>
      <c r="B362" s="66" t="s">
        <v>107</v>
      </c>
      <c r="C362" s="82">
        <v>0</v>
      </c>
      <c r="D362" s="82">
        <v>0</v>
      </c>
      <c r="E362" s="82">
        <f>F362-0</f>
        <v>0</v>
      </c>
      <c r="F362" s="82">
        <v>0</v>
      </c>
      <c r="G362" s="64">
        <f t="shared" si="39"/>
        <v>0</v>
      </c>
      <c r="H362" s="82">
        <f t="shared" si="41"/>
        <v>0</v>
      </c>
      <c r="I362" s="82">
        <f>J362-0</f>
        <v>0</v>
      </c>
      <c r="J362" s="82">
        <v>0</v>
      </c>
      <c r="K362" s="56">
        <f t="shared" si="40"/>
        <v>0</v>
      </c>
      <c r="L362" s="92">
        <f t="shared" si="42"/>
        <v>0</v>
      </c>
    </row>
    <row r="363" spans="1:12" ht="14.25" customHeight="1">
      <c r="A363" s="47" t="s">
        <v>109</v>
      </c>
      <c r="B363" s="71" t="s">
        <v>110</v>
      </c>
      <c r="C363" s="81">
        <f>SUM(C364:C370)</f>
        <v>1200467332</v>
      </c>
      <c r="D363" s="81">
        <f>SUM(D364:D370)</f>
        <v>989445797.9</v>
      </c>
      <c r="E363" s="81">
        <f>SUM(E364:E370)</f>
        <v>180156971.38000003</v>
      </c>
      <c r="F363" s="81">
        <f>SUM(F364:F370)</f>
        <v>886464542.12</v>
      </c>
      <c r="G363" s="70">
        <f t="shared" si="39"/>
        <v>1.0571644438357601</v>
      </c>
      <c r="H363" s="81">
        <f t="shared" si="41"/>
        <v>102981255.77999997</v>
      </c>
      <c r="I363" s="81">
        <f>SUM(I364:I370)</f>
        <v>181911860.15000007</v>
      </c>
      <c r="J363" s="81">
        <f>SUM(J364:J370)</f>
        <v>881786215.6400001</v>
      </c>
      <c r="K363" s="51">
        <f t="shared" si="40"/>
        <v>1.1265555725924226</v>
      </c>
      <c r="L363" s="91">
        <f t="shared" si="42"/>
        <v>107659582.25999987</v>
      </c>
    </row>
    <row r="364" spans="1:12" ht="14.25" customHeight="1">
      <c r="A364" s="52" t="s">
        <v>28</v>
      </c>
      <c r="B364" s="66" t="s">
        <v>33</v>
      </c>
      <c r="C364" s="82">
        <v>400417720</v>
      </c>
      <c r="D364" s="82">
        <v>408567470.9</v>
      </c>
      <c r="E364" s="82">
        <f>F364-279736638.18</f>
        <v>70038521.06</v>
      </c>
      <c r="F364" s="82">
        <v>349775159.24</v>
      </c>
      <c r="G364" s="64">
        <f t="shared" si="39"/>
        <v>0.4171287672727507</v>
      </c>
      <c r="H364" s="82">
        <f t="shared" si="41"/>
        <v>58792311.65999997</v>
      </c>
      <c r="I364" s="82">
        <f>J364-273324415.02</f>
        <v>71793409.83000004</v>
      </c>
      <c r="J364" s="82">
        <v>345117824.85</v>
      </c>
      <c r="K364" s="56">
        <f t="shared" si="40"/>
        <v>0.4409168593132932</v>
      </c>
      <c r="L364" s="92">
        <f t="shared" si="42"/>
        <v>63449646.04999995</v>
      </c>
    </row>
    <row r="365" spans="1:12" ht="14.25" customHeight="1">
      <c r="A365" s="52" t="s">
        <v>29</v>
      </c>
      <c r="B365" s="66" t="s">
        <v>34</v>
      </c>
      <c r="C365" s="82">
        <v>0</v>
      </c>
      <c r="D365" s="82">
        <v>0</v>
      </c>
      <c r="E365" s="82">
        <f aca="true" t="shared" si="45" ref="E365:E370">F365-0</f>
        <v>0</v>
      </c>
      <c r="F365" s="82">
        <v>0</v>
      </c>
      <c r="G365" s="64">
        <f t="shared" si="39"/>
        <v>0</v>
      </c>
      <c r="H365" s="82">
        <f t="shared" si="41"/>
        <v>0</v>
      </c>
      <c r="I365" s="82">
        <f aca="true" t="shared" si="46" ref="I365:I370">J365-0</f>
        <v>0</v>
      </c>
      <c r="J365" s="82">
        <v>0</v>
      </c>
      <c r="K365" s="56">
        <f t="shared" si="40"/>
        <v>0</v>
      </c>
      <c r="L365" s="92">
        <f t="shared" si="42"/>
        <v>0</v>
      </c>
    </row>
    <row r="366" spans="1:12" ht="14.25" customHeight="1">
      <c r="A366" s="52" t="s">
        <v>82</v>
      </c>
      <c r="B366" s="66" t="s">
        <v>84</v>
      </c>
      <c r="C366" s="82">
        <v>0</v>
      </c>
      <c r="D366" s="82">
        <v>0</v>
      </c>
      <c r="E366" s="82">
        <f t="shared" si="45"/>
        <v>0</v>
      </c>
      <c r="F366" s="82">
        <v>0</v>
      </c>
      <c r="G366" s="64">
        <f t="shared" si="39"/>
        <v>0</v>
      </c>
      <c r="H366" s="82">
        <f t="shared" si="41"/>
        <v>0</v>
      </c>
      <c r="I366" s="82">
        <f t="shared" si="46"/>
        <v>0</v>
      </c>
      <c r="J366" s="82">
        <v>0</v>
      </c>
      <c r="K366" s="56">
        <f t="shared" si="40"/>
        <v>0</v>
      </c>
      <c r="L366" s="92">
        <f t="shared" si="42"/>
        <v>0</v>
      </c>
    </row>
    <row r="367" spans="1:12" ht="14.25" customHeight="1">
      <c r="A367" s="52" t="s">
        <v>111</v>
      </c>
      <c r="B367" s="66" t="s">
        <v>118</v>
      </c>
      <c r="C367" s="82">
        <v>132185335</v>
      </c>
      <c r="D367" s="82">
        <v>132185335</v>
      </c>
      <c r="E367" s="82">
        <f>F367-127499114.97</f>
        <v>4686220.030000001</v>
      </c>
      <c r="F367" s="82">
        <v>132185335</v>
      </c>
      <c r="G367" s="64">
        <f t="shared" si="39"/>
        <v>0.15763928450462705</v>
      </c>
      <c r="H367" s="82">
        <f t="shared" si="41"/>
        <v>0</v>
      </c>
      <c r="I367" s="82">
        <f>J367-127499114.97</f>
        <v>4686220.030000001</v>
      </c>
      <c r="J367" s="82">
        <v>132185335</v>
      </c>
      <c r="K367" s="56">
        <f t="shared" si="40"/>
        <v>0.16887781087750886</v>
      </c>
      <c r="L367" s="92">
        <f t="shared" si="42"/>
        <v>0</v>
      </c>
    </row>
    <row r="368" spans="1:12" ht="14.25" customHeight="1">
      <c r="A368" s="52" t="s">
        <v>112</v>
      </c>
      <c r="B368" s="66" t="s">
        <v>119</v>
      </c>
      <c r="C368" s="82">
        <v>667294065</v>
      </c>
      <c r="D368" s="82">
        <v>448122780</v>
      </c>
      <c r="E368" s="82">
        <f>F368-299050825.5</f>
        <v>105432230.29000002</v>
      </c>
      <c r="F368" s="82">
        <v>404483055.79</v>
      </c>
      <c r="G368" s="64">
        <f t="shared" si="39"/>
        <v>0.48237135767731537</v>
      </c>
      <c r="H368" s="82">
        <f t="shared" si="41"/>
        <v>43639724.20999998</v>
      </c>
      <c r="I368" s="82">
        <f>J368-299050825.5</f>
        <v>105432230.29000002</v>
      </c>
      <c r="J368" s="82">
        <v>404483055.79</v>
      </c>
      <c r="K368" s="56">
        <f t="shared" si="40"/>
        <v>0.5167609024016204</v>
      </c>
      <c r="L368" s="92">
        <f t="shared" si="42"/>
        <v>43639724.20999998</v>
      </c>
    </row>
    <row r="369" spans="1:12" ht="14.25" customHeight="1">
      <c r="A369" s="52" t="s">
        <v>114</v>
      </c>
      <c r="B369" s="66" t="s">
        <v>121</v>
      </c>
      <c r="C369" s="82">
        <v>49789</v>
      </c>
      <c r="D369" s="82">
        <v>49789</v>
      </c>
      <c r="E369" s="82">
        <f>F369-20992.09</f>
        <v>0</v>
      </c>
      <c r="F369" s="82">
        <v>20992.09</v>
      </c>
      <c r="G369" s="64">
        <f t="shared" si="39"/>
        <v>2.503438106698248E-05</v>
      </c>
      <c r="H369" s="82">
        <f t="shared" si="41"/>
        <v>28796.91</v>
      </c>
      <c r="I369" s="82">
        <f t="shared" si="46"/>
        <v>0</v>
      </c>
      <c r="J369" s="82">
        <v>0</v>
      </c>
      <c r="K369" s="56">
        <f t="shared" si="40"/>
        <v>0</v>
      </c>
      <c r="L369" s="92">
        <f t="shared" si="42"/>
        <v>49789</v>
      </c>
    </row>
    <row r="370" spans="1:12" ht="14.25" customHeight="1">
      <c r="A370" s="52" t="s">
        <v>250</v>
      </c>
      <c r="B370" s="66" t="s">
        <v>251</v>
      </c>
      <c r="C370" s="82">
        <v>520423</v>
      </c>
      <c r="D370" s="82">
        <v>520423</v>
      </c>
      <c r="E370" s="82">
        <f t="shared" si="45"/>
        <v>0</v>
      </c>
      <c r="F370" s="82">
        <v>0</v>
      </c>
      <c r="G370" s="64">
        <f t="shared" si="39"/>
        <v>0</v>
      </c>
      <c r="H370" s="82">
        <f t="shared" si="41"/>
        <v>520423</v>
      </c>
      <c r="I370" s="82">
        <f t="shared" si="46"/>
        <v>0</v>
      </c>
      <c r="J370" s="82">
        <v>0</v>
      </c>
      <c r="K370" s="56">
        <f t="shared" si="40"/>
        <v>0</v>
      </c>
      <c r="L370" s="92">
        <f t="shared" si="42"/>
        <v>520423</v>
      </c>
    </row>
    <row r="371" spans="1:12" ht="14.25" customHeight="1">
      <c r="A371" s="47" t="s">
        <v>125</v>
      </c>
      <c r="B371" s="71" t="s">
        <v>126</v>
      </c>
      <c r="C371" s="81">
        <f>SUM(C372:C373)</f>
        <v>13614275</v>
      </c>
      <c r="D371" s="81">
        <f>SUM(D372:D373)</f>
        <v>12285059.7</v>
      </c>
      <c r="E371" s="81">
        <f>SUM(E372:E373)</f>
        <v>1956260.4799999995</v>
      </c>
      <c r="F371" s="81">
        <f>SUM(F372:F373)</f>
        <v>8971107.85</v>
      </c>
      <c r="G371" s="70">
        <f t="shared" si="39"/>
        <v>0.010698607547409424</v>
      </c>
      <c r="H371" s="81">
        <f t="shared" si="41"/>
        <v>3313951.8499999996</v>
      </c>
      <c r="I371" s="81">
        <f>SUM(I372:I373)</f>
        <v>2144552.210000001</v>
      </c>
      <c r="J371" s="81">
        <f>SUM(J372:J373)</f>
        <v>8800009.31</v>
      </c>
      <c r="K371" s="51">
        <f t="shared" si="40"/>
        <v>0.011242747222863243</v>
      </c>
      <c r="L371" s="91">
        <f t="shared" si="42"/>
        <v>3485050.3899999987</v>
      </c>
    </row>
    <row r="372" spans="1:12" ht="14.25" customHeight="1">
      <c r="A372" s="52" t="s">
        <v>28</v>
      </c>
      <c r="B372" s="66" t="s">
        <v>33</v>
      </c>
      <c r="C372" s="82">
        <v>13614275</v>
      </c>
      <c r="D372" s="82">
        <v>12285059.7</v>
      </c>
      <c r="E372" s="82">
        <f>F372-7014847.37</f>
        <v>1956260.4799999995</v>
      </c>
      <c r="F372" s="82">
        <v>8971107.85</v>
      </c>
      <c r="G372" s="64">
        <f t="shared" si="39"/>
        <v>0.010698607547409424</v>
      </c>
      <c r="H372" s="82">
        <f t="shared" si="41"/>
        <v>3313951.8499999996</v>
      </c>
      <c r="I372" s="82">
        <f>J372-6655457.1</f>
        <v>2144552.210000001</v>
      </c>
      <c r="J372" s="82">
        <v>8800009.31</v>
      </c>
      <c r="K372" s="56">
        <f t="shared" si="40"/>
        <v>0.011242747222863243</v>
      </c>
      <c r="L372" s="92">
        <f t="shared" si="42"/>
        <v>3485050.3899999987</v>
      </c>
    </row>
    <row r="373" spans="1:12" ht="14.25" customHeight="1">
      <c r="A373" s="52" t="s">
        <v>117</v>
      </c>
      <c r="B373" s="66" t="s">
        <v>124</v>
      </c>
      <c r="C373" s="82">
        <v>0</v>
      </c>
      <c r="D373" s="82">
        <v>0</v>
      </c>
      <c r="E373" s="82">
        <f>F373-0</f>
        <v>0</v>
      </c>
      <c r="F373" s="82">
        <v>0</v>
      </c>
      <c r="G373" s="64">
        <f t="shared" si="39"/>
        <v>0</v>
      </c>
      <c r="H373" s="82">
        <f t="shared" si="41"/>
        <v>0</v>
      </c>
      <c r="I373" s="82">
        <f>J373-0</f>
        <v>0</v>
      </c>
      <c r="J373" s="82">
        <v>0</v>
      </c>
      <c r="K373" s="56">
        <f t="shared" si="40"/>
        <v>0</v>
      </c>
      <c r="L373" s="92">
        <f t="shared" si="42"/>
        <v>0</v>
      </c>
    </row>
    <row r="374" spans="1:12" ht="14.25" customHeight="1">
      <c r="A374" s="73" t="s">
        <v>129</v>
      </c>
      <c r="B374" s="71" t="s">
        <v>130</v>
      </c>
      <c r="C374" s="81">
        <f>C375</f>
        <v>2074303</v>
      </c>
      <c r="D374" s="81">
        <f>D375+D376</f>
        <v>1865111.77</v>
      </c>
      <c r="E374" s="81">
        <f>E375+E376</f>
        <v>376229.5299999999</v>
      </c>
      <c r="F374" s="81">
        <f>F375+F376</f>
        <v>1260103.93</v>
      </c>
      <c r="G374" s="70">
        <f t="shared" si="39"/>
        <v>0.0015027527972499267</v>
      </c>
      <c r="H374" s="81">
        <f t="shared" si="41"/>
        <v>605007.8400000001</v>
      </c>
      <c r="I374" s="81">
        <f>I375</f>
        <v>363806.05999999994</v>
      </c>
      <c r="J374" s="81">
        <f>J375</f>
        <v>1247680.46</v>
      </c>
      <c r="K374" s="51">
        <f t="shared" si="40"/>
        <v>0.0015940160439086777</v>
      </c>
      <c r="L374" s="91">
        <f t="shared" si="42"/>
        <v>617431.31</v>
      </c>
    </row>
    <row r="375" spans="1:12" ht="14.25" customHeight="1">
      <c r="A375" s="61" t="s">
        <v>28</v>
      </c>
      <c r="B375" s="66" t="s">
        <v>33</v>
      </c>
      <c r="C375" s="82">
        <v>2074303</v>
      </c>
      <c r="D375" s="82">
        <v>1865111.77</v>
      </c>
      <c r="E375" s="82">
        <f>F375-883874.4</f>
        <v>376229.5299999999</v>
      </c>
      <c r="F375" s="82">
        <v>1260103.93</v>
      </c>
      <c r="G375" s="64">
        <f t="shared" si="39"/>
        <v>0.0015027527972499267</v>
      </c>
      <c r="H375" s="82">
        <f t="shared" si="41"/>
        <v>605007.8400000001</v>
      </c>
      <c r="I375" s="82">
        <f>J375-883874.4</f>
        <v>363806.05999999994</v>
      </c>
      <c r="J375" s="82">
        <v>1247680.46</v>
      </c>
      <c r="K375" s="56">
        <f t="shared" si="40"/>
        <v>0.0015940160439086777</v>
      </c>
      <c r="L375" s="92">
        <f t="shared" si="42"/>
        <v>617431.31</v>
      </c>
    </row>
    <row r="376" spans="1:12" ht="14.25" customHeight="1">
      <c r="A376" s="61" t="s">
        <v>49</v>
      </c>
      <c r="B376" s="66" t="s">
        <v>56</v>
      </c>
      <c r="C376" s="82">
        <v>0</v>
      </c>
      <c r="D376" s="82">
        <v>0</v>
      </c>
      <c r="E376" s="82">
        <f>F376-0</f>
        <v>0</v>
      </c>
      <c r="F376" s="82">
        <v>0</v>
      </c>
      <c r="G376" s="64">
        <f t="shared" si="39"/>
        <v>0</v>
      </c>
      <c r="H376" s="82">
        <f t="shared" si="41"/>
        <v>0</v>
      </c>
      <c r="I376" s="82">
        <f>J376-0</f>
        <v>0</v>
      </c>
      <c r="J376" s="82">
        <v>0</v>
      </c>
      <c r="K376" s="56">
        <f t="shared" si="40"/>
        <v>0</v>
      </c>
      <c r="L376" s="92">
        <f t="shared" si="42"/>
        <v>0</v>
      </c>
    </row>
    <row r="377" spans="1:12" ht="14.25" customHeight="1">
      <c r="A377" s="73" t="s">
        <v>133</v>
      </c>
      <c r="B377" s="71" t="s">
        <v>134</v>
      </c>
      <c r="C377" s="81">
        <f>C378+C379</f>
        <v>733981</v>
      </c>
      <c r="D377" s="81">
        <f>D378+D379</f>
        <v>943981</v>
      </c>
      <c r="E377" s="81">
        <f>E378+E379</f>
        <v>122049.10999999999</v>
      </c>
      <c r="F377" s="81">
        <f>F378+F379</f>
        <v>762495.7</v>
      </c>
      <c r="G377" s="70">
        <f t="shared" si="39"/>
        <v>0.000909323841300964</v>
      </c>
      <c r="H377" s="81">
        <f t="shared" si="41"/>
        <v>181485.30000000005</v>
      </c>
      <c r="I377" s="81">
        <f>I378+I379</f>
        <v>126003.10999999999</v>
      </c>
      <c r="J377" s="81">
        <f>J378+J379</f>
        <v>758487.86</v>
      </c>
      <c r="K377" s="51">
        <f t="shared" si="40"/>
        <v>0.0009690316204438747</v>
      </c>
      <c r="L377" s="91">
        <f t="shared" si="42"/>
        <v>185493.14</v>
      </c>
    </row>
    <row r="378" spans="1:12" ht="14.25" customHeight="1">
      <c r="A378" s="68" t="s">
        <v>28</v>
      </c>
      <c r="B378" s="62" t="s">
        <v>33</v>
      </c>
      <c r="C378" s="82">
        <v>733981</v>
      </c>
      <c r="D378" s="82">
        <v>943981</v>
      </c>
      <c r="E378" s="82">
        <f>F378-640446.59</f>
        <v>122049.10999999999</v>
      </c>
      <c r="F378" s="82">
        <v>762495.7</v>
      </c>
      <c r="G378" s="64">
        <f t="shared" si="39"/>
        <v>0.000909323841300964</v>
      </c>
      <c r="H378" s="82">
        <f t="shared" si="41"/>
        <v>181485.30000000005</v>
      </c>
      <c r="I378" s="82">
        <f>J378-632484.75</f>
        <v>126003.10999999999</v>
      </c>
      <c r="J378" s="82">
        <v>758487.86</v>
      </c>
      <c r="K378" s="56">
        <f t="shared" si="40"/>
        <v>0.0009690316204438747</v>
      </c>
      <c r="L378" s="92">
        <f t="shared" si="42"/>
        <v>185493.14</v>
      </c>
    </row>
    <row r="379" spans="1:12" ht="14.25" customHeight="1">
      <c r="A379" s="68" t="s">
        <v>135</v>
      </c>
      <c r="B379" s="62" t="s">
        <v>136</v>
      </c>
      <c r="C379" s="82">
        <v>0</v>
      </c>
      <c r="D379" s="82">
        <v>0</v>
      </c>
      <c r="E379" s="82">
        <f>F379-0</f>
        <v>0</v>
      </c>
      <c r="F379" s="82">
        <v>0</v>
      </c>
      <c r="G379" s="64">
        <f t="shared" si="39"/>
        <v>0</v>
      </c>
      <c r="H379" s="82">
        <f t="shared" si="41"/>
        <v>0</v>
      </c>
      <c r="I379" s="82">
        <f>J379-0</f>
        <v>0</v>
      </c>
      <c r="J379" s="82">
        <v>0</v>
      </c>
      <c r="K379" s="56">
        <f t="shared" si="40"/>
        <v>0</v>
      </c>
      <c r="L379" s="92">
        <f t="shared" si="42"/>
        <v>0</v>
      </c>
    </row>
    <row r="380" spans="1:12" ht="14.25" customHeight="1">
      <c r="A380" s="74" t="s">
        <v>138</v>
      </c>
      <c r="B380" s="75" t="s">
        <v>137</v>
      </c>
      <c r="C380" s="81">
        <f>C381</f>
        <v>260000</v>
      </c>
      <c r="D380" s="81">
        <f>D381</f>
        <v>581745.44</v>
      </c>
      <c r="E380" s="81">
        <f>E381</f>
        <v>88025.20999999999</v>
      </c>
      <c r="F380" s="81">
        <f>F381</f>
        <v>245097.8</v>
      </c>
      <c r="G380" s="70">
        <f t="shared" si="39"/>
        <v>0.00029229446538572666</v>
      </c>
      <c r="H380" s="81">
        <f t="shared" si="41"/>
        <v>336647.63999999996</v>
      </c>
      <c r="I380" s="81">
        <f>I381</f>
        <v>74077.34</v>
      </c>
      <c r="J380" s="81">
        <f>J381</f>
        <v>226026.5</v>
      </c>
      <c r="K380" s="51">
        <f t="shared" si="40"/>
        <v>0.0002887677405387312</v>
      </c>
      <c r="L380" s="91">
        <f t="shared" si="42"/>
        <v>355718.93999999994</v>
      </c>
    </row>
    <row r="381" spans="1:12" ht="14.25" customHeight="1">
      <c r="A381" s="68" t="s">
        <v>28</v>
      </c>
      <c r="B381" s="62" t="s">
        <v>33</v>
      </c>
      <c r="C381" s="82">
        <v>260000</v>
      </c>
      <c r="D381" s="82">
        <v>581745.44</v>
      </c>
      <c r="E381" s="82">
        <f>F381-157072.59</f>
        <v>88025.20999999999</v>
      </c>
      <c r="F381" s="82">
        <v>245097.8</v>
      </c>
      <c r="G381" s="64">
        <f t="shared" si="39"/>
        <v>0.00029229446538572666</v>
      </c>
      <c r="H381" s="82">
        <f t="shared" si="41"/>
        <v>336647.63999999996</v>
      </c>
      <c r="I381" s="82">
        <f>J381-151949.16</f>
        <v>74077.34</v>
      </c>
      <c r="J381" s="82">
        <v>226026.5</v>
      </c>
      <c r="K381" s="56">
        <f t="shared" si="40"/>
        <v>0.0002887677405387312</v>
      </c>
      <c r="L381" s="92">
        <f t="shared" si="42"/>
        <v>355718.93999999994</v>
      </c>
    </row>
    <row r="382" spans="1:12" ht="14.25" customHeight="1">
      <c r="A382" s="47" t="s">
        <v>141</v>
      </c>
      <c r="B382" s="50" t="s">
        <v>142</v>
      </c>
      <c r="C382" s="81">
        <f>C383</f>
        <v>0</v>
      </c>
      <c r="D382" s="81">
        <f>D383</f>
        <v>0</v>
      </c>
      <c r="E382" s="81">
        <f>E383</f>
        <v>0</v>
      </c>
      <c r="F382" s="81">
        <f>F383</f>
        <v>0</v>
      </c>
      <c r="G382" s="70">
        <f t="shared" si="39"/>
        <v>0</v>
      </c>
      <c r="H382" s="81">
        <f t="shared" si="41"/>
        <v>0</v>
      </c>
      <c r="I382" s="81">
        <f>I383</f>
        <v>0</v>
      </c>
      <c r="J382" s="81">
        <f>J383</f>
        <v>0</v>
      </c>
      <c r="K382" s="51">
        <f t="shared" si="40"/>
        <v>0</v>
      </c>
      <c r="L382" s="91">
        <f t="shared" si="42"/>
        <v>0</v>
      </c>
    </row>
    <row r="383" spans="1:12" ht="14.25" customHeight="1">
      <c r="A383" s="68" t="s">
        <v>143</v>
      </c>
      <c r="B383" s="62" t="s">
        <v>144</v>
      </c>
      <c r="C383" s="82">
        <v>0</v>
      </c>
      <c r="D383" s="82">
        <v>0</v>
      </c>
      <c r="E383" s="82">
        <f>F383-0</f>
        <v>0</v>
      </c>
      <c r="F383" s="82">
        <v>0</v>
      </c>
      <c r="G383" s="64">
        <f t="shared" si="39"/>
        <v>0</v>
      </c>
      <c r="H383" s="82">
        <f t="shared" si="41"/>
        <v>0</v>
      </c>
      <c r="I383" s="82">
        <f>J383-0</f>
        <v>0</v>
      </c>
      <c r="J383" s="82">
        <v>0</v>
      </c>
      <c r="K383" s="56">
        <f t="shared" si="40"/>
        <v>0</v>
      </c>
      <c r="L383" s="92">
        <f t="shared" si="42"/>
        <v>0</v>
      </c>
    </row>
    <row r="384" spans="1:12" ht="14.25" customHeight="1">
      <c r="A384" s="74" t="s">
        <v>149</v>
      </c>
      <c r="B384" s="75" t="s">
        <v>150</v>
      </c>
      <c r="C384" s="81">
        <f>C385</f>
        <v>39320709</v>
      </c>
      <c r="D384" s="81">
        <f>D385</f>
        <v>43779217.07</v>
      </c>
      <c r="E384" s="81">
        <f>E385</f>
        <v>1987665.0199999996</v>
      </c>
      <c r="F384" s="81">
        <f>F385</f>
        <v>10984567.03</v>
      </c>
      <c r="G384" s="70">
        <f t="shared" si="39"/>
        <v>0.013099783627301138</v>
      </c>
      <c r="H384" s="81">
        <f t="shared" si="41"/>
        <v>32794650.04</v>
      </c>
      <c r="I384" s="81">
        <f>I385</f>
        <v>2038470.2300000004</v>
      </c>
      <c r="J384" s="81">
        <f>J385</f>
        <v>10856639.39</v>
      </c>
      <c r="K384" s="51">
        <f t="shared" si="40"/>
        <v>0.013870264002203673</v>
      </c>
      <c r="L384" s="91">
        <f t="shared" si="42"/>
        <v>32922577.68</v>
      </c>
    </row>
    <row r="385" spans="1:12" ht="14.25" customHeight="1">
      <c r="A385" s="68" t="s">
        <v>28</v>
      </c>
      <c r="B385" s="62" t="s">
        <v>33</v>
      </c>
      <c r="C385" s="82">
        <v>39320709</v>
      </c>
      <c r="D385" s="82">
        <v>43779217.07</v>
      </c>
      <c r="E385" s="82">
        <f>F385-8996902.01</f>
        <v>1987665.0199999996</v>
      </c>
      <c r="F385" s="82">
        <v>10984567.03</v>
      </c>
      <c r="G385" s="64">
        <f aca="true" t="shared" si="47" ref="G385:G414">(F385/$F$303)*100</f>
        <v>0.013099783627301138</v>
      </c>
      <c r="H385" s="82">
        <f t="shared" si="41"/>
        <v>32794650.04</v>
      </c>
      <c r="I385" s="82">
        <f>J385-8818169.16</f>
        <v>2038470.2300000004</v>
      </c>
      <c r="J385" s="82">
        <v>10856639.39</v>
      </c>
      <c r="K385" s="56">
        <f aca="true" t="shared" si="48" ref="K385:K414">(J385/$J$303)*100</f>
        <v>0.013870264002203673</v>
      </c>
      <c r="L385" s="92">
        <f t="shared" si="42"/>
        <v>32922577.68</v>
      </c>
    </row>
    <row r="386" spans="1:12" ht="14.25" customHeight="1">
      <c r="A386" s="74" t="s">
        <v>158</v>
      </c>
      <c r="B386" s="75" t="s">
        <v>159</v>
      </c>
      <c r="C386" s="81">
        <f>SUM(C387:C390)</f>
        <v>9718310</v>
      </c>
      <c r="D386" s="81">
        <f>SUM(D387:D390)</f>
        <v>10091765.94</v>
      </c>
      <c r="E386" s="81">
        <f>SUM(E387:E390)</f>
        <v>1263839.8100000005</v>
      </c>
      <c r="F386" s="81">
        <f>SUM(F387:F390)</f>
        <v>6537646.45</v>
      </c>
      <c r="G386" s="70">
        <f t="shared" si="47"/>
        <v>0.007796552535288541</v>
      </c>
      <c r="H386" s="81">
        <f aca="true" t="shared" si="49" ref="H386:H415">D386-F386</f>
        <v>3554119.4899999993</v>
      </c>
      <c r="I386" s="81">
        <f>SUM(I387:I389)</f>
        <v>1303683.3399999999</v>
      </c>
      <c r="J386" s="81">
        <f>SUM(J387:J389)</f>
        <v>6463565.64</v>
      </c>
      <c r="K386" s="51">
        <f t="shared" si="48"/>
        <v>0.008257745201056415</v>
      </c>
      <c r="L386" s="91">
        <f aca="true" t="shared" si="50" ref="L386:L415">D386-J386</f>
        <v>3628200.3</v>
      </c>
    </row>
    <row r="387" spans="1:12" ht="14.25" customHeight="1">
      <c r="A387" s="68" t="s">
        <v>28</v>
      </c>
      <c r="B387" s="62" t="s">
        <v>33</v>
      </c>
      <c r="C387" s="82">
        <v>9718310</v>
      </c>
      <c r="D387" s="82">
        <v>10091765.94</v>
      </c>
      <c r="E387" s="82">
        <f>F387-5273806.64</f>
        <v>1263839.8100000005</v>
      </c>
      <c r="F387" s="82">
        <v>6537646.45</v>
      </c>
      <c r="G387" s="64">
        <f t="shared" si="47"/>
        <v>0.007796552535288541</v>
      </c>
      <c r="H387" s="82">
        <f t="shared" si="49"/>
        <v>3554119.4899999993</v>
      </c>
      <c r="I387" s="82">
        <f>J387-5159882.3</f>
        <v>1303683.3399999999</v>
      </c>
      <c r="J387" s="82">
        <v>6463565.64</v>
      </c>
      <c r="K387" s="56">
        <f t="shared" si="48"/>
        <v>0.008257745201056415</v>
      </c>
      <c r="L387" s="92">
        <f t="shared" si="50"/>
        <v>3628200.3</v>
      </c>
    </row>
    <row r="388" spans="1:12" ht="14.25" customHeight="1">
      <c r="A388" s="68" t="s">
        <v>50</v>
      </c>
      <c r="B388" s="62" t="s">
        <v>57</v>
      </c>
      <c r="C388" s="82">
        <v>0</v>
      </c>
      <c r="D388" s="82">
        <v>0</v>
      </c>
      <c r="E388" s="82">
        <f>F388-0</f>
        <v>0</v>
      </c>
      <c r="F388" s="82">
        <v>0</v>
      </c>
      <c r="G388" s="70">
        <f t="shared" si="47"/>
        <v>0</v>
      </c>
      <c r="H388" s="82">
        <f t="shared" si="49"/>
        <v>0</v>
      </c>
      <c r="I388" s="82">
        <f>J388-0</f>
        <v>0</v>
      </c>
      <c r="J388" s="82">
        <v>0</v>
      </c>
      <c r="K388" s="56">
        <f t="shared" si="48"/>
        <v>0</v>
      </c>
      <c r="L388" s="92">
        <f t="shared" si="50"/>
        <v>0</v>
      </c>
    </row>
    <row r="389" spans="1:12" ht="14.25" customHeight="1">
      <c r="A389" s="68" t="s">
        <v>96</v>
      </c>
      <c r="B389" s="62" t="s">
        <v>102</v>
      </c>
      <c r="C389" s="82">
        <v>0</v>
      </c>
      <c r="D389" s="82">
        <v>0</v>
      </c>
      <c r="E389" s="82">
        <f>F389-0</f>
        <v>0</v>
      </c>
      <c r="F389" s="82">
        <v>0</v>
      </c>
      <c r="G389" s="70">
        <f t="shared" si="47"/>
        <v>0</v>
      </c>
      <c r="H389" s="82">
        <f t="shared" si="49"/>
        <v>0</v>
      </c>
      <c r="I389" s="82">
        <f>J389-0</f>
        <v>0</v>
      </c>
      <c r="J389" s="82">
        <v>0</v>
      </c>
      <c r="K389" s="56">
        <f t="shared" si="48"/>
        <v>0</v>
      </c>
      <c r="L389" s="92">
        <f t="shared" si="50"/>
        <v>0</v>
      </c>
    </row>
    <row r="390" spans="1:12" ht="14.25" customHeight="1">
      <c r="A390" s="68" t="s">
        <v>97</v>
      </c>
      <c r="B390" s="62" t="s">
        <v>236</v>
      </c>
      <c r="C390" s="82">
        <v>0</v>
      </c>
      <c r="D390" s="82">
        <v>0</v>
      </c>
      <c r="E390" s="82">
        <f>F390-0</f>
        <v>0</v>
      </c>
      <c r="F390" s="82">
        <v>0</v>
      </c>
      <c r="G390" s="70">
        <f t="shared" si="47"/>
        <v>0</v>
      </c>
      <c r="H390" s="82">
        <f t="shared" si="49"/>
        <v>0</v>
      </c>
      <c r="I390" s="82">
        <f>J390-0</f>
        <v>0</v>
      </c>
      <c r="J390" s="82">
        <v>0</v>
      </c>
      <c r="K390" s="56">
        <f t="shared" si="48"/>
        <v>0</v>
      </c>
      <c r="L390" s="92">
        <f t="shared" si="50"/>
        <v>0</v>
      </c>
    </row>
    <row r="391" spans="1:12" ht="14.25" customHeight="1">
      <c r="A391" s="74" t="s">
        <v>162</v>
      </c>
      <c r="B391" s="75" t="s">
        <v>163</v>
      </c>
      <c r="C391" s="81">
        <f>SUM(C392:C395)</f>
        <v>7001465</v>
      </c>
      <c r="D391" s="81">
        <f>SUM(D392:D395)</f>
        <v>7353015</v>
      </c>
      <c r="E391" s="81">
        <f>SUM(E392:E395)</f>
        <v>1438421.0000000002</v>
      </c>
      <c r="F391" s="81">
        <f>SUM(F392:F395)</f>
        <v>5404450.84</v>
      </c>
      <c r="G391" s="70">
        <f t="shared" si="47"/>
        <v>0.006445145851905815</v>
      </c>
      <c r="H391" s="81">
        <f t="shared" si="49"/>
        <v>1948564.1600000001</v>
      </c>
      <c r="I391" s="81">
        <f>SUM(I392:I395)</f>
        <v>1317240.0099999998</v>
      </c>
      <c r="J391" s="81">
        <f>SUM(J392:J395)</f>
        <v>5088492.6</v>
      </c>
      <c r="K391" s="51">
        <f t="shared" si="48"/>
        <v>0.006500974491265641</v>
      </c>
      <c r="L391" s="91">
        <f t="shared" si="50"/>
        <v>2264522.4000000004</v>
      </c>
    </row>
    <row r="392" spans="1:12" ht="14.25" customHeight="1">
      <c r="A392" s="61" t="s">
        <v>28</v>
      </c>
      <c r="B392" s="53" t="s">
        <v>33</v>
      </c>
      <c r="C392" s="82">
        <v>6801315</v>
      </c>
      <c r="D392" s="82">
        <v>7196865</v>
      </c>
      <c r="E392" s="82">
        <f>F392-3891601.98</f>
        <v>1368570.2600000002</v>
      </c>
      <c r="F392" s="82">
        <v>5260172.24</v>
      </c>
      <c r="G392" s="64">
        <f t="shared" si="47"/>
        <v>0.006273084592059335</v>
      </c>
      <c r="H392" s="82">
        <f t="shared" si="49"/>
        <v>1936692.7599999998</v>
      </c>
      <c r="I392" s="82">
        <f>J392-3714022.08</f>
        <v>1273956.4299999997</v>
      </c>
      <c r="J392" s="82">
        <v>4987978.51</v>
      </c>
      <c r="K392" s="56">
        <f t="shared" si="48"/>
        <v>0.006372559342326881</v>
      </c>
      <c r="L392" s="92">
        <f t="shared" si="50"/>
        <v>2208886.49</v>
      </c>
    </row>
    <row r="393" spans="1:12" ht="14.25" customHeight="1">
      <c r="A393" s="61" t="s">
        <v>96</v>
      </c>
      <c r="B393" s="53" t="s">
        <v>102</v>
      </c>
      <c r="C393" s="82">
        <v>0</v>
      </c>
      <c r="D393" s="82">
        <v>0</v>
      </c>
      <c r="E393" s="82">
        <f>F393-0</f>
        <v>0</v>
      </c>
      <c r="F393" s="82">
        <v>0</v>
      </c>
      <c r="G393" s="64">
        <f t="shared" si="47"/>
        <v>0</v>
      </c>
      <c r="H393" s="82">
        <f t="shared" si="49"/>
        <v>0</v>
      </c>
      <c r="I393" s="82">
        <f>J393-0</f>
        <v>0</v>
      </c>
      <c r="J393" s="82">
        <v>0</v>
      </c>
      <c r="K393" s="56">
        <f t="shared" si="48"/>
        <v>0</v>
      </c>
      <c r="L393" s="92">
        <f t="shared" si="50"/>
        <v>0</v>
      </c>
    </row>
    <row r="394" spans="1:12" ht="14.25" customHeight="1">
      <c r="A394" s="61" t="s">
        <v>269</v>
      </c>
      <c r="B394" s="53" t="s">
        <v>271</v>
      </c>
      <c r="C394" s="82">
        <v>1000</v>
      </c>
      <c r="D394" s="82">
        <v>1000</v>
      </c>
      <c r="E394" s="82">
        <f>F394-0</f>
        <v>0</v>
      </c>
      <c r="F394" s="82">
        <v>0</v>
      </c>
      <c r="G394" s="64">
        <f t="shared" si="47"/>
        <v>0</v>
      </c>
      <c r="H394" s="82">
        <f t="shared" si="49"/>
        <v>1000</v>
      </c>
      <c r="I394" s="82">
        <f>J394-0</f>
        <v>0</v>
      </c>
      <c r="J394" s="82">
        <v>0</v>
      </c>
      <c r="K394" s="56">
        <f t="shared" si="48"/>
        <v>0</v>
      </c>
      <c r="L394" s="92">
        <f t="shared" si="50"/>
        <v>1000</v>
      </c>
    </row>
    <row r="395" spans="1:12" ht="14.25" customHeight="1">
      <c r="A395" s="61" t="s">
        <v>270</v>
      </c>
      <c r="B395" s="53" t="s">
        <v>272</v>
      </c>
      <c r="C395" s="82">
        <v>199150</v>
      </c>
      <c r="D395" s="82">
        <v>155150</v>
      </c>
      <c r="E395" s="82">
        <f>F395-74427.86</f>
        <v>69850.74</v>
      </c>
      <c r="F395" s="82">
        <v>144278.6</v>
      </c>
      <c r="G395" s="64">
        <f t="shared" si="47"/>
        <v>0.0001720612598464821</v>
      </c>
      <c r="H395" s="82">
        <f t="shared" si="49"/>
        <v>10871.399999999994</v>
      </c>
      <c r="I395" s="82">
        <f>J395-57230.51</f>
        <v>43283.579999999994</v>
      </c>
      <c r="J395" s="82">
        <v>100514.09</v>
      </c>
      <c r="K395" s="56">
        <f t="shared" si="48"/>
        <v>0.00012841514893876014</v>
      </c>
      <c r="L395" s="92">
        <f t="shared" si="50"/>
        <v>54635.91</v>
      </c>
    </row>
    <row r="396" spans="1:12" ht="14.25" customHeight="1">
      <c r="A396" s="74" t="s">
        <v>175</v>
      </c>
      <c r="B396" s="75" t="s">
        <v>174</v>
      </c>
      <c r="C396" s="81">
        <f>C397</f>
        <v>2278156</v>
      </c>
      <c r="D396" s="81">
        <f>SUM(D397:D398)</f>
        <v>1863156</v>
      </c>
      <c r="E396" s="81">
        <f>SUM(E397:E398)</f>
        <v>181331.1200000001</v>
      </c>
      <c r="F396" s="81">
        <f>SUM(F397:F398)</f>
        <v>1293404.8</v>
      </c>
      <c r="G396" s="70">
        <f t="shared" si="47"/>
        <v>0.0015424661687837781</v>
      </c>
      <c r="H396" s="81">
        <f t="shared" si="49"/>
        <v>569751.2</v>
      </c>
      <c r="I396" s="81">
        <f>SUM(I397:I398)</f>
        <v>163571.12</v>
      </c>
      <c r="J396" s="81">
        <f>SUM(J397:J398)</f>
        <v>1270036.92</v>
      </c>
      <c r="K396" s="51">
        <f t="shared" si="48"/>
        <v>0.0016225782896658984</v>
      </c>
      <c r="L396" s="91">
        <f t="shared" si="50"/>
        <v>593119.0800000001</v>
      </c>
    </row>
    <row r="397" spans="1:12" ht="14.25" customHeight="1">
      <c r="A397" s="68" t="s">
        <v>28</v>
      </c>
      <c r="B397" s="62" t="s">
        <v>33</v>
      </c>
      <c r="C397" s="82">
        <v>2278156</v>
      </c>
      <c r="D397" s="82">
        <v>1813156</v>
      </c>
      <c r="E397" s="82">
        <f>F397-1062073.68</f>
        <v>181331.1200000001</v>
      </c>
      <c r="F397" s="82">
        <v>1243404.8</v>
      </c>
      <c r="G397" s="64">
        <f t="shared" si="47"/>
        <v>0.001482838039648036</v>
      </c>
      <c r="H397" s="82">
        <f t="shared" si="49"/>
        <v>569751.2</v>
      </c>
      <c r="I397" s="82">
        <f>J397-1062073.68</f>
        <v>157963.24</v>
      </c>
      <c r="J397" s="82">
        <v>1220036.92</v>
      </c>
      <c r="K397" s="56">
        <f t="shared" si="48"/>
        <v>0.001558699111662715</v>
      </c>
      <c r="L397" s="92">
        <f t="shared" si="50"/>
        <v>593119.0800000001</v>
      </c>
    </row>
    <row r="398" spans="1:12" ht="14.25" customHeight="1">
      <c r="A398" s="115" t="s">
        <v>176</v>
      </c>
      <c r="B398" s="62" t="s">
        <v>177</v>
      </c>
      <c r="C398" s="82">
        <v>0</v>
      </c>
      <c r="D398" s="82">
        <v>50000</v>
      </c>
      <c r="E398" s="82">
        <f>F398-50000</f>
        <v>0</v>
      </c>
      <c r="F398" s="82">
        <v>50000</v>
      </c>
      <c r="G398" s="64">
        <f t="shared" si="47"/>
        <v>5.962812913574227E-05</v>
      </c>
      <c r="H398" s="82">
        <f t="shared" si="49"/>
        <v>0</v>
      </c>
      <c r="I398" s="82">
        <f>J398-44392.12</f>
        <v>5607.879999999997</v>
      </c>
      <c r="J398" s="82">
        <v>50000</v>
      </c>
      <c r="K398" s="56">
        <f t="shared" si="48"/>
        <v>6.387917800318351E-05</v>
      </c>
      <c r="L398" s="92">
        <f t="shared" si="50"/>
        <v>0</v>
      </c>
    </row>
    <row r="399" spans="1:12" ht="14.25" customHeight="1">
      <c r="A399" s="74" t="s">
        <v>178</v>
      </c>
      <c r="B399" s="75" t="s">
        <v>179</v>
      </c>
      <c r="C399" s="81">
        <f>C400+C401</f>
        <v>6394699</v>
      </c>
      <c r="D399" s="81">
        <f>D400+D401</f>
        <v>6432834.05</v>
      </c>
      <c r="E399" s="81">
        <f>E400+E401</f>
        <v>979003.3999999999</v>
      </c>
      <c r="F399" s="81">
        <f>F400+F401</f>
        <v>4126568.39</v>
      </c>
      <c r="G399" s="70">
        <f t="shared" si="47"/>
        <v>0.004921191056927842</v>
      </c>
      <c r="H399" s="81">
        <f t="shared" si="49"/>
        <v>2306265.6599999997</v>
      </c>
      <c r="I399" s="81">
        <f>I400+I401</f>
        <v>1020505.02</v>
      </c>
      <c r="J399" s="81">
        <f>J400+J401</f>
        <v>3914631.16</v>
      </c>
      <c r="K399" s="51">
        <f t="shared" si="48"/>
        <v>0.005001268413728975</v>
      </c>
      <c r="L399" s="91">
        <f t="shared" si="50"/>
        <v>2518202.8899999997</v>
      </c>
    </row>
    <row r="400" spans="1:12" ht="14.25" customHeight="1">
      <c r="A400" s="68" t="s">
        <v>28</v>
      </c>
      <c r="B400" s="62" t="s">
        <v>33</v>
      </c>
      <c r="C400" s="82">
        <v>6394699</v>
      </c>
      <c r="D400" s="82">
        <v>6432834.05</v>
      </c>
      <c r="E400" s="82">
        <f>F400-3147564.99</f>
        <v>979003.3999999999</v>
      </c>
      <c r="F400" s="82">
        <v>4126568.39</v>
      </c>
      <c r="G400" s="64">
        <f t="shared" si="47"/>
        <v>0.004921191056927842</v>
      </c>
      <c r="H400" s="82">
        <f t="shared" si="49"/>
        <v>2306265.6599999997</v>
      </c>
      <c r="I400" s="82">
        <f>J400-2894126.14</f>
        <v>1020505.02</v>
      </c>
      <c r="J400" s="82">
        <v>3914631.16</v>
      </c>
      <c r="K400" s="56">
        <f t="shared" si="48"/>
        <v>0.005001268413728975</v>
      </c>
      <c r="L400" s="92">
        <f t="shared" si="50"/>
        <v>2518202.8899999997</v>
      </c>
    </row>
    <row r="401" spans="1:12" ht="14.25" customHeight="1">
      <c r="A401" s="68" t="s">
        <v>50</v>
      </c>
      <c r="B401" s="62" t="s">
        <v>57</v>
      </c>
      <c r="C401" s="82">
        <v>0</v>
      </c>
      <c r="D401" s="82">
        <v>0</v>
      </c>
      <c r="E401" s="82">
        <f>F401-0</f>
        <v>0</v>
      </c>
      <c r="F401" s="82">
        <v>0</v>
      </c>
      <c r="G401" s="64">
        <f t="shared" si="47"/>
        <v>0</v>
      </c>
      <c r="H401" s="82">
        <f t="shared" si="49"/>
        <v>0</v>
      </c>
      <c r="I401" s="82">
        <f>J401-0</f>
        <v>0</v>
      </c>
      <c r="J401" s="82">
        <v>0</v>
      </c>
      <c r="K401" s="56">
        <f t="shared" si="48"/>
        <v>0</v>
      </c>
      <c r="L401" s="92">
        <f t="shared" si="50"/>
        <v>0</v>
      </c>
    </row>
    <row r="402" spans="1:12" ht="14.25" customHeight="1">
      <c r="A402" s="74" t="s">
        <v>189</v>
      </c>
      <c r="B402" s="75" t="s">
        <v>190</v>
      </c>
      <c r="C402" s="81">
        <f>SUM(C403:C404)</f>
        <v>4650557</v>
      </c>
      <c r="D402" s="81">
        <f>SUM(D403:D404)</f>
        <v>5268557</v>
      </c>
      <c r="E402" s="81">
        <f>SUM(E403:E404)</f>
        <v>1184672.2399999998</v>
      </c>
      <c r="F402" s="81">
        <f>SUM(F403:F404)</f>
        <v>4329532.39</v>
      </c>
      <c r="G402" s="70">
        <f t="shared" si="47"/>
        <v>0.005163238328965977</v>
      </c>
      <c r="H402" s="81">
        <f t="shared" si="49"/>
        <v>939024.6100000003</v>
      </c>
      <c r="I402" s="81">
        <f>SUM(I403:I404)</f>
        <v>890115.2800000003</v>
      </c>
      <c r="J402" s="81">
        <f>SUM(J403:J404)</f>
        <v>3914090.39</v>
      </c>
      <c r="K402" s="51">
        <f t="shared" si="48"/>
        <v>0.0050005775348672</v>
      </c>
      <c r="L402" s="91">
        <f t="shared" si="50"/>
        <v>1354466.6099999999</v>
      </c>
    </row>
    <row r="403" spans="1:12" ht="14.25" customHeight="1">
      <c r="A403" s="68" t="s">
        <v>28</v>
      </c>
      <c r="B403" s="62" t="s">
        <v>33</v>
      </c>
      <c r="C403" s="82">
        <v>4650557</v>
      </c>
      <c r="D403" s="82">
        <v>5268557</v>
      </c>
      <c r="E403" s="82">
        <f>F403-3144860.15</f>
        <v>1184672.2399999998</v>
      </c>
      <c r="F403" s="82">
        <v>4329532.39</v>
      </c>
      <c r="G403" s="64">
        <f t="shared" si="47"/>
        <v>0.005163238328965977</v>
      </c>
      <c r="H403" s="82">
        <f t="shared" si="49"/>
        <v>939024.6100000003</v>
      </c>
      <c r="I403" s="82">
        <f>J403-3023975.11</f>
        <v>890115.2800000003</v>
      </c>
      <c r="J403" s="82">
        <v>3914090.39</v>
      </c>
      <c r="K403" s="56">
        <f t="shared" si="48"/>
        <v>0.0050005775348672</v>
      </c>
      <c r="L403" s="92">
        <f t="shared" si="50"/>
        <v>1354466.6099999999</v>
      </c>
    </row>
    <row r="404" spans="1:12" ht="14.25" customHeight="1">
      <c r="A404" s="68" t="s">
        <v>185</v>
      </c>
      <c r="B404" s="62" t="s">
        <v>186</v>
      </c>
      <c r="C404" s="82">
        <v>0</v>
      </c>
      <c r="D404" s="82">
        <v>0</v>
      </c>
      <c r="E404" s="82">
        <f>F404-0</f>
        <v>0</v>
      </c>
      <c r="F404" s="82">
        <v>0</v>
      </c>
      <c r="G404" s="64">
        <f t="shared" si="47"/>
        <v>0</v>
      </c>
      <c r="H404" s="82">
        <f t="shared" si="49"/>
        <v>0</v>
      </c>
      <c r="I404" s="82">
        <f>J404-0</f>
        <v>0</v>
      </c>
      <c r="J404" s="82">
        <v>0</v>
      </c>
      <c r="K404" s="56">
        <f t="shared" si="48"/>
        <v>0</v>
      </c>
      <c r="L404" s="92">
        <f t="shared" si="50"/>
        <v>0</v>
      </c>
    </row>
    <row r="405" spans="1:12" ht="14.25" customHeight="1">
      <c r="A405" s="74" t="s">
        <v>195</v>
      </c>
      <c r="B405" s="75" t="s">
        <v>196</v>
      </c>
      <c r="C405" s="81">
        <f>SUM(C406:C408)</f>
        <v>19241029</v>
      </c>
      <c r="D405" s="81">
        <f>SUM(D406:D408)</f>
        <v>17816490.34</v>
      </c>
      <c r="E405" s="81">
        <f>SUM(E406:E408)</f>
        <v>1584341.25</v>
      </c>
      <c r="F405" s="81">
        <f>SUM(F406:F408)</f>
        <v>7788496.61</v>
      </c>
      <c r="G405" s="70">
        <f t="shared" si="47"/>
        <v>0.009288269632687418</v>
      </c>
      <c r="H405" s="81">
        <f t="shared" si="49"/>
        <v>10027993.73</v>
      </c>
      <c r="I405" s="81">
        <f>SUM(I406:I408)</f>
        <v>1334152.9500000002</v>
      </c>
      <c r="J405" s="81">
        <f>SUM(J406:J408)</f>
        <v>6943438.12</v>
      </c>
      <c r="K405" s="51">
        <f t="shared" si="48"/>
        <v>0.008870822392431399</v>
      </c>
      <c r="L405" s="91">
        <f t="shared" si="50"/>
        <v>10873052.219999999</v>
      </c>
    </row>
    <row r="406" spans="1:12" ht="14.25" customHeight="1">
      <c r="A406" s="68" t="s">
        <v>28</v>
      </c>
      <c r="B406" s="62" t="s">
        <v>33</v>
      </c>
      <c r="C406" s="82">
        <v>19236029</v>
      </c>
      <c r="D406" s="82">
        <v>17811490.34</v>
      </c>
      <c r="E406" s="82">
        <f>F406-6204155.36</f>
        <v>1584341.25</v>
      </c>
      <c r="F406" s="82">
        <v>7788496.61</v>
      </c>
      <c r="G406" s="64">
        <f t="shared" si="47"/>
        <v>0.009288269632687418</v>
      </c>
      <c r="H406" s="82">
        <f t="shared" si="49"/>
        <v>10022993.73</v>
      </c>
      <c r="I406" s="82">
        <f>J406-5609285.17</f>
        <v>1334152.9500000002</v>
      </c>
      <c r="J406" s="82">
        <v>6943438.12</v>
      </c>
      <c r="K406" s="56">
        <f t="shared" si="48"/>
        <v>0.008870822392431399</v>
      </c>
      <c r="L406" s="92">
        <f t="shared" si="50"/>
        <v>10868052.219999999</v>
      </c>
    </row>
    <row r="407" spans="1:12" ht="14.25" customHeight="1">
      <c r="A407" s="68" t="s">
        <v>83</v>
      </c>
      <c r="B407" s="62" t="s">
        <v>85</v>
      </c>
      <c r="C407" s="82">
        <v>5000</v>
      </c>
      <c r="D407" s="82">
        <v>5000</v>
      </c>
      <c r="E407" s="82">
        <f>F407-0</f>
        <v>0</v>
      </c>
      <c r="F407" s="82">
        <v>0</v>
      </c>
      <c r="G407" s="70">
        <f t="shared" si="47"/>
        <v>0</v>
      </c>
      <c r="H407" s="82">
        <f t="shared" si="49"/>
        <v>5000</v>
      </c>
      <c r="I407" s="82">
        <f>J407-0</f>
        <v>0</v>
      </c>
      <c r="J407" s="82">
        <v>0</v>
      </c>
      <c r="K407" s="56">
        <f t="shared" si="48"/>
        <v>0</v>
      </c>
      <c r="L407" s="92">
        <f t="shared" si="50"/>
        <v>5000</v>
      </c>
    </row>
    <row r="408" spans="1:12" ht="14.25" customHeight="1">
      <c r="A408" s="68" t="s">
        <v>151</v>
      </c>
      <c r="B408" s="53" t="s">
        <v>152</v>
      </c>
      <c r="C408" s="82">
        <v>0</v>
      </c>
      <c r="D408" s="82">
        <v>0</v>
      </c>
      <c r="E408" s="82">
        <f>F408-0</f>
        <v>0</v>
      </c>
      <c r="F408" s="82">
        <v>0</v>
      </c>
      <c r="G408" s="70">
        <f t="shared" si="47"/>
        <v>0</v>
      </c>
      <c r="H408" s="82">
        <f t="shared" si="49"/>
        <v>0</v>
      </c>
      <c r="I408" s="82">
        <f>J408-0</f>
        <v>0</v>
      </c>
      <c r="J408" s="82">
        <v>0</v>
      </c>
      <c r="K408" s="56">
        <f t="shared" si="48"/>
        <v>0</v>
      </c>
      <c r="L408" s="92">
        <f t="shared" si="50"/>
        <v>0</v>
      </c>
    </row>
    <row r="409" spans="1:12" ht="14.25" customHeight="1">
      <c r="A409" s="74" t="s">
        <v>203</v>
      </c>
      <c r="B409" s="75" t="s">
        <v>204</v>
      </c>
      <c r="C409" s="81">
        <f>SUM(C410:C411)</f>
        <v>1675682</v>
      </c>
      <c r="D409" s="81">
        <f>SUM(D410:D411)</f>
        <v>2410959.2800000003</v>
      </c>
      <c r="E409" s="81">
        <f>SUM(E410:E411)</f>
        <v>332446.1</v>
      </c>
      <c r="F409" s="81">
        <f>SUM(F410:F411)</f>
        <v>1436901.92</v>
      </c>
      <c r="G409" s="70">
        <f t="shared" si="47"/>
        <v>0.0017135954648231201</v>
      </c>
      <c r="H409" s="81">
        <f t="shared" si="49"/>
        <v>974057.3600000003</v>
      </c>
      <c r="I409" s="81">
        <f>SUM(I410:I411)</f>
        <v>282372.8799999999</v>
      </c>
      <c r="J409" s="81">
        <f>SUM(J410:J411)</f>
        <v>1232632.29</v>
      </c>
      <c r="K409" s="51">
        <f t="shared" si="48"/>
        <v>0.0015747907493076346</v>
      </c>
      <c r="L409" s="91">
        <f t="shared" si="50"/>
        <v>1178326.9900000002</v>
      </c>
    </row>
    <row r="410" spans="1:12" ht="14.25" customHeight="1">
      <c r="A410" s="68" t="s">
        <v>28</v>
      </c>
      <c r="B410" s="62" t="s">
        <v>33</v>
      </c>
      <c r="C410" s="82">
        <v>1340519</v>
      </c>
      <c r="D410" s="82">
        <v>1723796.28</v>
      </c>
      <c r="E410" s="82">
        <f>F410-768050.59</f>
        <v>332446.1</v>
      </c>
      <c r="F410" s="82">
        <v>1100496.69</v>
      </c>
      <c r="G410" s="64">
        <f t="shared" si="47"/>
        <v>0.0013124111748955385</v>
      </c>
      <c r="H410" s="82">
        <f t="shared" si="49"/>
        <v>623299.5900000001</v>
      </c>
      <c r="I410" s="82">
        <f>J410-721105.68</f>
        <v>234945.7799999999</v>
      </c>
      <c r="J410" s="82">
        <v>956051.46</v>
      </c>
      <c r="K410" s="56">
        <f t="shared" si="48"/>
        <v>0.0012214356278708695</v>
      </c>
      <c r="L410" s="92">
        <f t="shared" si="50"/>
        <v>767744.8200000001</v>
      </c>
    </row>
    <row r="411" spans="1:12" ht="14.25" customHeight="1">
      <c r="A411" s="68" t="s">
        <v>207</v>
      </c>
      <c r="B411" s="62" t="s">
        <v>208</v>
      </c>
      <c r="C411" s="82">
        <v>335163</v>
      </c>
      <c r="D411" s="82">
        <v>687163</v>
      </c>
      <c r="E411" s="82">
        <f>F411-336405.23</f>
        <v>0</v>
      </c>
      <c r="F411" s="82">
        <v>336405.23</v>
      </c>
      <c r="G411" s="64">
        <f t="shared" si="47"/>
        <v>0.00040118428992758163</v>
      </c>
      <c r="H411" s="82">
        <f t="shared" si="49"/>
        <v>350757.77</v>
      </c>
      <c r="I411" s="82">
        <f>J411-229153.73</f>
        <v>47427.100000000006</v>
      </c>
      <c r="J411" s="82">
        <v>276580.83</v>
      </c>
      <c r="K411" s="56">
        <f t="shared" si="48"/>
        <v>0.0003533551214367648</v>
      </c>
      <c r="L411" s="92">
        <f t="shared" si="50"/>
        <v>410582.17</v>
      </c>
    </row>
    <row r="412" spans="1:12" ht="14.25" customHeight="1">
      <c r="A412" s="74" t="s">
        <v>211</v>
      </c>
      <c r="B412" s="75" t="s">
        <v>212</v>
      </c>
      <c r="C412" s="81">
        <f>SUM(C413:C414)</f>
        <v>716807116</v>
      </c>
      <c r="D412" s="81">
        <f>SUM(D413:D414)</f>
        <v>468556358.93</v>
      </c>
      <c r="E412" s="81">
        <f>SUM(E413:E414)</f>
        <v>68308915.10000002</v>
      </c>
      <c r="F412" s="81">
        <f>SUM(F413:F414)</f>
        <v>362263294.66</v>
      </c>
      <c r="G412" s="70">
        <f t="shared" si="47"/>
        <v>0.43202165030251877</v>
      </c>
      <c r="H412" s="81">
        <f t="shared" si="49"/>
        <v>106293064.26999998</v>
      </c>
      <c r="I412" s="81">
        <f>SUM(I413:I414)</f>
        <v>68308915.10000002</v>
      </c>
      <c r="J412" s="81">
        <f>SUM(J413:J414)</f>
        <v>362263294.66</v>
      </c>
      <c r="K412" s="51">
        <f t="shared" si="48"/>
        <v>0.4628216296721172</v>
      </c>
      <c r="L412" s="91">
        <f t="shared" si="50"/>
        <v>106293064.26999998</v>
      </c>
    </row>
    <row r="413" spans="1:12" ht="14.25" customHeight="1">
      <c r="A413" s="68" t="s">
        <v>39</v>
      </c>
      <c r="B413" s="62" t="s">
        <v>41</v>
      </c>
      <c r="C413" s="82">
        <v>716807116</v>
      </c>
      <c r="D413" s="82">
        <v>468556358.93</v>
      </c>
      <c r="E413" s="82">
        <f>F413-293954379.56</f>
        <v>68308915.10000002</v>
      </c>
      <c r="F413" s="82">
        <v>362263294.66</v>
      </c>
      <c r="G413" s="64">
        <f t="shared" si="47"/>
        <v>0.43202165030251877</v>
      </c>
      <c r="H413" s="82">
        <f t="shared" si="49"/>
        <v>106293064.26999998</v>
      </c>
      <c r="I413" s="82">
        <f>J413-293954379.56</f>
        <v>68308915.10000002</v>
      </c>
      <c r="J413" s="82">
        <v>362263294.66</v>
      </c>
      <c r="K413" s="56">
        <f t="shared" si="48"/>
        <v>0.4628216296721172</v>
      </c>
      <c r="L413" s="92">
        <f t="shared" si="50"/>
        <v>106293064.26999998</v>
      </c>
    </row>
    <row r="414" spans="1:12" ht="14.25" customHeight="1">
      <c r="A414" s="61" t="s">
        <v>219</v>
      </c>
      <c r="B414" s="53" t="s">
        <v>220</v>
      </c>
      <c r="C414" s="82">
        <v>0</v>
      </c>
      <c r="D414" s="82">
        <v>0</v>
      </c>
      <c r="E414" s="82">
        <f>F414-0</f>
        <v>0</v>
      </c>
      <c r="F414" s="82">
        <v>0</v>
      </c>
      <c r="G414" s="64">
        <f t="shared" si="47"/>
        <v>0</v>
      </c>
      <c r="H414" s="82">
        <f t="shared" si="49"/>
        <v>0</v>
      </c>
      <c r="I414" s="82">
        <f>J414-0</f>
        <v>0</v>
      </c>
      <c r="J414" s="82">
        <v>0</v>
      </c>
      <c r="K414" s="56">
        <f t="shared" si="48"/>
        <v>0</v>
      </c>
      <c r="L414" s="92">
        <f t="shared" si="50"/>
        <v>0</v>
      </c>
    </row>
    <row r="415" spans="1:12" ht="14.25" customHeight="1">
      <c r="A415" s="76" t="s">
        <v>221</v>
      </c>
      <c r="B415" s="77" t="s">
        <v>222</v>
      </c>
      <c r="C415" s="93">
        <v>0</v>
      </c>
      <c r="D415" s="93">
        <v>0</v>
      </c>
      <c r="E415" s="113"/>
      <c r="F415" s="113"/>
      <c r="G415" s="113"/>
      <c r="H415" s="93">
        <f t="shared" si="49"/>
        <v>0</v>
      </c>
      <c r="I415" s="113"/>
      <c r="J415" s="113"/>
      <c r="K415" s="113"/>
      <c r="L415" s="94">
        <f t="shared" si="50"/>
        <v>0</v>
      </c>
    </row>
    <row r="416" spans="1:12" ht="15.75">
      <c r="A416" s="44" t="s">
        <v>258</v>
      </c>
      <c r="B416" s="26"/>
      <c r="C416" s="26"/>
      <c r="D416" s="26"/>
      <c r="E416" s="26"/>
      <c r="F416" s="45"/>
      <c r="G416" s="38"/>
      <c r="H416" s="26"/>
      <c r="I416" s="26"/>
      <c r="J416" s="26"/>
      <c r="K416" s="26"/>
      <c r="L416" s="78" t="s">
        <v>226</v>
      </c>
    </row>
    <row r="417" spans="1:12" ht="15.75">
      <c r="A417" s="44" t="s">
        <v>259</v>
      </c>
      <c r="B417" s="26"/>
      <c r="C417" s="26"/>
      <c r="D417" s="26"/>
      <c r="E417" s="26"/>
      <c r="F417" s="26"/>
      <c r="G417" s="26"/>
      <c r="H417" s="26"/>
      <c r="I417" s="46"/>
      <c r="J417" s="26"/>
      <c r="K417" s="26"/>
      <c r="L417" s="26"/>
    </row>
    <row r="418" spans="1:12" ht="15.75">
      <c r="A418" s="44" t="s">
        <v>287</v>
      </c>
      <c r="B418" s="26"/>
      <c r="C418" s="26"/>
      <c r="D418" s="26"/>
      <c r="E418" s="26"/>
      <c r="F418" s="26"/>
      <c r="G418" s="26"/>
      <c r="H418" s="26"/>
      <c r="I418" s="26"/>
      <c r="J418" s="46"/>
      <c r="K418" s="26"/>
      <c r="L418" s="26"/>
    </row>
    <row r="419" spans="1:12" ht="15.75">
      <c r="A419" s="44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</row>
    <row r="420" spans="1:12" ht="15.75">
      <c r="A420" s="44"/>
      <c r="B420" s="26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1:12" ht="15.75">
      <c r="A421" s="44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</row>
    <row r="422" spans="1:12" ht="15.75">
      <c r="A422" s="44"/>
      <c r="B422" s="26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1:12" ht="15.75">
      <c r="A423" s="44"/>
      <c r="B423" s="26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1:12" ht="15.75">
      <c r="A424" s="44"/>
      <c r="B424" s="26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1:12" ht="15.75">
      <c r="A425" s="44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</row>
    <row r="426" spans="1:13" ht="15.75">
      <c r="A426" s="24"/>
      <c r="B426" s="26"/>
      <c r="C426" s="26"/>
      <c r="D426" s="26"/>
      <c r="E426" s="46"/>
      <c r="F426" s="26"/>
      <c r="G426" s="26"/>
      <c r="H426" s="26"/>
      <c r="I426" s="46"/>
      <c r="J426" s="26"/>
      <c r="K426" s="26"/>
      <c r="L426" s="26"/>
      <c r="M426"/>
    </row>
    <row r="427" spans="1:13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/>
    </row>
    <row r="428" spans="1:13" ht="12.75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/>
    </row>
    <row r="429" spans="1:13" ht="15.75">
      <c r="A429" s="124" t="s">
        <v>254</v>
      </c>
      <c r="B429" s="124"/>
      <c r="C429" s="119" t="s">
        <v>256</v>
      </c>
      <c r="D429" s="119"/>
      <c r="E429" s="119"/>
      <c r="F429" s="119"/>
      <c r="G429" s="119"/>
      <c r="H429" s="119"/>
      <c r="I429" s="119" t="s">
        <v>279</v>
      </c>
      <c r="J429" s="119"/>
      <c r="K429" s="119"/>
      <c r="L429" s="119"/>
      <c r="M429"/>
    </row>
    <row r="430" spans="1:13" ht="15.75">
      <c r="A430" s="124" t="s">
        <v>255</v>
      </c>
      <c r="B430" s="124"/>
      <c r="C430" s="119" t="s">
        <v>257</v>
      </c>
      <c r="D430" s="119"/>
      <c r="E430" s="119"/>
      <c r="F430" s="119"/>
      <c r="G430" s="119"/>
      <c r="H430" s="119"/>
      <c r="I430" s="127" t="s">
        <v>280</v>
      </c>
      <c r="J430" s="127"/>
      <c r="K430" s="127"/>
      <c r="L430" s="127"/>
      <c r="M430"/>
    </row>
    <row r="431" spans="1:13" ht="15.75">
      <c r="A431" s="124" t="s">
        <v>247</v>
      </c>
      <c r="B431" s="124"/>
      <c r="C431" s="119" t="s">
        <v>248</v>
      </c>
      <c r="D431" s="119"/>
      <c r="E431" s="119"/>
      <c r="F431" s="119"/>
      <c r="G431" s="119"/>
      <c r="H431" s="119"/>
      <c r="I431" s="119" t="s">
        <v>281</v>
      </c>
      <c r="J431" s="119"/>
      <c r="K431" s="119"/>
      <c r="L431" s="119"/>
      <c r="M431"/>
    </row>
    <row r="432" spans="1:13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/>
    </row>
    <row r="433" spans="1:13" ht="12.75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/>
    </row>
    <row r="434" spans="1:12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5">
      <c r="A437" s="43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2.75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2.75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2.75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1:12" ht="12.75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1:12" ht="12.75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1:12" ht="12.75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1:12" ht="12.75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1:12" ht="12.75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ht="12.75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1:12" ht="12.75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1:12" ht="12.75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1:12" ht="12.75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1:12" ht="12.75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ht="12.75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1:12" ht="12.75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  <row r="466" spans="1:12" ht="12.75">
      <c r="A466" s="39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</row>
    <row r="467" spans="1:12" ht="12.75">
      <c r="A467" s="39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</row>
    <row r="468" spans="1:12" ht="12.75">
      <c r="A468" s="39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</row>
    <row r="469" spans="1:12" ht="12.75">
      <c r="A469" s="3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</row>
    <row r="470" spans="1:12" ht="12.75">
      <c r="A470" s="39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</row>
    <row r="471" spans="1:12" ht="12.75">
      <c r="A471" s="39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</row>
    <row r="472" spans="1:12" ht="12.75">
      <c r="A472" s="39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</row>
    <row r="473" spans="1:12" ht="12.75">
      <c r="A473" s="39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</row>
    <row r="474" spans="1:12" ht="12.75">
      <c r="A474" s="39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</row>
    <row r="475" spans="1:12" ht="12.75">
      <c r="A475" s="39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</row>
    <row r="476" spans="1:12" ht="12.75">
      <c r="A476" s="39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</row>
    <row r="477" spans="1:12" ht="12.75">
      <c r="A477" s="39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</row>
    <row r="478" spans="1:12" ht="12.75">
      <c r="A478" s="39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</row>
    <row r="479" spans="1:12" ht="12.75">
      <c r="A479" s="3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</row>
  </sheetData>
  <sheetProtection/>
  <mergeCells count="33">
    <mergeCell ref="A429:B429"/>
    <mergeCell ref="C429:H429"/>
    <mergeCell ref="I429:L429"/>
    <mergeCell ref="A430:B430"/>
    <mergeCell ref="C430:H430"/>
    <mergeCell ref="I430:L430"/>
    <mergeCell ref="A431:B431"/>
    <mergeCell ref="C431:H431"/>
    <mergeCell ref="I431:L431"/>
    <mergeCell ref="A303:B303"/>
    <mergeCell ref="E316:G316"/>
    <mergeCell ref="I316:K316"/>
    <mergeCell ref="A309:L309"/>
    <mergeCell ref="A310:L310"/>
    <mergeCell ref="A311:L311"/>
    <mergeCell ref="A312:L312"/>
    <mergeCell ref="A158:L158"/>
    <mergeCell ref="A159:L159"/>
    <mergeCell ref="A160:L160"/>
    <mergeCell ref="A161:L161"/>
    <mergeCell ref="A162:L162"/>
    <mergeCell ref="E165:G165"/>
    <mergeCell ref="I165:K165"/>
    <mergeCell ref="N337:O337"/>
    <mergeCell ref="M184:O184"/>
    <mergeCell ref="A3:L3"/>
    <mergeCell ref="A4:L4"/>
    <mergeCell ref="A5:L5"/>
    <mergeCell ref="A6:L6"/>
    <mergeCell ref="A7:L7"/>
    <mergeCell ref="E10:G10"/>
    <mergeCell ref="I10:K10"/>
    <mergeCell ref="A313:L313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7" r:id="rId2"/>
  <rowBreaks count="2" manualBreakCount="2">
    <brk id="153" max="11" man="1"/>
    <brk id="304" max="11" man="1"/>
  </rowBreaks>
  <ignoredErrors>
    <ignoredError sqref="J267 I320:J320 J329 C412:D412 J412 F412" formulaRange="1"/>
    <ignoredError sqref="E25 E303 F302 E29:F29 E35:F35 F107 E148:F148 E237:F237 E273:F273 E349:F349 E353:F353 E355:F355 F384 J384 I355:J355 I353:J353 I349:J349 I343:J343 H303:J303 I237:J237 I100 I104 I107:J107 I148:J148 I61 I111 I235 I119 E197 I86 E393 E389:E391 E386 I196:I197 I273:J273 I221:I223 I263 I267 I276 E267:E271 F128 F127 F124 I386 I388:I391 I393 F51 E119 E208 I382:I384 E177:F177 I177:J177 E218:F218 I218 E380:F380 I380:J380 E377:F377 E374:F374 I374:J374 E376 I379 E379 I376:I377 E382:E384 E213 E122 J128 F186 F185 F189 F192 I184 F193 I186:J186 F184 I213 I62 I292:J292 I286:J286 E292:F292 E286:F286 E280:F280 E288 E88:E90 E127:E128 E133 I137 E192:E193 E188:E189 E184:E186 I188:I189 I192:I193 E263 E291 I291 E329:E330 E328:F328 E343:F343 E325:F325 F329 E341 I336:I337 J35 I50:I51 I29:J29 I24:I25 I35:I36 I226 E225:F225 E226:F226 I288 E44:F44 I42 E72 E77:E79 E84:E86 E215 I341 I133 I130 I122 I127:I128 I259 F252:F254 F255 F256 I256:J256 I258 I252:I254 I250 E252:E256 E258:E259 E261:F261 I245:I247 E246:F247 E336:E337 E57 E61:E62 E74 I43:I44 E399 E59 I208 E241:F241 I241 I271 E323:E324 E334 I334 I399 E402 I407 I409 I402 I412 I408 I185 I280:J280 I225 I255 I302:J302 E53 E404:E405 E407:E409 I404:I405 E100 E92 E95:E96 E107 E99 E102:E104 E106 I52:I53 I261 E124 I124 I73" formula="1"/>
    <ignoredError sqref="A14:A20 A21:B21 A33:B33 A96:B96 A127:B127 A137:B137 A188:B188 A199:B199 A200:A206 A207:B207 A220:B220 A263:B263 A264:A269 A280:B280 A351:B351 M351:IV351 A138:A152 A208:A219 A270:B271 A189:A198 A221:A262 A272:A279 A281:A302 A415 A341:A350 A320:A337 A22:A32 A34:A95 A97:A126 A128:A136 A168:A187 A352:A413 A339" numberStoredAsText="1"/>
    <ignoredError sqref="G303 K303 J192 J197 J386 J325 I324 I325 I329 I330 I323 E412" evalError="1" formula="1"/>
    <ignoredError sqref="G319 K319 K13" evalError="1"/>
    <ignoredError sqref="J192 J197 J386 J325 I324 I325 I329 I330 I323 E412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Renato Ferreira Costa</cp:lastModifiedBy>
  <cp:lastPrinted>2023-11-22T18:10:15Z</cp:lastPrinted>
  <dcterms:created xsi:type="dcterms:W3CDTF">2005-03-08T15:13:02Z</dcterms:created>
  <dcterms:modified xsi:type="dcterms:W3CDTF">2023-11-22T18:10:44Z</dcterms:modified>
  <cp:category/>
  <cp:version/>
  <cp:contentType/>
  <cp:contentStatus/>
</cp:coreProperties>
</file>