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<sst xmlns="http://schemas.openxmlformats.org/spreadsheetml/2006/main" count="284" uniqueCount="150">
  <si>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</si>
  <si>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</si>
  <si>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</si>
  <si>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</si>
  <si>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</si>
  <si>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</si>
  <si>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</si>
  <si>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</si>
  <si>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</si>
  <si>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</si>
  <si>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</si>
  <si>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</si>
  <si>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</si>
  <si>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</si>
  <si>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</si>
  <si>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</si>
  <si>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</si>
  <si>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</si>
  <si>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</si>
  <si>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</si>
  <si>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</si>
  <si>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</si>
  <si>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</si>
  <si>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</si>
  <si>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</si>
  <si>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</si>
  <si>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</si>
  <si>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</si>
  <si>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</si>
  <si>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</si>
  <si>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</si>
  <si>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</si>
  <si>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</si>
  <si>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</si>
  <si>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</si>
  <si>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</si>
  <si>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</si>
  <si>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</si>
  <si>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</si>
  <si>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</si>
  <si>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</si>
  <si>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</si>
  <si>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</si>
  <si>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</si>
  <si>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</si>
  <si>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</si>
  <si>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</si>
  <si>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</si>
  <si>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</si>
  <si>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</si>
  <si>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</si>
  <si>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</si>
  <si>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</si>
  <si>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</si>
  <si>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</si>
  <si>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</si>
  <si>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</si>
  <si>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</si>
  <si>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</si>
  <si>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</si>
  <si>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</si>
  <si>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</si>
  <si>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</si>
  <si>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</si>
  <si>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</si>
  <si>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</si>
  <si>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</si>
  <si>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</si>
  <si>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</si>
  <si>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</si>
  <si>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</si>
  <si>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</si>
  <si>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</si>
  <si>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</si>
  <si>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</si>
  <si>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</si>
  <si>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</si>
  <si>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</si>
  <si>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</si>
  <si>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</si>
  <si>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</si>
  <si>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</si>
  <si>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</si>
  <si>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</si>
  <si>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</si>
  <si>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</si>
  <si>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</si>
  <si>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</si>
  <si>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</si>
  <si>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</si>
  <si>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</si>
  <si>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</si>
  <si>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</si>
  <si>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</si>
  <si>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5 - Este Demonstrativo não considera a casa dos centavos.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</si>
  <si>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</si>
  <si>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</si>
  <si>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</si>
  <si>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</si>
  <si>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</si>
  <si>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</si>
  <si>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</si>
  <si>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</si>
  <si>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</si>
  <si>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</si>
  <si>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</si>
  <si>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</si>
  <si>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</si>
  <si>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</si>
  <si>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</si>
  <si>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</si>
  <si>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</si>
  <si>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</si>
  <si>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</si>
  <si>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</si>
  <si>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</si>
  <si>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</si>
  <si>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</si>
  <si>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</si>
  <si>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</si>
  <si>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</si>
  <si>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</si>
  <si>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</si>
  <si>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</si>
  <si>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</si>
  <si>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</si>
  <si>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</si>
  <si>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</si>
  <si>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</si>
  <si>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</si>
  <si>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</si>
  <si>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</si>
  <si>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</si>
  <si>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</si>
  <si>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</si>
  <si>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</si>
  <si>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</si>
  <si>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</si>
  <si>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</si>
  <si>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</si>
  <si>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</si>
  <si>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</si>
  <si>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</si>
  <si>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</si>
  <si>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</si>
  <si>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</si>
  <si>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  3 - A diferença de R$ 10.725.391.369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</si>
  <si>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 xml:space="preserve">          2 - Imprensa Oficial, CEDAE e AGERIO não constam nos Orçamentos Fiscal e da Seguridade Social no exercício de 2020.</t>
  </si>
  <si>
    <t>JANEIRO A ABRIL 2020/BIMESTRE MARÇO-ABRIL</t>
  </si>
  <si>
    <t>Emissão: 21/05/2020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</si>
</sst>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11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1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69" fontId="1" fillId="33" borderId="12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3" xfId="63" applyNumberFormat="1" applyFont="1" applyFill="1" applyBorder="1" applyAlignment="1">
      <alignment horizontal="right"/>
    </xf>
    <xf numFmtId="174" fontId="46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71" fontId="3" fillId="33" borderId="13" xfId="63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80" fontId="1" fillId="33" borderId="15" xfId="63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180" fontId="1" fillId="33" borderId="18" xfId="63" applyNumberFormat="1" applyFont="1" applyFill="1" applyBorder="1" applyAlignment="1">
      <alignment horizontal="right"/>
    </xf>
    <xf numFmtId="169" fontId="46" fillId="0" borderId="0" xfId="48" applyNumberFormat="1" applyFont="1" applyFill="1" applyAlignment="1">
      <alignment/>
      <protection/>
    </xf>
    <xf numFmtId="169" fontId="1" fillId="33" borderId="15" xfId="63" applyNumberFormat="1" applyFont="1" applyFill="1" applyBorder="1" applyAlignment="1">
      <alignment horizontal="right"/>
    </xf>
    <xf numFmtId="169" fontId="1" fillId="33" borderId="14" xfId="63" applyNumberFormat="1" applyFont="1" applyFill="1" applyBorder="1" applyAlignment="1">
      <alignment horizontal="right"/>
    </xf>
    <xf numFmtId="169" fontId="46" fillId="33" borderId="0" xfId="48" applyNumberFormat="1" applyFont="1" applyFill="1" applyAlignment="1">
      <alignment wrapText="1"/>
      <protection/>
    </xf>
    <xf numFmtId="169" fontId="3" fillId="33" borderId="15" xfId="64" applyNumberFormat="1" applyFont="1" applyFill="1" applyBorder="1" applyAlignment="1">
      <alignment horizontal="right"/>
    </xf>
    <xf numFmtId="169" fontId="3" fillId="33" borderId="15" xfId="63" applyNumberFormat="1" applyFont="1" applyFill="1" applyBorder="1" applyAlignment="1">
      <alignment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169" fontId="1" fillId="33" borderId="19" xfId="64" applyNumberFormat="1" applyFont="1" applyFill="1" applyBorder="1" applyAlignment="1">
      <alignment horizontal="right"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9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20" xfId="48" applyNumberFormat="1" applyFont="1" applyFill="1" applyBorder="1" applyAlignment="1">
      <alignment/>
      <protection/>
    </xf>
    <xf numFmtId="169" fontId="1" fillId="33" borderId="21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48" applyNumberFormat="1" applyFont="1" applyFill="1" applyBorder="1" applyAlignment="1">
      <alignment wrapText="1"/>
      <protection/>
    </xf>
    <xf numFmtId="169" fontId="1" fillId="33" borderId="22" xfId="64" applyNumberFormat="1" applyFont="1" applyFill="1" applyBorder="1" applyAlignment="1">
      <alignment horizontal="right"/>
    </xf>
    <xf numFmtId="169" fontId="3" fillId="33" borderId="0" xfId="48" applyNumberFormat="1" applyFont="1" applyFill="1" applyAlignment="1">
      <alignment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18" xfId="48" applyNumberFormat="1" applyFont="1" applyFill="1" applyBorder="1" applyAlignment="1">
      <alignment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4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7" xfId="48" applyNumberFormat="1" applyFont="1" applyFill="1" applyBorder="1" applyAlignment="1">
      <alignment/>
      <protection/>
    </xf>
    <xf numFmtId="169" fontId="1" fillId="33" borderId="18" xfId="64" applyNumberFormat="1" applyFont="1" applyFill="1" applyBorder="1" applyAlignment="1">
      <alignment horizontal="right"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169" fontId="3" fillId="33" borderId="24" xfId="64" applyNumberFormat="1" applyFont="1" applyFill="1" applyBorder="1" applyAlignment="1">
      <alignment horizontal="right"/>
    </xf>
    <xf numFmtId="0" fontId="3" fillId="33" borderId="17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7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 wrapText="1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0" fontId="3" fillId="33" borderId="0" xfId="48" applyNumberFormat="1" applyFont="1" applyFill="1" applyBorder="1" applyAlignment="1">
      <alignment horizontal="left" indent="2"/>
      <protection/>
    </xf>
    <xf numFmtId="169" fontId="6" fillId="0" borderId="0" xfId="48" applyNumberFormat="1" applyFont="1" applyFill="1" applyAlignment="1">
      <alignment/>
      <protection/>
    </xf>
    <xf numFmtId="169" fontId="2" fillId="0" borderId="0" xfId="48" applyNumberFormat="1" applyFont="1" applyFill="1" applyAlignment="1">
      <alignment/>
      <protection/>
    </xf>
    <xf numFmtId="0" fontId="3" fillId="33" borderId="0" xfId="48" applyNumberFormat="1" applyFont="1" applyFill="1" applyAlignment="1">
      <alignment horizontal="right"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23" xfId="64" applyNumberFormat="1" applyFont="1" applyFill="1" applyBorder="1" applyAlignment="1">
      <alignment horizontal="right"/>
    </xf>
    <xf numFmtId="169" fontId="48" fillId="0" borderId="15" xfId="64" applyNumberFormat="1" applyFont="1" applyFill="1" applyBorder="1" applyAlignment="1">
      <alignment horizontal="right"/>
    </xf>
    <xf numFmtId="0" fontId="6" fillId="33" borderId="0" xfId="48" applyFont="1" applyFill="1" applyBorder="1" applyAlignment="1">
      <alignment horizontal="left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0" xfId="48" applyNumberFormat="1" applyFont="1" applyFill="1" applyAlignment="1">
      <alignment/>
      <protection/>
    </xf>
    <xf numFmtId="169" fontId="3" fillId="0" borderId="0" xfId="64" applyNumberFormat="1" applyFont="1" applyFill="1" applyAlignment="1">
      <alignment horizontal="right"/>
    </xf>
    <xf numFmtId="0" fontId="3" fillId="0" borderId="0" xfId="48" applyNumberFormat="1" applyFont="1" applyFill="1" applyAlignment="1">
      <alignment horizontal="right"/>
      <protection/>
    </xf>
    <xf numFmtId="37" fontId="6" fillId="33" borderId="20" xfId="48" applyNumberFormat="1" applyFont="1" applyFill="1" applyBorder="1" applyAlignment="1">
      <alignment horizontal="center" vertical="center"/>
      <protection/>
    </xf>
    <xf numFmtId="169" fontId="3" fillId="33" borderId="19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74" fontId="3" fillId="33" borderId="19" xfId="63" applyNumberFormat="1" applyFont="1" applyFill="1" applyBorder="1" applyAlignment="1">
      <alignment horizontal="center"/>
    </xf>
    <xf numFmtId="174" fontId="3" fillId="33" borderId="12" xfId="63" applyNumberFormat="1" applyFont="1" applyFill="1" applyBorder="1" applyAlignment="1">
      <alignment horizontal="center"/>
    </xf>
    <xf numFmtId="0" fontId="1" fillId="34" borderId="22" xfId="48" applyNumberFormat="1" applyFont="1" applyFill="1" applyBorder="1" applyAlignment="1">
      <alignment horizontal="center" vertical="center" wrapText="1"/>
      <protection/>
    </xf>
    <xf numFmtId="0" fontId="1" fillId="34" borderId="16" xfId="48" applyNumberFormat="1" applyFont="1" applyFill="1" applyBorder="1" applyAlignment="1">
      <alignment horizontal="center" vertical="center" wrapText="1"/>
      <protection/>
    </xf>
    <xf numFmtId="0" fontId="1" fillId="34" borderId="19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10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169" fontId="3" fillId="33" borderId="19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69" fontId="3" fillId="33" borderId="12" xfId="64" applyNumberFormat="1" applyFont="1" applyFill="1" applyBorder="1" applyAlignment="1">
      <alignment horizontal="center"/>
    </xf>
    <xf numFmtId="49" fontId="3" fillId="33" borderId="24" xfId="48" applyNumberFormat="1" applyFont="1" applyFill="1" applyBorder="1" applyAlignment="1">
      <alignment horizontal="left"/>
      <protection/>
    </xf>
    <xf numFmtId="49" fontId="3" fillId="33" borderId="12" xfId="48" applyNumberFormat="1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74" fontId="1" fillId="33" borderId="19" xfId="63" applyNumberFormat="1" applyFont="1" applyFill="1" applyBorder="1" applyAlignment="1">
      <alignment horizontal="center"/>
    </xf>
    <xf numFmtId="174" fontId="1" fillId="33" borderId="12" xfId="63" applyNumberFormat="1" applyFont="1" applyFill="1" applyBorder="1" applyAlignment="1">
      <alignment horizontal="center"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4" xfId="48" applyNumberFormat="1" applyFont="1" applyFill="1" applyBorder="1" applyAlignment="1">
      <alignment horizontal="center"/>
      <protection/>
    </xf>
    <xf numFmtId="49" fontId="3" fillId="33" borderId="0" xfId="48" applyNumberFormat="1" applyFont="1" applyFill="1" applyBorder="1" applyAlignment="1">
      <alignment horizontal="left"/>
      <protection/>
    </xf>
    <xf numFmtId="174" fontId="3" fillId="33" borderId="23" xfId="63" applyNumberFormat="1" applyFont="1" applyFill="1" applyBorder="1" applyAlignment="1">
      <alignment horizontal="center"/>
    </xf>
    <xf numFmtId="174" fontId="3" fillId="33" borderId="24" xfId="63" applyNumberFormat="1" applyFont="1" applyFill="1" applyBorder="1" applyAlignment="1">
      <alignment horizontal="center"/>
    </xf>
    <xf numFmtId="0" fontId="1" fillId="34" borderId="10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169" fontId="3" fillId="33" borderId="23" xfId="64" applyNumberFormat="1" applyFont="1" applyFill="1" applyBorder="1" applyAlignment="1">
      <alignment horizontal="center"/>
    </xf>
    <xf numFmtId="169" fontId="3" fillId="33" borderId="24" xfId="64" applyNumberFormat="1" applyFont="1" applyFill="1" applyBorder="1" applyAlignment="1">
      <alignment horizontal="center"/>
    </xf>
    <xf numFmtId="169" fontId="3" fillId="33" borderId="17" xfId="64" applyNumberFormat="1" applyFont="1" applyFill="1" applyBorder="1" applyAlignment="1">
      <alignment horizontal="center"/>
    </xf>
    <xf numFmtId="169" fontId="1" fillId="33" borderId="19" xfId="64" applyNumberFormat="1" applyFont="1" applyFill="1" applyBorder="1" applyAlignment="1">
      <alignment horizontal="center"/>
    </xf>
    <xf numFmtId="169" fontId="1" fillId="33" borderId="12" xfId="64" applyNumberFormat="1" applyFont="1" applyFill="1" applyBorder="1" applyAlignment="1">
      <alignment horizontal="center"/>
    </xf>
    <xf numFmtId="169" fontId="1" fillId="33" borderId="0" xfId="64" applyNumberFormat="1" applyFont="1" applyFill="1" applyBorder="1" applyAlignment="1">
      <alignment horizontal="center"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49" fontId="1" fillId="33" borderId="12" xfId="48" applyNumberFormat="1" applyFont="1" applyFill="1" applyBorder="1" applyAlignment="1">
      <alignment horizontal="left"/>
      <protection/>
    </xf>
    <xf numFmtId="169" fontId="1" fillId="33" borderId="19" xfId="64" applyNumberFormat="1" applyFont="1" applyFill="1" applyBorder="1" applyAlignment="1">
      <alignment horizontal="right"/>
    </xf>
    <xf numFmtId="169" fontId="1" fillId="33" borderId="0" xfId="64" applyNumberFormat="1" applyFont="1" applyFill="1" applyBorder="1" applyAlignment="1">
      <alignment horizontal="right"/>
    </xf>
    <xf numFmtId="174" fontId="3" fillId="33" borderId="19" xfId="63" applyNumberFormat="1" applyFont="1" applyFill="1" applyBorder="1" applyAlignment="1">
      <alignment horizontal="right"/>
    </xf>
    <xf numFmtId="174" fontId="3" fillId="33" borderId="12" xfId="63" applyNumberFormat="1" applyFont="1" applyFill="1" applyBorder="1" applyAlignment="1">
      <alignment horizontal="right"/>
    </xf>
    <xf numFmtId="49" fontId="3" fillId="33" borderId="12" xfId="48" applyNumberFormat="1" applyFont="1" applyFill="1" applyBorder="1" applyAlignment="1">
      <alignment horizontal="left" indent="4"/>
      <protection/>
    </xf>
    <xf numFmtId="174" fontId="1" fillId="33" borderId="19" xfId="63" applyNumberFormat="1" applyFont="1" applyFill="1" applyBorder="1" applyAlignment="1">
      <alignment horizontal="right"/>
    </xf>
    <xf numFmtId="174" fontId="1" fillId="33" borderId="12" xfId="63" applyNumberFormat="1" applyFont="1" applyFill="1" applyBorder="1" applyAlignment="1">
      <alignment horizontal="right"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74" fontId="1" fillId="33" borderId="22" xfId="63" applyNumberFormat="1" applyFont="1" applyFill="1" applyBorder="1" applyAlignment="1">
      <alignment horizontal="right"/>
    </xf>
    <xf numFmtId="174" fontId="1" fillId="33" borderId="10" xfId="63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69" fontId="1" fillId="33" borderId="16" xfId="64" applyNumberFormat="1" applyFont="1" applyFill="1" applyBorder="1" applyAlignment="1">
      <alignment horizontal="right"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3" xfId="48" applyNumberFormat="1" applyFont="1" applyFill="1" applyBorder="1" applyAlignment="1">
      <alignment horizontal="center" vertical="center" wrapText="1"/>
      <protection/>
    </xf>
    <xf numFmtId="49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4" xfId="48" applyFont="1" applyFill="1" applyBorder="1" applyAlignment="1">
      <alignment horizontal="center" vertical="center"/>
      <protection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9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10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7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169" fontId="1" fillId="33" borderId="21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4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169" fontId="1" fillId="33" borderId="22" xfId="64" applyNumberFormat="1" applyFont="1" applyFill="1" applyBorder="1" applyAlignment="1">
      <alignment horizontal="center"/>
    </xf>
    <xf numFmtId="169" fontId="1" fillId="33" borderId="10" xfId="64" applyNumberFormat="1" applyFont="1" applyFill="1" applyBorder="1" applyAlignment="1">
      <alignment horizontal="center"/>
    </xf>
    <xf numFmtId="0" fontId="3" fillId="33" borderId="20" xfId="48" applyFont="1" applyFill="1" applyBorder="1" applyAlignment="1">
      <alignment horizontal="left"/>
      <protection/>
    </xf>
    <xf numFmtId="169" fontId="3" fillId="0" borderId="21" xfId="63" applyNumberFormat="1" applyFont="1" applyFill="1" applyBorder="1" applyAlignment="1">
      <alignment horizontal="center" wrapText="1"/>
    </xf>
    <xf numFmtId="169" fontId="3" fillId="0" borderId="14" xfId="63" applyNumberFormat="1" applyFont="1" applyFill="1" applyBorder="1" applyAlignment="1">
      <alignment horizontal="center" wrapText="1"/>
    </xf>
    <xf numFmtId="169" fontId="3" fillId="33" borderId="21" xfId="64" applyNumberFormat="1" applyFont="1" applyFill="1" applyBorder="1" applyAlignment="1">
      <alignment horizontal="right" vertical="center"/>
    </xf>
    <xf numFmtId="169" fontId="3" fillId="33" borderId="20" xfId="64" applyNumberFormat="1" applyFont="1" applyFill="1" applyBorder="1" applyAlignment="1">
      <alignment horizontal="right" vertical="center"/>
    </xf>
    <xf numFmtId="169" fontId="3" fillId="33" borderId="21" xfId="63" applyNumberFormat="1" applyFont="1" applyFill="1" applyBorder="1" applyAlignment="1">
      <alignment horizontal="center" wrapText="1"/>
    </xf>
    <xf numFmtId="169" fontId="3" fillId="33" borderId="14" xfId="63" applyNumberFormat="1" applyFont="1" applyFill="1" applyBorder="1" applyAlignment="1">
      <alignment horizontal="center" wrapText="1"/>
    </xf>
    <xf numFmtId="49" fontId="1" fillId="33" borderId="20" xfId="48" applyNumberFormat="1" applyFont="1" applyFill="1" applyBorder="1" applyAlignment="1">
      <alignment horizontal="left"/>
      <protection/>
    </xf>
    <xf numFmtId="49" fontId="1" fillId="33" borderId="14" xfId="48" applyNumberFormat="1" applyFont="1" applyFill="1" applyBorder="1" applyAlignment="1">
      <alignment horizontal="left"/>
      <protection/>
    </xf>
    <xf numFmtId="169" fontId="1" fillId="33" borderId="21" xfId="63" applyNumberFormat="1" applyFont="1" applyFill="1" applyBorder="1" applyAlignment="1">
      <alignment horizontal="center"/>
    </xf>
    <xf numFmtId="169" fontId="1" fillId="33" borderId="14" xfId="63" applyNumberFormat="1" applyFont="1" applyFill="1" applyBorder="1" applyAlignment="1">
      <alignment horizontal="center"/>
    </xf>
    <xf numFmtId="169" fontId="1" fillId="33" borderId="21" xfId="63" applyNumberFormat="1" applyFont="1" applyFill="1" applyBorder="1" applyAlignment="1">
      <alignment horizontal="right"/>
    </xf>
    <xf numFmtId="169" fontId="1" fillId="33" borderId="20" xfId="63" applyNumberFormat="1" applyFont="1" applyFill="1" applyBorder="1" applyAlignment="1">
      <alignment horizontal="right"/>
    </xf>
    <xf numFmtId="49" fontId="1" fillId="33" borderId="16" xfId="48" applyNumberFormat="1" applyFont="1" applyFill="1" applyBorder="1" applyAlignment="1">
      <alignment horizontal="left"/>
      <protection/>
    </xf>
    <xf numFmtId="49" fontId="1" fillId="33" borderId="10" xfId="48" applyNumberFormat="1" applyFont="1" applyFill="1" applyBorder="1" applyAlignment="1">
      <alignment horizontal="left"/>
      <protection/>
    </xf>
    <xf numFmtId="49" fontId="1" fillId="33" borderId="20" xfId="48" applyNumberFormat="1" applyFont="1" applyFill="1" applyBorder="1" applyAlignment="1">
      <alignment horizontal="left" vertical="center" wrapText="1"/>
      <protection/>
    </xf>
    <xf numFmtId="169" fontId="3" fillId="33" borderId="12" xfId="64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0" fontId="3" fillId="33" borderId="14" xfId="48" applyFont="1" applyFill="1" applyBorder="1" applyAlignment="1">
      <alignment horizontal="left"/>
      <protection/>
    </xf>
    <xf numFmtId="0" fontId="3" fillId="33" borderId="17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4" xfId="64" applyNumberFormat="1" applyFont="1" applyFill="1" applyBorder="1" applyAlignment="1">
      <alignment horizontal="right"/>
    </xf>
    <xf numFmtId="0" fontId="1" fillId="33" borderId="12" xfId="48" applyFont="1" applyFill="1" applyBorder="1" applyAlignment="1">
      <alignment horizontal="left"/>
      <protection/>
    </xf>
    <xf numFmtId="169" fontId="1" fillId="33" borderId="23" xfId="64" applyNumberFormat="1" applyFont="1" applyFill="1" applyBorder="1" applyAlignment="1">
      <alignment horizontal="center"/>
    </xf>
    <xf numFmtId="169" fontId="1" fillId="33" borderId="24" xfId="64" applyNumberFormat="1" applyFont="1" applyFill="1" applyBorder="1" applyAlignment="1">
      <alignment horizontal="center"/>
    </xf>
    <xf numFmtId="0" fontId="1" fillId="33" borderId="16" xfId="48" applyNumberFormat="1" applyFont="1" applyFill="1" applyBorder="1" applyAlignment="1">
      <alignment horizontal="left"/>
      <protection/>
    </xf>
    <xf numFmtId="0" fontId="3" fillId="33" borderId="10" xfId="48" applyFont="1" applyFill="1" applyBorder="1" applyAlignment="1">
      <alignment horizontal="left"/>
      <protection/>
    </xf>
    <xf numFmtId="169" fontId="1" fillId="33" borderId="10" xfId="64" applyNumberFormat="1" applyFont="1" applyFill="1" applyBorder="1" applyAlignment="1">
      <alignment horizontal="right"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169" fontId="1" fillId="33" borderId="21" xfId="64" applyNumberFormat="1" applyFont="1" applyFill="1" applyBorder="1" applyAlignment="1">
      <alignment horizontal="center"/>
    </xf>
    <xf numFmtId="169" fontId="1" fillId="33" borderId="14" xfId="64" applyNumberFormat="1" applyFont="1" applyFill="1" applyBorder="1" applyAlignment="1">
      <alignment horizontal="center"/>
    </xf>
    <xf numFmtId="169" fontId="46" fillId="0" borderId="0" xfId="48" applyNumberFormat="1" applyFont="1" applyFill="1" applyAlignment="1">
      <alignment horizontal="center" wrapText="1"/>
      <protection/>
    </xf>
    <xf numFmtId="0" fontId="50" fillId="0" borderId="0" xfId="48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114300</xdr:rowOff>
    </xdr:from>
    <xdr:to>
      <xdr:col>3</xdr:col>
      <xdr:colOff>1200150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143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127</xdr:row>
      <xdr:rowOff>9525</xdr:rowOff>
    </xdr:from>
    <xdr:to>
      <xdr:col>3</xdr:col>
      <xdr:colOff>1143000</xdr:colOff>
      <xdr:row>129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52698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A1">
      <selection activeCell="E11" sqref="E11"/>
    </sheetView>
  </sheetViews>
  <sheetFormatPr defaultColWidth="9.140625" defaultRowHeight="11.25" customHeight="1"/>
  <cols>
    <col min="1" max="1" width="80.00390625" style="2" customWidth="1"/>
    <col min="2" max="2" width="17.8515625" style="2" customWidth="1"/>
    <col min="3" max="3" width="19.28125" style="2" customWidth="1"/>
    <col min="4" max="4" width="18.7109375" style="2" customWidth="1"/>
    <col min="5" max="5" width="19.00390625" style="2" customWidth="1"/>
    <col min="6" max="6" width="18.8515625" style="2" customWidth="1"/>
    <col min="7" max="7" width="18.7109375" style="2" customWidth="1"/>
    <col min="8" max="8" width="10.421875" style="2" customWidth="1"/>
    <col min="9" max="9" width="12.00390625" style="2" bestFit="1" customWidth="1"/>
    <col min="10" max="10" width="18.7109375" style="2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46" t="s">
        <v>27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2" s="4" customFormat="1" ht="15.75" customHeight="1">
      <c r="A7" s="247" t="s">
        <v>0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2" s="4" customFormat="1" ht="15.75" customHeight="1">
      <c r="A8" s="248" t="s">
        <v>1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</row>
    <row r="9" spans="1:12" s="4" customFormat="1" ht="15.75" customHeight="1">
      <c r="A9" s="249" t="s">
        <v>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2" s="4" customFormat="1" ht="16.5">
      <c r="A10" s="247" t="s">
        <v>148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33" t="s">
        <v>149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04" t="s">
        <v>4</v>
      </c>
      <c r="B14" s="205"/>
      <c r="C14" s="194" t="s">
        <v>72</v>
      </c>
      <c r="D14" s="102" t="s">
        <v>87</v>
      </c>
      <c r="E14" s="197" t="s">
        <v>3</v>
      </c>
      <c r="F14" s="198"/>
      <c r="G14" s="198"/>
      <c r="H14" s="198"/>
      <c r="I14" s="199"/>
      <c r="J14" s="200" t="s">
        <v>73</v>
      </c>
      <c r="K14" s="214"/>
      <c r="L14" s="214"/>
    </row>
    <row r="15" spans="1:12" s="3" customFormat="1" ht="15.75" customHeight="1">
      <c r="A15" s="206"/>
      <c r="B15" s="207"/>
      <c r="C15" s="195"/>
      <c r="D15" s="103" t="s">
        <v>6</v>
      </c>
      <c r="E15" s="102" t="s">
        <v>7</v>
      </c>
      <c r="F15" s="104" t="s">
        <v>8</v>
      </c>
      <c r="G15" s="200" t="s">
        <v>9</v>
      </c>
      <c r="H15" s="201"/>
      <c r="I15" s="104" t="s">
        <v>8</v>
      </c>
      <c r="J15" s="202"/>
      <c r="K15" s="203"/>
      <c r="L15" s="203"/>
    </row>
    <row r="16" spans="1:12" s="3" customFormat="1" ht="16.5" customHeight="1">
      <c r="A16" s="208"/>
      <c r="B16" s="209"/>
      <c r="C16" s="196"/>
      <c r="D16" s="105" t="s">
        <v>10</v>
      </c>
      <c r="E16" s="105" t="s">
        <v>11</v>
      </c>
      <c r="F16" s="105" t="s">
        <v>12</v>
      </c>
      <c r="G16" s="185" t="s">
        <v>74</v>
      </c>
      <c r="H16" s="186"/>
      <c r="I16" s="105" t="s">
        <v>13</v>
      </c>
      <c r="J16" s="185" t="s">
        <v>14</v>
      </c>
      <c r="K16" s="187"/>
      <c r="L16" s="187"/>
    </row>
    <row r="17" spans="1:13" s="3" customFormat="1" ht="15.75" customHeight="1">
      <c r="A17" s="188" t="s">
        <v>75</v>
      </c>
      <c r="B17" s="189"/>
      <c r="C17" s="14">
        <f>C18+C58</f>
        <v>66563479836</v>
      </c>
      <c r="D17" s="15">
        <f>D18+D58</f>
        <v>53301532061.59</v>
      </c>
      <c r="E17" s="16">
        <f>E18+E58</f>
        <v>7933507112.030001</v>
      </c>
      <c r="F17" s="17">
        <f>(E17/D17)*100</f>
        <v>14.884200894756312</v>
      </c>
      <c r="G17" s="190">
        <f>G18+G58</f>
        <v>20002554872.1</v>
      </c>
      <c r="H17" s="191"/>
      <c r="I17" s="17">
        <f>(G17/D17)*100</f>
        <v>37.527166853266095</v>
      </c>
      <c r="J17" s="192">
        <f>D17-G17</f>
        <v>33298977189.489998</v>
      </c>
      <c r="K17" s="193"/>
      <c r="L17" s="193"/>
      <c r="M17" s="18"/>
    </row>
    <row r="18" spans="1:13" s="3" customFormat="1" ht="15.75" customHeight="1">
      <c r="A18" s="177" t="s">
        <v>35</v>
      </c>
      <c r="B18" s="177"/>
      <c r="C18" s="19">
        <f>C19+C23+C28+C36+C37+C38+C44+C53</f>
        <v>65299268780</v>
      </c>
      <c r="D18" s="20">
        <f>D19+D23+D28+D36+D37+D38+D44+D53</f>
        <v>52036823096.59</v>
      </c>
      <c r="E18" s="16">
        <f>E19+E23+E28+E36+E37+E38+E44+E53</f>
        <v>7907751637.030001</v>
      </c>
      <c r="F18" s="21">
        <f aca="true" t="shared" si="0" ref="F18:F43">(E18/D18)*100</f>
        <v>15.1964535235976</v>
      </c>
      <c r="G18" s="183">
        <f>G19+G23+G28+G36+G37+G38+G44+G53</f>
        <v>19951866627.1</v>
      </c>
      <c r="H18" s="184"/>
      <c r="I18" s="21">
        <f aca="true" t="shared" si="1" ref="I18:I81">(G18/D18)*100</f>
        <v>38.34182303955342</v>
      </c>
      <c r="J18" s="178">
        <f>D18-G18</f>
        <v>32084956469.489998</v>
      </c>
      <c r="K18" s="179"/>
      <c r="L18" s="179"/>
      <c r="M18" s="22"/>
    </row>
    <row r="19" spans="1:13" s="3" customFormat="1" ht="15.75" customHeight="1">
      <c r="A19" s="152" t="s">
        <v>141</v>
      </c>
      <c r="B19" s="152"/>
      <c r="C19" s="23">
        <f>C20+C21+C22</f>
        <v>38233199762</v>
      </c>
      <c r="D19" s="24">
        <f>D20+D21+D22</f>
        <v>29761243603</v>
      </c>
      <c r="E19" s="25">
        <f>E20+E21+E22</f>
        <v>5505124390</v>
      </c>
      <c r="F19" s="26">
        <f t="shared" si="0"/>
        <v>18.497628874100783</v>
      </c>
      <c r="G19" s="180">
        <f>G20+G21+H22</f>
        <v>12248743083</v>
      </c>
      <c r="H19" s="181" t="e">
        <f>G20+G21+#REF!</f>
        <v>#REF!</v>
      </c>
      <c r="I19" s="26">
        <f t="shared" si="1"/>
        <v>41.1566910522694</v>
      </c>
      <c r="J19" s="135">
        <f>D19-G19</f>
        <v>17512500520</v>
      </c>
      <c r="K19" s="136"/>
      <c r="L19" s="136"/>
      <c r="M19" s="22"/>
    </row>
    <row r="20" spans="1:12" s="3" customFormat="1" ht="15.75" customHeight="1">
      <c r="A20" s="152" t="s">
        <v>36</v>
      </c>
      <c r="B20" s="152"/>
      <c r="C20" s="23">
        <v>35182845614</v>
      </c>
      <c r="D20" s="24">
        <v>26649687972</v>
      </c>
      <c r="E20" s="25">
        <f>G20-6202508107</f>
        <v>5187404451</v>
      </c>
      <c r="F20" s="26">
        <f t="shared" si="0"/>
        <v>19.465160179174497</v>
      </c>
      <c r="G20" s="137">
        <v>11389912558</v>
      </c>
      <c r="H20" s="138"/>
      <c r="I20" s="26">
        <f t="shared" si="1"/>
        <v>42.73938430336231</v>
      </c>
      <c r="J20" s="135">
        <f aca="true" t="shared" si="2" ref="J20:J80">D20-G20</f>
        <v>15259775414</v>
      </c>
      <c r="K20" s="136"/>
      <c r="L20" s="136"/>
    </row>
    <row r="21" spans="1:12" s="3" customFormat="1" ht="15.75" customHeight="1">
      <c r="A21" s="152" t="s">
        <v>37</v>
      </c>
      <c r="B21" s="152"/>
      <c r="C21" s="23">
        <v>3050354148</v>
      </c>
      <c r="D21" s="24">
        <v>3111555631</v>
      </c>
      <c r="E21" s="25">
        <f>G21-541110586</f>
        <v>317719939</v>
      </c>
      <c r="F21" s="26">
        <f t="shared" si="0"/>
        <v>10.210967653433544</v>
      </c>
      <c r="G21" s="137">
        <v>858830525</v>
      </c>
      <c r="H21" s="138"/>
      <c r="I21" s="26">
        <f t="shared" si="1"/>
        <v>27.60132315950227</v>
      </c>
      <c r="J21" s="135">
        <f t="shared" si="2"/>
        <v>2252725106</v>
      </c>
      <c r="K21" s="136"/>
      <c r="L21" s="136"/>
    </row>
    <row r="22" spans="1:12" s="3" customFormat="1" ht="15.75" customHeight="1">
      <c r="A22" s="182" t="s">
        <v>142</v>
      </c>
      <c r="B22" s="182"/>
      <c r="C22" s="23">
        <v>0</v>
      </c>
      <c r="D22" s="24">
        <v>0</v>
      </c>
      <c r="E22" s="25">
        <f>G22-0</f>
        <v>0</v>
      </c>
      <c r="F22" s="26">
        <v>0</v>
      </c>
      <c r="G22" s="180">
        <v>0</v>
      </c>
      <c r="H22" s="181"/>
      <c r="I22" s="26">
        <v>0</v>
      </c>
      <c r="J22" s="135">
        <f t="shared" si="2"/>
        <v>0</v>
      </c>
      <c r="K22" s="136"/>
      <c r="L22" s="136"/>
    </row>
    <row r="23" spans="1:13" s="3" customFormat="1" ht="17.25" customHeight="1">
      <c r="A23" s="152" t="s">
        <v>38</v>
      </c>
      <c r="B23" s="152"/>
      <c r="C23" s="23">
        <f>C25+C24+C26+C27</f>
        <v>3056775494</v>
      </c>
      <c r="D23" s="24">
        <f>D25+D24+D26+D27</f>
        <v>3056775494</v>
      </c>
      <c r="E23" s="25">
        <f>E25+E24+E26+E27</f>
        <v>376371035</v>
      </c>
      <c r="F23" s="26">
        <f t="shared" si="0"/>
        <v>12.31268163915737</v>
      </c>
      <c r="G23" s="180">
        <f>SUM(G24:H27)</f>
        <v>669792697</v>
      </c>
      <c r="H23" s="181"/>
      <c r="I23" s="26">
        <f t="shared" si="1"/>
        <v>21.911739946708693</v>
      </c>
      <c r="J23" s="135">
        <f t="shared" si="2"/>
        <v>2386982797</v>
      </c>
      <c r="K23" s="136"/>
      <c r="L23" s="136"/>
      <c r="M23" s="22"/>
    </row>
    <row r="24" spans="1:12" s="3" customFormat="1" ht="15.75" customHeight="1">
      <c r="A24" s="152" t="s">
        <v>39</v>
      </c>
      <c r="B24" s="152"/>
      <c r="C24" s="23">
        <v>3056775494</v>
      </c>
      <c r="D24" s="24">
        <v>3056775494</v>
      </c>
      <c r="E24" s="25">
        <f>G24-293421662</f>
        <v>376371035</v>
      </c>
      <c r="F24" s="26">
        <f t="shared" si="0"/>
        <v>12.31268163915737</v>
      </c>
      <c r="G24" s="137">
        <v>669792697</v>
      </c>
      <c r="H24" s="138"/>
      <c r="I24" s="26">
        <f t="shared" si="1"/>
        <v>21.911739946708693</v>
      </c>
      <c r="J24" s="135">
        <f t="shared" si="2"/>
        <v>2386982797</v>
      </c>
      <c r="K24" s="136"/>
      <c r="L24" s="136"/>
    </row>
    <row r="25" spans="1:12" s="3" customFormat="1" ht="15.75" customHeight="1">
      <c r="A25" s="152" t="s">
        <v>100</v>
      </c>
      <c r="B25" s="152"/>
      <c r="C25" s="23">
        <v>0</v>
      </c>
      <c r="D25" s="24">
        <v>0</v>
      </c>
      <c r="E25" s="25">
        <f>G25-0</f>
        <v>0</v>
      </c>
      <c r="F25" s="26">
        <v>0</v>
      </c>
      <c r="G25" s="180">
        <v>0</v>
      </c>
      <c r="H25" s="181"/>
      <c r="I25" s="26">
        <v>0</v>
      </c>
      <c r="J25" s="135">
        <f t="shared" si="2"/>
        <v>0</v>
      </c>
      <c r="K25" s="136"/>
      <c r="L25" s="136"/>
    </row>
    <row r="26" spans="1:12" s="3" customFormat="1" ht="15.75" customHeight="1">
      <c r="A26" s="152" t="s">
        <v>118</v>
      </c>
      <c r="B26" s="152"/>
      <c r="C26" s="23">
        <v>0</v>
      </c>
      <c r="D26" s="24">
        <v>0</v>
      </c>
      <c r="E26" s="25">
        <f>G26-0</f>
        <v>0</v>
      </c>
      <c r="F26" s="26">
        <v>0</v>
      </c>
      <c r="G26" s="180">
        <v>0</v>
      </c>
      <c r="H26" s="181"/>
      <c r="I26" s="26">
        <v>0</v>
      </c>
      <c r="J26" s="148">
        <f t="shared" si="2"/>
        <v>0</v>
      </c>
      <c r="K26" s="149"/>
      <c r="L26" s="149"/>
    </row>
    <row r="27" spans="1:12" s="3" customFormat="1" ht="15.75" customHeight="1">
      <c r="A27" s="152" t="s">
        <v>119</v>
      </c>
      <c r="B27" s="152"/>
      <c r="C27" s="23">
        <v>0</v>
      </c>
      <c r="D27" s="24">
        <v>0</v>
      </c>
      <c r="E27" s="25">
        <f>G27-0</f>
        <v>0</v>
      </c>
      <c r="F27" s="26">
        <v>0</v>
      </c>
      <c r="G27" s="180">
        <v>0</v>
      </c>
      <c r="H27" s="181"/>
      <c r="I27" s="26">
        <v>0</v>
      </c>
      <c r="J27" s="148">
        <f t="shared" si="2"/>
        <v>0</v>
      </c>
      <c r="K27" s="149"/>
      <c r="L27" s="149"/>
    </row>
    <row r="28" spans="1:13" s="3" customFormat="1" ht="15.75" customHeight="1">
      <c r="A28" s="152" t="s">
        <v>40</v>
      </c>
      <c r="B28" s="152"/>
      <c r="C28" s="23">
        <f>SUM(C29:C35)</f>
        <v>14438345048</v>
      </c>
      <c r="D28" s="24">
        <f>SUM(D29:D35)</f>
        <v>10594564794</v>
      </c>
      <c r="E28" s="25">
        <f>SUM(E29:E35)</f>
        <v>694886639</v>
      </c>
      <c r="F28" s="26">
        <f t="shared" si="0"/>
        <v>6.558897439501562</v>
      </c>
      <c r="G28" s="180">
        <f>SUM(G29:H35)</f>
        <v>4041116253</v>
      </c>
      <c r="H28" s="181">
        <f>SUM(H29:H35)</f>
        <v>0</v>
      </c>
      <c r="I28" s="26">
        <f t="shared" si="1"/>
        <v>38.14329641259637</v>
      </c>
      <c r="J28" s="135">
        <f t="shared" si="2"/>
        <v>6553448541</v>
      </c>
      <c r="K28" s="136"/>
      <c r="L28" s="136"/>
      <c r="M28" s="27"/>
    </row>
    <row r="29" spans="1:12" s="3" customFormat="1" ht="15.75" customHeight="1">
      <c r="A29" s="152" t="s">
        <v>120</v>
      </c>
      <c r="B29" s="152"/>
      <c r="C29" s="23">
        <v>78501822</v>
      </c>
      <c r="D29" s="24">
        <v>79816906</v>
      </c>
      <c r="E29" s="25">
        <f>G29-11927066</f>
        <v>9615858</v>
      </c>
      <c r="F29" s="26">
        <f t="shared" si="0"/>
        <v>12.047395071916219</v>
      </c>
      <c r="G29" s="137">
        <v>21542924</v>
      </c>
      <c r="H29" s="138"/>
      <c r="I29" s="26">
        <f t="shared" si="1"/>
        <v>26.99042731623799</v>
      </c>
      <c r="J29" s="135">
        <f t="shared" si="2"/>
        <v>58273982</v>
      </c>
      <c r="K29" s="136"/>
      <c r="L29" s="136"/>
    </row>
    <row r="30" spans="1:12" s="3" customFormat="1" ht="15.75" customHeight="1">
      <c r="A30" s="152" t="s">
        <v>121</v>
      </c>
      <c r="B30" s="152"/>
      <c r="C30" s="23">
        <v>264086854</v>
      </c>
      <c r="D30" s="24">
        <v>272197941</v>
      </c>
      <c r="E30" s="25">
        <f>G30-45812419</f>
        <v>60247480</v>
      </c>
      <c r="F30" s="26">
        <f t="shared" si="0"/>
        <v>22.13370159181329</v>
      </c>
      <c r="G30" s="137">
        <v>106059899</v>
      </c>
      <c r="H30" s="138"/>
      <c r="I30" s="26">
        <f t="shared" si="1"/>
        <v>38.964254692874405</v>
      </c>
      <c r="J30" s="135">
        <f t="shared" si="2"/>
        <v>166138042</v>
      </c>
      <c r="K30" s="136"/>
      <c r="L30" s="136"/>
    </row>
    <row r="31" spans="1:12" s="3" customFormat="1" ht="15.75" customHeight="1">
      <c r="A31" s="152" t="s">
        <v>124</v>
      </c>
      <c r="B31" s="152"/>
      <c r="C31" s="23">
        <v>19616847</v>
      </c>
      <c r="D31" s="24">
        <v>19737358</v>
      </c>
      <c r="E31" s="25">
        <f>G31-4101111</f>
        <v>2233056</v>
      </c>
      <c r="F31" s="26">
        <f t="shared" si="0"/>
        <v>11.313854670924043</v>
      </c>
      <c r="G31" s="137">
        <v>6334167</v>
      </c>
      <c r="H31" s="138"/>
      <c r="I31" s="26">
        <f t="shared" si="1"/>
        <v>32.09227395074863</v>
      </c>
      <c r="J31" s="135">
        <f t="shared" si="2"/>
        <v>13403191</v>
      </c>
      <c r="K31" s="136"/>
      <c r="L31" s="136"/>
    </row>
    <row r="32" spans="1:12" s="3" customFormat="1" ht="15.75" customHeight="1">
      <c r="A32" s="152" t="s">
        <v>122</v>
      </c>
      <c r="B32" s="152"/>
      <c r="C32" s="23">
        <v>70440482</v>
      </c>
      <c r="D32" s="24">
        <v>71321902</v>
      </c>
      <c r="E32" s="25">
        <f>G32-11763565</f>
        <v>11763868</v>
      </c>
      <c r="F32" s="26">
        <f t="shared" si="0"/>
        <v>16.494046947878648</v>
      </c>
      <c r="G32" s="137">
        <v>23527433</v>
      </c>
      <c r="H32" s="138"/>
      <c r="I32" s="26">
        <f t="shared" si="1"/>
        <v>32.98766906132145</v>
      </c>
      <c r="J32" s="135">
        <f t="shared" si="2"/>
        <v>47794469</v>
      </c>
      <c r="K32" s="136"/>
      <c r="L32" s="136"/>
    </row>
    <row r="33" spans="1:12" s="3" customFormat="1" ht="15.75" customHeight="1">
      <c r="A33" s="152" t="s">
        <v>123</v>
      </c>
      <c r="B33" s="152"/>
      <c r="C33" s="23">
        <v>0</v>
      </c>
      <c r="D33" s="24">
        <v>0</v>
      </c>
      <c r="E33" s="25">
        <f>G33-0</f>
        <v>0</v>
      </c>
      <c r="F33" s="26">
        <v>0</v>
      </c>
      <c r="G33" s="137">
        <v>0</v>
      </c>
      <c r="H33" s="138"/>
      <c r="I33" s="26">
        <v>0</v>
      </c>
      <c r="J33" s="135">
        <f t="shared" si="2"/>
        <v>0</v>
      </c>
      <c r="K33" s="136"/>
      <c r="L33" s="136"/>
    </row>
    <row r="34" spans="1:12" s="3" customFormat="1" ht="15.75" customHeight="1">
      <c r="A34" s="152" t="s">
        <v>126</v>
      </c>
      <c r="B34" s="152"/>
      <c r="C34" s="23">
        <v>0</v>
      </c>
      <c r="D34" s="24">
        <v>0</v>
      </c>
      <c r="E34" s="25">
        <f>G34-0</f>
        <v>0</v>
      </c>
      <c r="F34" s="26">
        <v>0</v>
      </c>
      <c r="G34" s="137">
        <v>0</v>
      </c>
      <c r="H34" s="138"/>
      <c r="I34" s="26">
        <v>0</v>
      </c>
      <c r="J34" s="135">
        <f t="shared" si="2"/>
        <v>0</v>
      </c>
      <c r="K34" s="136"/>
      <c r="L34" s="136"/>
    </row>
    <row r="35" spans="1:12" s="3" customFormat="1" ht="15.75" customHeight="1">
      <c r="A35" s="152" t="s">
        <v>125</v>
      </c>
      <c r="B35" s="152"/>
      <c r="C35" s="23">
        <v>14005699043</v>
      </c>
      <c r="D35" s="24">
        <v>10151490687</v>
      </c>
      <c r="E35" s="25">
        <f>G35-3272625453</f>
        <v>611026377</v>
      </c>
      <c r="F35" s="26">
        <f t="shared" si="0"/>
        <v>6.019080308889811</v>
      </c>
      <c r="G35" s="137">
        <v>3883651830</v>
      </c>
      <c r="H35" s="138"/>
      <c r="I35" s="26">
        <f t="shared" si="1"/>
        <v>38.25696097001207</v>
      </c>
      <c r="J35" s="135">
        <f t="shared" si="2"/>
        <v>6267838857</v>
      </c>
      <c r="K35" s="136"/>
      <c r="L35" s="136"/>
    </row>
    <row r="36" spans="1:13" s="3" customFormat="1" ht="15.75" customHeight="1">
      <c r="A36" s="152" t="s">
        <v>41</v>
      </c>
      <c r="B36" s="152"/>
      <c r="C36" s="23">
        <v>160150</v>
      </c>
      <c r="D36" s="24">
        <v>160150</v>
      </c>
      <c r="E36" s="25">
        <f>G36-1588</f>
        <v>0</v>
      </c>
      <c r="F36" s="26">
        <f t="shared" si="0"/>
        <v>0</v>
      </c>
      <c r="G36" s="137">
        <v>1588</v>
      </c>
      <c r="H36" s="138"/>
      <c r="I36" s="26">
        <f t="shared" si="1"/>
        <v>0.9915704027474243</v>
      </c>
      <c r="J36" s="135">
        <f t="shared" si="2"/>
        <v>158562</v>
      </c>
      <c r="K36" s="136"/>
      <c r="L36" s="136"/>
      <c r="M36" s="22"/>
    </row>
    <row r="37" spans="1:13" s="3" customFormat="1" ht="15.75" customHeight="1">
      <c r="A37" s="152" t="s">
        <v>42</v>
      </c>
      <c r="B37" s="152"/>
      <c r="C37" s="23">
        <v>91704674</v>
      </c>
      <c r="D37" s="24">
        <v>91704674</v>
      </c>
      <c r="E37" s="25">
        <f>G37-54716</f>
        <v>11259923</v>
      </c>
      <c r="F37" s="26">
        <f t="shared" si="0"/>
        <v>12.278461400996857</v>
      </c>
      <c r="G37" s="137">
        <v>11314639</v>
      </c>
      <c r="H37" s="138"/>
      <c r="I37" s="26">
        <f t="shared" si="1"/>
        <v>12.338126844003611</v>
      </c>
      <c r="J37" s="135">
        <f t="shared" si="2"/>
        <v>80390035</v>
      </c>
      <c r="K37" s="136"/>
      <c r="L37" s="136"/>
      <c r="M37" s="22"/>
    </row>
    <row r="38" spans="1:13" s="3" customFormat="1" ht="15.75" customHeight="1">
      <c r="A38" s="152" t="s">
        <v>43</v>
      </c>
      <c r="B38" s="152"/>
      <c r="C38" s="23">
        <f>SUM(C39:C43)</f>
        <v>381449580</v>
      </c>
      <c r="D38" s="24">
        <f>SUM(D39:D43)</f>
        <v>381450712.59000003</v>
      </c>
      <c r="E38" s="25">
        <f>SUM(E39:E43)</f>
        <v>37559621.14</v>
      </c>
      <c r="F38" s="26">
        <f t="shared" si="0"/>
        <v>9.846520113955254</v>
      </c>
      <c r="G38" s="180">
        <f>SUM(G39:H43)</f>
        <v>95695508.05</v>
      </c>
      <c r="H38" s="181"/>
      <c r="I38" s="26">
        <f t="shared" si="1"/>
        <v>25.087253711033892</v>
      </c>
      <c r="J38" s="135">
        <f t="shared" si="2"/>
        <v>285755204.54</v>
      </c>
      <c r="K38" s="136"/>
      <c r="L38" s="136"/>
      <c r="M38" s="22"/>
    </row>
    <row r="39" spans="1:12" s="3" customFormat="1" ht="15.75" customHeight="1">
      <c r="A39" s="152" t="s">
        <v>113</v>
      </c>
      <c r="B39" s="152"/>
      <c r="C39" s="23">
        <v>214871828</v>
      </c>
      <c r="D39" s="24">
        <v>214872819</v>
      </c>
      <c r="E39" s="25">
        <f>G39-33545507</f>
        <v>26806432</v>
      </c>
      <c r="F39" s="26">
        <f t="shared" si="0"/>
        <v>12.475487651139346</v>
      </c>
      <c r="G39" s="137">
        <v>60351939</v>
      </c>
      <c r="H39" s="138"/>
      <c r="I39" s="26">
        <f t="shared" si="1"/>
        <v>28.087284041263498</v>
      </c>
      <c r="J39" s="135">
        <f t="shared" si="2"/>
        <v>154520880</v>
      </c>
      <c r="K39" s="136"/>
      <c r="L39" s="136"/>
    </row>
    <row r="40" spans="1:12" s="3" customFormat="1" ht="15.75" customHeight="1">
      <c r="A40" s="152" t="s">
        <v>114</v>
      </c>
      <c r="B40" s="152"/>
      <c r="C40" s="23">
        <v>29118080</v>
      </c>
      <c r="D40" s="24">
        <v>29118080</v>
      </c>
      <c r="E40" s="25">
        <f>G40-2440949.64</f>
        <v>1331034.8399999999</v>
      </c>
      <c r="F40" s="26">
        <f t="shared" si="0"/>
        <v>4.5711627964481165</v>
      </c>
      <c r="G40" s="137">
        <v>3771984.48</v>
      </c>
      <c r="H40" s="138"/>
      <c r="I40" s="26">
        <f t="shared" si="1"/>
        <v>12.9540975229136</v>
      </c>
      <c r="J40" s="148">
        <f t="shared" si="2"/>
        <v>25346095.52</v>
      </c>
      <c r="K40" s="149"/>
      <c r="L40" s="149"/>
    </row>
    <row r="41" spans="1:12" s="3" customFormat="1" ht="15.75" customHeight="1">
      <c r="A41" s="152" t="s">
        <v>115</v>
      </c>
      <c r="B41" s="152"/>
      <c r="C41" s="23">
        <v>69811021</v>
      </c>
      <c r="D41" s="24">
        <v>69811021</v>
      </c>
      <c r="E41" s="25">
        <f>G41-20365091.91</f>
        <v>5005774.57</v>
      </c>
      <c r="F41" s="26">
        <f t="shared" si="0"/>
        <v>7.170464631938272</v>
      </c>
      <c r="G41" s="137">
        <v>25370866.48</v>
      </c>
      <c r="H41" s="138"/>
      <c r="I41" s="26">
        <f t="shared" si="1"/>
        <v>36.342208030448376</v>
      </c>
      <c r="J41" s="148">
        <f t="shared" si="2"/>
        <v>44440154.519999996</v>
      </c>
      <c r="K41" s="149"/>
      <c r="L41" s="149"/>
    </row>
    <row r="42" spans="1:12" s="3" customFormat="1" ht="15.75" customHeight="1">
      <c r="A42" s="152" t="s">
        <v>116</v>
      </c>
      <c r="B42" s="152"/>
      <c r="C42" s="23">
        <v>30921641</v>
      </c>
      <c r="D42" s="24">
        <v>30921641</v>
      </c>
      <c r="E42" s="25">
        <f>G42-948735.24</f>
        <v>1219236.3499999999</v>
      </c>
      <c r="F42" s="26">
        <f t="shared" si="0"/>
        <v>3.9429872108016517</v>
      </c>
      <c r="G42" s="137">
        <v>2167971.59</v>
      </c>
      <c r="H42" s="138"/>
      <c r="I42" s="26">
        <f t="shared" si="1"/>
        <v>7.011178966860135</v>
      </c>
      <c r="J42" s="148">
        <f t="shared" si="2"/>
        <v>28753669.41</v>
      </c>
      <c r="K42" s="149"/>
      <c r="L42" s="149"/>
    </row>
    <row r="43" spans="1:12" s="3" customFormat="1" ht="15.75" customHeight="1">
      <c r="A43" s="152" t="s">
        <v>117</v>
      </c>
      <c r="B43" s="152"/>
      <c r="C43" s="23">
        <v>36727010</v>
      </c>
      <c r="D43" s="24">
        <v>36727151.59</v>
      </c>
      <c r="E43" s="25">
        <f>G43-835603.12</f>
        <v>3197143.38</v>
      </c>
      <c r="F43" s="26">
        <f t="shared" si="0"/>
        <v>8.70512207342132</v>
      </c>
      <c r="G43" s="137">
        <v>4032746.5</v>
      </c>
      <c r="H43" s="138"/>
      <c r="I43" s="26">
        <f t="shared" si="1"/>
        <v>10.980286587479407</v>
      </c>
      <c r="J43" s="148">
        <f t="shared" si="2"/>
        <v>32694405.090000004</v>
      </c>
      <c r="K43" s="149"/>
      <c r="L43" s="149"/>
    </row>
    <row r="44" spans="1:13" s="3" customFormat="1" ht="15.75" customHeight="1">
      <c r="A44" s="152" t="s">
        <v>44</v>
      </c>
      <c r="B44" s="152"/>
      <c r="C44" s="23">
        <f>SUM(C45:C52)</f>
        <v>7669450586</v>
      </c>
      <c r="D44" s="24">
        <f>SUM(D45:D52)</f>
        <v>6448006331</v>
      </c>
      <c r="E44" s="25">
        <f>SUM(E45:E52)</f>
        <v>1151442269.89</v>
      </c>
      <c r="F44" s="26">
        <f aca="true" t="shared" si="3" ref="F44:F82">(E44/D44)*100</f>
        <v>17.857337768950774</v>
      </c>
      <c r="G44" s="180">
        <f>SUM(G45:H52)</f>
        <v>2279352137.05</v>
      </c>
      <c r="H44" s="181">
        <f>SUM(H45:H49)</f>
        <v>0</v>
      </c>
      <c r="I44" s="26">
        <f t="shared" si="1"/>
        <v>35.34971927821452</v>
      </c>
      <c r="J44" s="135">
        <f t="shared" si="2"/>
        <v>4168654193.95</v>
      </c>
      <c r="K44" s="136"/>
      <c r="L44" s="136"/>
      <c r="M44" s="22"/>
    </row>
    <row r="45" spans="1:12" s="3" customFormat="1" ht="15.75" customHeight="1">
      <c r="A45" s="152" t="s">
        <v>108</v>
      </c>
      <c r="B45" s="152"/>
      <c r="C45" s="23">
        <v>4698811550</v>
      </c>
      <c r="D45" s="24">
        <v>3477367295</v>
      </c>
      <c r="E45" s="25">
        <f>G45-570315159</f>
        <v>661724254</v>
      </c>
      <c r="F45" s="26">
        <f t="shared" si="3"/>
        <v>19.029461022178275</v>
      </c>
      <c r="G45" s="137">
        <v>1232039413</v>
      </c>
      <c r="H45" s="138"/>
      <c r="I45" s="26">
        <f t="shared" si="1"/>
        <v>35.430235246403555</v>
      </c>
      <c r="J45" s="135">
        <f t="shared" si="2"/>
        <v>2245327882</v>
      </c>
      <c r="K45" s="136"/>
      <c r="L45" s="136"/>
    </row>
    <row r="46" spans="1:12" s="3" customFormat="1" ht="15.75" customHeight="1">
      <c r="A46" s="152" t="s">
        <v>109</v>
      </c>
      <c r="B46" s="152"/>
      <c r="C46" s="23">
        <v>0</v>
      </c>
      <c r="D46" s="24">
        <v>0</v>
      </c>
      <c r="E46" s="25">
        <f>G46-8800</f>
        <v>0</v>
      </c>
      <c r="F46" s="26">
        <v>0</v>
      </c>
      <c r="G46" s="137">
        <v>8800</v>
      </c>
      <c r="H46" s="138"/>
      <c r="I46" s="26">
        <v>0</v>
      </c>
      <c r="J46" s="135">
        <f t="shared" si="2"/>
        <v>-8800</v>
      </c>
      <c r="K46" s="136"/>
      <c r="L46" s="136"/>
    </row>
    <row r="47" spans="1:12" s="3" customFormat="1" ht="15.75" customHeight="1">
      <c r="A47" s="152" t="s">
        <v>110</v>
      </c>
      <c r="B47" s="152"/>
      <c r="C47" s="23">
        <v>63622628</v>
      </c>
      <c r="D47" s="24">
        <v>63622628</v>
      </c>
      <c r="E47" s="25">
        <f>G47-13641609</f>
        <v>11677776</v>
      </c>
      <c r="F47" s="26">
        <f t="shared" si="3"/>
        <v>18.354752651839533</v>
      </c>
      <c r="G47" s="137">
        <v>25319385</v>
      </c>
      <c r="H47" s="138"/>
      <c r="I47" s="26">
        <f t="shared" si="1"/>
        <v>39.79619483810068</v>
      </c>
      <c r="J47" s="135">
        <f t="shared" si="2"/>
        <v>38303243</v>
      </c>
      <c r="K47" s="136"/>
      <c r="L47" s="136"/>
    </row>
    <row r="48" spans="1:12" s="3" customFormat="1" ht="15.75" customHeight="1">
      <c r="A48" s="152" t="s">
        <v>45</v>
      </c>
      <c r="B48" s="152"/>
      <c r="C48" s="23">
        <v>33349815</v>
      </c>
      <c r="D48" s="24">
        <v>33349815</v>
      </c>
      <c r="E48" s="25">
        <f>G48-6530823</f>
        <v>3267474</v>
      </c>
      <c r="F48" s="26">
        <f t="shared" si="3"/>
        <v>9.797577587761731</v>
      </c>
      <c r="G48" s="137">
        <v>9798297</v>
      </c>
      <c r="H48" s="138"/>
      <c r="I48" s="26">
        <f t="shared" si="1"/>
        <v>29.38036387907999</v>
      </c>
      <c r="J48" s="135">
        <f t="shared" si="2"/>
        <v>23551518</v>
      </c>
      <c r="K48" s="136"/>
      <c r="L48" s="136"/>
    </row>
    <row r="49" spans="1:12" s="3" customFormat="1" ht="15.75" customHeight="1">
      <c r="A49" s="152" t="s">
        <v>91</v>
      </c>
      <c r="B49" s="152"/>
      <c r="C49" s="23">
        <v>2873646593</v>
      </c>
      <c r="D49" s="24">
        <v>2873646593</v>
      </c>
      <c r="E49" s="25">
        <f>G49-537408913</f>
        <v>469790013</v>
      </c>
      <c r="F49" s="26">
        <f t="shared" si="3"/>
        <v>16.348218119248735</v>
      </c>
      <c r="G49" s="137">
        <v>1007198926</v>
      </c>
      <c r="H49" s="138"/>
      <c r="I49" s="26">
        <f t="shared" si="1"/>
        <v>35.04950568568402</v>
      </c>
      <c r="J49" s="135">
        <f t="shared" si="2"/>
        <v>1866447667</v>
      </c>
      <c r="K49" s="136"/>
      <c r="L49" s="136"/>
    </row>
    <row r="50" spans="1:12" s="3" customFormat="1" ht="15.75" customHeight="1">
      <c r="A50" s="152" t="s">
        <v>46</v>
      </c>
      <c r="B50" s="152"/>
      <c r="C50" s="23">
        <v>0</v>
      </c>
      <c r="D50" s="24">
        <v>0</v>
      </c>
      <c r="E50" s="25">
        <f>G50</f>
        <v>2406.15</v>
      </c>
      <c r="F50" s="26">
        <v>0</v>
      </c>
      <c r="G50" s="148">
        <v>2406.15</v>
      </c>
      <c r="H50" s="150"/>
      <c r="I50" s="26">
        <v>0</v>
      </c>
      <c r="J50" s="148">
        <f t="shared" si="2"/>
        <v>-2406.15</v>
      </c>
      <c r="K50" s="149"/>
      <c r="L50" s="149"/>
    </row>
    <row r="51" spans="1:12" s="3" customFormat="1" ht="15.75" customHeight="1">
      <c r="A51" s="152" t="s">
        <v>111</v>
      </c>
      <c r="B51" s="152"/>
      <c r="C51" s="23">
        <v>20000</v>
      </c>
      <c r="D51" s="24">
        <v>20000</v>
      </c>
      <c r="E51" s="25">
        <f>G51-4563.16</f>
        <v>4980346.74</v>
      </c>
      <c r="F51" s="26">
        <f t="shared" si="3"/>
        <v>24901.7337</v>
      </c>
      <c r="G51" s="137">
        <v>4984909.9</v>
      </c>
      <c r="H51" s="138"/>
      <c r="I51" s="26">
        <f t="shared" si="1"/>
        <v>24924.5495</v>
      </c>
      <c r="J51" s="148">
        <f t="shared" si="2"/>
        <v>-4964909.9</v>
      </c>
      <c r="K51" s="149"/>
      <c r="L51" s="149"/>
    </row>
    <row r="52" spans="1:12" s="3" customFormat="1" ht="15.75" customHeight="1">
      <c r="A52" s="152" t="s">
        <v>112</v>
      </c>
      <c r="B52" s="152"/>
      <c r="C52" s="23">
        <v>0</v>
      </c>
      <c r="D52" s="24">
        <v>0</v>
      </c>
      <c r="E52" s="25">
        <f>G52</f>
        <v>0</v>
      </c>
      <c r="F52" s="26">
        <v>0</v>
      </c>
      <c r="G52" s="137">
        <v>0</v>
      </c>
      <c r="H52" s="138"/>
      <c r="I52" s="26">
        <v>0</v>
      </c>
      <c r="J52" s="148">
        <f t="shared" si="2"/>
        <v>0</v>
      </c>
      <c r="K52" s="149"/>
      <c r="L52" s="149"/>
    </row>
    <row r="53" spans="1:13" s="3" customFormat="1" ht="15.75" customHeight="1">
      <c r="A53" s="152" t="s">
        <v>47</v>
      </c>
      <c r="B53" s="152"/>
      <c r="C53" s="23">
        <f>SUM(C54:C57)</f>
        <v>1428183486</v>
      </c>
      <c r="D53" s="24">
        <f>SUM(D54:D57)</f>
        <v>1702917338</v>
      </c>
      <c r="E53" s="25">
        <f>SUM(E54:E57)</f>
        <v>131107759</v>
      </c>
      <c r="F53" s="26">
        <f t="shared" si="3"/>
        <v>7.699008993236288</v>
      </c>
      <c r="G53" s="148">
        <f>SUM(G54:H57)</f>
        <v>605850722</v>
      </c>
      <c r="H53" s="150">
        <f>SUM(H54:H57)</f>
        <v>0</v>
      </c>
      <c r="I53" s="26">
        <f t="shared" si="1"/>
        <v>35.57722435967118</v>
      </c>
      <c r="J53" s="135">
        <f t="shared" si="2"/>
        <v>1097066616</v>
      </c>
      <c r="K53" s="136"/>
      <c r="L53" s="136"/>
      <c r="M53" s="28"/>
    </row>
    <row r="54" spans="1:12" s="3" customFormat="1" ht="15.75" customHeight="1">
      <c r="A54" s="152" t="s">
        <v>104</v>
      </c>
      <c r="B54" s="152"/>
      <c r="C54" s="23">
        <v>369151641</v>
      </c>
      <c r="D54" s="24">
        <v>369151641</v>
      </c>
      <c r="E54" s="25">
        <f>G54-56336443</f>
        <v>32762849</v>
      </c>
      <c r="F54" s="26">
        <f t="shared" si="3"/>
        <v>8.875173603792812</v>
      </c>
      <c r="G54" s="148">
        <v>89099292</v>
      </c>
      <c r="H54" s="150"/>
      <c r="I54" s="26">
        <f t="shared" si="1"/>
        <v>24.13623078002246</v>
      </c>
      <c r="J54" s="135">
        <f t="shared" si="2"/>
        <v>280052349</v>
      </c>
      <c r="K54" s="136"/>
      <c r="L54" s="136"/>
    </row>
    <row r="55" spans="1:12" s="3" customFormat="1" ht="15.75" customHeight="1">
      <c r="A55" s="152" t="s">
        <v>105</v>
      </c>
      <c r="B55" s="152"/>
      <c r="C55" s="23">
        <v>254946418</v>
      </c>
      <c r="D55" s="24">
        <v>529680270</v>
      </c>
      <c r="E55" s="25">
        <f>G55-296038911</f>
        <v>24796777</v>
      </c>
      <c r="F55" s="26">
        <f t="shared" si="3"/>
        <v>4.681461327604293</v>
      </c>
      <c r="G55" s="148">
        <v>320835688</v>
      </c>
      <c r="H55" s="150"/>
      <c r="I55" s="26">
        <f t="shared" si="1"/>
        <v>60.57157613214478</v>
      </c>
      <c r="J55" s="135">
        <f t="shared" si="2"/>
        <v>208844582</v>
      </c>
      <c r="K55" s="136"/>
      <c r="L55" s="136"/>
    </row>
    <row r="56" spans="1:12" s="3" customFormat="1" ht="15.75" customHeight="1">
      <c r="A56" s="152" t="s">
        <v>106</v>
      </c>
      <c r="B56" s="152"/>
      <c r="C56" s="23">
        <v>100000</v>
      </c>
      <c r="D56" s="29">
        <v>100000</v>
      </c>
      <c r="E56" s="25">
        <f>G56-11229</f>
        <v>1836</v>
      </c>
      <c r="F56" s="26">
        <f t="shared" si="3"/>
        <v>1.836</v>
      </c>
      <c r="G56" s="148">
        <v>13065</v>
      </c>
      <c r="H56" s="150"/>
      <c r="I56" s="26">
        <f t="shared" si="1"/>
        <v>13.065</v>
      </c>
      <c r="J56" s="135">
        <f t="shared" si="2"/>
        <v>86935</v>
      </c>
      <c r="K56" s="136"/>
      <c r="L56" s="136"/>
    </row>
    <row r="57" spans="1:12" s="3" customFormat="1" ht="15.75" customHeight="1">
      <c r="A57" s="152" t="s">
        <v>107</v>
      </c>
      <c r="B57" s="152"/>
      <c r="C57" s="23">
        <v>803985427</v>
      </c>
      <c r="D57" s="23">
        <v>803985427</v>
      </c>
      <c r="E57" s="25">
        <f>G57-122356380</f>
        <v>73546297</v>
      </c>
      <c r="F57" s="26">
        <f t="shared" si="3"/>
        <v>9.147715186136079</v>
      </c>
      <c r="G57" s="148">
        <v>195902677</v>
      </c>
      <c r="H57" s="150"/>
      <c r="I57" s="26">
        <f t="shared" si="1"/>
        <v>24.366446258981757</v>
      </c>
      <c r="J57" s="135">
        <f t="shared" si="2"/>
        <v>608082750</v>
      </c>
      <c r="K57" s="136"/>
      <c r="L57" s="136"/>
    </row>
    <row r="58" spans="1:13" s="3" customFormat="1" ht="15.75" customHeight="1">
      <c r="A58" s="177" t="s">
        <v>48</v>
      </c>
      <c r="B58" s="177"/>
      <c r="C58" s="19">
        <f>C59+C62+C66+C67+C76</f>
        <v>1264211056</v>
      </c>
      <c r="D58" s="20">
        <f>D59+D62+D66+D67+D76</f>
        <v>1264708965</v>
      </c>
      <c r="E58" s="16">
        <f>E59+E62+E66+E67+E76</f>
        <v>25755475</v>
      </c>
      <c r="F58" s="21">
        <f t="shared" si="3"/>
        <v>2.036474454816567</v>
      </c>
      <c r="G58" s="171">
        <f>G59+G62+G66+G67+G76</f>
        <v>50688245</v>
      </c>
      <c r="H58" s="172"/>
      <c r="I58" s="21">
        <f t="shared" si="1"/>
        <v>4.007897975167749</v>
      </c>
      <c r="J58" s="178">
        <f t="shared" si="2"/>
        <v>1214020720</v>
      </c>
      <c r="K58" s="179"/>
      <c r="L58" s="179"/>
      <c r="M58" s="18"/>
    </row>
    <row r="59" spans="1:13" s="3" customFormat="1" ht="15.75" customHeight="1">
      <c r="A59" s="152" t="s">
        <v>49</v>
      </c>
      <c r="B59" s="152"/>
      <c r="C59" s="23">
        <f>C60+C61</f>
        <v>738892115</v>
      </c>
      <c r="D59" s="24">
        <f>D60+D61</f>
        <v>738892115</v>
      </c>
      <c r="E59" s="25">
        <f>E60+E61</f>
        <v>139600</v>
      </c>
      <c r="F59" s="26">
        <f t="shared" si="3"/>
        <v>0.0188931505920861</v>
      </c>
      <c r="G59" s="148">
        <f>G60+G61</f>
        <v>139600</v>
      </c>
      <c r="H59" s="150"/>
      <c r="I59" s="26">
        <f t="shared" si="1"/>
        <v>0.0188931505920861</v>
      </c>
      <c r="J59" s="135">
        <f t="shared" si="2"/>
        <v>738752515</v>
      </c>
      <c r="K59" s="136"/>
      <c r="L59" s="136"/>
      <c r="M59" s="28"/>
    </row>
    <row r="60" spans="1:12" s="3" customFormat="1" ht="15.75" customHeight="1">
      <c r="A60" s="152" t="s">
        <v>127</v>
      </c>
      <c r="B60" s="152"/>
      <c r="C60" s="23">
        <v>594736753</v>
      </c>
      <c r="D60" s="24">
        <v>594736753</v>
      </c>
      <c r="E60" s="25">
        <f>G60-0</f>
        <v>0</v>
      </c>
      <c r="F60" s="26">
        <f t="shared" si="3"/>
        <v>0</v>
      </c>
      <c r="G60" s="148">
        <v>0</v>
      </c>
      <c r="H60" s="150"/>
      <c r="I60" s="26">
        <f t="shared" si="1"/>
        <v>0</v>
      </c>
      <c r="J60" s="135">
        <f t="shared" si="2"/>
        <v>594736753</v>
      </c>
      <c r="K60" s="136"/>
      <c r="L60" s="136"/>
    </row>
    <row r="61" spans="1:12" s="3" customFormat="1" ht="15.75" customHeight="1">
      <c r="A61" s="152" t="s">
        <v>128</v>
      </c>
      <c r="B61" s="152"/>
      <c r="C61" s="23">
        <v>144155362</v>
      </c>
      <c r="D61" s="24">
        <v>144155362</v>
      </c>
      <c r="E61" s="25">
        <f>G61-0</f>
        <v>139600</v>
      </c>
      <c r="F61" s="26">
        <f t="shared" si="3"/>
        <v>0.09683996353878256</v>
      </c>
      <c r="G61" s="148">
        <v>139600</v>
      </c>
      <c r="H61" s="150"/>
      <c r="I61" s="26">
        <f t="shared" si="1"/>
        <v>0.09683996353878256</v>
      </c>
      <c r="J61" s="135">
        <f t="shared" si="2"/>
        <v>144015762</v>
      </c>
      <c r="K61" s="136"/>
      <c r="L61" s="136"/>
    </row>
    <row r="62" spans="1:12" s="3" customFormat="1" ht="15.75" customHeight="1">
      <c r="A62" s="152" t="s">
        <v>50</v>
      </c>
      <c r="B62" s="152"/>
      <c r="C62" s="23">
        <f>C63+C64+C65</f>
        <v>60050000</v>
      </c>
      <c r="D62" s="24">
        <f>D63+D64+D65</f>
        <v>60050000</v>
      </c>
      <c r="E62" s="25">
        <f>E63+E64+E65</f>
        <v>0</v>
      </c>
      <c r="F62" s="26">
        <f t="shared" si="3"/>
        <v>0</v>
      </c>
      <c r="G62" s="148">
        <f>SUM(G63:H65)</f>
        <v>0</v>
      </c>
      <c r="H62" s="150"/>
      <c r="I62" s="26">
        <f t="shared" si="1"/>
        <v>0</v>
      </c>
      <c r="J62" s="135">
        <f t="shared" si="2"/>
        <v>60050000</v>
      </c>
      <c r="K62" s="136"/>
      <c r="L62" s="136"/>
    </row>
    <row r="63" spans="1:12" s="3" customFormat="1" ht="15.75" customHeight="1">
      <c r="A63" s="152" t="s">
        <v>51</v>
      </c>
      <c r="B63" s="152"/>
      <c r="C63" s="23">
        <v>50000</v>
      </c>
      <c r="D63" s="24">
        <v>50000</v>
      </c>
      <c r="E63" s="25">
        <f>G63-0</f>
        <v>0</v>
      </c>
      <c r="F63" s="26">
        <f t="shared" si="3"/>
        <v>0</v>
      </c>
      <c r="G63" s="148">
        <v>0</v>
      </c>
      <c r="H63" s="150"/>
      <c r="I63" s="26">
        <f t="shared" si="1"/>
        <v>0</v>
      </c>
      <c r="J63" s="135">
        <f t="shared" si="2"/>
        <v>50000</v>
      </c>
      <c r="K63" s="136"/>
      <c r="L63" s="136"/>
    </row>
    <row r="64" spans="1:12" s="3" customFormat="1" ht="15.75" customHeight="1">
      <c r="A64" s="152" t="s">
        <v>52</v>
      </c>
      <c r="B64" s="152"/>
      <c r="C64" s="23">
        <v>60000000</v>
      </c>
      <c r="D64" s="24">
        <v>60000000</v>
      </c>
      <c r="E64" s="25">
        <f>G64-0</f>
        <v>0</v>
      </c>
      <c r="F64" s="26">
        <f t="shared" si="3"/>
        <v>0</v>
      </c>
      <c r="G64" s="148">
        <v>0</v>
      </c>
      <c r="H64" s="150"/>
      <c r="I64" s="26">
        <f t="shared" si="1"/>
        <v>0</v>
      </c>
      <c r="J64" s="135">
        <f t="shared" si="2"/>
        <v>60000000</v>
      </c>
      <c r="K64" s="136"/>
      <c r="L64" s="136"/>
    </row>
    <row r="65" spans="1:12" s="3" customFormat="1" ht="15.75" customHeight="1">
      <c r="A65" s="152" t="s">
        <v>129</v>
      </c>
      <c r="B65" s="152"/>
      <c r="C65" s="23">
        <v>0</v>
      </c>
      <c r="D65" s="24">
        <v>0</v>
      </c>
      <c r="E65" s="25">
        <f>G65-0</f>
        <v>0</v>
      </c>
      <c r="F65" s="26">
        <v>0</v>
      </c>
      <c r="G65" s="148">
        <v>0</v>
      </c>
      <c r="H65" s="150"/>
      <c r="I65" s="26">
        <v>0</v>
      </c>
      <c r="J65" s="148">
        <f t="shared" si="2"/>
        <v>0</v>
      </c>
      <c r="K65" s="149"/>
      <c r="L65" s="149"/>
    </row>
    <row r="66" spans="1:12" s="3" customFormat="1" ht="15.75" customHeight="1">
      <c r="A66" s="152" t="s">
        <v>53</v>
      </c>
      <c r="B66" s="152"/>
      <c r="C66" s="23">
        <v>80561928</v>
      </c>
      <c r="D66" s="24">
        <v>81059837</v>
      </c>
      <c r="E66" s="25">
        <f>G66-22454356</f>
        <v>23499792</v>
      </c>
      <c r="F66" s="26">
        <f t="shared" si="3"/>
        <v>28.990672655806105</v>
      </c>
      <c r="G66" s="148">
        <v>45954148</v>
      </c>
      <c r="H66" s="150"/>
      <c r="I66" s="26">
        <f t="shared" si="1"/>
        <v>56.69163632786481</v>
      </c>
      <c r="J66" s="135">
        <f t="shared" si="2"/>
        <v>35105689</v>
      </c>
      <c r="K66" s="136"/>
      <c r="L66" s="136"/>
    </row>
    <row r="67" spans="1:12" s="3" customFormat="1" ht="15.75" customHeight="1">
      <c r="A67" s="152" t="s">
        <v>54</v>
      </c>
      <c r="B67" s="152"/>
      <c r="C67" s="23">
        <f>SUM(C68:C75)</f>
        <v>373226613</v>
      </c>
      <c r="D67" s="23">
        <f>SUM(D68:D75)</f>
        <v>373226613</v>
      </c>
      <c r="E67" s="25">
        <f>SUM(E68:E75)</f>
        <v>2116083</v>
      </c>
      <c r="F67" s="26">
        <f t="shared" si="3"/>
        <v>0.5669700193646159</v>
      </c>
      <c r="G67" s="148">
        <f>SUM(G68:G75)</f>
        <v>4594497</v>
      </c>
      <c r="H67" s="150">
        <f>SUM(H68:H75)</f>
        <v>0</v>
      </c>
      <c r="I67" s="26">
        <f t="shared" si="1"/>
        <v>1.231020736455361</v>
      </c>
      <c r="J67" s="135">
        <f t="shared" si="2"/>
        <v>368632116</v>
      </c>
      <c r="K67" s="136"/>
      <c r="L67" s="136"/>
    </row>
    <row r="68" spans="1:12" s="3" customFormat="1" ht="15.75" customHeight="1">
      <c r="A68" s="152" t="s">
        <v>108</v>
      </c>
      <c r="B68" s="152"/>
      <c r="C68" s="23">
        <v>371606613</v>
      </c>
      <c r="D68" s="24">
        <v>371606613</v>
      </c>
      <c r="E68" s="25">
        <f>G68-2404726</f>
        <v>2073250</v>
      </c>
      <c r="F68" s="26">
        <f t="shared" si="3"/>
        <v>0.5579152597050258</v>
      </c>
      <c r="G68" s="148">
        <v>4477976</v>
      </c>
      <c r="H68" s="150"/>
      <c r="I68" s="26">
        <f t="shared" si="1"/>
        <v>1.2050313001292041</v>
      </c>
      <c r="J68" s="135">
        <f t="shared" si="2"/>
        <v>367128637</v>
      </c>
      <c r="K68" s="136"/>
      <c r="L68" s="136"/>
    </row>
    <row r="69" spans="1:12" s="3" customFormat="1" ht="15.75" customHeight="1">
      <c r="A69" s="152" t="s">
        <v>109</v>
      </c>
      <c r="B69" s="152"/>
      <c r="C69" s="23">
        <v>0</v>
      </c>
      <c r="D69" s="24">
        <v>0</v>
      </c>
      <c r="E69" s="25">
        <f>G69-0</f>
        <v>0</v>
      </c>
      <c r="F69" s="26">
        <v>0</v>
      </c>
      <c r="G69" s="148">
        <v>0</v>
      </c>
      <c r="H69" s="150"/>
      <c r="I69" s="26">
        <v>0</v>
      </c>
      <c r="J69" s="135">
        <f t="shared" si="2"/>
        <v>0</v>
      </c>
      <c r="K69" s="136"/>
      <c r="L69" s="136"/>
    </row>
    <row r="70" spans="1:12" s="3" customFormat="1" ht="15.75" customHeight="1">
      <c r="A70" s="152" t="s">
        <v>110</v>
      </c>
      <c r="B70" s="152"/>
      <c r="C70" s="23">
        <v>0</v>
      </c>
      <c r="D70" s="24">
        <v>0</v>
      </c>
      <c r="E70" s="25">
        <f>G70-0</f>
        <v>0</v>
      </c>
      <c r="F70" s="26">
        <v>0</v>
      </c>
      <c r="G70" s="148">
        <v>0</v>
      </c>
      <c r="H70" s="150"/>
      <c r="I70" s="26">
        <v>0</v>
      </c>
      <c r="J70" s="135">
        <f t="shared" si="2"/>
        <v>0</v>
      </c>
      <c r="K70" s="136"/>
      <c r="L70" s="136"/>
    </row>
    <row r="71" spans="1:12" s="3" customFormat="1" ht="15.75" customHeight="1">
      <c r="A71" s="152" t="s">
        <v>45</v>
      </c>
      <c r="B71" s="152"/>
      <c r="C71" s="23">
        <v>0</v>
      </c>
      <c r="D71" s="24">
        <v>0</v>
      </c>
      <c r="E71" s="132">
        <f>G71-73688</f>
        <v>42833</v>
      </c>
      <c r="F71" s="26">
        <v>0</v>
      </c>
      <c r="G71" s="148">
        <v>116521</v>
      </c>
      <c r="H71" s="150"/>
      <c r="I71" s="26">
        <v>0</v>
      </c>
      <c r="J71" s="135">
        <f t="shared" si="2"/>
        <v>-116521</v>
      </c>
      <c r="K71" s="136"/>
      <c r="L71" s="136"/>
    </row>
    <row r="72" spans="1:12" s="3" customFormat="1" ht="15.75" customHeight="1">
      <c r="A72" s="152" t="s">
        <v>91</v>
      </c>
      <c r="B72" s="152"/>
      <c r="C72" s="23">
        <v>0</v>
      </c>
      <c r="D72" s="24">
        <v>0</v>
      </c>
      <c r="E72" s="25">
        <f>G72-0</f>
        <v>0</v>
      </c>
      <c r="F72" s="26">
        <v>0</v>
      </c>
      <c r="G72" s="148">
        <v>0</v>
      </c>
      <c r="H72" s="150"/>
      <c r="I72" s="26">
        <v>0</v>
      </c>
      <c r="J72" s="135">
        <f t="shared" si="2"/>
        <v>0</v>
      </c>
      <c r="K72" s="136"/>
      <c r="L72" s="136"/>
    </row>
    <row r="73" spans="1:12" s="3" customFormat="1" ht="15.75" customHeight="1">
      <c r="A73" s="152" t="s">
        <v>46</v>
      </c>
      <c r="B73" s="152"/>
      <c r="C73" s="23">
        <v>0</v>
      </c>
      <c r="D73" s="24">
        <v>0</v>
      </c>
      <c r="E73" s="25">
        <f>G73-0</f>
        <v>0</v>
      </c>
      <c r="F73" s="26">
        <v>0</v>
      </c>
      <c r="G73" s="148">
        <v>0</v>
      </c>
      <c r="H73" s="150"/>
      <c r="I73" s="26">
        <v>0</v>
      </c>
      <c r="J73" s="135">
        <f t="shared" si="2"/>
        <v>0</v>
      </c>
      <c r="K73" s="136"/>
      <c r="L73" s="136"/>
    </row>
    <row r="74" spans="1:12" s="3" customFormat="1" ht="15.75" customHeight="1">
      <c r="A74" s="152" t="s">
        <v>111</v>
      </c>
      <c r="B74" s="152"/>
      <c r="C74" s="23">
        <v>1620000</v>
      </c>
      <c r="D74" s="24">
        <v>1620000</v>
      </c>
      <c r="E74" s="25">
        <f>G74-0</f>
        <v>0</v>
      </c>
      <c r="F74" s="26">
        <f t="shared" si="3"/>
        <v>0</v>
      </c>
      <c r="G74" s="148">
        <v>0</v>
      </c>
      <c r="H74" s="150"/>
      <c r="I74" s="26">
        <f t="shared" si="1"/>
        <v>0</v>
      </c>
      <c r="J74" s="148">
        <f t="shared" si="2"/>
        <v>1620000</v>
      </c>
      <c r="K74" s="149"/>
      <c r="L74" s="149"/>
    </row>
    <row r="75" spans="1:12" s="3" customFormat="1" ht="15.75" customHeight="1">
      <c r="A75" s="152" t="s">
        <v>112</v>
      </c>
      <c r="B75" s="152"/>
      <c r="C75" s="23">
        <v>0</v>
      </c>
      <c r="D75" s="24">
        <v>0</v>
      </c>
      <c r="E75" s="25">
        <f>G75-0</f>
        <v>0</v>
      </c>
      <c r="F75" s="26">
        <v>0</v>
      </c>
      <c r="G75" s="148">
        <v>0</v>
      </c>
      <c r="H75" s="150"/>
      <c r="I75" s="26">
        <v>0</v>
      </c>
      <c r="J75" s="148">
        <f t="shared" si="2"/>
        <v>0</v>
      </c>
      <c r="K75" s="149"/>
      <c r="L75" s="149"/>
    </row>
    <row r="76" spans="1:12" s="3" customFormat="1" ht="15.75" customHeight="1">
      <c r="A76" s="160" t="s">
        <v>55</v>
      </c>
      <c r="B76" s="152"/>
      <c r="C76" s="23">
        <f>SUM(C77:C80)</f>
        <v>11480400</v>
      </c>
      <c r="D76" s="24">
        <f>SUM(D77:D80)</f>
        <v>11480400</v>
      </c>
      <c r="E76" s="25">
        <f>SUM(E77:E80)</f>
        <v>0</v>
      </c>
      <c r="F76" s="26">
        <f t="shared" si="3"/>
        <v>0</v>
      </c>
      <c r="G76" s="148">
        <f>SUM(G77:H80)</f>
        <v>0</v>
      </c>
      <c r="H76" s="150">
        <f>SUM(H78:H80)</f>
        <v>0</v>
      </c>
      <c r="I76" s="26">
        <f t="shared" si="1"/>
        <v>0</v>
      </c>
      <c r="J76" s="135">
        <f t="shared" si="2"/>
        <v>11480400</v>
      </c>
      <c r="K76" s="136"/>
      <c r="L76" s="136"/>
    </row>
    <row r="77" spans="1:12" s="3" customFormat="1" ht="15.75" customHeight="1">
      <c r="A77" s="152" t="s">
        <v>130</v>
      </c>
      <c r="B77" s="152"/>
      <c r="C77" s="23">
        <v>0</v>
      </c>
      <c r="D77" s="24">
        <v>0</v>
      </c>
      <c r="E77" s="25">
        <v>0</v>
      </c>
      <c r="F77" s="26">
        <v>0</v>
      </c>
      <c r="G77" s="148">
        <v>0</v>
      </c>
      <c r="H77" s="150"/>
      <c r="I77" s="26">
        <v>0</v>
      </c>
      <c r="J77" s="135">
        <f t="shared" si="2"/>
        <v>0</v>
      </c>
      <c r="K77" s="136"/>
      <c r="L77" s="136"/>
    </row>
    <row r="78" spans="1:12" s="3" customFormat="1" ht="15.75" customHeight="1">
      <c r="A78" s="152" t="s">
        <v>131</v>
      </c>
      <c r="B78" s="152"/>
      <c r="C78" s="23">
        <v>0</v>
      </c>
      <c r="D78" s="24">
        <v>0</v>
      </c>
      <c r="E78" s="25">
        <v>0</v>
      </c>
      <c r="F78" s="26">
        <v>0</v>
      </c>
      <c r="G78" s="148">
        <v>0</v>
      </c>
      <c r="H78" s="150"/>
      <c r="I78" s="26">
        <v>0</v>
      </c>
      <c r="J78" s="135">
        <f t="shared" si="2"/>
        <v>0</v>
      </c>
      <c r="K78" s="136"/>
      <c r="L78" s="136"/>
    </row>
    <row r="79" spans="1:12" s="3" customFormat="1" ht="15.75" customHeight="1">
      <c r="A79" s="152" t="s">
        <v>132</v>
      </c>
      <c r="B79" s="152"/>
      <c r="C79" s="23">
        <v>0</v>
      </c>
      <c r="D79" s="24">
        <v>0</v>
      </c>
      <c r="E79" s="25">
        <v>0</v>
      </c>
      <c r="F79" s="26">
        <v>0</v>
      </c>
      <c r="G79" s="148">
        <v>0</v>
      </c>
      <c r="H79" s="150"/>
      <c r="I79" s="26">
        <v>0</v>
      </c>
      <c r="J79" s="135">
        <f t="shared" si="2"/>
        <v>0</v>
      </c>
      <c r="K79" s="136"/>
      <c r="L79" s="136"/>
    </row>
    <row r="80" spans="1:12" s="3" customFormat="1" ht="15.75" customHeight="1">
      <c r="A80" s="152" t="s">
        <v>133</v>
      </c>
      <c r="B80" s="152"/>
      <c r="C80" s="23">
        <v>11480400</v>
      </c>
      <c r="D80" s="24">
        <v>11480400</v>
      </c>
      <c r="E80" s="25">
        <v>0</v>
      </c>
      <c r="F80" s="26">
        <f t="shared" si="3"/>
        <v>0</v>
      </c>
      <c r="G80" s="148">
        <v>0</v>
      </c>
      <c r="H80" s="150"/>
      <c r="I80" s="26">
        <f t="shared" si="1"/>
        <v>0</v>
      </c>
      <c r="J80" s="135">
        <f t="shared" si="2"/>
        <v>11480400</v>
      </c>
      <c r="K80" s="136"/>
      <c r="L80" s="136"/>
    </row>
    <row r="81" spans="1:12" s="3" customFormat="1" ht="15.75" customHeight="1">
      <c r="A81" s="240" t="s">
        <v>56</v>
      </c>
      <c r="B81" s="235"/>
      <c r="C81" s="19">
        <v>6040339444</v>
      </c>
      <c r="D81" s="20">
        <v>6040478404</v>
      </c>
      <c r="E81" s="16">
        <f>G81-656333388</f>
        <v>669944650</v>
      </c>
      <c r="F81" s="21">
        <f>(E81/D81)*100</f>
        <v>11.090920374061154</v>
      </c>
      <c r="G81" s="241">
        <v>1326278038</v>
      </c>
      <c r="H81" s="242"/>
      <c r="I81" s="21">
        <f t="shared" si="1"/>
        <v>21.956506576064236</v>
      </c>
      <c r="J81" s="178">
        <f>D81-G81</f>
        <v>4714200366</v>
      </c>
      <c r="K81" s="179"/>
      <c r="L81" s="179"/>
    </row>
    <row r="82" spans="1:12" s="3" customFormat="1" ht="15.75" customHeight="1">
      <c r="A82" s="224" t="s">
        <v>28</v>
      </c>
      <c r="B82" s="236"/>
      <c r="C82" s="30">
        <f>C17+C81</f>
        <v>72603819280</v>
      </c>
      <c r="D82" s="31">
        <f>D17+D81</f>
        <v>59342010465.59</v>
      </c>
      <c r="E82" s="30">
        <f>E17+E81</f>
        <v>8603451762.03</v>
      </c>
      <c r="F82" s="32">
        <f t="shared" si="3"/>
        <v>14.498079344680765</v>
      </c>
      <c r="G82" s="253">
        <f>G17+G81</f>
        <v>21328832910.1</v>
      </c>
      <c r="H82" s="254"/>
      <c r="I82" s="32">
        <f>(G82/D82)*100</f>
        <v>35.942214870639944</v>
      </c>
      <c r="J82" s="210">
        <f>D82-G82</f>
        <v>38013177555.49</v>
      </c>
      <c r="K82" s="211"/>
      <c r="L82" s="211"/>
    </row>
    <row r="83" spans="1:12" s="3" customFormat="1" ht="15.75" customHeight="1">
      <c r="A83" s="243" t="s">
        <v>76</v>
      </c>
      <c r="B83" s="244"/>
      <c r="C83" s="33">
        <v>0</v>
      </c>
      <c r="D83" s="15">
        <v>0</v>
      </c>
      <c r="E83" s="16">
        <v>0</v>
      </c>
      <c r="F83" s="17">
        <v>0</v>
      </c>
      <c r="G83" s="192">
        <v>0</v>
      </c>
      <c r="H83" s="245"/>
      <c r="I83" s="17">
        <v>0</v>
      </c>
      <c r="J83" s="192">
        <v>0</v>
      </c>
      <c r="K83" s="193"/>
      <c r="L83" s="193"/>
    </row>
    <row r="84" spans="1:12" s="3" customFormat="1" ht="15.75" customHeight="1">
      <c r="A84" s="152" t="s">
        <v>134</v>
      </c>
      <c r="B84" s="235"/>
      <c r="C84" s="34">
        <v>0</v>
      </c>
      <c r="D84" s="24">
        <v>0</v>
      </c>
      <c r="E84" s="25">
        <v>0</v>
      </c>
      <c r="F84" s="26">
        <v>0</v>
      </c>
      <c r="G84" s="135">
        <v>0</v>
      </c>
      <c r="H84" s="233"/>
      <c r="I84" s="26">
        <v>0</v>
      </c>
      <c r="J84" s="135">
        <v>0</v>
      </c>
      <c r="K84" s="136"/>
      <c r="L84" s="136"/>
    </row>
    <row r="85" spans="1:12" s="3" customFormat="1" ht="15.75" customHeight="1">
      <c r="A85" s="152" t="s">
        <v>57</v>
      </c>
      <c r="B85" s="235"/>
      <c r="C85" s="34">
        <v>0</v>
      </c>
      <c r="D85" s="24">
        <v>0</v>
      </c>
      <c r="E85" s="25">
        <v>0</v>
      </c>
      <c r="F85" s="26">
        <v>0</v>
      </c>
      <c r="G85" s="135">
        <v>0</v>
      </c>
      <c r="H85" s="233"/>
      <c r="I85" s="26">
        <v>0</v>
      </c>
      <c r="J85" s="135">
        <v>0</v>
      </c>
      <c r="K85" s="136"/>
      <c r="L85" s="136"/>
    </row>
    <row r="86" spans="1:12" s="3" customFormat="1" ht="15.75" customHeight="1">
      <c r="A86" s="234" t="s">
        <v>58</v>
      </c>
      <c r="B86" s="235"/>
      <c r="C86" s="34">
        <v>0</v>
      </c>
      <c r="D86" s="24">
        <v>0</v>
      </c>
      <c r="E86" s="25">
        <v>0</v>
      </c>
      <c r="F86" s="26">
        <v>0</v>
      </c>
      <c r="G86" s="135">
        <v>0</v>
      </c>
      <c r="H86" s="233"/>
      <c r="I86" s="26">
        <v>0</v>
      </c>
      <c r="J86" s="135">
        <v>0</v>
      </c>
      <c r="K86" s="136"/>
      <c r="L86" s="136"/>
    </row>
    <row r="87" spans="1:12" s="3" customFormat="1" ht="15.75" customHeight="1">
      <c r="A87" s="152" t="s">
        <v>135</v>
      </c>
      <c r="B87" s="235"/>
      <c r="C87" s="34">
        <v>0</v>
      </c>
      <c r="D87" s="24">
        <v>0</v>
      </c>
      <c r="E87" s="25">
        <v>0</v>
      </c>
      <c r="F87" s="26">
        <v>0</v>
      </c>
      <c r="G87" s="135">
        <v>0</v>
      </c>
      <c r="H87" s="233"/>
      <c r="I87" s="26">
        <v>0</v>
      </c>
      <c r="J87" s="135">
        <v>0</v>
      </c>
      <c r="K87" s="136"/>
      <c r="L87" s="136"/>
    </row>
    <row r="88" spans="1:12" s="3" customFormat="1" ht="15.75" customHeight="1">
      <c r="A88" s="152" t="s">
        <v>57</v>
      </c>
      <c r="B88" s="235"/>
      <c r="C88" s="34">
        <v>0</v>
      </c>
      <c r="D88" s="24">
        <v>0</v>
      </c>
      <c r="E88" s="25">
        <v>0</v>
      </c>
      <c r="F88" s="26">
        <v>0</v>
      </c>
      <c r="G88" s="135">
        <v>0</v>
      </c>
      <c r="H88" s="233"/>
      <c r="I88" s="26">
        <v>0</v>
      </c>
      <c r="J88" s="135">
        <v>0</v>
      </c>
      <c r="K88" s="136"/>
      <c r="L88" s="136"/>
    </row>
    <row r="89" spans="1:12" s="3" customFormat="1" ht="15.75" customHeight="1">
      <c r="A89" s="237" t="s">
        <v>58</v>
      </c>
      <c r="B89" s="238"/>
      <c r="C89" s="36">
        <v>0</v>
      </c>
      <c r="D89" s="37">
        <v>0</v>
      </c>
      <c r="E89" s="25">
        <v>0</v>
      </c>
      <c r="F89" s="38">
        <v>0</v>
      </c>
      <c r="G89" s="153">
        <v>0</v>
      </c>
      <c r="H89" s="239"/>
      <c r="I89" s="38">
        <v>0</v>
      </c>
      <c r="J89" s="135">
        <v>0</v>
      </c>
      <c r="K89" s="136"/>
      <c r="L89" s="136"/>
    </row>
    <row r="90" spans="1:13" s="3" customFormat="1" ht="15.75" customHeight="1">
      <c r="A90" s="224" t="s">
        <v>29</v>
      </c>
      <c r="B90" s="236"/>
      <c r="C90" s="39">
        <f>C82+C83</f>
        <v>72603819280</v>
      </c>
      <c r="D90" s="31">
        <f>D82+D83</f>
        <v>59342010465.59</v>
      </c>
      <c r="E90" s="30">
        <f>E82+E83</f>
        <v>8603451762.03</v>
      </c>
      <c r="F90" s="40">
        <f>(E90/D90)*100</f>
        <v>14.498079344680765</v>
      </c>
      <c r="G90" s="210">
        <f>G82+G83</f>
        <v>21328832910.1</v>
      </c>
      <c r="H90" s="212">
        <f>H82+H83</f>
        <v>0</v>
      </c>
      <c r="I90" s="21">
        <f>(G90/D90)*100</f>
        <v>35.942214870639944</v>
      </c>
      <c r="J90" s="210">
        <f>D90-G90</f>
        <v>38013177555.49</v>
      </c>
      <c r="K90" s="211">
        <f>K82+K83</f>
        <v>0</v>
      </c>
      <c r="L90" s="211">
        <f>L82+L83</f>
        <v>0</v>
      </c>
      <c r="M90" s="41"/>
    </row>
    <row r="91" spans="1:13" s="3" customFormat="1" ht="15.75" customHeight="1">
      <c r="A91" s="224" t="s">
        <v>30</v>
      </c>
      <c r="B91" s="225"/>
      <c r="C91" s="30">
        <f>B122-C90</f>
        <v>10725391369</v>
      </c>
      <c r="D91" s="128">
        <f>C122-D90</f>
        <v>24872024853.410004</v>
      </c>
      <c r="E91" s="30">
        <f>G122-E90</f>
        <v>894558475.9699993</v>
      </c>
      <c r="F91" s="32">
        <v>0</v>
      </c>
      <c r="G91" s="210">
        <v>0</v>
      </c>
      <c r="H91" s="212"/>
      <c r="I91" s="17">
        <v>0</v>
      </c>
      <c r="J91" s="210">
        <f>J92-J90</f>
        <v>24872024853.410004</v>
      </c>
      <c r="K91" s="211"/>
      <c r="L91" s="211"/>
      <c r="M91" s="28"/>
    </row>
    <row r="92" spans="1:17" s="3" customFormat="1" ht="15.75" customHeight="1">
      <c r="A92" s="230" t="s">
        <v>31</v>
      </c>
      <c r="B92" s="231"/>
      <c r="C92" s="30">
        <f>C90+C91</f>
        <v>83329210649</v>
      </c>
      <c r="D92" s="31">
        <f>D90+D91</f>
        <v>84214035319</v>
      </c>
      <c r="E92" s="30">
        <f>E90+E91</f>
        <v>9498010238</v>
      </c>
      <c r="F92" s="40">
        <f>(E92/D92)*100</f>
        <v>11.278417192599607</v>
      </c>
      <c r="G92" s="210">
        <f>G90+G91</f>
        <v>21328832910.1</v>
      </c>
      <c r="H92" s="212"/>
      <c r="I92" s="32">
        <f>(G92/D92)*100</f>
        <v>25.326933722279282</v>
      </c>
      <c r="J92" s="210">
        <f>D92-G92</f>
        <v>62885202408.9</v>
      </c>
      <c r="K92" s="211"/>
      <c r="L92" s="211"/>
      <c r="N92" s="255"/>
      <c r="O92" s="255"/>
      <c r="P92" s="255"/>
      <c r="Q92" s="255"/>
    </row>
    <row r="93" spans="1:17" s="3" customFormat="1" ht="15.75" customHeight="1">
      <c r="A93" s="232" t="s">
        <v>77</v>
      </c>
      <c r="B93" s="232"/>
      <c r="C93" s="42">
        <f>SUM(C94:C95)</f>
        <v>0</v>
      </c>
      <c r="D93" s="42">
        <f>SUM(D94:D95)</f>
        <v>883545324.52</v>
      </c>
      <c r="E93" s="43">
        <f>SUM(E94:E95)</f>
        <v>0</v>
      </c>
      <c r="F93" s="42">
        <v>0</v>
      </c>
      <c r="G93" s="226">
        <f>SUM(G94:H95)</f>
        <v>883545324.52</v>
      </c>
      <c r="H93" s="227">
        <f>SUM(H94:H95)</f>
        <v>0</v>
      </c>
      <c r="I93" s="42">
        <v>0</v>
      </c>
      <c r="J93" s="228">
        <f>SUM(J94+J95)</f>
        <v>0</v>
      </c>
      <c r="K93" s="229"/>
      <c r="L93" s="229"/>
      <c r="M93" s="44"/>
      <c r="N93" s="255"/>
      <c r="O93" s="255"/>
      <c r="P93" s="255"/>
      <c r="Q93" s="255"/>
    </row>
    <row r="94" spans="1:17" s="3" customFormat="1" ht="15.75" customHeight="1">
      <c r="A94" s="217" t="s">
        <v>92</v>
      </c>
      <c r="B94" s="217"/>
      <c r="C94" s="45">
        <v>0</v>
      </c>
      <c r="D94" s="46">
        <f>G94</f>
        <v>0</v>
      </c>
      <c r="E94" s="47">
        <v>0</v>
      </c>
      <c r="F94" s="45">
        <v>0</v>
      </c>
      <c r="G94" s="222">
        <v>0</v>
      </c>
      <c r="H94" s="223"/>
      <c r="I94" s="48">
        <v>0</v>
      </c>
      <c r="J94" s="220">
        <v>0</v>
      </c>
      <c r="K94" s="221"/>
      <c r="L94" s="221"/>
      <c r="M94" s="44"/>
      <c r="N94" s="255"/>
      <c r="O94" s="255"/>
      <c r="P94" s="255"/>
      <c r="Q94" s="255"/>
    </row>
    <row r="95" spans="1:17" s="3" customFormat="1" ht="15.75" customHeight="1">
      <c r="A95" s="217" t="s">
        <v>136</v>
      </c>
      <c r="B95" s="217"/>
      <c r="C95" s="45">
        <v>0</v>
      </c>
      <c r="D95" s="46">
        <f>G95</f>
        <v>883545324.52</v>
      </c>
      <c r="E95" s="47">
        <v>0</v>
      </c>
      <c r="F95" s="45">
        <v>0</v>
      </c>
      <c r="G95" s="218">
        <v>883545324.52</v>
      </c>
      <c r="H95" s="219"/>
      <c r="I95" s="48">
        <v>0</v>
      </c>
      <c r="J95" s="220">
        <v>0</v>
      </c>
      <c r="K95" s="221"/>
      <c r="L95" s="221"/>
      <c r="M95" s="44"/>
      <c r="N95" s="255"/>
      <c r="O95" s="255"/>
      <c r="P95" s="255"/>
      <c r="Q95" s="255"/>
    </row>
    <row r="96" spans="1:17" ht="15.75">
      <c r="A96" s="49"/>
      <c r="B96" s="50"/>
      <c r="C96" s="50"/>
      <c r="D96" s="51"/>
      <c r="E96" s="51"/>
      <c r="F96" s="50"/>
      <c r="G96" s="52"/>
      <c r="H96" s="53"/>
      <c r="I96" s="53"/>
      <c r="J96" s="53"/>
      <c r="K96" s="53"/>
      <c r="L96" s="54"/>
      <c r="M96" s="44"/>
      <c r="N96" s="255"/>
      <c r="O96" s="255"/>
      <c r="P96" s="255"/>
      <c r="Q96" s="255"/>
    </row>
    <row r="97" spans="1:12" s="3" customFormat="1" ht="17.25" customHeight="1">
      <c r="A97" s="163" t="s">
        <v>18</v>
      </c>
      <c r="B97" s="109" t="s">
        <v>15</v>
      </c>
      <c r="C97" s="109" t="s">
        <v>15</v>
      </c>
      <c r="D97" s="157" t="s">
        <v>16</v>
      </c>
      <c r="E97" s="158"/>
      <c r="F97" s="110" t="s">
        <v>73</v>
      </c>
      <c r="G97" s="157" t="s">
        <v>17</v>
      </c>
      <c r="H97" s="158"/>
      <c r="I97" s="159"/>
      <c r="J97" s="111" t="s">
        <v>73</v>
      </c>
      <c r="K97" s="139" t="s">
        <v>78</v>
      </c>
      <c r="L97" s="140"/>
    </row>
    <row r="98" spans="1:12" s="3" customFormat="1" ht="14.25" customHeight="1">
      <c r="A98" s="164"/>
      <c r="B98" s="112" t="s">
        <v>5</v>
      </c>
      <c r="C98" s="112" t="s">
        <v>6</v>
      </c>
      <c r="D98" s="113" t="s">
        <v>79</v>
      </c>
      <c r="E98" s="113" t="s">
        <v>80</v>
      </c>
      <c r="F98" s="114"/>
      <c r="G98" s="113" t="s">
        <v>79</v>
      </c>
      <c r="H98" s="143" t="s">
        <v>80</v>
      </c>
      <c r="I98" s="144"/>
      <c r="J98" s="115"/>
      <c r="K98" s="141"/>
      <c r="L98" s="142"/>
    </row>
    <row r="99" spans="1:12" s="3" customFormat="1" ht="14.25" customHeight="1">
      <c r="A99" s="164"/>
      <c r="B99" s="112"/>
      <c r="C99" s="112"/>
      <c r="D99" s="114" t="s">
        <v>81</v>
      </c>
      <c r="E99" s="114" t="s">
        <v>81</v>
      </c>
      <c r="F99" s="114"/>
      <c r="G99" s="114" t="s">
        <v>81</v>
      </c>
      <c r="H99" s="145" t="s">
        <v>81</v>
      </c>
      <c r="I99" s="146"/>
      <c r="J99" s="115"/>
      <c r="K99" s="141"/>
      <c r="L99" s="142"/>
    </row>
    <row r="100" spans="1:12" s="3" customFormat="1" ht="16.5" customHeight="1">
      <c r="A100" s="165"/>
      <c r="B100" s="116" t="s">
        <v>19</v>
      </c>
      <c r="C100" s="116" t="s">
        <v>20</v>
      </c>
      <c r="D100" s="116"/>
      <c r="E100" s="116" t="s">
        <v>82</v>
      </c>
      <c r="F100" s="117" t="s">
        <v>83</v>
      </c>
      <c r="G100" s="116"/>
      <c r="H100" s="174" t="s">
        <v>21</v>
      </c>
      <c r="I100" s="175"/>
      <c r="J100" s="118" t="s">
        <v>84</v>
      </c>
      <c r="K100" s="174" t="s">
        <v>22</v>
      </c>
      <c r="L100" s="176"/>
    </row>
    <row r="101" spans="1:13" s="3" customFormat="1" ht="15.75" customHeight="1">
      <c r="A101" s="55" t="s">
        <v>85</v>
      </c>
      <c r="B101" s="20">
        <f>B102+B108+B112</f>
        <v>77282708305</v>
      </c>
      <c r="C101" s="20">
        <f>C102+C108+C112</f>
        <v>77734443175</v>
      </c>
      <c r="D101" s="20">
        <f>D102+D108+D112</f>
        <v>9239161126</v>
      </c>
      <c r="E101" s="20">
        <f>E102+E108+E112</f>
        <v>21050600035</v>
      </c>
      <c r="F101" s="20">
        <f>C101-E101</f>
        <v>56683843140</v>
      </c>
      <c r="G101" s="56">
        <f>G102+G108+G112</f>
        <v>8560433711</v>
      </c>
      <c r="H101" s="215">
        <f>H102+H108+H112</f>
        <v>17700208539</v>
      </c>
      <c r="I101" s="216"/>
      <c r="J101" s="15">
        <f aca="true" t="shared" si="4" ref="J101:J106">C101-H101</f>
        <v>60034234636</v>
      </c>
      <c r="K101" s="192">
        <f>K102+K108+K112</f>
        <v>15206754748</v>
      </c>
      <c r="L101" s="193" t="e">
        <f>L102+L108+L112+#REF!</f>
        <v>#REF!</v>
      </c>
      <c r="M101" s="18"/>
    </row>
    <row r="102" spans="1:13" s="3" customFormat="1" ht="15.75" customHeight="1">
      <c r="A102" s="57" t="s">
        <v>59</v>
      </c>
      <c r="B102" s="20">
        <f>SUM(B103:B105)</f>
        <v>67216744569</v>
      </c>
      <c r="C102" s="20">
        <f>SUM(C103:C105)</f>
        <v>67113654886</v>
      </c>
      <c r="D102" s="20">
        <f>SUM(D103:D105)</f>
        <v>8688339525</v>
      </c>
      <c r="E102" s="20">
        <f>SUM(E103:E105)</f>
        <v>20328398591</v>
      </c>
      <c r="F102" s="20">
        <f>C102-E102</f>
        <v>46785256295</v>
      </c>
      <c r="G102" s="56">
        <f>SUM(G103:G105)</f>
        <v>8349145576</v>
      </c>
      <c r="H102" s="171">
        <f>SUM(H103:H105)</f>
        <v>17391693406</v>
      </c>
      <c r="I102" s="172"/>
      <c r="J102" s="20">
        <f t="shared" si="4"/>
        <v>49721961480</v>
      </c>
      <c r="K102" s="178">
        <f>SUM(K103:K105)</f>
        <v>14923376346</v>
      </c>
      <c r="L102" s="179">
        <f>SUM(L103:L105)</f>
        <v>0</v>
      </c>
      <c r="M102" s="28"/>
    </row>
    <row r="103" spans="1:13" s="1" customFormat="1" ht="15.75" customHeight="1">
      <c r="A103" s="58" t="s">
        <v>60</v>
      </c>
      <c r="B103" s="24">
        <v>43734259278</v>
      </c>
      <c r="C103" s="24">
        <v>44446624654</v>
      </c>
      <c r="D103" s="24">
        <f>E103-8021593381</f>
        <v>5437180082</v>
      </c>
      <c r="E103" s="24">
        <v>13458773463</v>
      </c>
      <c r="F103" s="24">
        <f>C103-E103</f>
        <v>30987851191</v>
      </c>
      <c r="G103" s="59">
        <f>H103-6929516195</f>
        <v>5621945791</v>
      </c>
      <c r="H103" s="148">
        <v>12551461986</v>
      </c>
      <c r="I103" s="150"/>
      <c r="J103" s="24">
        <f>C103-H103</f>
        <v>31895162668</v>
      </c>
      <c r="K103" s="148">
        <v>10733612113</v>
      </c>
      <c r="L103" s="149"/>
      <c r="M103" s="60"/>
    </row>
    <row r="104" spans="1:13" s="3" customFormat="1" ht="15.75" customHeight="1">
      <c r="A104" s="58" t="s">
        <v>61</v>
      </c>
      <c r="B104" s="24">
        <v>2125071984</v>
      </c>
      <c r="C104" s="24">
        <v>2122655547</v>
      </c>
      <c r="D104" s="24">
        <f>E104-43972707</f>
        <v>84290814</v>
      </c>
      <c r="E104" s="24">
        <v>128263521</v>
      </c>
      <c r="F104" s="24">
        <f aca="true" t="shared" si="5" ref="F104:F112">C104-E104</f>
        <v>1994392026</v>
      </c>
      <c r="G104" s="59">
        <f>H104-43972706</f>
        <v>83899176</v>
      </c>
      <c r="H104" s="148">
        <v>127871882</v>
      </c>
      <c r="I104" s="150"/>
      <c r="J104" s="24">
        <f>C104-H104</f>
        <v>1994783665</v>
      </c>
      <c r="K104" s="148">
        <v>127683871</v>
      </c>
      <c r="L104" s="149"/>
      <c r="M104" s="61"/>
    </row>
    <row r="105" spans="1:13" s="3" customFormat="1" ht="15.75" customHeight="1">
      <c r="A105" s="58" t="s">
        <v>62</v>
      </c>
      <c r="B105" s="24">
        <f>B106+B107</f>
        <v>21357413307</v>
      </c>
      <c r="C105" s="24">
        <f>C106+C107</f>
        <v>20544374685</v>
      </c>
      <c r="D105" s="24">
        <f>D106+D107</f>
        <v>3166868629</v>
      </c>
      <c r="E105" s="24">
        <f>E106+E107</f>
        <v>6741361607</v>
      </c>
      <c r="F105" s="24">
        <f t="shared" si="5"/>
        <v>13803013078</v>
      </c>
      <c r="G105" s="59">
        <f>H105-2069058929</f>
        <v>2643300609</v>
      </c>
      <c r="H105" s="148">
        <v>4712359538</v>
      </c>
      <c r="I105" s="150"/>
      <c r="J105" s="24">
        <f>C105-H105</f>
        <v>15832015147</v>
      </c>
      <c r="K105" s="148">
        <v>4062080362</v>
      </c>
      <c r="L105" s="149"/>
      <c r="M105" s="62"/>
    </row>
    <row r="106" spans="1:12" s="3" customFormat="1" ht="15.75" customHeight="1">
      <c r="A106" s="63" t="s">
        <v>88</v>
      </c>
      <c r="B106" s="24">
        <v>0</v>
      </c>
      <c r="C106" s="24">
        <v>0</v>
      </c>
      <c r="D106" s="24">
        <f>E106-0</f>
        <v>0</v>
      </c>
      <c r="E106" s="24">
        <v>0</v>
      </c>
      <c r="F106" s="24">
        <f t="shared" si="5"/>
        <v>0</v>
      </c>
      <c r="G106" s="59">
        <f>H106-0</f>
        <v>0</v>
      </c>
      <c r="H106" s="148">
        <v>0</v>
      </c>
      <c r="I106" s="150"/>
      <c r="J106" s="24">
        <f t="shared" si="4"/>
        <v>0</v>
      </c>
      <c r="K106" s="148">
        <v>0</v>
      </c>
      <c r="L106" s="149"/>
    </row>
    <row r="107" spans="1:12" s="3" customFormat="1" ht="15.75" customHeight="1">
      <c r="A107" s="63" t="s">
        <v>89</v>
      </c>
      <c r="B107" s="24">
        <v>21357413307</v>
      </c>
      <c r="C107" s="24">
        <v>20544374685</v>
      </c>
      <c r="D107" s="24">
        <f>E107-3574492978</f>
        <v>3166868629</v>
      </c>
      <c r="E107" s="24">
        <v>6741361607</v>
      </c>
      <c r="F107" s="24">
        <f t="shared" si="5"/>
        <v>13803013078</v>
      </c>
      <c r="G107" s="59">
        <f>G105-G106</f>
        <v>2643300609</v>
      </c>
      <c r="H107" s="148">
        <f>H105-H106</f>
        <v>4712359538</v>
      </c>
      <c r="I107" s="150"/>
      <c r="J107" s="24">
        <f aca="true" t="shared" si="6" ref="J107:J112">C107-H107</f>
        <v>15832015147</v>
      </c>
      <c r="K107" s="148">
        <f>K105-K106</f>
        <v>4062080362</v>
      </c>
      <c r="L107" s="149"/>
    </row>
    <row r="108" spans="1:12" s="1" customFormat="1" ht="15.75">
      <c r="A108" s="57" t="s">
        <v>63</v>
      </c>
      <c r="B108" s="20">
        <f>SUM(B109:B111)</f>
        <v>9583016792</v>
      </c>
      <c r="C108" s="20">
        <f>SUM(C109:C111)</f>
        <v>10137841345</v>
      </c>
      <c r="D108" s="20">
        <f>SUM(D109:D111)</f>
        <v>550821601</v>
      </c>
      <c r="E108" s="20">
        <f>SUM(E109:E111)</f>
        <v>722201444</v>
      </c>
      <c r="F108" s="20">
        <f t="shared" si="5"/>
        <v>9415639901</v>
      </c>
      <c r="G108" s="56">
        <f>SUM(G109:G111)</f>
        <v>211288135</v>
      </c>
      <c r="H108" s="171">
        <f>SUM(H109:I111)</f>
        <v>308515133</v>
      </c>
      <c r="I108" s="172"/>
      <c r="J108" s="20">
        <f t="shared" si="6"/>
        <v>9829326212</v>
      </c>
      <c r="K108" s="171">
        <f>SUM(K109:K111)</f>
        <v>283378402</v>
      </c>
      <c r="L108" s="173"/>
    </row>
    <row r="109" spans="1:12" s="3" customFormat="1" ht="15.75" customHeight="1">
      <c r="A109" s="58" t="s">
        <v>64</v>
      </c>
      <c r="B109" s="24">
        <v>5034900944</v>
      </c>
      <c r="C109" s="24">
        <v>5564515205</v>
      </c>
      <c r="D109" s="24">
        <f>E109-77758892</f>
        <v>439803811</v>
      </c>
      <c r="E109" s="24">
        <v>517562703</v>
      </c>
      <c r="F109" s="24">
        <f t="shared" si="5"/>
        <v>5046952502</v>
      </c>
      <c r="G109" s="59">
        <f>H109-3667118</f>
        <v>100753302</v>
      </c>
      <c r="H109" s="148">
        <v>104420420</v>
      </c>
      <c r="I109" s="150"/>
      <c r="J109" s="24">
        <f t="shared" si="6"/>
        <v>5460094785</v>
      </c>
      <c r="K109" s="148">
        <v>79734253</v>
      </c>
      <c r="L109" s="149"/>
    </row>
    <row r="110" spans="1:12" s="3" customFormat="1" ht="15.75" customHeight="1">
      <c r="A110" s="58" t="s">
        <v>65</v>
      </c>
      <c r="B110" s="24">
        <v>100541449</v>
      </c>
      <c r="C110" s="24">
        <v>119437097</v>
      </c>
      <c r="D110" s="24">
        <f>E110-0</f>
        <v>1800000</v>
      </c>
      <c r="E110" s="24">
        <v>1800000</v>
      </c>
      <c r="F110" s="24">
        <f t="shared" si="5"/>
        <v>117637097</v>
      </c>
      <c r="G110" s="59">
        <f>H110-0</f>
        <v>1800000</v>
      </c>
      <c r="H110" s="148">
        <v>1800000</v>
      </c>
      <c r="I110" s="150"/>
      <c r="J110" s="24">
        <f t="shared" si="6"/>
        <v>117637097</v>
      </c>
      <c r="K110" s="148">
        <v>1800000</v>
      </c>
      <c r="L110" s="149"/>
    </row>
    <row r="111" spans="1:12" s="3" customFormat="1" ht="15.75" customHeight="1">
      <c r="A111" s="58" t="s">
        <v>66</v>
      </c>
      <c r="B111" s="24">
        <v>4447574399</v>
      </c>
      <c r="C111" s="24">
        <v>4453889043</v>
      </c>
      <c r="D111" s="24">
        <f>E111-93620951</f>
        <v>109217790</v>
      </c>
      <c r="E111" s="24">
        <v>202838741</v>
      </c>
      <c r="F111" s="24">
        <f t="shared" si="5"/>
        <v>4251050302</v>
      </c>
      <c r="G111" s="59">
        <f>H111-93559880</f>
        <v>108734833</v>
      </c>
      <c r="H111" s="148">
        <v>202294713</v>
      </c>
      <c r="I111" s="150"/>
      <c r="J111" s="24">
        <f>C111-H111</f>
        <v>4251594330</v>
      </c>
      <c r="K111" s="148">
        <v>201844149</v>
      </c>
      <c r="L111" s="149"/>
    </row>
    <row r="112" spans="1:12" s="3" customFormat="1" ht="15.75" customHeight="1">
      <c r="A112" s="57" t="s">
        <v>67</v>
      </c>
      <c r="B112" s="56">
        <v>482946944</v>
      </c>
      <c r="C112" s="56">
        <v>482946944</v>
      </c>
      <c r="D112" s="56">
        <f>E112-0</f>
        <v>0</v>
      </c>
      <c r="E112" s="56">
        <v>0</v>
      </c>
      <c r="F112" s="56">
        <f t="shared" si="5"/>
        <v>482946944</v>
      </c>
      <c r="G112" s="56">
        <f>H112-0</f>
        <v>0</v>
      </c>
      <c r="H112" s="171">
        <v>0</v>
      </c>
      <c r="I112" s="172"/>
      <c r="J112" s="20">
        <f t="shared" si="6"/>
        <v>482946944</v>
      </c>
      <c r="K112" s="171">
        <v>0</v>
      </c>
      <c r="L112" s="173"/>
    </row>
    <row r="113" spans="1:12" s="3" customFormat="1" ht="15.75" customHeight="1">
      <c r="A113" s="57" t="s">
        <v>68</v>
      </c>
      <c r="B113" s="56">
        <v>6040339444</v>
      </c>
      <c r="C113" s="56">
        <v>6473429244</v>
      </c>
      <c r="D113" s="56">
        <f>E113-958689540</f>
        <v>842367519</v>
      </c>
      <c r="E113" s="56">
        <v>1801057059</v>
      </c>
      <c r="F113" s="56">
        <f>C113-E113</f>
        <v>4672372185</v>
      </c>
      <c r="G113" s="56">
        <f>H113-661100186</f>
        <v>936430965</v>
      </c>
      <c r="H113" s="171">
        <v>1597531151</v>
      </c>
      <c r="I113" s="172"/>
      <c r="J113" s="20">
        <f>C113-H113</f>
        <v>4875898093</v>
      </c>
      <c r="K113" s="171">
        <v>973685621</v>
      </c>
      <c r="L113" s="173"/>
    </row>
    <row r="114" spans="1:17" s="3" customFormat="1" ht="15.75" customHeight="1">
      <c r="A114" s="64" t="s">
        <v>32</v>
      </c>
      <c r="B114" s="65">
        <f>B101+B113</f>
        <v>83323047749</v>
      </c>
      <c r="C114" s="65">
        <f>C101+C113</f>
        <v>84207872419</v>
      </c>
      <c r="D114" s="65">
        <f>D101+D113</f>
        <v>10081528645</v>
      </c>
      <c r="E114" s="65">
        <f>E101+E113</f>
        <v>22851657094</v>
      </c>
      <c r="F114" s="65">
        <f>C114-E114</f>
        <v>61356215325</v>
      </c>
      <c r="G114" s="65">
        <f>G101+G113</f>
        <v>9496864676</v>
      </c>
      <c r="H114" s="210">
        <f>H101+H113</f>
        <v>19297739690</v>
      </c>
      <c r="I114" s="212" t="e">
        <f>I101+#REF!</f>
        <v>#REF!</v>
      </c>
      <c r="J114" s="15">
        <f>C114-H114</f>
        <v>64910132729</v>
      </c>
      <c r="K114" s="210">
        <f>K101+K113</f>
        <v>16180440369</v>
      </c>
      <c r="L114" s="211" t="e">
        <f>L101+#REF!</f>
        <v>#REF!</v>
      </c>
      <c r="M114" s="66"/>
      <c r="N114" s="66"/>
      <c r="O114" s="66"/>
      <c r="P114" s="66"/>
      <c r="Q114" s="66"/>
    </row>
    <row r="115" spans="1:17" s="3" customFormat="1" ht="15.75" customHeight="1">
      <c r="A115" s="67" t="s">
        <v>86</v>
      </c>
      <c r="B115" s="68">
        <f>B116+B119</f>
        <v>6162900</v>
      </c>
      <c r="C115" s="68">
        <f>C116+C119</f>
        <v>6162900</v>
      </c>
      <c r="D115" s="68">
        <f>D116+D119</f>
        <v>1145562</v>
      </c>
      <c r="E115" s="68">
        <f>E116+E119</f>
        <v>2470752</v>
      </c>
      <c r="F115" s="68">
        <f aca="true" t="shared" si="7" ref="F115:F120">C115-E115</f>
        <v>3692148</v>
      </c>
      <c r="G115" s="68">
        <f>G116+G119</f>
        <v>1145562</v>
      </c>
      <c r="H115" s="192">
        <f>H116+H119</f>
        <v>2470752</v>
      </c>
      <c r="I115" s="193">
        <f>I116+I119</f>
        <v>0</v>
      </c>
      <c r="J115" s="15">
        <f>C115-H115</f>
        <v>3692148</v>
      </c>
      <c r="K115" s="193">
        <f>K116+K119</f>
        <v>2470752</v>
      </c>
      <c r="L115" s="193"/>
      <c r="M115" s="66"/>
      <c r="N115" s="66"/>
      <c r="O115" s="66"/>
      <c r="P115" s="66"/>
      <c r="Q115" s="66"/>
    </row>
    <row r="116" spans="1:17" s="3" customFormat="1" ht="15.75" customHeight="1">
      <c r="A116" s="63" t="s">
        <v>23</v>
      </c>
      <c r="B116" s="59">
        <f>B117+B118</f>
        <v>6162900</v>
      </c>
      <c r="C116" s="59">
        <f>C117+C118</f>
        <v>6162900</v>
      </c>
      <c r="D116" s="24">
        <f>D117+D118</f>
        <v>1145562</v>
      </c>
      <c r="E116" s="24">
        <f>E117+E118</f>
        <v>2470752</v>
      </c>
      <c r="F116" s="24">
        <f t="shared" si="7"/>
        <v>3692148</v>
      </c>
      <c r="G116" s="59">
        <f>G117+G118</f>
        <v>1145562</v>
      </c>
      <c r="H116" s="135">
        <f>H117+H118</f>
        <v>2470752</v>
      </c>
      <c r="I116" s="136">
        <f>I117+I118</f>
        <v>0</v>
      </c>
      <c r="J116" s="24">
        <f aca="true" t="shared" si="8" ref="J116:J121">C116-H116</f>
        <v>3692148</v>
      </c>
      <c r="K116" s="136">
        <f>K117+K118</f>
        <v>2470752</v>
      </c>
      <c r="L116" s="136"/>
      <c r="M116" s="66"/>
      <c r="N116" s="66"/>
      <c r="O116" s="66"/>
      <c r="P116" s="66"/>
      <c r="Q116" s="66"/>
    </row>
    <row r="117" spans="1:12" s="3" customFormat="1" ht="15.75" customHeight="1">
      <c r="A117" s="63" t="s">
        <v>24</v>
      </c>
      <c r="B117" s="59">
        <v>0</v>
      </c>
      <c r="C117" s="59">
        <v>0</v>
      </c>
      <c r="D117" s="24">
        <f>E117-0</f>
        <v>0</v>
      </c>
      <c r="E117" s="59">
        <v>0</v>
      </c>
      <c r="F117" s="24">
        <f t="shared" si="7"/>
        <v>0</v>
      </c>
      <c r="G117" s="59">
        <f>H117-0</f>
        <v>0</v>
      </c>
      <c r="H117" s="135">
        <v>0</v>
      </c>
      <c r="I117" s="136"/>
      <c r="J117" s="24">
        <f t="shared" si="8"/>
        <v>0</v>
      </c>
      <c r="K117" s="136">
        <v>0</v>
      </c>
      <c r="L117" s="136"/>
    </row>
    <row r="118" spans="1:12" s="3" customFormat="1" ht="15.75" customHeight="1">
      <c r="A118" s="63" t="s">
        <v>25</v>
      </c>
      <c r="B118" s="59">
        <v>6162900</v>
      </c>
      <c r="C118" s="59">
        <v>6162900</v>
      </c>
      <c r="D118" s="24">
        <f>E118-1325190</f>
        <v>1145562</v>
      </c>
      <c r="E118" s="24">
        <v>2470752</v>
      </c>
      <c r="F118" s="24">
        <f t="shared" si="7"/>
        <v>3692148</v>
      </c>
      <c r="G118" s="69">
        <f>H118-1325190</f>
        <v>1145562</v>
      </c>
      <c r="H118" s="148">
        <v>2470752</v>
      </c>
      <c r="I118" s="149"/>
      <c r="J118" s="24">
        <f>C118-H118</f>
        <v>3692148</v>
      </c>
      <c r="K118" s="136">
        <v>2470752</v>
      </c>
      <c r="L118" s="136"/>
    </row>
    <row r="119" spans="1:12" s="3" customFormat="1" ht="15.75" customHeight="1">
      <c r="A119" s="63" t="s">
        <v>26</v>
      </c>
      <c r="B119" s="59">
        <f>B120+B121</f>
        <v>0</v>
      </c>
      <c r="C119" s="59">
        <f>C120+C121</f>
        <v>0</v>
      </c>
      <c r="D119" s="24">
        <f>D120+D121</f>
        <v>0</v>
      </c>
      <c r="E119" s="59">
        <f>E120+E121</f>
        <v>0</v>
      </c>
      <c r="F119" s="24">
        <f t="shared" si="7"/>
        <v>0</v>
      </c>
      <c r="G119" s="59">
        <f>G120+G121</f>
        <v>0</v>
      </c>
      <c r="H119" s="135">
        <f>H120+H121</f>
        <v>0</v>
      </c>
      <c r="I119" s="136">
        <f>I120+I121</f>
        <v>0</v>
      </c>
      <c r="J119" s="24">
        <f t="shared" si="8"/>
        <v>0</v>
      </c>
      <c r="K119" s="136">
        <f>K120+K121</f>
        <v>0</v>
      </c>
      <c r="L119" s="136"/>
    </row>
    <row r="120" spans="1:12" s="3" customFormat="1" ht="15.75" customHeight="1">
      <c r="A120" s="63" t="s">
        <v>24</v>
      </c>
      <c r="B120" s="59">
        <v>0</v>
      </c>
      <c r="C120" s="59">
        <v>0</v>
      </c>
      <c r="D120" s="24">
        <f>E120-0</f>
        <v>0</v>
      </c>
      <c r="E120" s="59">
        <v>0</v>
      </c>
      <c r="F120" s="24">
        <f t="shared" si="7"/>
        <v>0</v>
      </c>
      <c r="G120" s="59">
        <f>H120-0</f>
        <v>0</v>
      </c>
      <c r="H120" s="135">
        <v>0</v>
      </c>
      <c r="I120" s="136"/>
      <c r="J120" s="24">
        <f t="shared" si="8"/>
        <v>0</v>
      </c>
      <c r="K120" s="136">
        <v>0</v>
      </c>
      <c r="L120" s="136"/>
    </row>
    <row r="121" spans="1:12" s="3" customFormat="1" ht="15.75" customHeight="1">
      <c r="A121" s="63" t="s">
        <v>25</v>
      </c>
      <c r="B121" s="70">
        <v>0</v>
      </c>
      <c r="C121" s="70">
        <v>0</v>
      </c>
      <c r="D121" s="37">
        <f>E121-0</f>
        <v>0</v>
      </c>
      <c r="E121" s="37">
        <v>0</v>
      </c>
      <c r="F121" s="37">
        <v>0</v>
      </c>
      <c r="G121" s="71">
        <f>H121-0</f>
        <v>0</v>
      </c>
      <c r="H121" s="168">
        <v>0</v>
      </c>
      <c r="I121" s="170"/>
      <c r="J121" s="37">
        <f t="shared" si="8"/>
        <v>0</v>
      </c>
      <c r="K121" s="154">
        <v>0</v>
      </c>
      <c r="L121" s="154"/>
    </row>
    <row r="122" spans="1:13" s="3" customFormat="1" ht="15.75" customHeight="1">
      <c r="A122" s="64" t="s">
        <v>69</v>
      </c>
      <c r="B122" s="31">
        <f aca="true" t="shared" si="9" ref="B122:L122">B114+B115</f>
        <v>83329210649</v>
      </c>
      <c r="C122" s="72">
        <f>C114+C115</f>
        <v>84214035319</v>
      </c>
      <c r="D122" s="72">
        <f t="shared" si="9"/>
        <v>10082674207</v>
      </c>
      <c r="E122" s="72">
        <f t="shared" si="9"/>
        <v>22854127846</v>
      </c>
      <c r="F122" s="72">
        <f>F114+F115</f>
        <v>61359907473</v>
      </c>
      <c r="G122" s="72">
        <f t="shared" si="9"/>
        <v>9498010238</v>
      </c>
      <c r="H122" s="210">
        <f t="shared" si="9"/>
        <v>19300210442</v>
      </c>
      <c r="I122" s="212" t="e">
        <f t="shared" si="9"/>
        <v>#REF!</v>
      </c>
      <c r="J122" s="73">
        <f t="shared" si="9"/>
        <v>64913824877</v>
      </c>
      <c r="K122" s="210">
        <f t="shared" si="9"/>
        <v>16182911121</v>
      </c>
      <c r="L122" s="211" t="e">
        <f t="shared" si="9"/>
        <v>#REF!</v>
      </c>
      <c r="M122" s="74"/>
    </row>
    <row r="123" spans="1:13" s="3" customFormat="1" ht="15.75" customHeight="1">
      <c r="A123" s="64" t="s">
        <v>70</v>
      </c>
      <c r="B123" s="31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210">
        <f>G90-H122</f>
        <v>2028622468.0999985</v>
      </c>
      <c r="I123" s="212"/>
      <c r="J123" s="30">
        <f>J92-J122</f>
        <v>-2028622468.0999985</v>
      </c>
      <c r="K123" s="210">
        <v>0</v>
      </c>
      <c r="L123" s="211"/>
      <c r="M123" s="28"/>
    </row>
    <row r="124" spans="1:12" s="3" customFormat="1" ht="15.75" customHeight="1">
      <c r="A124" s="75" t="s">
        <v>33</v>
      </c>
      <c r="B124" s="76">
        <f>B122+B123</f>
        <v>83329210649</v>
      </c>
      <c r="C124" s="72">
        <f aca="true" t="shared" si="10" ref="C124:H124">C122+C123</f>
        <v>84214035319</v>
      </c>
      <c r="D124" s="72">
        <f>D122+D123</f>
        <v>10082674207</v>
      </c>
      <c r="E124" s="72">
        <f t="shared" si="10"/>
        <v>22854127846</v>
      </c>
      <c r="F124" s="65">
        <f>F122+F123</f>
        <v>61359907473</v>
      </c>
      <c r="G124" s="65">
        <f t="shared" si="10"/>
        <v>9498010238</v>
      </c>
      <c r="H124" s="210">
        <f t="shared" si="10"/>
        <v>21328832910.1</v>
      </c>
      <c r="I124" s="212"/>
      <c r="J124" s="30">
        <f>J122+J123</f>
        <v>62885202408.9</v>
      </c>
      <c r="K124" s="210">
        <f>K122+K123</f>
        <v>16182911121</v>
      </c>
      <c r="L124" s="211"/>
    </row>
    <row r="125" spans="1:12" s="3" customFormat="1" ht="15.75" customHeight="1">
      <c r="A125" s="75" t="s">
        <v>90</v>
      </c>
      <c r="B125" s="76">
        <v>0</v>
      </c>
      <c r="C125" s="72">
        <v>0</v>
      </c>
      <c r="D125" s="72">
        <v>0</v>
      </c>
      <c r="E125" s="72">
        <v>0</v>
      </c>
      <c r="F125" s="65">
        <v>0</v>
      </c>
      <c r="G125" s="65">
        <v>0</v>
      </c>
      <c r="H125" s="210">
        <v>0</v>
      </c>
      <c r="I125" s="212"/>
      <c r="J125" s="30">
        <v>0</v>
      </c>
      <c r="K125" s="210">
        <v>0</v>
      </c>
      <c r="L125" s="211"/>
    </row>
    <row r="126" spans="1:12" ht="15.75">
      <c r="A126" s="77"/>
      <c r="B126" s="78"/>
      <c r="C126" s="78"/>
      <c r="D126" s="79"/>
      <c r="E126" s="79"/>
      <c r="F126" s="78"/>
      <c r="G126" s="79"/>
      <c r="H126" s="80"/>
      <c r="I126" s="80"/>
      <c r="J126" s="80"/>
      <c r="K126" s="80"/>
      <c r="L126" s="81" t="s">
        <v>101</v>
      </c>
    </row>
    <row r="127" spans="1:12" ht="15">
      <c r="A127" s="77"/>
      <c r="B127" s="78"/>
      <c r="C127" s="78"/>
      <c r="D127" s="78"/>
      <c r="E127" s="78"/>
      <c r="F127" s="78"/>
      <c r="G127" s="79"/>
      <c r="H127" s="78"/>
      <c r="I127" s="78"/>
      <c r="J127" s="78"/>
      <c r="K127" s="78"/>
      <c r="L127" s="78"/>
    </row>
    <row r="128" spans="1:12" ht="15.75">
      <c r="A128" s="49"/>
      <c r="B128" s="50"/>
      <c r="C128" s="50"/>
      <c r="D128" s="51"/>
      <c r="E128" s="51"/>
      <c r="F128" s="50"/>
      <c r="G128" s="52"/>
      <c r="H128" s="53"/>
      <c r="I128" s="53"/>
      <c r="J128" s="53"/>
      <c r="K128" s="53"/>
      <c r="L128" s="54"/>
    </row>
    <row r="129" spans="1:12" ht="15.75">
      <c r="A129" s="49"/>
      <c r="B129" s="50"/>
      <c r="C129" s="50"/>
      <c r="D129" s="51"/>
      <c r="E129" s="51"/>
      <c r="F129" s="50"/>
      <c r="G129" s="52"/>
      <c r="H129" s="53"/>
      <c r="I129" s="53"/>
      <c r="J129" s="53"/>
      <c r="K129" s="53"/>
      <c r="L129" s="54"/>
    </row>
    <row r="130" spans="1:12" ht="15.75">
      <c r="A130" s="49"/>
      <c r="B130" s="50"/>
      <c r="C130" s="50"/>
      <c r="D130" s="51"/>
      <c r="E130" s="51"/>
      <c r="F130" s="50"/>
      <c r="G130" s="52"/>
      <c r="H130" s="53"/>
      <c r="I130" s="53"/>
      <c r="J130" s="53"/>
      <c r="K130" s="53"/>
      <c r="L130" s="81" t="s">
        <v>34</v>
      </c>
    </row>
    <row r="131" spans="1:12" ht="16.5">
      <c r="A131" s="166" t="str">
        <f>A6</f>
        <v>GOVERNO DO ESTADO DO RIO DE JANEIRO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</row>
    <row r="132" spans="1:12" ht="16.5">
      <c r="A132" s="167" t="str">
        <f>A7</f>
        <v>RELATÓRIO RESUMIDO DA EXECUÇÃO ORÇAMENTÁRIA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</row>
    <row r="133" spans="1:12" ht="16.5">
      <c r="A133" s="213" t="str">
        <f>A8</f>
        <v>BALANÇO ORÇAMENTÁRIO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</row>
    <row r="134" spans="1:12" ht="16.5">
      <c r="A134" s="166" t="str">
        <f>A9</f>
        <v>ORÇAMENTOS FISCAL E DA SEGURIDADE SOCIAL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</row>
    <row r="135" spans="1:12" ht="16.5">
      <c r="A135" s="167" t="str">
        <f>A10</f>
        <v>JANEIRO A ABRIL 2020/BIMESTRE MARÇO-ABRIL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</row>
    <row r="136" spans="1:12" ht="16.5">
      <c r="A136" s="82"/>
      <c r="B136" s="83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1:12" ht="15.75">
      <c r="A137" s="84"/>
      <c r="B137" s="84"/>
      <c r="C137" s="106"/>
      <c r="D137" s="106"/>
      <c r="E137" s="106"/>
      <c r="F137" s="106"/>
      <c r="G137" s="106"/>
      <c r="H137" s="106"/>
      <c r="I137" s="85"/>
      <c r="J137" s="85"/>
      <c r="K137" s="85"/>
      <c r="L137" s="125" t="str">
        <f>L12</f>
        <v>Emissão: 21/05/2020</v>
      </c>
    </row>
    <row r="138" spans="1:12" ht="15.75">
      <c r="A138" s="86" t="str">
        <f>A13</f>
        <v>RREO - Anexo 1 (LRF, Art. 52, inciso I, alíneas "a" e "b" do inciso II e §1º)</v>
      </c>
      <c r="B138" s="87"/>
      <c r="C138" s="124"/>
      <c r="D138" s="124"/>
      <c r="E138" s="124"/>
      <c r="F138" s="124"/>
      <c r="G138" s="124"/>
      <c r="H138" s="124"/>
      <c r="I138" s="85"/>
      <c r="J138" s="88"/>
      <c r="K138" s="89"/>
      <c r="L138" s="88">
        <v>1</v>
      </c>
    </row>
    <row r="139" spans="1:12" ht="15.75">
      <c r="A139" s="204" t="s">
        <v>4</v>
      </c>
      <c r="B139" s="205"/>
      <c r="C139" s="194" t="s">
        <v>72</v>
      </c>
      <c r="D139" s="102" t="s">
        <v>87</v>
      </c>
      <c r="E139" s="197" t="s">
        <v>3</v>
      </c>
      <c r="F139" s="198"/>
      <c r="G139" s="198"/>
      <c r="H139" s="198"/>
      <c r="I139" s="199"/>
      <c r="J139" s="200" t="s">
        <v>73</v>
      </c>
      <c r="K139" s="214"/>
      <c r="L139" s="214"/>
    </row>
    <row r="140" spans="1:12" ht="15.75">
      <c r="A140" s="206"/>
      <c r="B140" s="207"/>
      <c r="C140" s="195"/>
      <c r="D140" s="103" t="s">
        <v>6</v>
      </c>
      <c r="E140" s="102" t="s">
        <v>7</v>
      </c>
      <c r="F140" s="104" t="s">
        <v>8</v>
      </c>
      <c r="G140" s="200" t="s">
        <v>9</v>
      </c>
      <c r="H140" s="201"/>
      <c r="I140" s="104" t="s">
        <v>8</v>
      </c>
      <c r="J140" s="202"/>
      <c r="K140" s="203"/>
      <c r="L140" s="203"/>
    </row>
    <row r="141" spans="1:12" ht="15.75">
      <c r="A141" s="208"/>
      <c r="B141" s="209"/>
      <c r="C141" s="196"/>
      <c r="D141" s="105" t="s">
        <v>10</v>
      </c>
      <c r="E141" s="105" t="s">
        <v>11</v>
      </c>
      <c r="F141" s="105" t="s">
        <v>12</v>
      </c>
      <c r="G141" s="185" t="s">
        <v>74</v>
      </c>
      <c r="H141" s="186"/>
      <c r="I141" s="105" t="s">
        <v>13</v>
      </c>
      <c r="J141" s="185" t="s">
        <v>14</v>
      </c>
      <c r="K141" s="187"/>
      <c r="L141" s="187"/>
    </row>
    <row r="142" spans="1:12" ht="15.75">
      <c r="A142" s="188" t="s">
        <v>56</v>
      </c>
      <c r="B142" s="189"/>
      <c r="C142" s="14">
        <f>C143+C183</f>
        <v>6040339444</v>
      </c>
      <c r="D142" s="15">
        <f>D143+D183</f>
        <v>6040478404</v>
      </c>
      <c r="E142" s="16">
        <f>E143+E183</f>
        <v>669944650.11</v>
      </c>
      <c r="F142" s="17">
        <f aca="true" t="shared" si="11" ref="F142:F148">(E142/D142)*100</f>
        <v>11.090920375882202</v>
      </c>
      <c r="G142" s="190">
        <f>G143+G183</f>
        <v>1326278038</v>
      </c>
      <c r="H142" s="191"/>
      <c r="I142" s="17">
        <f>(G142/D142)*100</f>
        <v>21.956506576064236</v>
      </c>
      <c r="J142" s="192">
        <f aca="true" t="shared" si="12" ref="J142:J157">D142-G142</f>
        <v>4714200366</v>
      </c>
      <c r="K142" s="193"/>
      <c r="L142" s="193"/>
    </row>
    <row r="143" spans="1:12" ht="15.75">
      <c r="A143" s="177" t="s">
        <v>35</v>
      </c>
      <c r="B143" s="177"/>
      <c r="C143" s="19">
        <f>C144+C148+C153+C161+C162+C163+C169+C178</f>
        <v>6040339444</v>
      </c>
      <c r="D143" s="20">
        <f>D144+D148+D153+D161+D162+D163+D169+D178</f>
        <v>6040339444</v>
      </c>
      <c r="E143" s="16">
        <f>E144+E148+E153+E161+E162+E163+E169+E178</f>
        <v>669922062.11</v>
      </c>
      <c r="F143" s="21">
        <f t="shared" si="11"/>
        <v>11.090801573667322</v>
      </c>
      <c r="G143" s="183">
        <f>G144+G148+G153+G161+G162+G163+G169+G178</f>
        <v>1326216007</v>
      </c>
      <c r="H143" s="184"/>
      <c r="I143" s="21">
        <f>(G143/D143)*100</f>
        <v>21.955984747137997</v>
      </c>
      <c r="J143" s="178">
        <f t="shared" si="12"/>
        <v>4714123437</v>
      </c>
      <c r="K143" s="179"/>
      <c r="L143" s="179"/>
    </row>
    <row r="144" spans="1:12" ht="15.75">
      <c r="A144" s="152" t="s">
        <v>141</v>
      </c>
      <c r="B144" s="152"/>
      <c r="C144" s="23">
        <f>C145+C146+C147</f>
        <v>0</v>
      </c>
      <c r="D144" s="24">
        <f>D145+D146+D147</f>
        <v>0</v>
      </c>
      <c r="E144" s="25">
        <f>E145+E146+E147</f>
        <v>0</v>
      </c>
      <c r="F144" s="26">
        <v>0</v>
      </c>
      <c r="G144" s="180">
        <f>G145+G146+G147</f>
        <v>0</v>
      </c>
      <c r="H144" s="181" t="e">
        <f>H145+H146+#REF!</f>
        <v>#REF!</v>
      </c>
      <c r="I144" s="26">
        <v>0</v>
      </c>
      <c r="J144" s="135">
        <f t="shared" si="12"/>
        <v>0</v>
      </c>
      <c r="K144" s="136"/>
      <c r="L144" s="136"/>
    </row>
    <row r="145" spans="1:12" ht="15.75">
      <c r="A145" s="152" t="s">
        <v>36</v>
      </c>
      <c r="B145" s="152"/>
      <c r="C145" s="23">
        <v>0</v>
      </c>
      <c r="D145" s="24">
        <v>0</v>
      </c>
      <c r="E145" s="25">
        <f>G145-0</f>
        <v>0</v>
      </c>
      <c r="F145" s="26">
        <v>0</v>
      </c>
      <c r="G145" s="137">
        <v>0</v>
      </c>
      <c r="H145" s="138"/>
      <c r="I145" s="26">
        <v>0</v>
      </c>
      <c r="J145" s="135">
        <f t="shared" si="12"/>
        <v>0</v>
      </c>
      <c r="K145" s="136"/>
      <c r="L145" s="136"/>
    </row>
    <row r="146" spans="1:12" ht="15.75">
      <c r="A146" s="152" t="s">
        <v>37</v>
      </c>
      <c r="B146" s="152"/>
      <c r="C146" s="23">
        <v>0</v>
      </c>
      <c r="D146" s="24">
        <v>0</v>
      </c>
      <c r="E146" s="25">
        <f>G146-0</f>
        <v>0</v>
      </c>
      <c r="F146" s="26">
        <v>0</v>
      </c>
      <c r="G146" s="137">
        <v>0</v>
      </c>
      <c r="H146" s="138"/>
      <c r="I146" s="26">
        <v>0</v>
      </c>
      <c r="J146" s="135">
        <f t="shared" si="12"/>
        <v>0</v>
      </c>
      <c r="K146" s="136"/>
      <c r="L146" s="136"/>
    </row>
    <row r="147" spans="1:12" ht="15.75">
      <c r="A147" s="182" t="s">
        <v>143</v>
      </c>
      <c r="B147" s="182"/>
      <c r="C147" s="35">
        <v>0</v>
      </c>
      <c r="D147" s="24">
        <v>0</v>
      </c>
      <c r="E147" s="25">
        <f>G147-0</f>
        <v>0</v>
      </c>
      <c r="F147" s="26">
        <v>0</v>
      </c>
      <c r="G147" s="137">
        <v>0</v>
      </c>
      <c r="H147" s="138"/>
      <c r="I147" s="26">
        <v>0</v>
      </c>
      <c r="J147" s="135">
        <f>D147-G147</f>
        <v>0</v>
      </c>
      <c r="K147" s="136"/>
      <c r="L147" s="136"/>
    </row>
    <row r="148" spans="1:12" ht="15.75">
      <c r="A148" s="152" t="s">
        <v>38</v>
      </c>
      <c r="B148" s="152"/>
      <c r="C148" s="23">
        <f>C150+C149+C151+C152</f>
        <v>4066464206</v>
      </c>
      <c r="D148" s="24">
        <f>D150+D149+D151+D152</f>
        <v>4066464206</v>
      </c>
      <c r="E148" s="25">
        <f>E150+E149+E151+E152</f>
        <v>417920570.5</v>
      </c>
      <c r="F148" s="26">
        <f t="shared" si="11"/>
        <v>10.277246997117672</v>
      </c>
      <c r="G148" s="180">
        <f>G149+G150+G151+G152</f>
        <v>931827658</v>
      </c>
      <c r="H148" s="181"/>
      <c r="I148" s="26">
        <f>(G148/D148)*100</f>
        <v>22.914935698317567</v>
      </c>
      <c r="J148" s="135">
        <f t="shared" si="12"/>
        <v>3134636548</v>
      </c>
      <c r="K148" s="136"/>
      <c r="L148" s="136"/>
    </row>
    <row r="149" spans="1:12" ht="15.75">
      <c r="A149" s="152" t="s">
        <v>39</v>
      </c>
      <c r="B149" s="152"/>
      <c r="C149" s="23">
        <v>4066464206</v>
      </c>
      <c r="D149" s="24">
        <v>4066464206</v>
      </c>
      <c r="E149" s="25">
        <f>G149-513907087.5</f>
        <v>417920570.5</v>
      </c>
      <c r="F149" s="26">
        <f aca="true" t="shared" si="13" ref="F149:F154">(E149/D149)*100</f>
        <v>10.277246997117672</v>
      </c>
      <c r="G149" s="137">
        <v>931827658</v>
      </c>
      <c r="H149" s="138"/>
      <c r="I149" s="26">
        <f>(G149/D149)*100</f>
        <v>22.914935698317567</v>
      </c>
      <c r="J149" s="135">
        <f t="shared" si="12"/>
        <v>3134636548</v>
      </c>
      <c r="K149" s="136"/>
      <c r="L149" s="136"/>
    </row>
    <row r="150" spans="1:12" ht="15.75">
      <c r="A150" s="152" t="s">
        <v>100</v>
      </c>
      <c r="B150" s="152"/>
      <c r="C150" s="23">
        <v>0</v>
      </c>
      <c r="D150" s="24">
        <v>0</v>
      </c>
      <c r="E150" s="25">
        <f>G150-0</f>
        <v>0</v>
      </c>
      <c r="F150" s="26">
        <v>0</v>
      </c>
      <c r="G150" s="137">
        <v>0</v>
      </c>
      <c r="H150" s="138"/>
      <c r="I150" s="26">
        <v>0</v>
      </c>
      <c r="J150" s="135">
        <f t="shared" si="12"/>
        <v>0</v>
      </c>
      <c r="K150" s="136"/>
      <c r="L150" s="136"/>
    </row>
    <row r="151" spans="1:12" ht="15.75">
      <c r="A151" s="152" t="s">
        <v>118</v>
      </c>
      <c r="B151" s="152"/>
      <c r="C151" s="23">
        <v>0</v>
      </c>
      <c r="D151" s="24">
        <v>0</v>
      </c>
      <c r="E151" s="25">
        <f>G151-0</f>
        <v>0</v>
      </c>
      <c r="F151" s="26">
        <v>0</v>
      </c>
      <c r="G151" s="137">
        <v>0</v>
      </c>
      <c r="H151" s="138"/>
      <c r="I151" s="26">
        <v>0</v>
      </c>
      <c r="J151" s="148">
        <f t="shared" si="12"/>
        <v>0</v>
      </c>
      <c r="K151" s="149"/>
      <c r="L151" s="149"/>
    </row>
    <row r="152" spans="1:12" ht="15.75">
      <c r="A152" s="152" t="s">
        <v>119</v>
      </c>
      <c r="B152" s="152"/>
      <c r="C152" s="23">
        <v>0</v>
      </c>
      <c r="D152" s="24">
        <v>0</v>
      </c>
      <c r="E152" s="25">
        <f>G152-0</f>
        <v>0</v>
      </c>
      <c r="F152" s="26">
        <v>0</v>
      </c>
      <c r="G152" s="137">
        <v>0</v>
      </c>
      <c r="H152" s="138"/>
      <c r="I152" s="26">
        <v>0</v>
      </c>
      <c r="J152" s="148">
        <f t="shared" si="12"/>
        <v>0</v>
      </c>
      <c r="K152" s="149"/>
      <c r="L152" s="149"/>
    </row>
    <row r="153" spans="1:12" ht="15.75">
      <c r="A153" s="152" t="s">
        <v>40</v>
      </c>
      <c r="B153" s="152"/>
      <c r="C153" s="23">
        <f>SUM(C154:C160)</f>
        <v>13506782</v>
      </c>
      <c r="D153" s="24">
        <f>SUM(D154:D160)</f>
        <v>13506782</v>
      </c>
      <c r="E153" s="25">
        <f>SUM(E154:E160)</f>
        <v>727656</v>
      </c>
      <c r="F153" s="26">
        <f t="shared" si="13"/>
        <v>5.387338005455334</v>
      </c>
      <c r="G153" s="180">
        <f>SUM(G154:H160)</f>
        <v>1918806</v>
      </c>
      <c r="H153" s="181">
        <f>SUM(H154:H160)</f>
        <v>0</v>
      </c>
      <c r="I153" s="26">
        <f>(G153/D153)*100</f>
        <v>14.206240983233458</v>
      </c>
      <c r="J153" s="135">
        <f t="shared" si="12"/>
        <v>11587976</v>
      </c>
      <c r="K153" s="136"/>
      <c r="L153" s="136"/>
    </row>
    <row r="154" spans="1:12" ht="15.75">
      <c r="A154" s="152" t="s">
        <v>120</v>
      </c>
      <c r="B154" s="152"/>
      <c r="C154" s="23">
        <v>13506782</v>
      </c>
      <c r="D154" s="24">
        <v>13506782</v>
      </c>
      <c r="E154" s="25">
        <f>G154-1191150</f>
        <v>727656</v>
      </c>
      <c r="F154" s="26">
        <f t="shared" si="13"/>
        <v>5.387338005455334</v>
      </c>
      <c r="G154" s="137">
        <v>1918806</v>
      </c>
      <c r="H154" s="138"/>
      <c r="I154" s="26">
        <f>(G154/D154)*100</f>
        <v>14.206240983233458</v>
      </c>
      <c r="J154" s="135">
        <f t="shared" si="12"/>
        <v>11587976</v>
      </c>
      <c r="K154" s="136"/>
      <c r="L154" s="136"/>
    </row>
    <row r="155" spans="1:12" ht="15.75">
      <c r="A155" s="152" t="s">
        <v>121</v>
      </c>
      <c r="B155" s="152"/>
      <c r="C155" s="23">
        <v>0</v>
      </c>
      <c r="D155" s="24">
        <v>0</v>
      </c>
      <c r="E155" s="25">
        <f aca="true" t="shared" si="14" ref="E155:E162">G155-0</f>
        <v>0</v>
      </c>
      <c r="F155" s="26">
        <v>0</v>
      </c>
      <c r="G155" s="137">
        <v>0</v>
      </c>
      <c r="H155" s="138"/>
      <c r="I155" s="26">
        <v>0</v>
      </c>
      <c r="J155" s="135">
        <f t="shared" si="12"/>
        <v>0</v>
      </c>
      <c r="K155" s="136"/>
      <c r="L155" s="136"/>
    </row>
    <row r="156" spans="1:12" ht="15.75">
      <c r="A156" s="152" t="s">
        <v>124</v>
      </c>
      <c r="B156" s="152"/>
      <c r="C156" s="23">
        <v>0</v>
      </c>
      <c r="D156" s="24">
        <v>0</v>
      </c>
      <c r="E156" s="25">
        <f t="shared" si="14"/>
        <v>0</v>
      </c>
      <c r="F156" s="26">
        <v>0</v>
      </c>
      <c r="G156" s="137">
        <v>0</v>
      </c>
      <c r="H156" s="138"/>
      <c r="I156" s="26">
        <v>0</v>
      </c>
      <c r="J156" s="135">
        <f t="shared" si="12"/>
        <v>0</v>
      </c>
      <c r="K156" s="136"/>
      <c r="L156" s="136"/>
    </row>
    <row r="157" spans="1:12" ht="15.75">
      <c r="A157" s="152" t="s">
        <v>122</v>
      </c>
      <c r="B157" s="152"/>
      <c r="C157" s="23">
        <v>0</v>
      </c>
      <c r="D157" s="24">
        <v>0</v>
      </c>
      <c r="E157" s="25">
        <f t="shared" si="14"/>
        <v>0</v>
      </c>
      <c r="F157" s="26">
        <v>0</v>
      </c>
      <c r="G157" s="137">
        <v>0</v>
      </c>
      <c r="H157" s="138"/>
      <c r="I157" s="26">
        <v>0</v>
      </c>
      <c r="J157" s="135">
        <f t="shared" si="12"/>
        <v>0</v>
      </c>
      <c r="K157" s="136"/>
      <c r="L157" s="136"/>
    </row>
    <row r="158" spans="1:12" ht="15" customHeight="1">
      <c r="A158" s="152" t="s">
        <v>123</v>
      </c>
      <c r="B158" s="152"/>
      <c r="C158" s="23">
        <v>0</v>
      </c>
      <c r="D158" s="24">
        <v>0</v>
      </c>
      <c r="E158" s="25">
        <f t="shared" si="14"/>
        <v>0</v>
      </c>
      <c r="F158" s="26">
        <v>0</v>
      </c>
      <c r="G158" s="137">
        <v>0</v>
      </c>
      <c r="H158" s="138"/>
      <c r="I158" s="26">
        <v>0</v>
      </c>
      <c r="J158" s="135">
        <f aca="true" t="shared" si="15" ref="J158:J177">D158-G158</f>
        <v>0</v>
      </c>
      <c r="K158" s="136"/>
      <c r="L158" s="136"/>
    </row>
    <row r="159" spans="1:12" ht="15.75">
      <c r="A159" s="152" t="s">
        <v>126</v>
      </c>
      <c r="B159" s="152"/>
      <c r="C159" s="23">
        <v>0</v>
      </c>
      <c r="D159" s="24">
        <v>0</v>
      </c>
      <c r="E159" s="25">
        <f t="shared" si="14"/>
        <v>0</v>
      </c>
      <c r="F159" s="26">
        <v>0</v>
      </c>
      <c r="G159" s="137">
        <v>0</v>
      </c>
      <c r="H159" s="138"/>
      <c r="I159" s="26">
        <v>0</v>
      </c>
      <c r="J159" s="135">
        <f t="shared" si="15"/>
        <v>0</v>
      </c>
      <c r="K159" s="136"/>
      <c r="L159" s="136"/>
    </row>
    <row r="160" spans="1:12" ht="15.75">
      <c r="A160" s="152" t="s">
        <v>125</v>
      </c>
      <c r="B160" s="152"/>
      <c r="C160" s="23">
        <v>0</v>
      </c>
      <c r="D160" s="24">
        <v>0</v>
      </c>
      <c r="E160" s="25">
        <f t="shared" si="14"/>
        <v>0</v>
      </c>
      <c r="F160" s="26">
        <v>0</v>
      </c>
      <c r="G160" s="137">
        <v>0</v>
      </c>
      <c r="H160" s="138"/>
      <c r="I160" s="26">
        <v>0</v>
      </c>
      <c r="J160" s="135">
        <f t="shared" si="15"/>
        <v>0</v>
      </c>
      <c r="K160" s="136"/>
      <c r="L160" s="136"/>
    </row>
    <row r="161" spans="1:12" ht="15.75">
      <c r="A161" s="152" t="s">
        <v>41</v>
      </c>
      <c r="B161" s="152"/>
      <c r="C161" s="23">
        <v>0</v>
      </c>
      <c r="D161" s="24">
        <v>0</v>
      </c>
      <c r="E161" s="25">
        <f t="shared" si="14"/>
        <v>0</v>
      </c>
      <c r="F161" s="26">
        <v>0</v>
      </c>
      <c r="G161" s="180">
        <v>0</v>
      </c>
      <c r="H161" s="181"/>
      <c r="I161" s="26">
        <v>0</v>
      </c>
      <c r="J161" s="135">
        <f t="shared" si="15"/>
        <v>0</v>
      </c>
      <c r="K161" s="136"/>
      <c r="L161" s="136"/>
    </row>
    <row r="162" spans="1:12" ht="15.75">
      <c r="A162" s="152" t="s">
        <v>42</v>
      </c>
      <c r="B162" s="152"/>
      <c r="C162" s="23">
        <v>0</v>
      </c>
      <c r="D162" s="24">
        <v>0</v>
      </c>
      <c r="E162" s="25">
        <f t="shared" si="14"/>
        <v>0</v>
      </c>
      <c r="F162" s="26">
        <v>0</v>
      </c>
      <c r="G162" s="180">
        <v>0</v>
      </c>
      <c r="H162" s="181"/>
      <c r="I162" s="26">
        <v>0</v>
      </c>
      <c r="J162" s="135">
        <f t="shared" si="15"/>
        <v>0</v>
      </c>
      <c r="K162" s="136"/>
      <c r="L162" s="136"/>
    </row>
    <row r="163" spans="1:12" ht="15.75">
      <c r="A163" s="152" t="s">
        <v>43</v>
      </c>
      <c r="B163" s="152"/>
      <c r="C163" s="23">
        <f>SUM(C164:C168)</f>
        <v>614360854</v>
      </c>
      <c r="D163" s="24">
        <f>SUM(D164:D168)</f>
        <v>614360854</v>
      </c>
      <c r="E163" s="25">
        <f>SUM(E164:E168)</f>
        <v>74671860.61</v>
      </c>
      <c r="F163" s="26">
        <f aca="true" t="shared" si="16" ref="F163:F171">(E163/D163)*100</f>
        <v>12.15439755378685</v>
      </c>
      <c r="G163" s="180">
        <f>SUM(G164:H168)</f>
        <v>112622778</v>
      </c>
      <c r="H163" s="181"/>
      <c r="I163" s="26">
        <f aca="true" t="shared" si="17" ref="I163:I171">(G163/D163)*100</f>
        <v>18.331698262793285</v>
      </c>
      <c r="J163" s="135">
        <f t="shared" si="15"/>
        <v>501738076</v>
      </c>
      <c r="K163" s="136"/>
      <c r="L163" s="136"/>
    </row>
    <row r="164" spans="1:12" ht="15.75">
      <c r="A164" s="152" t="s">
        <v>113</v>
      </c>
      <c r="B164" s="152"/>
      <c r="C164" s="23">
        <v>212652</v>
      </c>
      <c r="D164" s="24">
        <v>212652</v>
      </c>
      <c r="E164" s="25">
        <f>G164-117532</f>
        <v>187227</v>
      </c>
      <c r="F164" s="26">
        <f t="shared" si="16"/>
        <v>88.04384628406974</v>
      </c>
      <c r="G164" s="137">
        <v>304759</v>
      </c>
      <c r="H164" s="138"/>
      <c r="I164" s="26">
        <f t="shared" si="17"/>
        <v>143.31348870455017</v>
      </c>
      <c r="J164" s="135">
        <f t="shared" si="15"/>
        <v>-92107</v>
      </c>
      <c r="K164" s="136"/>
      <c r="L164" s="136"/>
    </row>
    <row r="165" spans="1:12" ht="15.75">
      <c r="A165" s="152" t="s">
        <v>114</v>
      </c>
      <c r="B165" s="152"/>
      <c r="C165" s="23">
        <v>0</v>
      </c>
      <c r="D165" s="24">
        <v>0</v>
      </c>
      <c r="E165" s="25">
        <f>G165-0</f>
        <v>0</v>
      </c>
      <c r="F165" s="26">
        <v>0</v>
      </c>
      <c r="G165" s="137">
        <v>0</v>
      </c>
      <c r="H165" s="138"/>
      <c r="I165" s="26">
        <v>0</v>
      </c>
      <c r="J165" s="148">
        <f t="shared" si="15"/>
        <v>0</v>
      </c>
      <c r="K165" s="149"/>
      <c r="L165" s="149"/>
    </row>
    <row r="166" spans="1:12" ht="15.75">
      <c r="A166" s="152" t="s">
        <v>115</v>
      </c>
      <c r="B166" s="152"/>
      <c r="C166" s="23">
        <v>604682202</v>
      </c>
      <c r="D166" s="24">
        <v>604682202</v>
      </c>
      <c r="E166" s="25">
        <f>G166-24282169.04</f>
        <v>45988108.96</v>
      </c>
      <c r="F166" s="26">
        <f t="shared" si="16"/>
        <v>7.605335299748081</v>
      </c>
      <c r="G166" s="137">
        <v>70270278</v>
      </c>
      <c r="H166" s="138"/>
      <c r="I166" s="26">
        <f t="shared" si="17"/>
        <v>11.621026345339663</v>
      </c>
      <c r="J166" s="148">
        <f t="shared" si="15"/>
        <v>534411924</v>
      </c>
      <c r="K166" s="149"/>
      <c r="L166" s="149"/>
    </row>
    <row r="167" spans="1:12" ht="15.75">
      <c r="A167" s="152" t="s">
        <v>116</v>
      </c>
      <c r="B167" s="152"/>
      <c r="C167" s="23">
        <v>0</v>
      </c>
      <c r="D167" s="24">
        <v>0</v>
      </c>
      <c r="E167" s="25">
        <f>G167-0</f>
        <v>0</v>
      </c>
      <c r="F167" s="26">
        <v>0</v>
      </c>
      <c r="G167" s="137">
        <v>0</v>
      </c>
      <c r="H167" s="138"/>
      <c r="I167" s="26">
        <v>0</v>
      </c>
      <c r="J167" s="148">
        <f t="shared" si="15"/>
        <v>0</v>
      </c>
      <c r="K167" s="149"/>
      <c r="L167" s="149"/>
    </row>
    <row r="168" spans="1:12" ht="15.75">
      <c r="A168" s="152" t="s">
        <v>117</v>
      </c>
      <c r="B168" s="152"/>
      <c r="C168" s="23">
        <v>9466000</v>
      </c>
      <c r="D168" s="24">
        <v>9466000</v>
      </c>
      <c r="E168" s="25">
        <f>G168-13551216.35</f>
        <v>28496524.65</v>
      </c>
      <c r="F168" s="26">
        <f t="shared" si="16"/>
        <v>301.0408266427213</v>
      </c>
      <c r="G168" s="137">
        <v>42047741</v>
      </c>
      <c r="H168" s="138"/>
      <c r="I168" s="26">
        <f t="shared" si="17"/>
        <v>444.19755968730186</v>
      </c>
      <c r="J168" s="148">
        <f t="shared" si="15"/>
        <v>-32581741</v>
      </c>
      <c r="K168" s="149"/>
      <c r="L168" s="149"/>
    </row>
    <row r="169" spans="1:12" ht="15.75">
      <c r="A169" s="152" t="s">
        <v>44</v>
      </c>
      <c r="B169" s="152"/>
      <c r="C169" s="23">
        <f>SUM(C170:C177)</f>
        <v>65612841</v>
      </c>
      <c r="D169" s="24">
        <f>SUM(D170:D177)</f>
        <v>65612841</v>
      </c>
      <c r="E169" s="25">
        <f>SUM(E170:E177)</f>
        <v>0</v>
      </c>
      <c r="F169" s="26">
        <f t="shared" si="16"/>
        <v>0</v>
      </c>
      <c r="G169" s="180">
        <f>SUM(G170:H177)</f>
        <v>0</v>
      </c>
      <c r="H169" s="181">
        <f>SUM(H170:H174)</f>
        <v>0</v>
      </c>
      <c r="I169" s="26">
        <f t="shared" si="17"/>
        <v>0</v>
      </c>
      <c r="J169" s="135">
        <f t="shared" si="15"/>
        <v>65612841</v>
      </c>
      <c r="K169" s="136"/>
      <c r="L169" s="136"/>
    </row>
    <row r="170" spans="1:12" ht="15.75">
      <c r="A170" s="152" t="s">
        <v>108</v>
      </c>
      <c r="B170" s="152"/>
      <c r="C170" s="23">
        <v>0</v>
      </c>
      <c r="D170" s="24">
        <v>0</v>
      </c>
      <c r="E170" s="25">
        <f aca="true" t="shared" si="18" ref="E170:E177">G170-0</f>
        <v>0</v>
      </c>
      <c r="F170" s="26">
        <v>0</v>
      </c>
      <c r="G170" s="137">
        <v>0</v>
      </c>
      <c r="H170" s="138"/>
      <c r="I170" s="26">
        <v>0</v>
      </c>
      <c r="J170" s="135">
        <f t="shared" si="15"/>
        <v>0</v>
      </c>
      <c r="K170" s="136"/>
      <c r="L170" s="136"/>
    </row>
    <row r="171" spans="1:12" ht="15.75">
      <c r="A171" s="152" t="s">
        <v>109</v>
      </c>
      <c r="B171" s="152"/>
      <c r="C171" s="23">
        <v>65612841</v>
      </c>
      <c r="D171" s="24">
        <v>65612841</v>
      </c>
      <c r="E171" s="25">
        <f t="shared" si="18"/>
        <v>0</v>
      </c>
      <c r="F171" s="26">
        <f t="shared" si="16"/>
        <v>0</v>
      </c>
      <c r="G171" s="137">
        <v>0</v>
      </c>
      <c r="H171" s="138"/>
      <c r="I171" s="26">
        <f t="shared" si="17"/>
        <v>0</v>
      </c>
      <c r="J171" s="135">
        <f t="shared" si="15"/>
        <v>65612841</v>
      </c>
      <c r="K171" s="136"/>
      <c r="L171" s="136"/>
    </row>
    <row r="172" spans="1:12" ht="15.75">
      <c r="A172" s="152" t="s">
        <v>110</v>
      </c>
      <c r="B172" s="152"/>
      <c r="C172" s="23">
        <v>0</v>
      </c>
      <c r="D172" s="24">
        <v>0</v>
      </c>
      <c r="E172" s="25">
        <f t="shared" si="18"/>
        <v>0</v>
      </c>
      <c r="F172" s="26">
        <v>0</v>
      </c>
      <c r="G172" s="137">
        <v>0</v>
      </c>
      <c r="H172" s="138"/>
      <c r="I172" s="26">
        <v>0</v>
      </c>
      <c r="J172" s="135">
        <f t="shared" si="15"/>
        <v>0</v>
      </c>
      <c r="K172" s="136"/>
      <c r="L172" s="136"/>
    </row>
    <row r="173" spans="1:12" ht="15.75">
      <c r="A173" s="152" t="s">
        <v>45</v>
      </c>
      <c r="B173" s="152"/>
      <c r="C173" s="23">
        <v>0</v>
      </c>
      <c r="D173" s="24">
        <v>0</v>
      </c>
      <c r="E173" s="25">
        <f t="shared" si="18"/>
        <v>0</v>
      </c>
      <c r="F173" s="26">
        <v>0</v>
      </c>
      <c r="G173" s="137">
        <v>0</v>
      </c>
      <c r="H173" s="138"/>
      <c r="I173" s="26">
        <v>0</v>
      </c>
      <c r="J173" s="135">
        <f t="shared" si="15"/>
        <v>0</v>
      </c>
      <c r="K173" s="136"/>
      <c r="L173" s="136"/>
    </row>
    <row r="174" spans="1:12" ht="15.75">
      <c r="A174" s="152" t="s">
        <v>91</v>
      </c>
      <c r="B174" s="152"/>
      <c r="C174" s="23">
        <v>0</v>
      </c>
      <c r="D174" s="24">
        <v>0</v>
      </c>
      <c r="E174" s="25">
        <f t="shared" si="18"/>
        <v>0</v>
      </c>
      <c r="F174" s="26">
        <v>0</v>
      </c>
      <c r="G174" s="137">
        <v>0</v>
      </c>
      <c r="H174" s="138"/>
      <c r="I174" s="26">
        <v>0</v>
      </c>
      <c r="J174" s="135">
        <f t="shared" si="15"/>
        <v>0</v>
      </c>
      <c r="K174" s="136"/>
      <c r="L174" s="136"/>
    </row>
    <row r="175" spans="1:12" ht="15.75">
      <c r="A175" s="152" t="s">
        <v>46</v>
      </c>
      <c r="B175" s="152"/>
      <c r="C175" s="23">
        <v>0</v>
      </c>
      <c r="D175" s="24">
        <v>0</v>
      </c>
      <c r="E175" s="25">
        <f t="shared" si="18"/>
        <v>0</v>
      </c>
      <c r="F175" s="26">
        <v>0</v>
      </c>
      <c r="G175" s="137">
        <v>0</v>
      </c>
      <c r="H175" s="138"/>
      <c r="I175" s="26">
        <v>0</v>
      </c>
      <c r="J175" s="148">
        <f t="shared" si="15"/>
        <v>0</v>
      </c>
      <c r="K175" s="149"/>
      <c r="L175" s="149"/>
    </row>
    <row r="176" spans="1:12" ht="15.75">
      <c r="A176" s="152" t="s">
        <v>111</v>
      </c>
      <c r="B176" s="152"/>
      <c r="C176" s="23">
        <v>0</v>
      </c>
      <c r="D176" s="24">
        <v>0</v>
      </c>
      <c r="E176" s="25">
        <f t="shared" si="18"/>
        <v>0</v>
      </c>
      <c r="F176" s="26">
        <v>0</v>
      </c>
      <c r="G176" s="137">
        <v>0</v>
      </c>
      <c r="H176" s="138"/>
      <c r="I176" s="26">
        <v>0</v>
      </c>
      <c r="J176" s="148">
        <f t="shared" si="15"/>
        <v>0</v>
      </c>
      <c r="K176" s="149"/>
      <c r="L176" s="149"/>
    </row>
    <row r="177" spans="1:12" ht="15.75">
      <c r="A177" s="152" t="s">
        <v>112</v>
      </c>
      <c r="B177" s="152"/>
      <c r="C177" s="23">
        <v>0</v>
      </c>
      <c r="D177" s="24">
        <v>0</v>
      </c>
      <c r="E177" s="25">
        <f t="shared" si="18"/>
        <v>0</v>
      </c>
      <c r="F177" s="26">
        <v>0</v>
      </c>
      <c r="G177" s="137">
        <v>0</v>
      </c>
      <c r="H177" s="138"/>
      <c r="I177" s="26">
        <v>0</v>
      </c>
      <c r="J177" s="148">
        <f t="shared" si="15"/>
        <v>0</v>
      </c>
      <c r="K177" s="149"/>
      <c r="L177" s="149"/>
    </row>
    <row r="178" spans="1:12" ht="15.75">
      <c r="A178" s="152" t="s">
        <v>47</v>
      </c>
      <c r="B178" s="152"/>
      <c r="C178" s="23">
        <f>SUM(C179:C182)</f>
        <v>1280394761</v>
      </c>
      <c r="D178" s="24">
        <f>SUM(D179:D182)</f>
        <v>1280394761</v>
      </c>
      <c r="E178" s="25">
        <f>SUM(E179:E182)</f>
        <v>176601975</v>
      </c>
      <c r="F178" s="26">
        <f>(E178/D178)*100</f>
        <v>13.792775507927901</v>
      </c>
      <c r="G178" s="148">
        <f>SUM(G179:H182)</f>
        <v>279846765</v>
      </c>
      <c r="H178" s="150">
        <f>SUM(H179:H182)</f>
        <v>0</v>
      </c>
      <c r="I178" s="26">
        <f>(G178/D178)*100</f>
        <v>21.85628788276493</v>
      </c>
      <c r="J178" s="135">
        <f>D178-G178</f>
        <v>1000547996</v>
      </c>
      <c r="K178" s="136"/>
      <c r="L178" s="136"/>
    </row>
    <row r="179" spans="1:12" ht="15.75">
      <c r="A179" s="152" t="s">
        <v>104</v>
      </c>
      <c r="B179" s="152"/>
      <c r="C179" s="23">
        <v>0</v>
      </c>
      <c r="D179" s="24">
        <v>0</v>
      </c>
      <c r="E179" s="25">
        <f>G179-8161</f>
        <v>642</v>
      </c>
      <c r="F179" s="26">
        <v>0</v>
      </c>
      <c r="G179" s="137">
        <v>8803</v>
      </c>
      <c r="H179" s="138"/>
      <c r="I179" s="26">
        <v>0</v>
      </c>
      <c r="J179" s="135">
        <f>D179-G179</f>
        <v>-8803</v>
      </c>
      <c r="K179" s="136"/>
      <c r="L179" s="136"/>
    </row>
    <row r="180" spans="1:12" ht="15.75">
      <c r="A180" s="152" t="s">
        <v>105</v>
      </c>
      <c r="B180" s="152"/>
      <c r="C180" s="23">
        <v>1224401781</v>
      </c>
      <c r="D180" s="24">
        <v>1224401781</v>
      </c>
      <c r="E180" s="25">
        <f>G180-103236629</f>
        <v>91700166</v>
      </c>
      <c r="F180" s="26">
        <f>(E180/D180)*100</f>
        <v>7.489385218396705</v>
      </c>
      <c r="G180" s="148">
        <v>194936795</v>
      </c>
      <c r="H180" s="150"/>
      <c r="I180" s="26">
        <f>(G180/D180)*100</f>
        <v>15.920982640256383</v>
      </c>
      <c r="J180" s="135">
        <f>D180-G180</f>
        <v>1029464986</v>
      </c>
      <c r="K180" s="136"/>
      <c r="L180" s="136"/>
    </row>
    <row r="181" spans="1:12" ht="15.75">
      <c r="A181" s="152" t="s">
        <v>106</v>
      </c>
      <c r="B181" s="152"/>
      <c r="C181" s="23">
        <v>0</v>
      </c>
      <c r="D181" s="29">
        <v>0</v>
      </c>
      <c r="E181" s="25">
        <f>G181-0</f>
        <v>0</v>
      </c>
      <c r="F181" s="26">
        <v>0</v>
      </c>
      <c r="G181" s="137">
        <v>0</v>
      </c>
      <c r="H181" s="138"/>
      <c r="I181" s="26">
        <v>0</v>
      </c>
      <c r="J181" s="135">
        <f>D181-G181</f>
        <v>0</v>
      </c>
      <c r="K181" s="136"/>
      <c r="L181" s="136"/>
    </row>
    <row r="182" spans="1:12" ht="15" customHeight="1">
      <c r="A182" s="152" t="s">
        <v>107</v>
      </c>
      <c r="B182" s="152"/>
      <c r="C182" s="23">
        <v>55992980</v>
      </c>
      <c r="D182" s="126">
        <v>55992980</v>
      </c>
      <c r="E182" s="25">
        <f>G182-0</f>
        <v>84901167</v>
      </c>
      <c r="F182" s="26">
        <f>(E182/D182)*100</f>
        <v>151.62823446796367</v>
      </c>
      <c r="G182" s="137">
        <v>84901167</v>
      </c>
      <c r="H182" s="138"/>
      <c r="I182" s="26">
        <f>(G182/D182)*100</f>
        <v>151.62823446796367</v>
      </c>
      <c r="J182" s="135">
        <f>D182-G182</f>
        <v>-28908187</v>
      </c>
      <c r="K182" s="136"/>
      <c r="L182" s="136"/>
    </row>
    <row r="183" spans="1:12" ht="15.75">
      <c r="A183" s="177" t="s">
        <v>48</v>
      </c>
      <c r="B183" s="177"/>
      <c r="C183" s="19">
        <f>C184+C187+C191+C192+C201</f>
        <v>0</v>
      </c>
      <c r="D183" s="20">
        <f>D184+D187+D191+D192+D201</f>
        <v>138960</v>
      </c>
      <c r="E183" s="16">
        <f>E184+E187+E191+E192+E201</f>
        <v>22588</v>
      </c>
      <c r="F183" s="21">
        <f>(E183/D183)*100</f>
        <v>16.25503742084053</v>
      </c>
      <c r="G183" s="155">
        <f>G184+G187+G191+G192+G201</f>
        <v>62031</v>
      </c>
      <c r="H183" s="156"/>
      <c r="I183" s="21">
        <f>(G183/D183)*100</f>
        <v>44.63946459412781</v>
      </c>
      <c r="J183" s="178">
        <f aca="true" t="shared" si="19" ref="J183:J200">D183-G183</f>
        <v>76929</v>
      </c>
      <c r="K183" s="179"/>
      <c r="L183" s="179"/>
    </row>
    <row r="184" spans="1:12" ht="15.75">
      <c r="A184" s="152" t="s">
        <v>49</v>
      </c>
      <c r="B184" s="152"/>
      <c r="C184" s="23">
        <f>C185+C186</f>
        <v>0</v>
      </c>
      <c r="D184" s="24">
        <f>D185+D186</f>
        <v>0</v>
      </c>
      <c r="E184" s="25">
        <f>E185+E186</f>
        <v>0</v>
      </c>
      <c r="F184" s="26">
        <v>0</v>
      </c>
      <c r="G184" s="137">
        <f>G185+G186</f>
        <v>0</v>
      </c>
      <c r="H184" s="138"/>
      <c r="I184" s="26">
        <v>0</v>
      </c>
      <c r="J184" s="135">
        <f t="shared" si="19"/>
        <v>0</v>
      </c>
      <c r="K184" s="136"/>
      <c r="L184" s="136"/>
    </row>
    <row r="185" spans="1:12" ht="15.75">
      <c r="A185" s="152" t="s">
        <v>127</v>
      </c>
      <c r="B185" s="152"/>
      <c r="C185" s="23">
        <v>0</v>
      </c>
      <c r="D185" s="24">
        <v>0</v>
      </c>
      <c r="E185" s="25">
        <f>G185-0</f>
        <v>0</v>
      </c>
      <c r="F185" s="26">
        <v>0</v>
      </c>
      <c r="G185" s="137">
        <v>0</v>
      </c>
      <c r="H185" s="138"/>
      <c r="I185" s="26">
        <v>0</v>
      </c>
      <c r="J185" s="135">
        <f t="shared" si="19"/>
        <v>0</v>
      </c>
      <c r="K185" s="136"/>
      <c r="L185" s="136"/>
    </row>
    <row r="186" spans="1:12" ht="15.75">
      <c r="A186" s="152" t="s">
        <v>128</v>
      </c>
      <c r="B186" s="152"/>
      <c r="C186" s="23">
        <v>0</v>
      </c>
      <c r="D186" s="24">
        <v>0</v>
      </c>
      <c r="E186" s="25">
        <f>G186-0</f>
        <v>0</v>
      </c>
      <c r="F186" s="26">
        <v>0</v>
      </c>
      <c r="G186" s="137">
        <v>0</v>
      </c>
      <c r="H186" s="138"/>
      <c r="I186" s="26">
        <v>0</v>
      </c>
      <c r="J186" s="135">
        <f t="shared" si="19"/>
        <v>0</v>
      </c>
      <c r="K186" s="136"/>
      <c r="L186" s="136"/>
    </row>
    <row r="187" spans="1:12" ht="15.75">
      <c r="A187" s="152" t="s">
        <v>50</v>
      </c>
      <c r="B187" s="152"/>
      <c r="C187" s="23">
        <f>C188+C189+C190</f>
        <v>0</v>
      </c>
      <c r="D187" s="24">
        <f>D188+D189+D190</f>
        <v>0</v>
      </c>
      <c r="E187" s="25">
        <f>E188+E189+E190</f>
        <v>0</v>
      </c>
      <c r="F187" s="26">
        <v>0</v>
      </c>
      <c r="G187" s="137">
        <f>SUM(G188:H190)</f>
        <v>0</v>
      </c>
      <c r="H187" s="138"/>
      <c r="I187" s="26">
        <v>0</v>
      </c>
      <c r="J187" s="135">
        <f t="shared" si="19"/>
        <v>0</v>
      </c>
      <c r="K187" s="136"/>
      <c r="L187" s="136"/>
    </row>
    <row r="188" spans="1:12" ht="15.75">
      <c r="A188" s="152" t="s">
        <v>51</v>
      </c>
      <c r="B188" s="152"/>
      <c r="C188" s="23">
        <v>0</v>
      </c>
      <c r="D188" s="24">
        <v>0</v>
      </c>
      <c r="E188" s="25">
        <f>G188-0</f>
        <v>0</v>
      </c>
      <c r="F188" s="26">
        <v>0</v>
      </c>
      <c r="G188" s="137">
        <v>0</v>
      </c>
      <c r="H188" s="138"/>
      <c r="I188" s="26">
        <v>0</v>
      </c>
      <c r="J188" s="135">
        <f t="shared" si="19"/>
        <v>0</v>
      </c>
      <c r="K188" s="136"/>
      <c r="L188" s="136"/>
    </row>
    <row r="189" spans="1:12" ht="15.75">
      <c r="A189" s="152" t="s">
        <v>52</v>
      </c>
      <c r="B189" s="152"/>
      <c r="C189" s="23">
        <v>0</v>
      </c>
      <c r="D189" s="24">
        <v>0</v>
      </c>
      <c r="E189" s="25">
        <f>G189-0</f>
        <v>0</v>
      </c>
      <c r="F189" s="26">
        <v>0</v>
      </c>
      <c r="G189" s="137">
        <v>0</v>
      </c>
      <c r="H189" s="138"/>
      <c r="I189" s="26">
        <v>0</v>
      </c>
      <c r="J189" s="135">
        <f t="shared" si="19"/>
        <v>0</v>
      </c>
      <c r="K189" s="136"/>
      <c r="L189" s="136"/>
    </row>
    <row r="190" spans="1:12" ht="15.75">
      <c r="A190" s="152" t="s">
        <v>129</v>
      </c>
      <c r="B190" s="152"/>
      <c r="C190" s="23">
        <v>0</v>
      </c>
      <c r="D190" s="24">
        <v>0</v>
      </c>
      <c r="E190" s="25">
        <f>G190-0</f>
        <v>0</v>
      </c>
      <c r="F190" s="26">
        <v>0</v>
      </c>
      <c r="G190" s="137">
        <v>0</v>
      </c>
      <c r="H190" s="138"/>
      <c r="I190" s="26">
        <v>0</v>
      </c>
      <c r="J190" s="148">
        <f t="shared" si="19"/>
        <v>0</v>
      </c>
      <c r="K190" s="149"/>
      <c r="L190" s="149"/>
    </row>
    <row r="191" spans="1:12" ht="15.75">
      <c r="A191" s="152" t="s">
        <v>53</v>
      </c>
      <c r="B191" s="152"/>
      <c r="C191" s="23">
        <v>0</v>
      </c>
      <c r="D191" s="24">
        <v>138960</v>
      </c>
      <c r="E191" s="25">
        <f>G191-39443</f>
        <v>22588</v>
      </c>
      <c r="F191" s="26">
        <f>(E191/D191)*100</f>
        <v>16.25503742084053</v>
      </c>
      <c r="G191" s="137">
        <v>62031</v>
      </c>
      <c r="H191" s="138"/>
      <c r="I191" s="26">
        <f>(G191/D191)*100</f>
        <v>44.63946459412781</v>
      </c>
      <c r="J191" s="135">
        <f t="shared" si="19"/>
        <v>76929</v>
      </c>
      <c r="K191" s="136"/>
      <c r="L191" s="136"/>
    </row>
    <row r="192" spans="1:12" ht="15.75">
      <c r="A192" s="152" t="s">
        <v>54</v>
      </c>
      <c r="B192" s="152"/>
      <c r="C192" s="23">
        <f>SUM(C193:C200)</f>
        <v>0</v>
      </c>
      <c r="D192" s="23">
        <f>SUM(D193:D200)</f>
        <v>0</v>
      </c>
      <c r="E192" s="25">
        <f>SUM(E193:E200)</f>
        <v>0</v>
      </c>
      <c r="F192" s="26">
        <v>0</v>
      </c>
      <c r="G192" s="137">
        <f>SUM(G193:H200)</f>
        <v>0</v>
      </c>
      <c r="H192" s="138">
        <f>SUM(H193:H200)</f>
        <v>0</v>
      </c>
      <c r="I192" s="26">
        <v>0</v>
      </c>
      <c r="J192" s="135">
        <f t="shared" si="19"/>
        <v>0</v>
      </c>
      <c r="K192" s="136"/>
      <c r="L192" s="136"/>
    </row>
    <row r="193" spans="1:12" ht="15.75">
      <c r="A193" s="152" t="s">
        <v>108</v>
      </c>
      <c r="B193" s="152"/>
      <c r="C193" s="23">
        <v>0</v>
      </c>
      <c r="D193" s="24">
        <v>0</v>
      </c>
      <c r="E193" s="25">
        <f aca="true" t="shared" si="20" ref="E193:E200">G193-0</f>
        <v>0</v>
      </c>
      <c r="F193" s="26">
        <v>0</v>
      </c>
      <c r="G193" s="137">
        <v>0</v>
      </c>
      <c r="H193" s="138"/>
      <c r="I193" s="26">
        <v>0</v>
      </c>
      <c r="J193" s="135">
        <f t="shared" si="19"/>
        <v>0</v>
      </c>
      <c r="K193" s="136"/>
      <c r="L193" s="136"/>
    </row>
    <row r="194" spans="1:12" ht="15.75">
      <c r="A194" s="152" t="s">
        <v>109</v>
      </c>
      <c r="B194" s="152"/>
      <c r="C194" s="23">
        <v>0</v>
      </c>
      <c r="D194" s="24">
        <v>0</v>
      </c>
      <c r="E194" s="25">
        <f t="shared" si="20"/>
        <v>0</v>
      </c>
      <c r="F194" s="26">
        <v>0</v>
      </c>
      <c r="G194" s="137">
        <v>0</v>
      </c>
      <c r="H194" s="138"/>
      <c r="I194" s="26">
        <v>0</v>
      </c>
      <c r="J194" s="135">
        <f t="shared" si="19"/>
        <v>0</v>
      </c>
      <c r="K194" s="136"/>
      <c r="L194" s="136"/>
    </row>
    <row r="195" spans="1:12" ht="15.75">
      <c r="A195" s="152" t="s">
        <v>110</v>
      </c>
      <c r="B195" s="152"/>
      <c r="C195" s="23">
        <v>0</v>
      </c>
      <c r="D195" s="24">
        <v>0</v>
      </c>
      <c r="E195" s="25">
        <f t="shared" si="20"/>
        <v>0</v>
      </c>
      <c r="F195" s="26">
        <v>0</v>
      </c>
      <c r="G195" s="137">
        <v>0</v>
      </c>
      <c r="H195" s="138"/>
      <c r="I195" s="26">
        <v>0</v>
      </c>
      <c r="J195" s="135">
        <f t="shared" si="19"/>
        <v>0</v>
      </c>
      <c r="K195" s="136"/>
      <c r="L195" s="136"/>
    </row>
    <row r="196" spans="1:12" ht="15.75">
      <c r="A196" s="152" t="s">
        <v>45</v>
      </c>
      <c r="B196" s="152"/>
      <c r="C196" s="23">
        <v>0</v>
      </c>
      <c r="D196" s="24">
        <v>0</v>
      </c>
      <c r="E196" s="25">
        <f t="shared" si="20"/>
        <v>0</v>
      </c>
      <c r="F196" s="26">
        <v>0</v>
      </c>
      <c r="G196" s="137">
        <v>0</v>
      </c>
      <c r="H196" s="138"/>
      <c r="I196" s="26">
        <v>0</v>
      </c>
      <c r="J196" s="135">
        <f t="shared" si="19"/>
        <v>0</v>
      </c>
      <c r="K196" s="136"/>
      <c r="L196" s="136"/>
    </row>
    <row r="197" spans="1:12" ht="15.75">
      <c r="A197" s="152" t="s">
        <v>91</v>
      </c>
      <c r="B197" s="152"/>
      <c r="C197" s="23">
        <v>0</v>
      </c>
      <c r="D197" s="24">
        <v>0</v>
      </c>
      <c r="E197" s="25">
        <f t="shared" si="20"/>
        <v>0</v>
      </c>
      <c r="F197" s="26">
        <v>0</v>
      </c>
      <c r="G197" s="137">
        <v>0</v>
      </c>
      <c r="H197" s="138"/>
      <c r="I197" s="26">
        <v>0</v>
      </c>
      <c r="J197" s="135">
        <f t="shared" si="19"/>
        <v>0</v>
      </c>
      <c r="K197" s="136"/>
      <c r="L197" s="136"/>
    </row>
    <row r="198" spans="1:12" ht="15.75">
      <c r="A198" s="152" t="s">
        <v>46</v>
      </c>
      <c r="B198" s="152"/>
      <c r="C198" s="23">
        <v>0</v>
      </c>
      <c r="D198" s="24">
        <v>0</v>
      </c>
      <c r="E198" s="25">
        <f t="shared" si="20"/>
        <v>0</v>
      </c>
      <c r="F198" s="26">
        <v>0</v>
      </c>
      <c r="G198" s="137">
        <v>0</v>
      </c>
      <c r="H198" s="138"/>
      <c r="I198" s="26">
        <v>0</v>
      </c>
      <c r="J198" s="135">
        <f t="shared" si="19"/>
        <v>0</v>
      </c>
      <c r="K198" s="136"/>
      <c r="L198" s="136"/>
    </row>
    <row r="199" spans="1:12" ht="15.75">
      <c r="A199" s="152" t="s">
        <v>111</v>
      </c>
      <c r="B199" s="152"/>
      <c r="C199" s="23">
        <v>0</v>
      </c>
      <c r="D199" s="24">
        <v>0</v>
      </c>
      <c r="E199" s="25">
        <f t="shared" si="20"/>
        <v>0</v>
      </c>
      <c r="F199" s="26">
        <v>0</v>
      </c>
      <c r="G199" s="137">
        <v>0</v>
      </c>
      <c r="H199" s="138"/>
      <c r="I199" s="26">
        <v>0</v>
      </c>
      <c r="J199" s="148">
        <f t="shared" si="19"/>
        <v>0</v>
      </c>
      <c r="K199" s="149"/>
      <c r="L199" s="149"/>
    </row>
    <row r="200" spans="1:12" ht="15.75">
      <c r="A200" s="152" t="s">
        <v>112</v>
      </c>
      <c r="B200" s="152"/>
      <c r="C200" s="23">
        <v>0</v>
      </c>
      <c r="D200" s="24">
        <v>0</v>
      </c>
      <c r="E200" s="25">
        <f t="shared" si="20"/>
        <v>0</v>
      </c>
      <c r="F200" s="26">
        <v>0</v>
      </c>
      <c r="G200" s="137">
        <v>0</v>
      </c>
      <c r="H200" s="138"/>
      <c r="I200" s="26">
        <v>0</v>
      </c>
      <c r="J200" s="148">
        <f t="shared" si="19"/>
        <v>0</v>
      </c>
      <c r="K200" s="149"/>
      <c r="L200" s="149"/>
    </row>
    <row r="201" spans="1:12" ht="15.75">
      <c r="A201" s="160" t="s">
        <v>55</v>
      </c>
      <c r="B201" s="152"/>
      <c r="C201" s="23">
        <f>SUM(C202:C205)</f>
        <v>0</v>
      </c>
      <c r="D201" s="24">
        <f>SUM(D202:D205)</f>
        <v>0</v>
      </c>
      <c r="E201" s="25">
        <f>SUM(E202:E205)</f>
        <v>0</v>
      </c>
      <c r="F201" s="26">
        <v>0</v>
      </c>
      <c r="G201" s="137">
        <f>SUM(G202:H205)</f>
        <v>0</v>
      </c>
      <c r="H201" s="138">
        <f>SUM(H203:H205)</f>
        <v>0</v>
      </c>
      <c r="I201" s="26">
        <v>0</v>
      </c>
      <c r="J201" s="135">
        <f>D201-G201</f>
        <v>0</v>
      </c>
      <c r="K201" s="136"/>
      <c r="L201" s="136"/>
    </row>
    <row r="202" spans="1:12" ht="15.75">
      <c r="A202" s="152" t="s">
        <v>130</v>
      </c>
      <c r="B202" s="152"/>
      <c r="C202" s="23">
        <v>0</v>
      </c>
      <c r="D202" s="24">
        <v>0</v>
      </c>
      <c r="E202" s="25">
        <f>G202-0</f>
        <v>0</v>
      </c>
      <c r="F202" s="26">
        <v>0</v>
      </c>
      <c r="G202" s="137">
        <v>0</v>
      </c>
      <c r="H202" s="138"/>
      <c r="I202" s="26">
        <v>0</v>
      </c>
      <c r="J202" s="135">
        <f>D202-G202</f>
        <v>0</v>
      </c>
      <c r="K202" s="136"/>
      <c r="L202" s="136"/>
    </row>
    <row r="203" spans="1:12" ht="15.75">
      <c r="A203" s="152" t="s">
        <v>131</v>
      </c>
      <c r="B203" s="152"/>
      <c r="C203" s="23">
        <v>0</v>
      </c>
      <c r="D203" s="24">
        <v>0</v>
      </c>
      <c r="E203" s="25">
        <f>G203-0</f>
        <v>0</v>
      </c>
      <c r="F203" s="26">
        <v>0</v>
      </c>
      <c r="G203" s="137">
        <v>0</v>
      </c>
      <c r="H203" s="138"/>
      <c r="I203" s="26">
        <v>0</v>
      </c>
      <c r="J203" s="135">
        <f>D203-G203</f>
        <v>0</v>
      </c>
      <c r="K203" s="136"/>
      <c r="L203" s="136"/>
    </row>
    <row r="204" spans="1:12" ht="15.75">
      <c r="A204" s="152" t="s">
        <v>132</v>
      </c>
      <c r="B204" s="152"/>
      <c r="C204" s="23">
        <v>0</v>
      </c>
      <c r="D204" s="24">
        <v>0</v>
      </c>
      <c r="E204" s="25">
        <f>G204-0</f>
        <v>0</v>
      </c>
      <c r="F204" s="26">
        <v>0</v>
      </c>
      <c r="G204" s="137">
        <v>0</v>
      </c>
      <c r="H204" s="138"/>
      <c r="I204" s="26">
        <v>0</v>
      </c>
      <c r="J204" s="135">
        <f>D204-G204</f>
        <v>0</v>
      </c>
      <c r="K204" s="136"/>
      <c r="L204" s="136"/>
    </row>
    <row r="205" spans="1:12" ht="15.75">
      <c r="A205" s="151" t="s">
        <v>133</v>
      </c>
      <c r="B205" s="151"/>
      <c r="C205" s="90">
        <v>0</v>
      </c>
      <c r="D205" s="37">
        <v>0</v>
      </c>
      <c r="E205" s="36">
        <f>G205-0</f>
        <v>0</v>
      </c>
      <c r="F205" s="38">
        <v>0</v>
      </c>
      <c r="G205" s="161">
        <v>0</v>
      </c>
      <c r="H205" s="162"/>
      <c r="I205" s="38">
        <v>0</v>
      </c>
      <c r="J205" s="153">
        <f>D205-G205</f>
        <v>0</v>
      </c>
      <c r="K205" s="154"/>
      <c r="L205" s="154"/>
    </row>
    <row r="206" spans="1:12" ht="15.75" customHeight="1">
      <c r="A206" s="77"/>
      <c r="B206" s="78"/>
      <c r="C206" s="78"/>
      <c r="D206" s="79"/>
      <c r="E206" s="108"/>
      <c r="F206" s="78"/>
      <c r="G206" s="108"/>
      <c r="H206" s="134"/>
      <c r="I206" s="134"/>
      <c r="J206" s="80"/>
      <c r="K206" s="134"/>
      <c r="L206" s="134"/>
    </row>
    <row r="207" spans="1:12" ht="15.75">
      <c r="A207" s="163" t="s">
        <v>18</v>
      </c>
      <c r="B207" s="109" t="s">
        <v>15</v>
      </c>
      <c r="C207" s="109" t="s">
        <v>15</v>
      </c>
      <c r="D207" s="157" t="s">
        <v>16</v>
      </c>
      <c r="E207" s="158"/>
      <c r="F207" s="110" t="s">
        <v>73</v>
      </c>
      <c r="G207" s="157" t="s">
        <v>17</v>
      </c>
      <c r="H207" s="158"/>
      <c r="I207" s="159"/>
      <c r="J207" s="111" t="s">
        <v>73</v>
      </c>
      <c r="K207" s="139" t="s">
        <v>78</v>
      </c>
      <c r="L207" s="140"/>
    </row>
    <row r="208" spans="1:12" ht="15.75">
      <c r="A208" s="164"/>
      <c r="B208" s="112" t="s">
        <v>5</v>
      </c>
      <c r="C208" s="112" t="s">
        <v>6</v>
      </c>
      <c r="D208" s="113" t="s">
        <v>79</v>
      </c>
      <c r="E208" s="113" t="s">
        <v>80</v>
      </c>
      <c r="F208" s="114"/>
      <c r="G208" s="113" t="s">
        <v>79</v>
      </c>
      <c r="H208" s="143" t="s">
        <v>80</v>
      </c>
      <c r="I208" s="144"/>
      <c r="J208" s="115"/>
      <c r="K208" s="141"/>
      <c r="L208" s="142"/>
    </row>
    <row r="209" spans="1:12" ht="15.75">
      <c r="A209" s="164"/>
      <c r="B209" s="112"/>
      <c r="C209" s="112"/>
      <c r="D209" s="114" t="s">
        <v>81</v>
      </c>
      <c r="E209" s="114" t="s">
        <v>81</v>
      </c>
      <c r="F209" s="114"/>
      <c r="G209" s="114" t="s">
        <v>81</v>
      </c>
      <c r="H209" s="145" t="s">
        <v>81</v>
      </c>
      <c r="I209" s="146"/>
      <c r="J209" s="115"/>
      <c r="K209" s="141"/>
      <c r="L209" s="142"/>
    </row>
    <row r="210" spans="1:12" ht="15.75">
      <c r="A210" s="165"/>
      <c r="B210" s="116" t="s">
        <v>19</v>
      </c>
      <c r="C210" s="116" t="s">
        <v>20</v>
      </c>
      <c r="D210" s="116"/>
      <c r="E210" s="116" t="s">
        <v>82</v>
      </c>
      <c r="F210" s="117" t="s">
        <v>83</v>
      </c>
      <c r="G210" s="116"/>
      <c r="H210" s="174" t="s">
        <v>21</v>
      </c>
      <c r="I210" s="175"/>
      <c r="J210" s="118" t="s">
        <v>84</v>
      </c>
      <c r="K210" s="174" t="s">
        <v>22</v>
      </c>
      <c r="L210" s="176"/>
    </row>
    <row r="211" spans="1:12" s="3" customFormat="1" ht="15.75">
      <c r="A211" s="57" t="s">
        <v>68</v>
      </c>
      <c r="B211" s="56">
        <f>B212+B216</f>
        <v>6040339444</v>
      </c>
      <c r="C211" s="56">
        <f>C212+C216</f>
        <v>6473429244</v>
      </c>
      <c r="D211" s="56">
        <f>D212+D216</f>
        <v>842367519</v>
      </c>
      <c r="E211" s="56">
        <f>E212+E216</f>
        <v>1801057059</v>
      </c>
      <c r="F211" s="56">
        <f>C211-E211</f>
        <v>4672372185</v>
      </c>
      <c r="G211" s="56">
        <f>G212+G216</f>
        <v>936430965</v>
      </c>
      <c r="H211" s="171">
        <f>H212+H216</f>
        <v>1597531151</v>
      </c>
      <c r="I211" s="172"/>
      <c r="J211" s="20">
        <f aca="true" t="shared" si="21" ref="J211:J217">C211-H211</f>
        <v>4875898093</v>
      </c>
      <c r="K211" s="171">
        <f>K212+K216</f>
        <v>973685621</v>
      </c>
      <c r="L211" s="173"/>
    </row>
    <row r="212" spans="1:12" s="3" customFormat="1" ht="15.75">
      <c r="A212" s="57" t="s">
        <v>59</v>
      </c>
      <c r="B212" s="56">
        <f>SUM(B213:B215)</f>
        <v>6040098064</v>
      </c>
      <c r="C212" s="56">
        <f>SUM(C213:C215)</f>
        <v>6473187864</v>
      </c>
      <c r="D212" s="56">
        <f>SUM(D213:D215)</f>
        <v>842326359</v>
      </c>
      <c r="E212" s="56">
        <f>SUM(E213:E215)</f>
        <v>1800996429</v>
      </c>
      <c r="F212" s="56">
        <f aca="true" t="shared" si="22" ref="F212:F219">C212-E212</f>
        <v>4672191435</v>
      </c>
      <c r="G212" s="56">
        <f>SUM(G213:G215)</f>
        <v>936430965</v>
      </c>
      <c r="H212" s="171">
        <f>SUM(H213:I215)</f>
        <v>1597511681</v>
      </c>
      <c r="I212" s="172">
        <f>SUM(I213:I215)</f>
        <v>0</v>
      </c>
      <c r="J212" s="20">
        <f t="shared" si="21"/>
        <v>4875676183</v>
      </c>
      <c r="K212" s="171">
        <f>SUM(K213:L215)</f>
        <v>973666151</v>
      </c>
      <c r="L212" s="173"/>
    </row>
    <row r="213" spans="1:12" s="3" customFormat="1" ht="15.75" customHeight="1">
      <c r="A213" s="58" t="s">
        <v>60</v>
      </c>
      <c r="B213" s="59">
        <v>4098276006</v>
      </c>
      <c r="C213" s="59">
        <v>4149754523</v>
      </c>
      <c r="D213" s="59">
        <f>E213-783195498</f>
        <v>337289951</v>
      </c>
      <c r="E213" s="59">
        <v>1120485449</v>
      </c>
      <c r="F213" s="59">
        <f t="shared" si="22"/>
        <v>3029269074</v>
      </c>
      <c r="G213" s="59">
        <f>H213-533895775</f>
        <v>394947701</v>
      </c>
      <c r="H213" s="148">
        <v>928843476</v>
      </c>
      <c r="I213" s="150"/>
      <c r="J213" s="24">
        <f t="shared" si="21"/>
        <v>3220911047</v>
      </c>
      <c r="K213" s="148">
        <v>636134849</v>
      </c>
      <c r="L213" s="149"/>
    </row>
    <row r="214" spans="1:12" s="3" customFormat="1" ht="15.75" customHeight="1">
      <c r="A214" s="122" t="s">
        <v>145</v>
      </c>
      <c r="B214" s="59">
        <v>0</v>
      </c>
      <c r="C214" s="59">
        <v>0</v>
      </c>
      <c r="D214" s="59">
        <v>0</v>
      </c>
      <c r="E214" s="59">
        <v>0</v>
      </c>
      <c r="F214" s="59">
        <f t="shared" si="22"/>
        <v>0</v>
      </c>
      <c r="G214" s="59">
        <f>H214-0</f>
        <v>0</v>
      </c>
      <c r="H214" s="148">
        <v>0</v>
      </c>
      <c r="I214" s="150"/>
      <c r="J214" s="24">
        <f t="shared" si="21"/>
        <v>0</v>
      </c>
      <c r="K214" s="148">
        <v>0</v>
      </c>
      <c r="L214" s="149"/>
    </row>
    <row r="215" spans="1:12" s="3" customFormat="1" ht="15.75" customHeight="1">
      <c r="A215" s="58" t="s">
        <v>62</v>
      </c>
      <c r="B215" s="59">
        <v>1941822058</v>
      </c>
      <c r="C215" s="59">
        <v>2323433341</v>
      </c>
      <c r="D215" s="59">
        <f>E215-175474572</f>
        <v>505036408</v>
      </c>
      <c r="E215" s="59">
        <v>680510980</v>
      </c>
      <c r="F215" s="59">
        <f t="shared" si="22"/>
        <v>1642922361</v>
      </c>
      <c r="G215" s="59">
        <f>H215-127184941</f>
        <v>541483264</v>
      </c>
      <c r="H215" s="148">
        <v>668668205</v>
      </c>
      <c r="I215" s="150"/>
      <c r="J215" s="24">
        <f t="shared" si="21"/>
        <v>1654765136</v>
      </c>
      <c r="K215" s="148">
        <v>337531302</v>
      </c>
      <c r="L215" s="149"/>
    </row>
    <row r="216" spans="1:12" s="3" customFormat="1" ht="15.75" customHeight="1">
      <c r="A216" s="57" t="s">
        <v>63</v>
      </c>
      <c r="B216" s="56">
        <f>B217+B218+B219</f>
        <v>241380</v>
      </c>
      <c r="C216" s="56">
        <f>C217+C218+C219</f>
        <v>241380</v>
      </c>
      <c r="D216" s="56">
        <f>D217+D218+D219</f>
        <v>41160</v>
      </c>
      <c r="E216" s="56">
        <f>E217+E218+E219</f>
        <v>60630</v>
      </c>
      <c r="F216" s="56">
        <f t="shared" si="22"/>
        <v>180750</v>
      </c>
      <c r="G216" s="56">
        <f>G217+G218+G219</f>
        <v>0</v>
      </c>
      <c r="H216" s="171">
        <f>H217+H218+H219</f>
        <v>19470</v>
      </c>
      <c r="I216" s="172">
        <f>I217+H218+I219</f>
        <v>0</v>
      </c>
      <c r="J216" s="20">
        <f t="shared" si="21"/>
        <v>221910</v>
      </c>
      <c r="K216" s="171">
        <f>K217+K218+K219</f>
        <v>19470</v>
      </c>
      <c r="L216" s="173"/>
    </row>
    <row r="217" spans="1:12" s="3" customFormat="1" ht="15.75" customHeight="1">
      <c r="A217" s="58" t="s">
        <v>64</v>
      </c>
      <c r="B217" s="59">
        <v>0</v>
      </c>
      <c r="C217" s="59"/>
      <c r="D217" s="59">
        <f>E217-0</f>
        <v>0</v>
      </c>
      <c r="E217" s="59">
        <v>0</v>
      </c>
      <c r="F217" s="59">
        <f t="shared" si="22"/>
        <v>0</v>
      </c>
      <c r="G217" s="24">
        <f>H217-0</f>
        <v>0</v>
      </c>
      <c r="H217" s="149">
        <v>0</v>
      </c>
      <c r="I217" s="150"/>
      <c r="J217" s="24">
        <f t="shared" si="21"/>
        <v>0</v>
      </c>
      <c r="K217" s="149">
        <v>0</v>
      </c>
      <c r="L217" s="149"/>
    </row>
    <row r="218" spans="1:12" s="3" customFormat="1" ht="15.75" customHeight="1">
      <c r="A218" s="58" t="s">
        <v>65</v>
      </c>
      <c r="B218" s="59">
        <v>0</v>
      </c>
      <c r="C218" s="59"/>
      <c r="D218" s="59">
        <f>E218-0</f>
        <v>0</v>
      </c>
      <c r="E218" s="59">
        <v>0</v>
      </c>
      <c r="F218" s="59">
        <f t="shared" si="22"/>
        <v>0</v>
      </c>
      <c r="G218" s="24">
        <f>H218-0</f>
        <v>0</v>
      </c>
      <c r="H218" s="148">
        <v>0</v>
      </c>
      <c r="I218" s="150"/>
      <c r="J218" s="24">
        <v>0</v>
      </c>
      <c r="K218" s="148">
        <v>0</v>
      </c>
      <c r="L218" s="149"/>
    </row>
    <row r="219" spans="1:12" s="3" customFormat="1" ht="15.75" customHeight="1">
      <c r="A219" s="91" t="s">
        <v>66</v>
      </c>
      <c r="B219" s="70">
        <v>241380</v>
      </c>
      <c r="C219" s="70">
        <v>241380</v>
      </c>
      <c r="D219" s="70">
        <f>E219-19470</f>
        <v>41160</v>
      </c>
      <c r="E219" s="127">
        <v>60630</v>
      </c>
      <c r="F219" s="70">
        <f t="shared" si="22"/>
        <v>180750</v>
      </c>
      <c r="G219" s="70">
        <f>H219-19470</f>
        <v>0</v>
      </c>
      <c r="H219" s="168">
        <v>19470</v>
      </c>
      <c r="I219" s="169"/>
      <c r="J219" s="37">
        <f>C219-H219</f>
        <v>221910</v>
      </c>
      <c r="K219" s="168">
        <v>19470</v>
      </c>
      <c r="L219" s="170"/>
    </row>
    <row r="220" spans="1:12" s="3" customFormat="1" ht="15.75">
      <c r="A220" s="119" t="s">
        <v>140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3" t="s">
        <v>102</v>
      </c>
    </row>
    <row r="221" spans="1:12" s="3" customFormat="1" ht="15.75" customHeight="1">
      <c r="A221" s="99" t="s">
        <v>144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123"/>
    </row>
    <row r="222" spans="1:12" s="3" customFormat="1" ht="15.75" customHeight="1">
      <c r="A222" s="129" t="s">
        <v>147</v>
      </c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1"/>
    </row>
    <row r="223" spans="1:17" s="3" customFormat="1" ht="15.75" customHeight="1">
      <c r="A223" s="147" t="s">
        <v>146</v>
      </c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7"/>
      <c r="N223" s="256"/>
      <c r="O223" s="256"/>
      <c r="P223" s="256"/>
      <c r="Q223" s="256"/>
    </row>
    <row r="224" spans="1:12" s="3" customFormat="1" ht="15.75">
      <c r="A224" s="252" t="s">
        <v>93</v>
      </c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</row>
    <row r="225" spans="1:12" s="3" customFormat="1" ht="15.75" customHeight="1">
      <c r="A225" s="99" t="s">
        <v>94</v>
      </c>
      <c r="B225" s="99"/>
      <c r="C225" s="120"/>
      <c r="D225" s="99"/>
      <c r="E225" s="121"/>
      <c r="F225" s="99"/>
      <c r="G225" s="121"/>
      <c r="H225" s="99"/>
      <c r="I225" s="99"/>
      <c r="J225" s="99"/>
      <c r="K225" s="99"/>
      <c r="L225" s="99"/>
    </row>
    <row r="226" spans="1:12" s="3" customFormat="1" ht="15.75" customHeight="1">
      <c r="A226" s="94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1:13" s="3" customFormat="1" ht="15.75" customHeight="1">
      <c r="A227" s="96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</row>
    <row r="228" spans="1:12" s="3" customFormat="1" ht="15.75" customHeight="1">
      <c r="A228" s="98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1:12" s="3" customFormat="1" ht="15.75" customHeight="1">
      <c r="A229" s="98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1:12" s="3" customFormat="1" ht="15.75" customHeight="1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1:12" s="3" customFormat="1" ht="15.75" customHeight="1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1:12" s="3" customFormat="1" ht="15.75" customHeight="1">
      <c r="A232" s="250" t="s">
        <v>103</v>
      </c>
      <c r="B232" s="250"/>
      <c r="C232" s="250" t="s">
        <v>97</v>
      </c>
      <c r="D232" s="250"/>
      <c r="E232" s="250"/>
      <c r="F232" s="250"/>
      <c r="G232" s="251" t="s">
        <v>137</v>
      </c>
      <c r="H232" s="251"/>
      <c r="I232" s="251"/>
      <c r="J232" s="251"/>
      <c r="K232" s="251"/>
      <c r="L232" s="94"/>
    </row>
    <row r="233" spans="1:12" s="3" customFormat="1" ht="15.75" customHeight="1">
      <c r="A233" s="250" t="s">
        <v>96</v>
      </c>
      <c r="B233" s="250"/>
      <c r="C233" s="250" t="s">
        <v>98</v>
      </c>
      <c r="D233" s="250"/>
      <c r="E233" s="250"/>
      <c r="F233" s="250"/>
      <c r="G233" s="251" t="s">
        <v>138</v>
      </c>
      <c r="H233" s="251"/>
      <c r="I233" s="251"/>
      <c r="J233" s="251"/>
      <c r="K233" s="251"/>
      <c r="L233" s="94"/>
    </row>
    <row r="234" spans="1:12" s="3" customFormat="1" ht="15.75" customHeight="1">
      <c r="A234" s="250" t="s">
        <v>95</v>
      </c>
      <c r="B234" s="250"/>
      <c r="C234" s="250" t="s">
        <v>99</v>
      </c>
      <c r="D234" s="250"/>
      <c r="E234" s="250"/>
      <c r="F234" s="250"/>
      <c r="G234" s="251" t="s">
        <v>139</v>
      </c>
      <c r="H234" s="251"/>
      <c r="I234" s="251"/>
      <c r="J234" s="251"/>
      <c r="K234" s="251"/>
      <c r="L234" s="94"/>
    </row>
    <row r="235" spans="1:12" ht="15.75" customHeight="1">
      <c r="A235" s="99"/>
      <c r="B235" s="99"/>
      <c r="C235" s="99"/>
      <c r="D235" s="99"/>
      <c r="E235" s="99"/>
      <c r="F235" s="99"/>
      <c r="G235" s="100"/>
      <c r="H235" s="100"/>
      <c r="I235" s="100"/>
      <c r="J235" s="100"/>
      <c r="K235" s="100"/>
      <c r="L235" s="99"/>
    </row>
    <row r="236" spans="1:12" ht="11.25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1:12" ht="11.25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1:12" ht="11.25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1:12" ht="11.25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1:12" ht="11.25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1:12" ht="11.25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1:12" ht="11.25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1:12" ht="11.2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1:12" ht="11.2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1:12" ht="11.2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1:12" ht="11.2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</sheetData>
  <sheetProtection/>
  <mergeCells count="554"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G67:H67"/>
    <mergeCell ref="J70:L70"/>
    <mergeCell ref="G73:H73"/>
    <mergeCell ref="J71:L71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J160:L160"/>
    <mergeCell ref="A161:B161"/>
    <mergeCell ref="G161:H161"/>
    <mergeCell ref="J162:L162"/>
    <mergeCell ref="A162:B162"/>
    <mergeCell ref="J161:L161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N223:Q223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3:L223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7" r:id="rId2"/>
  <rowBreaks count="1" manualBreakCount="1">
    <brk id="126" max="11" man="1"/>
  </rowBreaks>
  <ignoredErrors>
    <ignoredError sqref="F114:F116 J114:J116 J101 F119:G119 J119 F101:F103 F215:F216 F211:F213 E28 E23 E192 E187 E178 E153 E148 E38 E201 D119 D216:E216 G216 E44 E53 E58 E163 E169 E67 E82 F91 H90 H92 G91:H91 E62 E51 E71 D111 G111 E166 J91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E76 F142:F143 F17:F21 F44:F45 F81:F82 F74 F67:F68 F61:F64 F90 F183 F58:F59 F92" formula="1" formulaRange="1"/>
    <ignoredError sqref="I142 I17:I19 F35:F43 F66 F148:F149 F163:F164 I143 I82 I20 I90:I92 F153:F154 F168:F169 F166 F171 F182 F180 F178 F191 I182 I178 I171 I168:I169 I166 I153:I154 I148:I149 I163:I164 I180 I183 F23:F24 F47:F49 F60 F76 I21 I191 F28:F32 F51 F53:F57 F80 I23:I24 I28:I32 I35:I45 I47:I49 I51 I53:I64 I66:I68 I74 I76 I80:I81" evalError="1"/>
    <ignoredError sqref="F142:F143 F17:F21 F44:F45 F81:F82 F74 F67:F68 F61:F64 F90 F183 F58:F59 F9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2020-03-19T19:22:11Z</cp:lastPrinted>
  <dcterms:created xsi:type="dcterms:W3CDTF">2005-03-07T15:54:32Z</dcterms:created>
  <dcterms:modified xsi:type="dcterms:W3CDTF">2020-05-29T20:23:23Z</dcterms:modified>
  <cp:category/>
  <cp:version/>
  <cp:contentType/>
  <cp:contentStatus/>
</cp:coreProperties>
</file>