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730" windowHeight="11160" tabRatio="919" firstSheet="1" activeTab="1"/>
  </bookViews>
  <sheets>
    <sheet name="Anexo 1 - BO resumo" sheetId="1" state="hidden" r:id="rId1"/>
    <sheet name="Anexo 8 - MDE Estados-Novo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8 - MDE Estados-Novo'!$A$1:$K$265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<sst xmlns="http://schemas.openxmlformats.org/spreadsheetml/2006/main" count="500" uniqueCount="360">
  <si>
    <t>Tabela 1 - Balanço Orçamentário</t>
  </si>
  <si>
    <t>&lt;ENTE DA FEDERAÇÃO&gt;</t>
  </si>
  <si>
    <t>RELATÓRIO RESUMIDO DA EXECUÇÃO ORÇAMENTÁRIA</t>
  </si>
  <si>
    <t>BALANÇO ORÇAMENTÁRIO</t>
  </si>
  <si>
    <t>ORÇAMENTOS FISCAL E DA SEGURIDADE SOCIAL</t>
  </si>
  <si>
    <t>&lt;PERÍODO DE REFERÊNCIA PADRÃO&gt;</t>
  </si>
  <si>
    <t>RREO - Anexo 1 (LRF, Art. 52, inciso I, alíneas "a" e "b" do inciso II e §1º)</t>
  </si>
  <si>
    <t>Em Reais</t>
  </si>
  <si>
    <t>PREVISÃO INICIAL</t>
  </si>
  <si>
    <t>PREVISÃO ATUALIZADA</t>
  </si>
  <si>
    <t>RECEITAS REALIZADAS</t>
  </si>
  <si>
    <t>SALDO</t>
  </si>
  <si>
    <t>RECEITAS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</si>
  <si>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</si>
  <si>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</si>
  <si>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</si>
  <si>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</si>
  <si>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</si>
  <si>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</si>
  <si>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</si>
  <si>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</si>
  <si>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</si>
  <si>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</si>
  <si>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</si>
  <si>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</si>
  <si>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</si>
  <si>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CONTRIBUIÇÕES</t>
  </si>
  <si>
    <t xml:space="preserve">            Contribuições Sociais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</si>
  <si>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</si>
  <si>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</si>
  <si>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</si>
  <si>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</si>
  <si>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</si>
  <si>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</si>
  <si>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</si>
  <si>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</si>
  <si>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</si>
  <si>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</si>
  <si>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</si>
  <si>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</si>
  <si>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</si>
  <si>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</si>
  <si>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</si>
  <si>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</si>
  <si>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</si>
  <si>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</si>
  <si>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</si>
  <si>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</si>
  <si>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</si>
  <si>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</si>
  <si>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</si>
  <si>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</si>
  <si>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</si>
  <si>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</si>
  <si>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</si>
  <si>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</si>
  <si>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</si>
  <si>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</si>
  <si>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</si>
  <si>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</si>
  <si>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- Mercado Interno</t>
  </si>
  <si>
    <t xml:space="preserve">            Operações de Crédito -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</si>
  <si>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</si>
  <si>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</si>
  <si>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</si>
  <si>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</si>
  <si>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</si>
  <si>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</si>
  <si>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</si>
  <si>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</si>
  <si>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</si>
  <si>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</si>
  <si>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</si>
  <si>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>RECEITAS (INTRA-ORÇAMENTÁRIAS) (II)</t>
  </si>
  <si>
    <t>SUBTOTAL DAS RECEITAS (III) = (I + II)</t>
  </si>
  <si>
    <t>OPERAÇÕES DE CRÉDITO / REFINANCIAMENTO  (IV)</t>
  </si>
  <si>
    <t xml:space="preserve">    Operações de Crédito - Mercado Interno</t>
  </si>
  <si>
    <t xml:space="preserve">        Mobiliária</t>
  </si>
  <si>
    <t xml:space="preserve">        Contratual</t>
  </si>
  <si>
    <t xml:space="preserve">    Operações de Crédito - Mercado Externo</t>
  </si>
  <si>
    <t>TOTAL DAS RECEITAS (V) = (III + IV)</t>
  </si>
  <si>
    <r>
      <t>DÉFICIT (VI)</t>
    </r>
    <r>
      <rPr>
        <vertAlign val="superscript"/>
        <sz val="10"/>
        <rFont val="Times New Roman"/>
        <family val="1"/>
      </rPr>
      <t>1</t>
    </r>
  </si>
  <si>
    <t>TOTAL COM DÉFICIT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</si>
  <si>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</si>
  <si>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</si>
  <si>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</si>
  <si>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</t>
  </si>
  <si>
    <t>DESPESAS EMPENHADAS</t>
  </si>
  <si>
    <t>DESPESAS LIQUIDADAS</t>
  </si>
  <si>
    <t>DESPESAS PAGAS ATÉ O BIMESTRE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</si>
  <si>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</si>
  <si>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t>DESPESAS</t>
  </si>
  <si>
    <t>INICIAL</t>
  </si>
  <si>
    <t>ATUALIZADA</t>
  </si>
  <si>
    <t xml:space="preserve">No </t>
  </si>
  <si>
    <t xml:space="preserve">Até o </t>
  </si>
  <si>
    <t>Bimestre</t>
  </si>
  <si>
    <t>(d)</t>
  </si>
  <si>
    <t>(e)</t>
  </si>
  <si>
    <t>(f)</t>
  </si>
  <si>
    <t xml:space="preserve">(g) = (e-f) </t>
  </si>
  <si>
    <t>(h)</t>
  </si>
  <si>
    <t>(i) = (e-h)</t>
  </si>
  <si>
    <t>(j)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</si>
  <si>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</si>
  <si>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</si>
  <si>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</si>
  <si>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</si>
  <si>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</si>
  <si>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</si>
  <si>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</si>
  <si>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</si>
  <si>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DESPESAS (INTRA-ORÇAMENTÁRIAS) (IX)</t>
  </si>
  <si>
    <t>TOTAL DAS DESPESAS (XII) = (X + XI)</t>
  </si>
  <si>
    <t>SUPERÁVIT (XIII)</t>
  </si>
  <si>
    <t>TOTAL COM SUPERÁVIT (XIV) = (XII + XIII)</t>
  </si>
  <si>
    <t>RESERVA DO RPPS</t>
  </si>
  <si>
    <t>FONTE: Sistema &lt;sistema&gt;, Unidade Responsável: &lt;Unidade Responsável&gt;. Emissão: &lt;dd/mm/aaaa&gt;, às &lt;hh:mm:ss&gt;. Assinado Digitalmente no dia &lt;dd/mm/aaaa&gt;, às &lt;hh:mm:ss&gt;.</t>
  </si>
  <si>
    <t>1 O déficit será apurado pela diferença entre a receita realizada e a despesa liquidada nos cinco primeiros bimestres e a despesa empenhada no último bimestre.</t>
  </si>
  <si>
    <t>2 Essa linha será apresentada somente no Demonstrativo aplicado aos Estados.</t>
  </si>
  <si>
    <t>NOTA:</t>
  </si>
  <si>
    <t>RECEITAS INTRA-ORÇAMENTÁRIAS</t>
  </si>
  <si>
    <t xml:space="preserve">        IMPOSTOS, TAXAS E CONTRIBUIÇÕES DE MELHORIA</t>
  </si>
  <si>
    <t xml:space="preserve">            Delegação de Serviços Públicos Mediante Concessão, Permissão, Autorização ou Licença</t>
  </si>
  <si>
    <t xml:space="preserve">            Cessão de Direitos</t>
  </si>
  <si>
    <t xml:space="preserve">            Demais Receitas Patrimoniais</t>
  </si>
  <si>
    <t xml:space="preserve">            Resgate de Títulos do Tesouro       </t>
  </si>
  <si>
    <t xml:space="preserve">           Demais Receitas de Capital</t>
  </si>
  <si>
    <t>INSCRITAS EM RESTOS A PAGAR NÃO PROCESSADOS                          (k)</t>
  </si>
  <si>
    <t>DESPESAS INTRA-ORÇAMENTÁRIAS</t>
  </si>
  <si>
    <t>Até o 
Bimestre</t>
  </si>
  <si>
    <t xml:space="preserve">    RESERVA DE CONTIGÊNCIA</t>
  </si>
  <si>
    <t>(...)</t>
  </si>
  <si>
    <t>(A)</t>
  </si>
  <si>
    <t>(B)</t>
  </si>
  <si>
    <t>(C)</t>
  </si>
  <si>
    <t>(E)</t>
  </si>
  <si>
    <t>(G)</t>
  </si>
  <si>
    <t>(D)</t>
  </si>
  <si>
    <t>(F)</t>
  </si>
  <si>
    <t>(H)</t>
  </si>
  <si>
    <t>PREVISÃO</t>
  </si>
  <si>
    <t>VALOR</t>
  </si>
  <si>
    <t>DESPESAS PAGAS</t>
  </si>
  <si>
    <t xml:space="preserve"> </t>
  </si>
  <si>
    <t>DEMONSTRATIVO DAS RECEITAS E DESPESAS COM MANUTENÇÃO E DESENVOLVIMENTO DO ENSINO - MDE</t>
  </si>
  <si>
    <t>(m)</t>
  </si>
  <si>
    <t>RREO - ANEXO 8 (LDB, art. 72)</t>
  </si>
  <si>
    <t>RECEITA RESULTANTE DE IMPOSTOS (Arts. 212 e 212-A da Constituição Federal)</t>
  </si>
  <si>
    <t>RECEITA RESULTANTE DE IMPOSTOS</t>
  </si>
  <si>
    <t>1- RECEITA DE IMPOSTOS</t>
  </si>
  <si>
    <t xml:space="preserve">    1.1- Receita Resultante do Imposto sobre a Circulação de Mercadorias e Serviços de Transporte Interestadual e Intermunicipal e de Comunicação – ICMS</t>
  </si>
  <si>
    <t xml:space="preserve">       1.1.1- ICMS - Principal e Encargos (Multas, Juros de Mora, Divida Ativa e Outros Encargos do ICMS)</t>
  </si>
  <si>
    <t xml:space="preserve">       1.1.2- Adicional de até 2% do ICMS destinado ao Fundo de Combate à Pobreza (ADCT, art. 82, §1º)</t>
  </si>
  <si>
    <t xml:space="preserve">    1.2- Receita Resultante do Imposto de Transmissão Causa Mortis e Doação de Bens e Direitos – ITCD</t>
  </si>
  <si>
    <t xml:space="preserve">    1.3- Receita Resultante do Imposto sobre a Propriedade de Veículos Automotores – IPVA</t>
  </si>
  <si>
    <t xml:space="preserve">    1.4- Receita Resultante do Imposto sobre a Renda e Proventos de Qualquer Natureza Retido na Fonte – IRRF</t>
  </si>
  <si>
    <t xml:space="preserve">2- RECEITA DE TRANSFERÊNCIAS CONSTITUCIONAIS E LEGAIS </t>
  </si>
  <si>
    <t xml:space="preserve">    2.1- Cota-Parte FPE </t>
  </si>
  <si>
    <t xml:space="preserve">    2.2- Cota-Parte IPI-Exportação </t>
  </si>
  <si>
    <t xml:space="preserve">    2.3- Cota-Parte IOF-Ouro </t>
  </si>
  <si>
    <t xml:space="preserve">    2.4- Compensações Financeiras Provenientes de Impostos e Transferências Constitucionais</t>
  </si>
  <si>
    <t>3- DEDUÇÕES DE TRANSFERÊNCIAS CONSTITUCIONAIS AOS MUNICÍPIOS</t>
  </si>
  <si>
    <t xml:space="preserve">    3.1- PARCELA DO ICMS REPASSADA AOS MUNICÍPIOS (25% de 1.1.1)</t>
  </si>
  <si>
    <t xml:space="preserve">    3.2- PARCELA DO IPVA REPASSADA AOS MUNICÍPIOS (50% de 1.3)</t>
  </si>
  <si>
    <t xml:space="preserve">    3.3- PARCELA DA COTA-PARTE DO IPI-EXPORTAÇÃO REPASSADA AOS MUNICÍPIOS (25% de 2.2)</t>
  </si>
  <si>
    <t>4- TOTAL DA RECEITA LÍQUIDA RESULTANTE DE IMPOSTOS (1 + 2 - 3)</t>
  </si>
  <si>
    <t>5- TOTAL DESTINADO AO FUNDEB - 20% DE ((1.1 - 3.1) + (1.2) + (1.3 - 3.2) + (2.1) + (2.2 - 3.3))</t>
  </si>
  <si>
    <t>6- VALOR MÍNIMO A SER APLICADO ALÉM DO VALOR DESTINADO AO FUNDEB - 5% DE ((1.1 - 3.1) + (1.2) + (1.3 - 3.2) + (2.1) + (2.2 - 3.3)) + 25% DE (1.4 + 2.3 + 2.4)</t>
  </si>
  <si>
    <t>FUNDEB</t>
  </si>
  <si>
    <t>RECEITAS RECEBIDAS DO FUNDEB NO EXERCÍCIO</t>
  </si>
  <si>
    <t>7- RECEITAS RECEBIDAS DO FUNDEB</t>
  </si>
  <si>
    <t xml:space="preserve">    7.1- FUNDEB - Impostos e Transferências de Impostos</t>
  </si>
  <si>
    <t xml:space="preserve">       7.1.1- Principal</t>
  </si>
  <si>
    <t xml:space="preserve">       7.1.2- Rendimentos de Aplicação Financeira</t>
  </si>
  <si>
    <t xml:space="preserve">    7.2- FUNDEB - Complementação da União - VAAF</t>
  </si>
  <si>
    <t xml:space="preserve">       7.2.1- Principal</t>
  </si>
  <si>
    <t xml:space="preserve">       7.2.2- Rendimentos de Aplicação Financeira</t>
  </si>
  <si>
    <t xml:space="preserve">    7.3- FUNDEB - Complementação da União - VAAT</t>
  </si>
  <si>
    <t xml:space="preserve">       7.3.1- Principal</t>
  </si>
  <si>
    <t xml:space="preserve">       7.3.2- Rendimentos de Aplicação Financeira</t>
  </si>
  <si>
    <t>RECURSOS RECEBIDOS EM EXERCÍCIOS ANTERIORES E NÃO UTILIZADOS (SUPERÁVIT)</t>
  </si>
  <si>
    <t>9- TOTAL DOS RECURSOS DE SUPERÁVIT</t>
  </si>
  <si>
    <t xml:space="preserve">  9.1- SUPERÁVIT DO EXERCÍCIO IMEDIATAMENTE ANTERIOR</t>
  </si>
  <si>
    <t xml:space="preserve">  9.2- SUPERÁVIT RESIDUAL DE OUTROS EXERCÍCIOS</t>
  </si>
  <si>
    <t>10- TOTAL DOS RECURSOS DO FUNDEB DISPONÍVEIS PARA UTILIZAÇÃO (7 + 9)</t>
  </si>
  <si>
    <t>DOTAÇÃO ATUALIZADA</t>
  </si>
  <si>
    <t>11- PROFISSIONAIS DA EDUCAÇÃO BÁSICA</t>
  </si>
  <si>
    <t xml:space="preserve">   11.1- Ensino Fundamental </t>
  </si>
  <si>
    <t xml:space="preserve">   11.2- Ensino Médio </t>
  </si>
  <si>
    <t>12- OUTRAS DESPESAS</t>
  </si>
  <si>
    <t xml:space="preserve">   12.1- Ensino Fundamental </t>
  </si>
  <si>
    <t xml:space="preserve">   12.2- Ensino Médio</t>
  </si>
  <si>
    <t>13- TOTAL DAS DESPESAS COM RECURSOS DO FUNDEB (11 + 12)</t>
  </si>
  <si>
    <t>INDICADORES DO FUNDEB</t>
  </si>
  <si>
    <t>DESPESAS CUSTEADAS COM RECEITAS DO FUNDEB RECEBIDAS NO EXERCÍCIO</t>
  </si>
  <si>
    <t>14- Total das Despesas do FUNDEB com Profissionais da Educação Básica</t>
  </si>
  <si>
    <t>15- Total das Despesas custeadas com FUNDEB - Impostos e Transferências de Impostos</t>
  </si>
  <si>
    <t>16- Total das Despesas custeadas com FUNDEB - Complementação da União - VAAF</t>
  </si>
  <si>
    <t>17- Total das Despesas custeadas com FUNDEB - Complementação da União - VAAT</t>
  </si>
  <si>
    <t>18- Total das Despesas custeadas com FUNDEB - Complementação da União - VAAT Aplicadas em Despesa de Capital</t>
  </si>
  <si>
    <t>VALOR EXIGIDO</t>
  </si>
  <si>
    <t>VALOR APLICADO</t>
  </si>
  <si>
    <t>VALOR CONSIDERADO APÓS DEDUÇÕES</t>
  </si>
  <si>
    <t>% APLICADO</t>
  </si>
  <si>
    <t>(i)</t>
  </si>
  <si>
    <t>(k)</t>
  </si>
  <si>
    <t>(l)</t>
  </si>
  <si>
    <t>19- Mínimo de 70% do FUNDEB na Remuneração dos Profissionais da Educação Básica</t>
  </si>
  <si>
    <t>20- Mínimo de 15% da Complementação da União ao FUNDEB - VAAT em Despesas de Capital</t>
  </si>
  <si>
    <t>VALOR MÁXIMO PERMITIDO</t>
  </si>
  <si>
    <t>VALOR NÃO APLICADO</t>
  </si>
  <si>
    <t>VALOR NÃO APLICADO APÓS AJUSTE</t>
  </si>
  <si>
    <t>% NÃO APLICADO</t>
  </si>
  <si>
    <t>(n)</t>
  </si>
  <si>
    <t>(o)</t>
  </si>
  <si>
    <t>(p)</t>
  </si>
  <si>
    <t xml:space="preserve">21- Total da Receita Recebida e não Aplicada no Exercício </t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</si>
  <si>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</si>
  <si>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</si>
  <si>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</si>
  <si>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</si>
  <si>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</si>
  <si>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</si>
  <si>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</si>
  <si>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</si>
  <si>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</si>
  <si>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</si>
  <si>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22- Total das Despesas custeadas com Superávit do FUNDEB</t>
  </si>
  <si>
    <t xml:space="preserve">   22.1- Total das Despesas custeadas com FUNDEB - Impostos e Transferências de Impostos</t>
  </si>
  <si>
    <t xml:space="preserve">   22.2- Total das Despesas custeadas com FUNDEB - Complementação da União (VAAF + VAAT)</t>
  </si>
  <si>
    <t>DESPESAS COM MANUTENÇÃO E DESENVOLVIMENTO DO ENSINO – MDE -  CUSTEADAS COM RECEITA DE IMPOSTOS (EXCETO FUNDEB)</t>
  </si>
  <si>
    <t>23- EDUCAÇÃO INFANTIL</t>
  </si>
  <si>
    <t xml:space="preserve">   23.1- Creche</t>
  </si>
  <si>
    <t xml:space="preserve">   23.2- Pré-escola</t>
  </si>
  <si>
    <t xml:space="preserve">24- ENSINO FUNDAMENTAL </t>
  </si>
  <si>
    <t xml:space="preserve">25- ENSINO MÉDIO </t>
  </si>
  <si>
    <t>26- ENSINO SUPERIOR</t>
  </si>
  <si>
    <t>27- ENSINO PROFISSIONAL NÃO INTEGRADO AO ENSINO REGULAR</t>
  </si>
  <si>
    <t>APURAÇÃO DAS DESPESAS PARA FINS DE LIMITE MÍNIMO CONSTITUCIONAL</t>
  </si>
  <si>
    <t>(x)</t>
  </si>
  <si>
    <t>(w)</t>
  </si>
  <si>
    <t>(y)</t>
  </si>
  <si>
    <t>36- APLICAÇÃO EM MDE SOBRE A RECEITA LÍQUIDA RESULTANTE DE IMPOSTOS</t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</si>
  <si>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</si>
  <si>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</si>
  <si>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</si>
  <si>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</si>
  <si>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</si>
  <si>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</si>
  <si>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</si>
  <si>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</si>
  <si>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</si>
  <si>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37- RESTOS A PAGAR DE DESPESAS COM MDE</t>
  </si>
  <si>
    <t xml:space="preserve">   37.1 - Executadas com Recursos de Impostos e Transferências de Impostos</t>
  </si>
  <si>
    <t xml:space="preserve">   37.2 - Executadas com Recursos do FUNDEB - Impostos</t>
  </si>
  <si>
    <t xml:space="preserve">   37.3 - Executadas com Recursos do FUNDEB - Complementação da União (VAAT + VAAF)</t>
  </si>
  <si>
    <t>OUTRAS INFORMAÇÕES PARA CONTROLE</t>
  </si>
  <si>
    <t>38- RECEITA DE TRANSFERÊNCIAS DO FNDE (INCLUINDO RENDIMENTOS DE APLICAÇÃO FINANCEIRA)</t>
  </si>
  <si>
    <t xml:space="preserve">    38.1- Salário-Educação</t>
  </si>
  <si>
    <t xml:space="preserve">    38.2- PDDE</t>
  </si>
  <si>
    <t xml:space="preserve">    38.3- PNAE</t>
  </si>
  <si>
    <t xml:space="preserve">    38.4 - PNATE</t>
  </si>
  <si>
    <t xml:space="preserve">    38.5- Outras Transferências do FNDE</t>
  </si>
  <si>
    <t>39- RECEITA DE TRANSFERÊNCIAS DE CONVÊNIOS</t>
  </si>
  <si>
    <t>40- RECEITA DE ROYALTIES DESTINADOS À EDUCAÇÃO</t>
  </si>
  <si>
    <t>41- RECEITA DE OPERAÇÕES DE CRÉDITO VINCULADAS À EDUCAÇÃO</t>
  </si>
  <si>
    <t>42- OUTRAS RECEITAS PARA FINANCIAMENTO DO ENSINO</t>
  </si>
  <si>
    <t>43- TOTAL DAS RECEITAS ADICIONAIS PARA FINANCIAMENTO DO ENSINO = (38 + 39 +40 + 41 + 42)</t>
  </si>
  <si>
    <t>44- EDUCAÇÃO INFANTIL</t>
  </si>
  <si>
    <t xml:space="preserve">   44.1- Creche</t>
  </si>
  <si>
    <t xml:space="preserve">   44.2- Pré-escola</t>
  </si>
  <si>
    <t xml:space="preserve">45- ENSINO FUNDAMENTAL </t>
  </si>
  <si>
    <t xml:space="preserve">46- ENSINO MÉDIO </t>
  </si>
  <si>
    <t>47- ENSINO SUPERIOR</t>
  </si>
  <si>
    <t>48- ENSINO PROFISSIONAL NÃO INTEGRADO AO ENSINO REGULAR</t>
  </si>
  <si>
    <t>TOTAL GERAL DAS DESPESAS COM EDUCAÇÃO</t>
  </si>
  <si>
    <t>CONTROLE DA DISPONIBILIDADE FINANCEIRA E CONCILIAÇÃO BANCÁRIA</t>
  </si>
  <si>
    <t>SALÁRIO EDUCAÇÃO</t>
  </si>
  <si>
    <t>(ae)</t>
  </si>
  <si>
    <t>(af)</t>
  </si>
  <si>
    <t>GOVERNO DO ESTADO DO RIO DE JANEIRO</t>
  </si>
  <si>
    <t xml:space="preserve">    1.5-Receita Resultante de Outros Impostos (Líquida)</t>
  </si>
  <si>
    <t xml:space="preserve">       1.5.1- ITBI</t>
  </si>
  <si>
    <t xml:space="preserve">       1.5.2- ICM</t>
  </si>
  <si>
    <r>
      <t>8- RESULTADO LÍQUIDO DAS TRANSFERÊNCIAS DO FUNDEB (7.1.1 – 5)</t>
    </r>
    <r>
      <rPr>
        <b/>
        <vertAlign val="superscript"/>
        <sz val="12"/>
        <rFont val="Times New Roman"/>
        <family val="1"/>
      </rPr>
      <t>1</t>
    </r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</si>
  <si>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</si>
  <si>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Continuação</t>
  </si>
  <si>
    <r>
      <t>INDICADORES - Art. 212-A, inciso XI e § 3º - Constituição Federal</t>
    </r>
    <r>
      <rPr>
        <b/>
        <vertAlign val="superscript"/>
        <sz val="12"/>
        <rFont val="Times New Roman"/>
        <family val="1"/>
      </rPr>
      <t>2</t>
    </r>
  </si>
  <si>
    <r>
      <t>INDICADOR - Art.25, § 3º - Lei nº 14.113, de 2020 - (Máximo de 10% de Superávit)</t>
    </r>
    <r>
      <rPr>
        <b/>
        <vertAlign val="superscript"/>
        <sz val="12"/>
        <rFont val="Times New Roman"/>
        <family val="1"/>
      </rPr>
      <t>3</t>
    </r>
  </si>
  <si>
    <r>
      <t>INDICADOR - Art.25, § 3º - Lei nº 14.113, de 2020 - (Aplicação do Superávit de Exercício Anterior)</t>
    </r>
    <r>
      <rPr>
        <b/>
        <vertAlign val="superscript"/>
        <sz val="12"/>
        <rFont val="Times New Roman"/>
        <family val="1"/>
      </rPr>
      <t>3</t>
    </r>
  </si>
  <si>
    <r>
      <t xml:space="preserve"> DESPESAS COM AÇÕES TÍPICAS DE MDE - RECEITAS DE IMPOSTOS - EXCETO FUNDEB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</si>
  <si>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 (1/4)</t>
  </si>
  <si>
    <t>Continua (2/4)</t>
  </si>
  <si>
    <t>Continua (3/4)</t>
  </si>
  <si>
    <t>(4/4)</t>
  </si>
  <si>
    <r>
      <t>APURAÇÃO DO LIMITE MÍNIMO CONSTITUCIONAL</t>
    </r>
    <r>
      <rPr>
        <b/>
        <vertAlign val="superscript"/>
        <sz val="12"/>
        <rFont val="Times New Roman"/>
        <family val="1"/>
      </rPr>
      <t>2 e 5</t>
    </r>
  </si>
  <si>
    <r>
      <t>RESTOS A PAGAR INSCRITOS EM EXERCÍCIOS ANTERIORES COM DISPONIBILIDADE FINANCEIRA DE RECURSOS DE IMPOSTOS E DO FUNDEB</t>
    </r>
    <r>
      <rPr>
        <b/>
        <vertAlign val="superscript"/>
        <sz val="12"/>
        <rFont val="Times New Roman"/>
        <family val="1"/>
      </rPr>
      <t>8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</si>
  <si>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Se resultado líquido da transferência (8) &gt; 0 = acréscimo resultante das transferências do FUNDEB, se resultado líquido da transferência (8) &lt; 0 = decréscimo resultante das transferências do FUNDEB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</si>
  <si>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</si>
  <si>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 xml:space="preserve">3 </t>
    </r>
    <r>
      <rPr>
        <sz val="10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</si>
  <si>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</si>
  <si>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</si>
  <si>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As linhas representam áreas de atuação e não correspondem exatamente às subfunções da Função Educação. As despesas classificadas nas demais subfunções típicas e nas subfunções atípicas deverão ser rateadas para essas áreas de atuação.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</si>
  <si>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Valor inscrito em RPNP sem disponibilidade de caixa, que não deve ser considerado na apuração dos indicadores e limites.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</si>
  <si>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Controle da execução de restos a pagar considerados no cumprimento do limite mínimo dos exercícios anteriores.</t>
    </r>
  </si>
  <si>
    <t>(v) = (r) - (s) - (u)</t>
  </si>
  <si>
    <t>RECEITAS ADICIONAIS PARA FINANCIAMENTO DO ENSINO</t>
  </si>
  <si>
    <t>(ad) = (z) - (ab) - (ac)</t>
  </si>
  <si>
    <r>
      <t>OUTRAS DESPESAS COM EDUCAÇÃO  (Por Área de Atuação)</t>
    </r>
    <r>
      <rPr>
        <b/>
        <vertAlign val="superscript"/>
        <sz val="12"/>
        <rFont val="Times New Roman"/>
        <family val="1"/>
      </rPr>
      <t>6</t>
    </r>
  </si>
  <si>
    <t>28- OUTRAS</t>
  </si>
  <si>
    <t>29- TOTAL DAS DESPESAS COM AÇÕES TÍPICAS DE MDE (23 + 24 + 25 + 26 + 27 + 28)</t>
  </si>
  <si>
    <t>31 (-) RESULTADO LÍQUIDO DAS TRANSFERÊNCIAS DO FUNDEB = (L8)</t>
  </si>
  <si>
    <r>
      <t>32 (-) RESTOS A PAGAR NÃO PROCESSADOS INSCRITOS NO EXERCÍCIO SEM DISPONIBILIDADE FINANCEIRA DE RECURSOS DO FUNDEB IMPOSTOS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= (L15h)</t>
    </r>
  </si>
  <si>
    <r>
      <t>33 (-) RESTOS A PAGAR NÃO PROCESSADOS INSCRITOS NO EXERCÍCIO SEM DISPONIBILIDADE FINANCEIRA DE RECURSOS DE IMPOSTOS</t>
    </r>
    <r>
      <rPr>
        <vertAlign val="superscript"/>
        <sz val="12"/>
        <rFont val="Times New Roman"/>
        <family val="1"/>
      </rPr>
      <t>4 e 7</t>
    </r>
  </si>
  <si>
    <t>34 (-) CANCELAMENTO, NO EXERCÍCIO, DE RESTOS A PAGAR INSCRITOS COM DISPONIBILIDADE FINANCEIRA DE RECURSOS DE IMPOSTOS VINCULADOS AO ENSINO = (L37.1(ac) + L37.2(ac))</t>
  </si>
  <si>
    <t>35- TOTAL DAS DESPESAS PARA FINS DE LIMITE  (30 – (31 + 32 + 33 + 34))</t>
  </si>
  <si>
    <t>FONTE: Siafe-Rio - Secretaria de Estado de Fazenda.</t>
  </si>
  <si>
    <t>Notas:</t>
  </si>
  <si>
    <t xml:space="preserve">  As Multas de Natureza Formal e as Multas da LC Estadual 134/09 não sofrem repartição do FUNDEB.</t>
  </si>
  <si>
    <t>30- TOTAL DAS DESPESAS DE MDE CUSTEADAS COM RECURSOS DE IMPOSTOS (FUNDEB E RECEITA DE IMPOSTOS) = (L15(d ou e) + L29(d ou e) + L22.1(t))</t>
  </si>
  <si>
    <t xml:space="preserve">           Inscritos em 2014</t>
  </si>
  <si>
    <t xml:space="preserve">           Inscritos em 2015</t>
  </si>
  <si>
    <t xml:space="preserve">           Inscritos em 2016</t>
  </si>
  <si>
    <t xml:space="preserve">           Inscritos em 2017</t>
  </si>
  <si>
    <t xml:space="preserve">           Inscritos em 2018</t>
  </si>
  <si>
    <t xml:space="preserve">           Inscritos em 2019</t>
  </si>
  <si>
    <t xml:space="preserve">           Inscritos em 2020</t>
  </si>
  <si>
    <t>49- OUTRAS</t>
  </si>
  <si>
    <t>50- TOTAL DAS OUTRAS DESPESAS COM EDUCAÇÃO (44 + 45 + 46 + 47 + 48 + 49)</t>
  </si>
  <si>
    <t>As linhas "28 - OUTRAS" e "49 - OUTRAS" foram inseridas no demonstrativo porque não foi possível realizar o rateamento das despesas por área de atuação sistemicamente.</t>
  </si>
  <si>
    <t>51- TOTAL GERAL DAS DESPESAS COM EDUCAÇÃO (13 + 29 + 50)</t>
  </si>
  <si>
    <t xml:space="preserve">   51.1- Despesas Correntes</t>
  </si>
  <si>
    <t xml:space="preserve">      51.1.1 - Pessoal Ativo</t>
  </si>
  <si>
    <t xml:space="preserve">      51.1.2 - Pessoal Inativo</t>
  </si>
  <si>
    <t xml:space="preserve">      51.1.3 -Transferências às instituições comunitárias, confessionais ou filantrópicas sem fins lucrativos</t>
  </si>
  <si>
    <t xml:space="preserve">      51.1.4 -Outras Despesas Correntes</t>
  </si>
  <si>
    <t xml:space="preserve">   51.2- Despesas de Capital</t>
  </si>
  <si>
    <t xml:space="preserve">      51.2.1 -Transferências às instituições comunitárias, confessionais ou filantrópicas sem fins lucrativos</t>
  </si>
  <si>
    <t xml:space="preserve">      51.2.2 -Outras Despesas de Capital</t>
  </si>
  <si>
    <t>52- DISPONIBILIDADE FINANCEIRA EM 31 DE DEZEMBRO DE 2020</t>
  </si>
  <si>
    <t>53- (+) INGRESSO DE RECURSOS ATÉ O BIMESTRE (orçamentário)</t>
  </si>
  <si>
    <t>54- (-) PAGAMENTOS EFETUADOS ATÉ O BIMESTRE (orçamentário e restos a pagar)</t>
  </si>
  <si>
    <t>55- (=) DISPONIBILIDADE FINANCEIRA ATÉ O BIMESTRE</t>
  </si>
  <si>
    <t>56- (+) AJUSTES POSITIVOS ( RETENÇÕES E OUTROS VALORES EXTRAORÇAMENTÁRIOS)</t>
  </si>
  <si>
    <t>57- (-) AJUSTES NEGATIVOS (OUTROS VALORES EXTRAORÇAMENTÁRIOS)</t>
  </si>
  <si>
    <t>58- (=) SALDO FINANCEIRO CONCILIADO (Saldo Bancário)</t>
  </si>
  <si>
    <t>Renato Ferreira Costa</t>
  </si>
  <si>
    <t>Coordenador - ID: 4.284.985-3</t>
  </si>
  <si>
    <t>Contador - CRC-RJ-097281/O-6</t>
  </si>
  <si>
    <t>Ronald Marcio G. Rodrigues</t>
  </si>
  <si>
    <t>Superintendente - ID: 1.943.584-3</t>
  </si>
  <si>
    <t>Contador - CRC-RJ-079208/O-8</t>
  </si>
  <si>
    <t xml:space="preserve">           Inscritos em 2021</t>
  </si>
  <si>
    <t>Yasmim da Costa Monteiro</t>
  </si>
  <si>
    <t>Subsecretária de Contabilidade Geral - ID: 4.461.243-5</t>
  </si>
  <si>
    <t>Contadora - CRC-RJ-114428/O-0</t>
  </si>
  <si>
    <t>JANEIRO A JUNHO 2022/BIMESTRE MAIO - JUNHO</t>
  </si>
  <si>
    <t>Emissão: 19/07/2022</t>
  </si>
  <si>
    <t>Conforme estabelece o Manual de Demonstrativos Fiscais da STN, o ente que possua controle sobre o cancelamento dos Restos a Pagar que foram considerados na apuração do limite mínimo do seu respectivo ano de inscrição deverá informar apenas o valor cancelado que tenha causado impacto nesse limite. Até o 3º Bimestre/2022, o Estado do Rio de Janeiro cancelou R$ 154.669.806 dos Restos a Pagar inscritos em 2017, 2018, 2019 (compensação da parcela que ultrapassou o respectivo limite - Excesso de Aplicação do Exercício de 2019), 2020 e 2021. Como o Estado não aplicou o mínimo constitucional nos exercícios de 2017, 2018, 2020 e 2021, e os cancelamentos dos Restos a Pagar que foram inscritos nos exercícios de 2016 e 2019 ultrapassaram o Excesso de Aplicação em MDE apurado naqueles exercícios, faz-se necessário, no exercício de 2022, deduzir os Restos a Pagar Cancelados que foram inscritos nesses exercícios, de forma a compensar o descumprimento do limite de aplicação mínima em MDE dos anos anteriores.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</si>
</sst>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_(* #,##0_);_(* \(#,##0\);_(* &quot;-&quot;??_);_(@_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_-* #,##0_-;\-* #,##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8" fillId="0" borderId="0" xfId="49" applyFont="1">
      <alignment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 wrapText="1"/>
      <protection/>
    </xf>
    <xf numFmtId="0" fontId="4" fillId="34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4" borderId="22" xfId="49" applyFont="1" applyFill="1" applyBorder="1" applyAlignment="1">
      <alignment horizontal="center"/>
      <protection/>
    </xf>
    <xf numFmtId="0" fontId="4" fillId="34" borderId="19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/>
      <protection/>
    </xf>
    <xf numFmtId="0" fontId="4" fillId="34" borderId="20" xfId="49" applyFont="1" applyFill="1" applyBorder="1" applyAlignment="1">
      <alignment horizontal="center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4" borderId="13" xfId="49" applyNumberFormat="1" applyFont="1" applyFill="1" applyBorder="1">
      <alignment/>
      <protection/>
    </xf>
    <xf numFmtId="49" fontId="4" fillId="34" borderId="13" xfId="49" applyNumberFormat="1" applyFont="1" applyFill="1" applyBorder="1" applyAlignment="1">
      <alignment horizontal="center"/>
      <protection/>
    </xf>
    <xf numFmtId="0" fontId="7" fillId="34" borderId="12" xfId="49" applyFont="1" applyFill="1" applyBorder="1" applyAlignment="1">
      <alignment horizontal="center"/>
      <protection/>
    </xf>
    <xf numFmtId="166" fontId="4" fillId="34" borderId="14" xfId="49" applyNumberFormat="1" applyFont="1" applyFill="1" applyBorder="1" applyAlignment="1">
      <alignment horizontal="center"/>
      <protection/>
    </xf>
    <xf numFmtId="49" fontId="4" fillId="34" borderId="12" xfId="49" applyNumberFormat="1" applyFont="1" applyFill="1" applyBorder="1" applyAlignment="1">
      <alignment horizontal="center"/>
      <protection/>
    </xf>
    <xf numFmtId="0" fontId="4" fillId="34" borderId="19" xfId="49" applyFont="1" applyFill="1" applyBorder="1">
      <alignment/>
      <protection/>
    </xf>
    <xf numFmtId="49" fontId="4" fillId="34" borderId="20" xfId="49" applyNumberFormat="1" applyFont="1" applyFill="1" applyBorder="1" applyAlignment="1">
      <alignment vertical="center"/>
      <protection/>
    </xf>
    <xf numFmtId="49" fontId="4" fillId="34" borderId="15" xfId="49" applyNumberFormat="1" applyFont="1" applyFill="1" applyBorder="1" applyAlignment="1">
      <alignment vertical="center"/>
      <protection/>
    </xf>
    <xf numFmtId="166" fontId="4" fillId="34" borderId="20" xfId="49" applyNumberFormat="1" applyFont="1" applyFill="1" applyBorder="1" applyAlignment="1">
      <alignment horizontal="center"/>
      <protection/>
    </xf>
    <xf numFmtId="49" fontId="4" fillId="34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5" borderId="13" xfId="49" applyNumberFormat="1" applyFont="1" applyFill="1" applyBorder="1" applyAlignment="1">
      <alignment horizontal="center"/>
      <protection/>
    </xf>
    <xf numFmtId="49" fontId="3" fillId="34" borderId="18" xfId="49" applyNumberFormat="1" applyFont="1" applyFill="1" applyBorder="1">
      <alignment/>
      <protection/>
    </xf>
    <xf numFmtId="37" fontId="4" fillId="34" borderId="17" xfId="49" applyNumberFormat="1" applyFont="1" applyFill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5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4" borderId="22" xfId="49" applyFont="1" applyFill="1" applyBorder="1">
      <alignment/>
      <protection/>
    </xf>
    <xf numFmtId="0" fontId="4" fillId="34" borderId="13" xfId="49" applyFont="1" applyFill="1" applyBorder="1" applyAlignment="1">
      <alignment horizontal="center"/>
      <protection/>
    </xf>
    <xf numFmtId="0" fontId="7" fillId="34" borderId="14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 wrapText="1"/>
      <protection/>
    </xf>
    <xf numFmtId="0" fontId="4" fillId="34" borderId="20" xfId="49" applyFont="1" applyFill="1" applyBorder="1">
      <alignment/>
      <protection/>
    </xf>
    <xf numFmtId="0" fontId="57" fillId="34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4" borderId="23" xfId="49" applyNumberFormat="1" applyFont="1" applyFill="1" applyBorder="1">
      <alignment/>
      <protection/>
    </xf>
    <xf numFmtId="0" fontId="4" fillId="36" borderId="11" xfId="49" applyFont="1" applyFill="1" applyBorder="1" applyAlignment="1">
      <alignment horizontal="center"/>
      <protection/>
    </xf>
    <xf numFmtId="0" fontId="4" fillId="36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3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4" borderId="21" xfId="49" applyFont="1" applyFill="1" applyBorder="1">
      <alignment/>
      <protection/>
    </xf>
    <xf numFmtId="0" fontId="4" fillId="34" borderId="0" xfId="49" applyFont="1" applyFill="1" applyAlignment="1">
      <alignment horizontal="center"/>
      <protection/>
    </xf>
    <xf numFmtId="0" fontId="4" fillId="34" borderId="10" xfId="49" applyFont="1" applyFill="1" applyBorder="1">
      <alignment/>
      <protection/>
    </xf>
    <xf numFmtId="0" fontId="3" fillId="34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3" fillId="0" borderId="14" xfId="49" applyFont="1" applyBorder="1" applyAlignment="1">
      <alignment horizontal="left"/>
      <protection/>
    </xf>
    <xf numFmtId="0" fontId="3" fillId="35" borderId="10" xfId="49" applyFont="1" applyFill="1" applyBorder="1">
      <alignment/>
      <protection/>
    </xf>
    <xf numFmtId="0" fontId="3" fillId="35" borderId="19" xfId="49" applyFont="1" applyFill="1" applyBorder="1">
      <alignment/>
      <protection/>
    </xf>
    <xf numFmtId="0" fontId="3" fillId="35" borderId="20" xfId="49" applyFont="1" applyFill="1" applyBorder="1">
      <alignment/>
      <protection/>
    </xf>
    <xf numFmtId="0" fontId="3" fillId="35" borderId="15" xfId="49" applyFont="1" applyFill="1" applyBorder="1">
      <alignment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2" fillId="0" borderId="0" xfId="49" applyFont="1">
      <alignment/>
      <protection/>
    </xf>
    <xf numFmtId="0" fontId="3" fillId="33" borderId="0" xfId="51" applyFont="1" applyFill="1" applyAlignment="1">
      <alignment horizontal="center"/>
      <protection/>
    </xf>
    <xf numFmtId="0" fontId="6" fillId="0" borderId="0" xfId="49" applyFont="1">
      <alignment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5" borderId="16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5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4" borderId="20" xfId="49" applyFont="1" applyFill="1" applyBorder="1" applyAlignment="1">
      <alignment horizontal="center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4" xfId="49" applyNumberFormat="1" applyFont="1" applyBorder="1" applyAlignment="1">
      <alignment horizontal="center"/>
      <protection/>
    </xf>
    <xf numFmtId="37" fontId="4" fillId="34" borderId="18" xfId="49" applyNumberFormat="1" applyFont="1" applyFill="1" applyBorder="1" applyAlignment="1">
      <alignment horizontal="center"/>
      <protection/>
    </xf>
    <xf numFmtId="0" fontId="6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0" fontId="8" fillId="0" borderId="0" xfId="49" applyFont="1" applyAlignment="1">
      <alignment horizontal="left"/>
      <protection/>
    </xf>
    <xf numFmtId="164" fontId="8" fillId="0" borderId="0" xfId="49" applyNumberFormat="1" applyFont="1" applyAlignment="1">
      <alignment horizontal="right"/>
      <protection/>
    </xf>
    <xf numFmtId="0" fontId="8" fillId="0" borderId="14" xfId="49" applyFont="1" applyBorder="1">
      <alignment/>
      <protection/>
    </xf>
    <xf numFmtId="0" fontId="8" fillId="0" borderId="0" xfId="49" applyFont="1" applyAlignment="1">
      <alignment wrapText="1"/>
      <protection/>
    </xf>
    <xf numFmtId="0" fontId="8" fillId="33" borderId="0" xfId="49" applyFont="1" applyFill="1">
      <alignment/>
      <protection/>
    </xf>
    <xf numFmtId="0" fontId="8" fillId="0" borderId="0" xfId="49" applyFont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0" fontId="8" fillId="0" borderId="24" xfId="49" applyFont="1" applyBorder="1">
      <alignment/>
      <protection/>
    </xf>
    <xf numFmtId="0" fontId="8" fillId="0" borderId="22" xfId="49" applyFont="1" applyBorder="1">
      <alignment/>
      <protection/>
    </xf>
    <xf numFmtId="0" fontId="8" fillId="0" borderId="21" xfId="49" applyFont="1" applyBorder="1">
      <alignment/>
      <protection/>
    </xf>
    <xf numFmtId="0" fontId="6" fillId="0" borderId="17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left" wrapText="1"/>
      <protection/>
    </xf>
    <xf numFmtId="0" fontId="8" fillId="0" borderId="1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right" vertical="top" wrapText="1"/>
      <protection/>
    </xf>
    <xf numFmtId="0" fontId="8" fillId="0" borderId="10" xfId="49" applyFont="1" applyBorder="1">
      <alignment/>
      <protection/>
    </xf>
    <xf numFmtId="0" fontId="8" fillId="0" borderId="23" xfId="49" applyFont="1" applyBorder="1" applyAlignment="1">
      <alignment horizontal="left" vertical="top" wrapText="1"/>
      <protection/>
    </xf>
    <xf numFmtId="0" fontId="8" fillId="33" borderId="0" xfId="49" applyFont="1" applyFill="1" applyAlignment="1">
      <alignment horizontal="left" vertical="top" wrapText="1"/>
      <protection/>
    </xf>
    <xf numFmtId="0" fontId="8" fillId="33" borderId="11" xfId="49" applyFont="1" applyFill="1" applyBorder="1" applyAlignment="1">
      <alignment horizontal="left" vertical="top" wrapText="1"/>
      <protection/>
    </xf>
    <xf numFmtId="0" fontId="8" fillId="33" borderId="15" xfId="49" applyFont="1" applyFill="1" applyBorder="1" applyAlignment="1">
      <alignment horizontal="left" vertical="top" wrapText="1"/>
      <protection/>
    </xf>
    <xf numFmtId="0" fontId="8" fillId="0" borderId="10" xfId="49" applyFont="1" applyBorder="1" applyAlignment="1">
      <alignment horizontal="left" vertical="top" wrapText="1"/>
      <protection/>
    </xf>
    <xf numFmtId="0" fontId="8" fillId="33" borderId="24" xfId="49" applyFont="1" applyFill="1" applyBorder="1" applyAlignment="1">
      <alignment horizontal="left" vertical="top" wrapText="1"/>
      <protection/>
    </xf>
    <xf numFmtId="0" fontId="8" fillId="33" borderId="24" xfId="49" applyFont="1" applyFill="1" applyBorder="1">
      <alignment/>
      <protection/>
    </xf>
    <xf numFmtId="0" fontId="8" fillId="0" borderId="2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left" vertical="top" wrapText="1"/>
      <protection/>
    </xf>
    <xf numFmtId="0" fontId="8" fillId="0" borderId="21" xfId="49" applyFont="1" applyBorder="1" applyAlignment="1">
      <alignment horizontal="justify" vertical="top"/>
      <protection/>
    </xf>
    <xf numFmtId="0" fontId="8" fillId="0" borderId="22" xfId="49" applyFont="1" applyBorder="1" applyAlignment="1">
      <alignment horizontal="center" vertical="center"/>
      <protection/>
    </xf>
    <xf numFmtId="0" fontId="8" fillId="0" borderId="21" xfId="49" applyFont="1" applyBorder="1" applyAlignment="1">
      <alignment horizontal="center" vertical="center"/>
      <protection/>
    </xf>
    <xf numFmtId="0" fontId="8" fillId="0" borderId="0" xfId="49" applyFont="1" applyAlignment="1">
      <alignment horizontal="justify" vertical="top"/>
      <protection/>
    </xf>
    <xf numFmtId="0" fontId="8" fillId="0" borderId="14" xfId="49" applyFont="1" applyBorder="1" applyAlignment="1">
      <alignment horizontal="center" vertical="center"/>
      <protection/>
    </xf>
    <xf numFmtId="0" fontId="8" fillId="0" borderId="20" xfId="49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vertical="top"/>
      <protection/>
    </xf>
    <xf numFmtId="0" fontId="8" fillId="0" borderId="0" xfId="49" applyFont="1" applyAlignment="1">
      <alignment vertical="center" wrapText="1"/>
      <protection/>
    </xf>
    <xf numFmtId="0" fontId="8" fillId="0" borderId="24" xfId="49" applyFont="1" applyBorder="1" applyAlignment="1">
      <alignment horizontal="justify" vertical="center"/>
      <protection/>
    </xf>
    <xf numFmtId="0" fontId="13" fillId="0" borderId="24" xfId="49" applyFont="1" applyBorder="1" applyAlignment="1">
      <alignment vertical="center"/>
      <protection/>
    </xf>
    <xf numFmtId="0" fontId="8" fillId="0" borderId="11" xfId="49" applyFont="1" applyBorder="1" applyAlignment="1">
      <alignment horizontal="left" vertical="top"/>
      <protection/>
    </xf>
    <xf numFmtId="0" fontId="6" fillId="0" borderId="17" xfId="49" applyFont="1" applyBorder="1" applyAlignment="1">
      <alignment horizontal="left" vertical="top" wrapText="1"/>
      <protection/>
    </xf>
    <xf numFmtId="0" fontId="8" fillId="0" borderId="24" xfId="49" applyFont="1" applyBorder="1" applyAlignment="1">
      <alignment horizontal="left" vertical="top" wrapText="1"/>
      <protection/>
    </xf>
    <xf numFmtId="0" fontId="8" fillId="0" borderId="14" xfId="49" applyFont="1" applyBorder="1" applyAlignment="1">
      <alignment horizontal="left" vertical="top" wrapText="1"/>
      <protection/>
    </xf>
    <xf numFmtId="0" fontId="8" fillId="0" borderId="11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8" fillId="0" borderId="24" xfId="49" applyFont="1" applyBorder="1" applyAlignment="1">
      <alignment horizontal="left" wrapText="1"/>
      <protection/>
    </xf>
    <xf numFmtId="0" fontId="13" fillId="0" borderId="24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/>
      <protection/>
    </xf>
    <xf numFmtId="0" fontId="8" fillId="0" borderId="24" xfId="49" applyFont="1" applyBorder="1" applyAlignment="1">
      <alignment horizontal="center" vertical="top" wrapText="1"/>
      <protection/>
    </xf>
    <xf numFmtId="0" fontId="8" fillId="0" borderId="0" xfId="49" applyFont="1" applyAlignment="1">
      <alignment vertical="center"/>
      <protection/>
    </xf>
    <xf numFmtId="0" fontId="8" fillId="0" borderId="20" xfId="49" applyFont="1" applyBorder="1">
      <alignment/>
      <protection/>
    </xf>
    <xf numFmtId="0" fontId="6" fillId="0" borderId="10" xfId="49" applyFont="1" applyBorder="1" applyAlignment="1">
      <alignment horizontal="left" wrapText="1"/>
      <protection/>
    </xf>
    <xf numFmtId="0" fontId="8" fillId="0" borderId="14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wrapText="1"/>
      <protection/>
    </xf>
    <xf numFmtId="0" fontId="6" fillId="0" borderId="0" xfId="49" applyFont="1" applyAlignment="1">
      <alignment wrapText="1"/>
      <protection/>
    </xf>
    <xf numFmtId="0" fontId="6" fillId="0" borderId="0" xfId="49" applyFont="1" applyAlignment="1">
      <alignment horizontal="left" wrapText="1"/>
      <protection/>
    </xf>
    <xf numFmtId="0" fontId="14" fillId="0" borderId="21" xfId="49" applyFont="1" applyBorder="1">
      <alignment/>
      <protection/>
    </xf>
    <xf numFmtId="0" fontId="8" fillId="0" borderId="0" xfId="49" applyFont="1" applyAlignment="1">
      <alignment horizontal="right"/>
      <protection/>
    </xf>
    <xf numFmtId="0" fontId="6" fillId="0" borderId="14" xfId="49" applyFont="1" applyBorder="1">
      <alignment/>
      <protection/>
    </xf>
    <xf numFmtId="0" fontId="6" fillId="33" borderId="0" xfId="49" applyFont="1" applyFill="1">
      <alignment/>
      <protection/>
    </xf>
    <xf numFmtId="0" fontId="6" fillId="33" borderId="14" xfId="49" applyFont="1" applyFill="1" applyBorder="1">
      <alignment/>
      <protection/>
    </xf>
    <xf numFmtId="0" fontId="6" fillId="0" borderId="18" xfId="49" applyFont="1" applyBorder="1">
      <alignment/>
      <protection/>
    </xf>
    <xf numFmtId="0" fontId="6" fillId="0" borderId="24" xfId="49" applyFont="1" applyBorder="1">
      <alignment/>
      <protection/>
    </xf>
    <xf numFmtId="0" fontId="6" fillId="0" borderId="22" xfId="49" applyFont="1" applyBorder="1">
      <alignment/>
      <protection/>
    </xf>
    <xf numFmtId="0" fontId="6" fillId="0" borderId="21" xfId="49" applyFont="1" applyBorder="1">
      <alignment/>
      <protection/>
    </xf>
    <xf numFmtId="0" fontId="6" fillId="0" borderId="11" xfId="49" applyFont="1" applyBorder="1" applyAlignment="1">
      <alignment horizontal="left" vertical="top" wrapText="1"/>
      <protection/>
    </xf>
    <xf numFmtId="0" fontId="6" fillId="0" borderId="0" xfId="49" applyFont="1" applyAlignment="1">
      <alignment horizontal="right" vertical="top" wrapText="1"/>
      <protection/>
    </xf>
    <xf numFmtId="0" fontId="6" fillId="0" borderId="15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right" vertical="top" wrapText="1"/>
      <protection/>
    </xf>
    <xf numFmtId="0" fontId="6" fillId="0" borderId="10" xfId="49" applyFont="1" applyBorder="1">
      <alignment/>
      <protection/>
    </xf>
    <xf numFmtId="0" fontId="6" fillId="0" borderId="23" xfId="49" applyFont="1" applyBorder="1" applyAlignment="1">
      <alignment horizontal="left" vertical="top" wrapText="1"/>
      <protection/>
    </xf>
    <xf numFmtId="0" fontId="6" fillId="33" borderId="0" xfId="49" applyFont="1" applyFill="1" applyAlignment="1">
      <alignment horizontal="left" vertical="top" wrapTex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 horizontal="left" vertical="top" wrapText="1"/>
      <protection/>
    </xf>
    <xf numFmtId="0" fontId="6" fillId="0" borderId="22" xfId="49" applyFont="1" applyBorder="1" applyAlignment="1">
      <alignment horizontal="left" vertical="top" wrapText="1"/>
      <protection/>
    </xf>
    <xf numFmtId="0" fontId="6" fillId="0" borderId="14" xfId="49" applyFont="1" applyBorder="1" applyAlignment="1">
      <alignment horizontal="left" vertical="top" wrapText="1"/>
      <protection/>
    </xf>
    <xf numFmtId="0" fontId="8" fillId="0" borderId="20" xfId="49" applyFont="1" applyBorder="1" applyAlignment="1">
      <alignment horizontal="left" vertical="top" wrapText="1"/>
      <protection/>
    </xf>
    <xf numFmtId="0" fontId="8" fillId="0" borderId="0" xfId="49" applyFont="1" applyBorder="1" applyAlignment="1">
      <alignment vertical="top" wrapText="1"/>
      <protection/>
    </xf>
    <xf numFmtId="0" fontId="6" fillId="0" borderId="0" xfId="49" applyFont="1" applyBorder="1" applyAlignment="1">
      <alignment vertical="top" wrapText="1"/>
      <protection/>
    </xf>
    <xf numFmtId="0" fontId="6" fillId="0" borderId="0" xfId="49" applyFont="1" applyBorder="1">
      <alignment/>
      <protection/>
    </xf>
    <xf numFmtId="0" fontId="8" fillId="0" borderId="0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center"/>
      <protection/>
    </xf>
    <xf numFmtId="0" fontId="6" fillId="0" borderId="23" xfId="49" applyFont="1" applyBorder="1" applyAlignment="1">
      <alignment horizontal="left" wrapText="1"/>
      <protection/>
    </xf>
    <xf numFmtId="0" fontId="6" fillId="0" borderId="11" xfId="49" applyFont="1" applyBorder="1" applyAlignment="1">
      <alignment horizontal="left" wrapText="1"/>
      <protection/>
    </xf>
    <xf numFmtId="0" fontId="6" fillId="33" borderId="0" xfId="49" applyFont="1" applyFill="1" applyBorder="1" applyAlignment="1">
      <alignment horizontal="left" vertical="top" wrapText="1"/>
      <protection/>
    </xf>
    <xf numFmtId="0" fontId="6" fillId="33" borderId="0" xfId="49" applyFont="1" applyFill="1" applyBorder="1">
      <alignment/>
      <protection/>
    </xf>
    <xf numFmtId="0" fontId="8" fillId="33" borderId="0" xfId="49" applyFont="1" applyFill="1" applyBorder="1" applyAlignment="1">
      <alignment horizontal="right"/>
      <protection/>
    </xf>
    <xf numFmtId="0" fontId="8" fillId="0" borderId="0" xfId="49" applyFont="1" applyBorder="1" applyAlignment="1">
      <alignment horizontal="right"/>
      <protection/>
    </xf>
    <xf numFmtId="0" fontId="6" fillId="0" borderId="21" xfId="49" applyFont="1" applyBorder="1" applyAlignment="1">
      <alignment horizontal="justify" vertical="top"/>
      <protection/>
    </xf>
    <xf numFmtId="0" fontId="6" fillId="0" borderId="0" xfId="49" applyFont="1" applyAlignment="1">
      <alignment vertical="center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24" xfId="49" applyFont="1" applyFill="1" applyBorder="1" applyAlignment="1">
      <alignment horizontal="center" vertical="top"/>
      <protection/>
    </xf>
    <xf numFmtId="43" fontId="8" fillId="0" borderId="24" xfId="74" applyFont="1" applyBorder="1" applyAlignment="1">
      <alignment/>
    </xf>
    <xf numFmtId="43" fontId="8" fillId="0" borderId="0" xfId="74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4" xfId="49" applyFont="1" applyBorder="1" applyAlignment="1">
      <alignment vertical="center" wrapText="1"/>
      <protection/>
    </xf>
    <xf numFmtId="0" fontId="6" fillId="0" borderId="18" xfId="49" applyFont="1" applyBorder="1" applyAlignment="1">
      <alignment wrapText="1"/>
      <protection/>
    </xf>
    <xf numFmtId="0" fontId="6" fillId="0" borderId="24" xfId="49" applyFont="1" applyBorder="1" applyAlignment="1">
      <alignment wrapText="1"/>
      <protection/>
    </xf>
    <xf numFmtId="0" fontId="3" fillId="0" borderId="0" xfId="49" applyFont="1" applyAlignment="1">
      <alignment horizontal="center" vertical="center" wrapText="1"/>
      <protection/>
    </xf>
    <xf numFmtId="43" fontId="6" fillId="0" borderId="22" xfId="74" applyFont="1" applyBorder="1" applyAlignment="1">
      <alignment vertical="top" wrapText="1"/>
    </xf>
    <xf numFmtId="43" fontId="8" fillId="0" borderId="14" xfId="74" applyFont="1" applyBorder="1" applyAlignment="1">
      <alignment vertical="top" wrapText="1"/>
    </xf>
    <xf numFmtId="43" fontId="8" fillId="0" borderId="20" xfId="74" applyFont="1" applyBorder="1" applyAlignment="1">
      <alignment vertical="top" wrapText="1"/>
    </xf>
    <xf numFmtId="0" fontId="0" fillId="0" borderId="0" xfId="49" applyFont="1">
      <alignment/>
      <protection/>
    </xf>
    <xf numFmtId="43" fontId="8" fillId="0" borderId="22" xfId="74" applyFont="1" applyBorder="1" applyAlignment="1">
      <alignment horizontal="left" vertical="top" wrapText="1"/>
    </xf>
    <xf numFmtId="43" fontId="8" fillId="0" borderId="0" xfId="74" applyFont="1" applyBorder="1" applyAlignment="1">
      <alignment vertical="top" wrapText="1"/>
    </xf>
    <xf numFmtId="43" fontId="8" fillId="0" borderId="14" xfId="74" applyFont="1" applyBorder="1" applyAlignment="1">
      <alignment horizontal="left" vertical="top" wrapText="1"/>
    </xf>
    <xf numFmtId="43" fontId="6" fillId="0" borderId="18" xfId="74" applyFont="1" applyBorder="1" applyAlignment="1">
      <alignment horizontal="left" vertical="top" wrapText="1"/>
    </xf>
    <xf numFmtId="43" fontId="8" fillId="0" borderId="14" xfId="74" applyFont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8" fillId="0" borderId="20" xfId="74" applyFont="1" applyBorder="1" applyAlignment="1">
      <alignment/>
    </xf>
    <xf numFmtId="43" fontId="8" fillId="0" borderId="0" xfId="74" applyFont="1" applyBorder="1" applyAlignment="1">
      <alignment/>
    </xf>
    <xf numFmtId="43" fontId="6" fillId="0" borderId="18" xfId="74" applyFont="1" applyBorder="1" applyAlignment="1">
      <alignment/>
    </xf>
    <xf numFmtId="43" fontId="6" fillId="0" borderId="22" xfId="74" applyFont="1" applyBorder="1" applyAlignment="1">
      <alignment/>
    </xf>
    <xf numFmtId="43" fontId="6" fillId="0" borderId="0" xfId="74" applyFont="1" applyBorder="1" applyAlignment="1">
      <alignment/>
    </xf>
    <xf numFmtId="43" fontId="6" fillId="0" borderId="14" xfId="74" applyFont="1" applyBorder="1" applyAlignment="1">
      <alignment/>
    </xf>
    <xf numFmtId="43" fontId="8" fillId="0" borderId="14" xfId="74" applyFont="1" applyBorder="1" applyAlignment="1">
      <alignment/>
    </xf>
    <xf numFmtId="0" fontId="8" fillId="0" borderId="22" xfId="49" applyFont="1" applyBorder="1" applyAlignment="1">
      <alignment/>
      <protection/>
    </xf>
    <xf numFmtId="0" fontId="8" fillId="0" borderId="21" xfId="49" applyFont="1" applyBorder="1" applyAlignment="1">
      <alignment/>
      <protection/>
    </xf>
    <xf numFmtId="0" fontId="8" fillId="0" borderId="14" xfId="49" applyFont="1" applyBorder="1" applyAlignment="1">
      <alignment/>
      <protection/>
    </xf>
    <xf numFmtId="0" fontId="8" fillId="0" borderId="0" xfId="49" applyFont="1" applyAlignment="1">
      <alignment/>
      <protection/>
    </xf>
    <xf numFmtId="0" fontId="8" fillId="0" borderId="20" xfId="49" applyFont="1" applyBorder="1" applyAlignment="1">
      <alignment/>
      <protection/>
    </xf>
    <xf numFmtId="0" fontId="8" fillId="0" borderId="10" xfId="49" applyFont="1" applyBorder="1" applyAlignment="1">
      <alignment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3" fontId="0" fillId="0" borderId="0" xfId="0" applyNumberFormat="1" applyFont="1" applyAlignment="1">
      <alignment/>
    </xf>
    <xf numFmtId="0" fontId="8" fillId="0" borderId="0" xfId="49" applyFont="1" applyBorder="1" applyAlignment="1">
      <alignment horizontal="left" vertical="top"/>
      <protection/>
    </xf>
    <xf numFmtId="0" fontId="3" fillId="0" borderId="0" xfId="49" applyFont="1" applyBorder="1">
      <alignment/>
      <protection/>
    </xf>
    <xf numFmtId="0" fontId="3" fillId="0" borderId="0" xfId="0" applyFont="1" applyAlignment="1">
      <alignment wrapText="1"/>
    </xf>
    <xf numFmtId="43" fontId="0" fillId="0" borderId="0" xfId="74" applyFont="1" applyAlignment="1">
      <alignment/>
    </xf>
    <xf numFmtId="43" fontId="3" fillId="0" borderId="0" xfId="74" applyFont="1" applyAlignment="1">
      <alignment/>
    </xf>
    <xf numFmtId="0" fontId="6" fillId="33" borderId="24" xfId="49" applyFont="1" applyFill="1" applyBorder="1" applyAlignment="1">
      <alignment horizontal="left" vertical="top" wrapText="1"/>
      <protection/>
    </xf>
    <xf numFmtId="0" fontId="6" fillId="33" borderId="18" xfId="49" applyFont="1" applyFill="1" applyBorder="1" applyAlignment="1">
      <alignment horizontal="left" vertical="top" wrapText="1"/>
      <protection/>
    </xf>
    <xf numFmtId="0" fontId="6" fillId="33" borderId="24" xfId="49" applyFont="1" applyFill="1" applyBorder="1">
      <alignment/>
      <protection/>
    </xf>
    <xf numFmtId="0" fontId="6" fillId="33" borderId="17" xfId="49" applyFont="1" applyFill="1" applyBorder="1" applyAlignment="1">
      <alignment horizontal="left" vertical="top" wrapText="1"/>
      <protection/>
    </xf>
    <xf numFmtId="43" fontId="2" fillId="0" borderId="0" xfId="49" applyNumberFormat="1" applyFont="1">
      <alignment/>
      <protection/>
    </xf>
    <xf numFmtId="43" fontId="8" fillId="33" borderId="0" xfId="74" applyFont="1" applyFill="1" applyAlignment="1">
      <alignment/>
    </xf>
    <xf numFmtId="43" fontId="3" fillId="0" borderId="0" xfId="49" applyNumberFormat="1" applyFont="1">
      <alignment/>
      <protection/>
    </xf>
    <xf numFmtId="0" fontId="8" fillId="0" borderId="0" xfId="49" applyFont="1" applyBorder="1">
      <alignment/>
      <protection/>
    </xf>
    <xf numFmtId="43" fontId="2" fillId="0" borderId="10" xfId="49" applyNumberFormat="1" applyFont="1" applyBorder="1">
      <alignment/>
      <protection/>
    </xf>
    <xf numFmtId="43" fontId="3" fillId="33" borderId="0" xfId="51" applyNumberFormat="1" applyFont="1" applyFill="1" applyAlignment="1">
      <alignment horizontal="center"/>
      <protection/>
    </xf>
    <xf numFmtId="43" fontId="8" fillId="33" borderId="14" xfId="74" applyFont="1" applyFill="1" applyBorder="1" applyAlignment="1">
      <alignment vertical="top" wrapText="1"/>
    </xf>
    <xf numFmtId="0" fontId="8" fillId="33" borderId="0" xfId="49" applyFont="1" applyFill="1" applyAlignment="1">
      <alignment horizontal="right"/>
      <protection/>
    </xf>
    <xf numFmtId="43" fontId="8" fillId="0" borderId="0" xfId="49" applyNumberFormat="1" applyFont="1" applyAlignment="1">
      <alignment horizontal="right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9" fontId="4" fillId="34" borderId="22" xfId="49" applyNumberFormat="1" applyFont="1" applyFill="1" applyBorder="1" applyAlignment="1">
      <alignment horizontal="center" vertical="center" wrapText="1"/>
      <protection/>
    </xf>
    <xf numFmtId="49" fontId="4" fillId="34" borderId="23" xfId="49" applyNumberFormat="1" applyFont="1" applyFill="1" applyBorder="1" applyAlignment="1">
      <alignment horizontal="center" vertical="center" wrapText="1"/>
      <protection/>
    </xf>
    <xf numFmtId="49" fontId="4" fillId="34" borderId="14" xfId="49" applyNumberFormat="1" applyFont="1" applyFill="1" applyBorder="1" applyAlignment="1">
      <alignment horizontal="center" vertical="center" wrapText="1"/>
      <protection/>
    </xf>
    <xf numFmtId="49" fontId="4" fillId="34" borderId="11" xfId="49" applyNumberFormat="1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/>
      <protection/>
    </xf>
    <xf numFmtId="0" fontId="4" fillId="34" borderId="24" xfId="49" applyFont="1" applyFill="1" applyBorder="1" applyAlignment="1">
      <alignment horizontal="center"/>
      <protection/>
    </xf>
    <xf numFmtId="0" fontId="4" fillId="34" borderId="17" xfId="49" applyFont="1" applyFill="1" applyBorder="1" applyAlignment="1">
      <alignment horizontal="center"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11" xfId="49" applyNumberFormat="1" applyFont="1" applyFill="1" applyBorder="1" applyAlignment="1">
      <alignment horizontal="center"/>
      <protection/>
    </xf>
    <xf numFmtId="49" fontId="4" fillId="34" borderId="22" xfId="49" applyNumberFormat="1" applyFont="1" applyFill="1" applyBorder="1" applyAlignment="1">
      <alignment horizontal="center"/>
      <protection/>
    </xf>
    <xf numFmtId="49" fontId="4" fillId="34" borderId="23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49" fontId="4" fillId="34" borderId="15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37" fontId="3" fillId="35" borderId="17" xfId="49" applyNumberFormat="1" applyFont="1" applyFill="1" applyBorder="1" applyAlignment="1">
      <alignment horizontal="center" vertical="center"/>
      <protection/>
    </xf>
    <xf numFmtId="37" fontId="3" fillId="35" borderId="18" xfId="49" applyNumberFormat="1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/>
      <protection/>
    </xf>
    <xf numFmtId="0" fontId="0" fillId="35" borderId="17" xfId="49" applyFill="1" applyBorder="1" applyAlignment="1">
      <alignment horizontal="center"/>
      <protection/>
    </xf>
    <xf numFmtId="0" fontId="0" fillId="35" borderId="17" xfId="49" applyFill="1" applyBorder="1" applyAlignment="1">
      <alignment horizontal="center" vertical="center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2" fillId="0" borderId="0" xfId="49" applyFont="1" applyAlignment="1">
      <alignment horizontal="left" vertical="center" wrapText="1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20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37" fontId="3" fillId="35" borderId="16" xfId="49" applyNumberFormat="1" applyFont="1" applyFill="1" applyBorder="1" applyAlignment="1">
      <alignment horizontal="center"/>
      <protection/>
    </xf>
    <xf numFmtId="0" fontId="3" fillId="35" borderId="16" xfId="49" applyFont="1" applyFill="1" applyBorder="1" applyAlignment="1">
      <alignment horizontal="center"/>
      <protection/>
    </xf>
    <xf numFmtId="43" fontId="8" fillId="0" borderId="14" xfId="74" applyFont="1" applyBorder="1" applyAlignment="1">
      <alignment horizontal="center"/>
    </xf>
    <xf numFmtId="43" fontId="8" fillId="0" borderId="11" xfId="74" applyFont="1" applyBorder="1" applyAlignment="1">
      <alignment horizontal="center"/>
    </xf>
    <xf numFmtId="43" fontId="8" fillId="0" borderId="0" xfId="74" applyFont="1" applyBorder="1" applyAlignment="1">
      <alignment horizontal="center"/>
    </xf>
    <xf numFmtId="43" fontId="8" fillId="0" borderId="14" xfId="74" applyFont="1" applyBorder="1" applyAlignment="1">
      <alignment horizontal="center" vertical="top" wrapText="1"/>
    </xf>
    <xf numFmtId="43" fontId="8" fillId="0" borderId="11" xfId="74" applyFont="1" applyBorder="1" applyAlignment="1">
      <alignment horizontal="center" vertical="top" wrapText="1"/>
    </xf>
    <xf numFmtId="43" fontId="8" fillId="0" borderId="0" xfId="74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3" fillId="0" borderId="0" xfId="49" applyFont="1" applyAlignment="1">
      <alignment horizontal="left" wrapText="1"/>
      <protection/>
    </xf>
    <xf numFmtId="43" fontId="8" fillId="0" borderId="0" xfId="74" applyFont="1" applyAlignment="1">
      <alignment horizontal="center"/>
    </xf>
    <xf numFmtId="43" fontId="8" fillId="0" borderId="10" xfId="74" applyFont="1" applyBorder="1" applyAlignment="1">
      <alignment horizontal="center"/>
    </xf>
    <xf numFmtId="43" fontId="8" fillId="0" borderId="15" xfId="74" applyFont="1" applyBorder="1" applyAlignment="1">
      <alignment horizontal="center"/>
    </xf>
    <xf numFmtId="43" fontId="6" fillId="0" borderId="0" xfId="74" applyFont="1" applyBorder="1" applyAlignment="1">
      <alignment horizontal="center"/>
    </xf>
    <xf numFmtId="43" fontId="6" fillId="0" borderId="11" xfId="74" applyFont="1" applyBorder="1" applyAlignment="1">
      <alignment horizontal="center"/>
    </xf>
    <xf numFmtId="43" fontId="8" fillId="0" borderId="21" xfId="74" applyFont="1" applyBorder="1" applyAlignment="1">
      <alignment horizontal="center"/>
    </xf>
    <xf numFmtId="43" fontId="6" fillId="0" borderId="14" xfId="74" applyFont="1" applyBorder="1" applyAlignment="1">
      <alignment horizontal="center"/>
    </xf>
    <xf numFmtId="43" fontId="6" fillId="0" borderId="22" xfId="74" applyFont="1" applyBorder="1" applyAlignment="1">
      <alignment horizontal="center"/>
    </xf>
    <xf numFmtId="43" fontId="6" fillId="0" borderId="23" xfId="74" applyFont="1" applyBorder="1" applyAlignment="1">
      <alignment horizontal="center"/>
    </xf>
    <xf numFmtId="43" fontId="6" fillId="0" borderId="21" xfId="74" applyFont="1" applyBorder="1" applyAlignment="1">
      <alignment horizontal="center"/>
    </xf>
    <xf numFmtId="43" fontId="8" fillId="0" borderId="20" xfId="74" applyFont="1" applyBorder="1" applyAlignment="1">
      <alignment horizontal="center"/>
    </xf>
    <xf numFmtId="43" fontId="6" fillId="0" borderId="24" xfId="74" applyFont="1" applyBorder="1" applyAlignment="1">
      <alignment horizontal="center"/>
    </xf>
    <xf numFmtId="43" fontId="6" fillId="0" borderId="17" xfId="74" applyFont="1" applyBorder="1" applyAlignment="1">
      <alignment horizontal="center"/>
    </xf>
    <xf numFmtId="43" fontId="8" fillId="0" borderId="23" xfId="74" applyFont="1" applyBorder="1" applyAlignment="1">
      <alignment horizontal="center"/>
    </xf>
    <xf numFmtId="43" fontId="6" fillId="0" borderId="18" xfId="74" applyFont="1" applyBorder="1" applyAlignment="1">
      <alignment horizontal="center"/>
    </xf>
    <xf numFmtId="43" fontId="8" fillId="33" borderId="10" xfId="74" applyFont="1" applyFill="1" applyBorder="1" applyAlignment="1">
      <alignment horizontal="center"/>
    </xf>
    <xf numFmtId="43" fontId="8" fillId="33" borderId="15" xfId="74" applyFont="1" applyFill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8" fillId="0" borderId="21" xfId="74" applyFont="1" applyBorder="1" applyAlignment="1">
      <alignment horizontal="center" vertical="top" wrapText="1"/>
    </xf>
    <xf numFmtId="165" fontId="8" fillId="0" borderId="0" xfId="65" applyFont="1" applyFill="1" applyBorder="1" applyAlignment="1">
      <alignment horizontal="center"/>
    </xf>
    <xf numFmtId="43" fontId="8" fillId="0" borderId="0" xfId="74" applyFont="1" applyAlignment="1">
      <alignment horizontal="center" vertical="top" wrapText="1"/>
    </xf>
    <xf numFmtId="43" fontId="6" fillId="0" borderId="18" xfId="74" applyFont="1" applyBorder="1" applyAlignment="1">
      <alignment horizontal="center" vertical="top" wrapText="1"/>
    </xf>
    <xf numFmtId="43" fontId="6" fillId="0" borderId="17" xfId="74" applyFont="1" applyBorder="1" applyAlignment="1">
      <alignment horizontal="center" vertical="top" wrapText="1"/>
    </xf>
    <xf numFmtId="43" fontId="8" fillId="0" borderId="23" xfId="74" applyFont="1" applyBorder="1" applyAlignment="1">
      <alignment horizontal="center" vertical="top" wrapText="1"/>
    </xf>
    <xf numFmtId="0" fontId="6" fillId="34" borderId="20" xfId="51" applyFont="1" applyFill="1" applyBorder="1" applyAlignment="1">
      <alignment horizontal="center"/>
      <protection/>
    </xf>
    <xf numFmtId="0" fontId="6" fillId="34" borderId="10" xfId="51" applyFont="1" applyFill="1" applyBorder="1" applyAlignment="1">
      <alignment horizontal="center"/>
      <protection/>
    </xf>
    <xf numFmtId="43" fontId="6" fillId="0" borderId="22" xfId="74" applyFont="1" applyBorder="1" applyAlignment="1">
      <alignment horizontal="center" vertical="top" wrapText="1"/>
    </xf>
    <xf numFmtId="43" fontId="6" fillId="0" borderId="23" xfId="74" applyFont="1" applyBorder="1" applyAlignment="1">
      <alignment horizontal="center" vertical="top" wrapText="1"/>
    </xf>
    <xf numFmtId="43" fontId="8" fillId="33" borderId="14" xfId="74" applyFont="1" applyFill="1" applyBorder="1" applyAlignment="1">
      <alignment horizontal="center" vertical="top" wrapText="1"/>
    </xf>
    <xf numFmtId="43" fontId="8" fillId="33" borderId="11" xfId="74" applyFont="1" applyFill="1" applyBorder="1" applyAlignment="1">
      <alignment horizontal="center" vertical="top" wrapText="1"/>
    </xf>
    <xf numFmtId="43" fontId="8" fillId="0" borderId="20" xfId="74" applyFont="1" applyBorder="1" applyAlignment="1">
      <alignment horizontal="center" vertical="top" wrapText="1"/>
    </xf>
    <xf numFmtId="43" fontId="8" fillId="0" borderId="15" xfId="74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34" borderId="22" xfId="51" applyFont="1" applyFill="1" applyBorder="1" applyAlignment="1">
      <alignment horizontal="center" vertical="center" wrapText="1"/>
      <protection/>
    </xf>
    <xf numFmtId="0" fontId="6" fillId="34" borderId="21" xfId="51" applyFont="1" applyFill="1" applyBorder="1" applyAlignment="1">
      <alignment horizontal="center" vertical="center" wrapText="1"/>
      <protection/>
    </xf>
    <xf numFmtId="43" fontId="8" fillId="33" borderId="14" xfId="74" applyFont="1" applyFill="1" applyBorder="1" applyAlignment="1">
      <alignment horizontal="center" vertical="center"/>
    </xf>
    <xf numFmtId="43" fontId="8" fillId="33" borderId="11" xfId="74" applyFont="1" applyFill="1" applyBorder="1" applyAlignment="1">
      <alignment horizontal="center" vertical="center"/>
    </xf>
    <xf numFmtId="43" fontId="8" fillId="0" borderId="20" xfId="74" applyFont="1" applyBorder="1" applyAlignment="1">
      <alignment horizontal="center" vertical="center"/>
    </xf>
    <xf numFmtId="43" fontId="8" fillId="0" borderId="15" xfId="74" applyFont="1" applyBorder="1" applyAlignment="1">
      <alignment horizontal="center" vertical="center"/>
    </xf>
    <xf numFmtId="0" fontId="6" fillId="34" borderId="14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 horizontal="center"/>
      <protection/>
    </xf>
    <xf numFmtId="43" fontId="6" fillId="0" borderId="24" xfId="74" applyFont="1" applyBorder="1" applyAlignment="1">
      <alignment horizontal="center" vertical="top" wrapText="1"/>
    </xf>
    <xf numFmtId="0" fontId="8" fillId="0" borderId="21" xfId="49" applyFont="1" applyBorder="1" applyAlignment="1">
      <alignment horizontal="left"/>
      <protection/>
    </xf>
    <xf numFmtId="0" fontId="8" fillId="0" borderId="23" xfId="49" applyFont="1" applyBorder="1" applyAlignment="1">
      <alignment horizontal="left"/>
      <protection/>
    </xf>
    <xf numFmtId="0" fontId="6" fillId="0" borderId="24" xfId="49" applyFont="1" applyBorder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0" fontId="8" fillId="0" borderId="0" xfId="49" applyFont="1" applyAlignment="1">
      <alignment horizontal="left" wrapText="1"/>
      <protection/>
    </xf>
    <xf numFmtId="0" fontId="8" fillId="0" borderId="11" xfId="49" applyFont="1" applyBorder="1" applyAlignment="1">
      <alignment horizontal="left" wrapText="1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3" fillId="0" borderId="0" xfId="49" applyFont="1" applyAlignment="1">
      <alignment horizontal="left" vertical="center" wrapText="1"/>
      <protection/>
    </xf>
    <xf numFmtId="0" fontId="6" fillId="34" borderId="14" xfId="51" applyFont="1" applyFill="1" applyBorder="1" applyAlignment="1">
      <alignment horizontal="center" wrapText="1"/>
      <protection/>
    </xf>
    <xf numFmtId="0" fontId="6" fillId="34" borderId="0" xfId="51" applyFont="1" applyFill="1" applyBorder="1" applyAlignment="1">
      <alignment horizontal="center" wrapText="1"/>
      <protection/>
    </xf>
    <xf numFmtId="0" fontId="6" fillId="34" borderId="20" xfId="49" applyFont="1" applyFill="1" applyBorder="1" applyAlignment="1">
      <alignment horizontal="center"/>
      <protection/>
    </xf>
    <xf numFmtId="0" fontId="6" fillId="34" borderId="10" xfId="49" applyFont="1" applyFill="1" applyBorder="1" applyAlignment="1">
      <alignment horizontal="center"/>
      <protection/>
    </xf>
    <xf numFmtId="0" fontId="6" fillId="34" borderId="15" xfId="49" applyFont="1" applyFill="1" applyBorder="1" applyAlignment="1">
      <alignment horizontal="center"/>
      <protection/>
    </xf>
    <xf numFmtId="0" fontId="6" fillId="34" borderId="14" xfId="49" applyFont="1" applyFill="1" applyBorder="1" applyAlignment="1">
      <alignment horizontal="center" vertical="center"/>
      <protection/>
    </xf>
    <xf numFmtId="0" fontId="6" fillId="34" borderId="0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/>
      <protection/>
    </xf>
    <xf numFmtId="0" fontId="6" fillId="34" borderId="14" xfId="51" applyFont="1" applyFill="1" applyBorder="1" applyAlignment="1">
      <alignment horizontal="center" vertical="center" wrapText="1"/>
      <protection/>
    </xf>
    <xf numFmtId="0" fontId="6" fillId="34" borderId="0" xfId="51" applyFont="1" applyFill="1" applyBorder="1" applyAlignment="1">
      <alignment horizontal="center" vertical="center" wrapText="1"/>
      <protection/>
    </xf>
    <xf numFmtId="0" fontId="6" fillId="34" borderId="11" xfId="51" applyFont="1" applyFill="1" applyBorder="1" applyAlignment="1">
      <alignment horizontal="center" vertical="center" wrapText="1"/>
      <protection/>
    </xf>
    <xf numFmtId="0" fontId="6" fillId="34" borderId="0" xfId="49" applyFont="1" applyFill="1" applyAlignment="1">
      <alignment horizontal="center"/>
      <protection/>
    </xf>
    <xf numFmtId="0" fontId="6" fillId="34" borderId="23" xfId="51" applyFont="1" applyFill="1" applyBorder="1" applyAlignment="1">
      <alignment horizontal="center" vertical="center" wrapText="1"/>
      <protection/>
    </xf>
    <xf numFmtId="0" fontId="6" fillId="34" borderId="11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wrapText="1"/>
      <protection/>
    </xf>
    <xf numFmtId="0" fontId="6" fillId="34" borderId="23" xfId="49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11" fillId="34" borderId="21" xfId="49" applyFont="1" applyFill="1" applyBorder="1" applyAlignment="1">
      <alignment horizontal="center" vertical="center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23" xfId="49" applyFont="1" applyFill="1" applyBorder="1" applyAlignment="1">
      <alignment horizontal="center" vertical="center"/>
      <protection/>
    </xf>
    <xf numFmtId="0" fontId="6" fillId="34" borderId="15" xfId="49" applyFont="1" applyFill="1" applyBorder="1" applyAlignment="1">
      <alignment horizontal="center" vertical="center"/>
      <protection/>
    </xf>
    <xf numFmtId="0" fontId="6" fillId="34" borderId="24" xfId="49" applyFont="1" applyFill="1" applyBorder="1" applyAlignment="1">
      <alignment horizontal="center" vertical="center" wrapText="1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3" fontId="6" fillId="0" borderId="0" xfId="74" applyFont="1" applyAlignment="1">
      <alignment horizontal="center" vertical="top" wrapText="1"/>
    </xf>
    <xf numFmtId="43" fontId="6" fillId="0" borderId="11" xfId="74" applyFont="1" applyBorder="1" applyAlignment="1">
      <alignment horizontal="center" vertical="top" wrapText="1"/>
    </xf>
    <xf numFmtId="0" fontId="6" fillId="34" borderId="22" xfId="49" applyFont="1" applyFill="1" applyBorder="1" applyAlignment="1">
      <alignment horizontal="center" vertical="center"/>
      <protection/>
    </xf>
    <xf numFmtId="0" fontId="6" fillId="34" borderId="21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10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6" fillId="34" borderId="15" xfId="49" applyFont="1" applyFill="1" applyBorder="1" applyAlignment="1">
      <alignment horizontal="center" vertical="center" wrapText="1"/>
      <protection/>
    </xf>
    <xf numFmtId="43" fontId="6" fillId="0" borderId="18" xfId="74" applyFont="1" applyBorder="1" applyAlignment="1">
      <alignment horizontal="center" vertical="center"/>
    </xf>
    <xf numFmtId="43" fontId="6" fillId="0" borderId="24" xfId="74" applyFont="1" applyBorder="1" applyAlignment="1">
      <alignment horizontal="center" vertical="center"/>
    </xf>
    <xf numFmtId="43" fontId="6" fillId="0" borderId="17" xfId="74" applyFont="1" applyBorder="1" applyAlignment="1">
      <alignment horizontal="center" vertical="center"/>
    </xf>
    <xf numFmtId="0" fontId="6" fillId="34" borderId="0" xfId="49" applyFont="1" applyFill="1" applyAlignment="1">
      <alignment horizontal="center" vertical="center"/>
      <protection/>
    </xf>
    <xf numFmtId="0" fontId="6" fillId="34" borderId="14" xfId="49" applyFont="1" applyFill="1" applyBorder="1" applyAlignment="1">
      <alignment horizontal="center" vertical="center" wrapText="1"/>
      <protection/>
    </xf>
    <xf numFmtId="0" fontId="6" fillId="34" borderId="0" xfId="49" applyFont="1" applyFill="1" applyAlignment="1">
      <alignment horizontal="center" vertical="center" wrapText="1"/>
      <protection/>
    </xf>
    <xf numFmtId="0" fontId="8" fillId="0" borderId="10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43" fontId="8" fillId="0" borderId="10" xfId="74" applyFont="1" applyBorder="1" applyAlignment="1">
      <alignment horizontal="center" vertical="top" wrapText="1"/>
    </xf>
    <xf numFmtId="43" fontId="8" fillId="0" borderId="22" xfId="74" applyFont="1" applyBorder="1" applyAlignment="1">
      <alignment horizontal="center" vertical="top" wrapText="1"/>
    </xf>
    <xf numFmtId="43" fontId="8" fillId="0" borderId="10" xfId="74" applyFont="1" applyBorder="1" applyAlignment="1">
      <alignment horizontal="center" vertical="center"/>
    </xf>
    <xf numFmtId="43" fontId="8" fillId="0" borderId="0" xfId="74" applyFont="1" applyAlignment="1">
      <alignment horizontal="center" vertical="center"/>
    </xf>
    <xf numFmtId="43" fontId="8" fillId="0" borderId="14" xfId="74" applyFont="1" applyBorder="1" applyAlignment="1">
      <alignment horizontal="center" vertical="center" wrapText="1"/>
    </xf>
    <xf numFmtId="43" fontId="8" fillId="0" borderId="0" xfId="74" applyFont="1" applyAlignment="1">
      <alignment horizontal="center" vertical="center" wrapText="1"/>
    </xf>
    <xf numFmtId="43" fontId="6" fillId="0" borderId="22" xfId="74" applyFont="1" applyBorder="1" applyAlignment="1">
      <alignment horizontal="center" vertical="center"/>
    </xf>
    <xf numFmtId="43" fontId="6" fillId="0" borderId="23" xfId="74" applyFont="1" applyBorder="1" applyAlignment="1">
      <alignment horizontal="center" vertical="center"/>
    </xf>
    <xf numFmtId="43" fontId="6" fillId="0" borderId="22" xfId="74" applyFont="1" applyBorder="1" applyAlignment="1">
      <alignment horizontal="center" vertical="center" wrapText="1"/>
    </xf>
    <xf numFmtId="43" fontId="6" fillId="0" borderId="23" xfId="74" applyFont="1" applyBorder="1" applyAlignment="1">
      <alignment horizontal="center" vertical="center" wrapText="1"/>
    </xf>
    <xf numFmtId="43" fontId="8" fillId="0" borderId="21" xfId="74" applyFont="1" applyBorder="1" applyAlignment="1">
      <alignment horizontal="center" vertical="center"/>
    </xf>
    <xf numFmtId="43" fontId="8" fillId="0" borderId="22" xfId="74" applyFont="1" applyBorder="1" applyAlignment="1">
      <alignment horizontal="center" vertical="center" wrapText="1"/>
    </xf>
    <xf numFmtId="43" fontId="8" fillId="0" borderId="21" xfId="74" applyFont="1" applyBorder="1" applyAlignment="1">
      <alignment horizontal="center" vertical="center" wrapText="1"/>
    </xf>
    <xf numFmtId="43" fontId="8" fillId="0" borderId="22" xfId="49" applyNumberFormat="1" applyFont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 wrapText="1"/>
      <protection/>
    </xf>
    <xf numFmtId="0" fontId="8" fillId="0" borderId="23" xfId="49" applyFont="1" applyBorder="1" applyAlignment="1">
      <alignment horizontal="center" vertical="center" wrapText="1"/>
      <protection/>
    </xf>
    <xf numFmtId="43" fontId="8" fillId="0" borderId="0" xfId="49" applyNumberFormat="1" applyFont="1" applyAlignment="1">
      <alignment horizontal="center" vertical="center" wrapText="1"/>
      <protection/>
    </xf>
    <xf numFmtId="0" fontId="8" fillId="0" borderId="0" xfId="49" applyFont="1" applyAlignment="1">
      <alignment horizontal="center" vertical="center" wrapText="1"/>
      <protection/>
    </xf>
    <xf numFmtId="0" fontId="6" fillId="34" borderId="24" xfId="49" applyFont="1" applyFill="1" applyBorder="1" applyAlignment="1">
      <alignment horizontal="center" vertical="top"/>
      <protection/>
    </xf>
    <xf numFmtId="0" fontId="3" fillId="0" borderId="0" xfId="51" applyFont="1" applyAlignment="1">
      <alignment horizontal="center" vertical="center"/>
      <protection/>
    </xf>
    <xf numFmtId="0" fontId="6" fillId="34" borderId="0" xfId="49" applyFont="1" applyFill="1" applyBorder="1" applyAlignment="1">
      <alignment horizontal="center" vertical="center" wrapText="1"/>
      <protection/>
    </xf>
    <xf numFmtId="0" fontId="6" fillId="34" borderId="0" xfId="51" applyFont="1" applyFill="1" applyAlignment="1">
      <alignment horizontal="center" vertical="center" wrapText="1"/>
      <protection/>
    </xf>
    <xf numFmtId="43" fontId="8" fillId="0" borderId="22" xfId="74" applyFont="1" applyBorder="1" applyAlignment="1">
      <alignment horizontal="center" vertical="center"/>
    </xf>
    <xf numFmtId="43" fontId="8" fillId="0" borderId="23" xfId="74" applyFont="1" applyBorder="1" applyAlignment="1">
      <alignment horizontal="center" vertical="center"/>
    </xf>
    <xf numFmtId="0" fontId="6" fillId="34" borderId="22" xfId="49" applyFont="1" applyFill="1" applyBorder="1" applyAlignment="1">
      <alignment horizontal="center"/>
      <protection/>
    </xf>
    <xf numFmtId="0" fontId="6" fillId="34" borderId="21" xfId="49" applyFont="1" applyFill="1" applyBorder="1" applyAlignment="1">
      <alignment horizontal="center"/>
      <protection/>
    </xf>
    <xf numFmtId="0" fontId="6" fillId="34" borderId="23" xfId="49" applyFont="1" applyFill="1" applyBorder="1" applyAlignment="1">
      <alignment horizontal="center"/>
      <protection/>
    </xf>
    <xf numFmtId="165" fontId="8" fillId="0" borderId="11" xfId="65" applyFont="1" applyFill="1" applyBorder="1" applyAlignment="1">
      <alignment horizontal="center"/>
    </xf>
    <xf numFmtId="0" fontId="8" fillId="0" borderId="0" xfId="49" applyFont="1" applyAlignment="1">
      <alignment horizontal="center" vertical="top" wrapText="1"/>
      <protection/>
    </xf>
    <xf numFmtId="0" fontId="8" fillId="0" borderId="0" xfId="49" applyFont="1" applyAlignment="1">
      <alignment horizontal="center"/>
      <protection/>
    </xf>
    <xf numFmtId="0" fontId="6" fillId="0" borderId="0" xfId="49" applyFont="1" applyAlignment="1">
      <alignment horizontal="center"/>
      <protection/>
    </xf>
    <xf numFmtId="43" fontId="6" fillId="33" borderId="0" xfId="74" applyFont="1" applyFill="1" applyAlignment="1">
      <alignment horizontal="center"/>
    </xf>
    <xf numFmtId="43" fontId="6" fillId="33" borderId="11" xfId="74" applyFont="1" applyFill="1" applyBorder="1" applyAlignment="1">
      <alignment horizontal="center"/>
    </xf>
    <xf numFmtId="43" fontId="6" fillId="0" borderId="0" xfId="74" applyFont="1" applyAlignment="1">
      <alignment horizontal="center"/>
    </xf>
    <xf numFmtId="43" fontId="8" fillId="0" borderId="11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/>
    </xf>
    <xf numFmtId="43" fontId="6" fillId="0" borderId="21" xfId="74" applyFont="1" applyBorder="1" applyAlignment="1">
      <alignment horizontal="center" vertical="top" wrapText="1"/>
    </xf>
    <xf numFmtId="43" fontId="8" fillId="0" borderId="10" xfId="74" applyFont="1" applyBorder="1" applyAlignment="1">
      <alignment horizontal="center" vertical="center" wrapText="1"/>
    </xf>
    <xf numFmtId="43" fontId="8" fillId="0" borderId="15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 wrapText="1"/>
    </xf>
    <xf numFmtId="43" fontId="6" fillId="33" borderId="17" xfId="74" applyFont="1" applyFill="1" applyBorder="1" applyAlignment="1">
      <alignment horizontal="center" wrapText="1"/>
    </xf>
    <xf numFmtId="43" fontId="8" fillId="33" borderId="20" xfId="74" applyFont="1" applyFill="1" applyBorder="1" applyAlignment="1">
      <alignment horizontal="center" vertical="top" wrapText="1"/>
    </xf>
    <xf numFmtId="43" fontId="8" fillId="33" borderId="15" xfId="74" applyFont="1" applyFill="1" applyBorder="1" applyAlignment="1">
      <alignment horizontal="center" vertical="top" wrapText="1"/>
    </xf>
    <xf numFmtId="43" fontId="6" fillId="33" borderId="18" xfId="74" applyFont="1" applyFill="1" applyBorder="1" applyAlignment="1">
      <alignment horizontal="center" vertical="top" wrapText="1"/>
    </xf>
    <xf numFmtId="43" fontId="6" fillId="33" borderId="17" xfId="74" applyFont="1" applyFill="1" applyBorder="1" applyAlignment="1">
      <alignment horizontal="center" vertical="top" wrapText="1"/>
    </xf>
    <xf numFmtId="43" fontId="8" fillId="33" borderId="0" xfId="74" applyFont="1" applyFill="1" applyAlignment="1">
      <alignment horizontal="center"/>
    </xf>
    <xf numFmtId="165" fontId="6" fillId="0" borderId="10" xfId="65" applyFont="1" applyFill="1" applyBorder="1" applyAlignment="1">
      <alignment horizontal="center"/>
    </xf>
    <xf numFmtId="43" fontId="6" fillId="33" borderId="21" xfId="74" applyFont="1" applyFill="1" applyBorder="1" applyAlignment="1">
      <alignment horizontal="center"/>
    </xf>
    <xf numFmtId="165" fontId="6" fillId="0" borderId="15" xfId="65" applyFont="1" applyFill="1" applyBorder="1" applyAlignment="1">
      <alignment horizontal="center"/>
    </xf>
    <xf numFmtId="43" fontId="6" fillId="33" borderId="14" xfId="74" applyFont="1" applyFill="1" applyBorder="1" applyAlignment="1">
      <alignment horizontal="center" vertical="top" wrapText="1"/>
    </xf>
    <xf numFmtId="43" fontId="6" fillId="33" borderId="11" xfId="74" applyFont="1" applyFill="1" applyBorder="1" applyAlignment="1">
      <alignment horizontal="center" vertical="top" wrapText="1"/>
    </xf>
    <xf numFmtId="43" fontId="6" fillId="0" borderId="14" xfId="74" applyFont="1" applyBorder="1" applyAlignment="1">
      <alignment horizontal="center" vertical="top" wrapText="1"/>
    </xf>
    <xf numFmtId="43" fontId="6" fillId="33" borderId="24" xfId="74" applyFont="1" applyFill="1" applyBorder="1" applyAlignment="1">
      <alignment horizontal="center" vertical="top" wrapText="1"/>
    </xf>
    <xf numFmtId="43" fontId="6" fillId="0" borderId="0" xfId="74" applyFont="1" applyBorder="1" applyAlignment="1">
      <alignment horizontal="center" vertical="top" wrapText="1"/>
    </xf>
    <xf numFmtId="43" fontId="8" fillId="0" borderId="0" xfId="74" applyFont="1" applyBorder="1" applyAlignment="1">
      <alignment horizontal="center" vertical="center" wrapText="1"/>
    </xf>
    <xf numFmtId="43" fontId="8" fillId="0" borderId="0" xfId="74" applyFont="1" applyBorder="1" applyAlignment="1">
      <alignment horizontal="center" vertical="center"/>
    </xf>
    <xf numFmtId="43" fontId="8" fillId="0" borderId="11" xfId="74" applyFont="1" applyBorder="1" applyAlignment="1">
      <alignment horizontal="center" vertical="center"/>
    </xf>
    <xf numFmtId="0" fontId="3" fillId="33" borderId="0" xfId="49" applyFont="1" applyFill="1" applyAlignment="1">
      <alignment horizontal="left" wrapText="1"/>
      <protection/>
    </xf>
    <xf numFmtId="0" fontId="3" fillId="0" borderId="0" xfId="49" applyFont="1" applyAlignment="1">
      <alignment horizontal="left" vertical="top" wrapText="1"/>
      <protection/>
    </xf>
    <xf numFmtId="0" fontId="9" fillId="0" borderId="0" xfId="49" applyFont="1" applyAlignment="1">
      <alignment horizontal="left" vertical="top" wrapText="1"/>
      <protection/>
    </xf>
    <xf numFmtId="0" fontId="3" fillId="0" borderId="0" xfId="49" applyFont="1" applyFill="1">
      <alignment/>
      <protection/>
    </xf>
    <xf numFmtId="0" fontId="3" fillId="0" borderId="0" xfId="49" applyFont="1" applyFill="1" applyAlignment="1">
      <alignment horizontal="center"/>
      <protection/>
    </xf>
    <xf numFmtId="43" fontId="3" fillId="0" borderId="0" xfId="74" applyFont="1" applyFill="1" applyAlignment="1">
      <alignment/>
    </xf>
    <xf numFmtId="43" fontId="3" fillId="0" borderId="0" xfId="49" applyNumberFormat="1" applyFont="1" applyFill="1" applyAlignment="1">
      <alignment horizontal="center"/>
      <protection/>
    </xf>
    <xf numFmtId="0" fontId="58" fillId="0" borderId="0" xfId="0" applyFont="1" applyFill="1" applyAlignment="1">
      <alignment/>
    </xf>
    <xf numFmtId="0" fontId="59" fillId="0" borderId="0" xfId="49" applyFont="1" applyFill="1">
      <alignment/>
      <protection/>
    </xf>
    <xf numFmtId="0" fontId="3" fillId="0" borderId="0" xfId="49" applyFont="1" applyAlignment="1">
      <alignment vertical="center" wrapText="1"/>
      <protection/>
    </xf>
    <xf numFmtId="43" fontId="3" fillId="0" borderId="0" xfId="49" applyNumberFormat="1" applyFont="1" applyFill="1">
      <alignment/>
      <protection/>
    </xf>
    <xf numFmtId="43" fontId="3" fillId="0" borderId="0" xfId="74" applyFont="1" applyFill="1" applyAlignment="1">
      <alignment horizontal="center"/>
    </xf>
    <xf numFmtId="0" fontId="16" fillId="0" borderId="0" xfId="0" applyFont="1" applyFill="1" applyAlignment="1">
      <alignment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rmal 7" xfId="58"/>
    <cellStyle name="Normal 7 2" xfId="59"/>
    <cellStyle name="Nota" xfId="60"/>
    <cellStyle name="Percent" xfId="61"/>
    <cellStyle name="Ruim" xfId="62"/>
    <cellStyle name="Saída" xfId="63"/>
    <cellStyle name="Comma [0]" xfId="64"/>
    <cellStyle name="Separador de milhares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190</xdr:row>
      <xdr:rowOff>66675</xdr:rowOff>
    </xdr:from>
    <xdr:to>
      <xdr:col>2</xdr:col>
      <xdr:colOff>885825</xdr:colOff>
      <xdr:row>193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3962400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120</xdr:row>
      <xdr:rowOff>152400</xdr:rowOff>
    </xdr:from>
    <xdr:to>
      <xdr:col>2</xdr:col>
      <xdr:colOff>895350</xdr:colOff>
      <xdr:row>123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57556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62</xdr:row>
      <xdr:rowOff>152400</xdr:rowOff>
    </xdr:from>
    <xdr:to>
      <xdr:col>2</xdr:col>
      <xdr:colOff>876300</xdr:colOff>
      <xdr:row>65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25253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104775</xdr:rowOff>
    </xdr:from>
    <xdr:to>
      <xdr:col>2</xdr:col>
      <xdr:colOff>828675</xdr:colOff>
      <xdr:row>3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047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235</xdr:row>
      <xdr:rowOff>38100</xdr:rowOff>
    </xdr:from>
    <xdr:to>
      <xdr:col>10</xdr:col>
      <xdr:colOff>1133475</xdr:colOff>
      <xdr:row>260</xdr:row>
      <xdr:rowOff>104775</xdr:rowOff>
    </xdr:to>
    <xdr:pic>
      <xdr:nvPicPr>
        <xdr:cNvPr id="5" name="Image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8653700"/>
          <a:ext cx="1722120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12" customWidth="1"/>
    <col min="2" max="2" width="10.7109375" style="112" customWidth="1"/>
    <col min="3" max="3" width="12.7109375" style="112" customWidth="1"/>
    <col min="4" max="5" width="11.7109375" style="112" customWidth="1"/>
    <col min="6" max="6" width="10.7109375" style="112" customWidth="1"/>
    <col min="7" max="8" width="11.7109375" style="112" customWidth="1"/>
    <col min="9" max="9" width="10.7109375" style="112" customWidth="1"/>
    <col min="10" max="11" width="11.7109375" style="112" customWidth="1"/>
    <col min="12" max="12" width="10.7109375" style="112" customWidth="1"/>
    <col min="13" max="13" width="13.8515625" style="112" customWidth="1"/>
    <col min="14" max="14" width="18.57421875" style="112" customWidth="1"/>
    <col min="15" max="15" width="6.57421875" style="112" customWidth="1"/>
    <col min="16" max="17" width="15.421875" style="112" customWidth="1"/>
    <col min="18" max="18" width="22.00390625" style="112" customWidth="1"/>
    <col min="19" max="19" width="13.421875" style="112" customWidth="1"/>
    <col min="20" max="16384" width="9.140625" style="112" customWidth="1"/>
  </cols>
  <sheetData>
    <row r="1" ht="15.75">
      <c r="A1" s="117" t="s">
        <v>0</v>
      </c>
    </row>
    <row r="2" ht="11.25" customHeight="1">
      <c r="A2" s="114"/>
    </row>
    <row r="3" spans="1:11" ht="11.25" customHeight="1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1.25" customHeight="1">
      <c r="A4" s="294" t="s">
        <v>2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</row>
    <row r="5" spans="1:11" ht="11.25" customHeight="1">
      <c r="A5" s="295" t="s">
        <v>3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</row>
    <row r="6" spans="1:11" ht="11.25" customHeight="1">
      <c r="A6" s="293" t="s">
        <v>4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</row>
    <row r="7" spans="1:11" ht="11.25" customHeight="1">
      <c r="A7" s="294" t="s">
        <v>5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</row>
    <row r="8" spans="1:11" ht="11.25" customHeight="1">
      <c r="A8" s="27"/>
      <c r="B8" s="27"/>
      <c r="C8" s="27"/>
      <c r="D8" s="27"/>
      <c r="E8" s="27"/>
      <c r="F8" s="27"/>
      <c r="G8" s="27"/>
      <c r="H8" s="27"/>
      <c r="I8" s="131"/>
      <c r="J8" s="131"/>
      <c r="K8" s="131"/>
    </row>
    <row r="9" spans="1:12" ht="11.25" customHeight="1">
      <c r="A9" s="113" t="s">
        <v>6</v>
      </c>
      <c r="E9" s="28"/>
      <c r="H9" s="29"/>
      <c r="I9" s="131"/>
      <c r="J9" s="2"/>
      <c r="L9" s="2" t="s">
        <v>7</v>
      </c>
    </row>
    <row r="10" spans="1:12" ht="11.25" customHeight="1">
      <c r="A10" s="30"/>
      <c r="B10" s="296" t="s">
        <v>8</v>
      </c>
      <c r="C10" s="297"/>
      <c r="D10" s="296" t="s">
        <v>9</v>
      </c>
      <c r="E10" s="297"/>
      <c r="F10" s="300" t="s">
        <v>10</v>
      </c>
      <c r="G10" s="301"/>
      <c r="H10" s="301"/>
      <c r="I10" s="301"/>
      <c r="J10" s="301"/>
      <c r="K10" s="302"/>
      <c r="L10" s="31" t="s">
        <v>11</v>
      </c>
    </row>
    <row r="11" spans="1:12" ht="12.75" customHeight="1">
      <c r="A11" s="32" t="s">
        <v>12</v>
      </c>
      <c r="B11" s="298"/>
      <c r="C11" s="299"/>
      <c r="D11" s="298"/>
      <c r="E11" s="299"/>
      <c r="F11" s="303" t="s">
        <v>13</v>
      </c>
      <c r="G11" s="304"/>
      <c r="H11" s="33" t="s">
        <v>14</v>
      </c>
      <c r="I11" s="305" t="s">
        <v>15</v>
      </c>
      <c r="J11" s="306"/>
      <c r="K11" s="118" t="s">
        <v>14</v>
      </c>
      <c r="L11" s="34"/>
    </row>
    <row r="12" spans="1:12" ht="11.25" customHeight="1">
      <c r="A12" s="35"/>
      <c r="B12" s="36"/>
      <c r="C12" s="37"/>
      <c r="D12" s="309" t="s">
        <v>16</v>
      </c>
      <c r="E12" s="310"/>
      <c r="F12" s="309" t="s">
        <v>17</v>
      </c>
      <c r="G12" s="310"/>
      <c r="H12" s="38" t="s">
        <v>18</v>
      </c>
      <c r="I12" s="309" t="s">
        <v>19</v>
      </c>
      <c r="J12" s="310"/>
      <c r="K12" s="119" t="s">
        <v>20</v>
      </c>
      <c r="L12" s="39" t="s">
        <v>21</v>
      </c>
    </row>
    <row r="13" spans="1:12" ht="12.75">
      <c r="A13" s="49" t="s">
        <v>132</v>
      </c>
      <c r="B13" s="22"/>
      <c r="C13" s="45"/>
      <c r="F13" s="22"/>
      <c r="G13" s="46"/>
      <c r="H13" s="21"/>
      <c r="I13" s="47"/>
      <c r="J13" s="45"/>
      <c r="K13" s="44"/>
      <c r="L13" s="44"/>
    </row>
    <row r="14" spans="1:12" ht="12.75">
      <c r="A14" s="50" t="s">
        <v>74</v>
      </c>
      <c r="B14" s="51"/>
      <c r="C14" s="52"/>
      <c r="D14" s="311"/>
      <c r="E14" s="312"/>
      <c r="F14" s="51"/>
      <c r="G14" s="53"/>
      <c r="H14" s="54"/>
      <c r="I14" s="55"/>
      <c r="J14" s="52"/>
      <c r="K14" s="56"/>
      <c r="L14" s="56"/>
    </row>
    <row r="15" spans="1:12" ht="12.75">
      <c r="A15" s="57" t="s">
        <v>75</v>
      </c>
      <c r="B15" s="41"/>
      <c r="C15" s="58"/>
      <c r="D15" s="16"/>
      <c r="F15" s="41"/>
      <c r="G15" s="42"/>
      <c r="H15" s="41"/>
      <c r="I15" s="43"/>
      <c r="J15" s="40"/>
      <c r="K15" s="133"/>
      <c r="L15" s="59"/>
    </row>
    <row r="16" spans="1:12" ht="12.75">
      <c r="A16" s="20" t="s">
        <v>76</v>
      </c>
      <c r="B16" s="22"/>
      <c r="C16" s="60"/>
      <c r="D16" s="8"/>
      <c r="F16" s="22"/>
      <c r="G16" s="46"/>
      <c r="H16" s="22"/>
      <c r="I16" s="47"/>
      <c r="J16" s="45"/>
      <c r="K16" s="134"/>
      <c r="L16" s="61"/>
    </row>
    <row r="17" spans="1:12" ht="12.75">
      <c r="A17" s="20" t="s">
        <v>77</v>
      </c>
      <c r="B17" s="22"/>
      <c r="C17" s="60"/>
      <c r="D17" s="8"/>
      <c r="F17" s="22"/>
      <c r="G17" s="46"/>
      <c r="H17" s="22"/>
      <c r="I17" s="47"/>
      <c r="J17" s="45"/>
      <c r="K17" s="134"/>
      <c r="L17" s="61"/>
    </row>
    <row r="18" spans="1:12" ht="12.75">
      <c r="A18" s="107" t="s">
        <v>78</v>
      </c>
      <c r="B18" s="22"/>
      <c r="C18" s="60"/>
      <c r="D18" s="8"/>
      <c r="F18" s="22"/>
      <c r="G18" s="46"/>
      <c r="H18" s="22"/>
      <c r="I18" s="47"/>
      <c r="J18" s="45"/>
      <c r="K18" s="134"/>
      <c r="L18" s="61"/>
    </row>
    <row r="19" spans="1:12" ht="12.75">
      <c r="A19" s="20" t="s">
        <v>79</v>
      </c>
      <c r="B19" s="22"/>
      <c r="C19" s="60"/>
      <c r="D19" s="8"/>
      <c r="F19" s="22"/>
      <c r="G19" s="46"/>
      <c r="H19" s="22"/>
      <c r="I19" s="47"/>
      <c r="J19" s="45"/>
      <c r="K19" s="134"/>
      <c r="L19" s="61"/>
    </row>
    <row r="20" spans="1:12" ht="12.75">
      <c r="A20" s="20" t="s">
        <v>77</v>
      </c>
      <c r="B20" s="22"/>
      <c r="C20" s="60"/>
      <c r="D20" s="8"/>
      <c r="F20" s="22"/>
      <c r="G20" s="46"/>
      <c r="H20" s="22"/>
      <c r="I20" s="47"/>
      <c r="J20" s="45"/>
      <c r="K20" s="134"/>
      <c r="L20" s="61"/>
    </row>
    <row r="21" spans="1:12" ht="12.75">
      <c r="A21" s="107" t="s">
        <v>78</v>
      </c>
      <c r="B21" s="62"/>
      <c r="C21" s="63"/>
      <c r="D21" s="14"/>
      <c r="F21" s="62"/>
      <c r="G21" s="64"/>
      <c r="H21" s="62"/>
      <c r="I21" s="65"/>
      <c r="J21" s="66"/>
      <c r="K21" s="127"/>
      <c r="L21" s="67"/>
    </row>
    <row r="22" spans="1:12" ht="12.75">
      <c r="A22" s="50" t="s">
        <v>80</v>
      </c>
      <c r="B22" s="288"/>
      <c r="C22" s="289"/>
      <c r="D22" s="290"/>
      <c r="E22" s="290"/>
      <c r="F22" s="288"/>
      <c r="G22" s="289"/>
      <c r="H22" s="103"/>
      <c r="I22" s="291" t="s">
        <v>133</v>
      </c>
      <c r="J22" s="292"/>
      <c r="K22" s="68"/>
      <c r="L22" s="68"/>
    </row>
    <row r="23" spans="1:12" ht="15" customHeight="1">
      <c r="A23" s="50" t="s">
        <v>81</v>
      </c>
      <c r="B23" s="317"/>
      <c r="C23" s="319"/>
      <c r="D23" s="317"/>
      <c r="E23" s="319"/>
      <c r="F23" s="317"/>
      <c r="G23" s="319"/>
      <c r="H23" s="69"/>
      <c r="I23" s="288" t="s">
        <v>134</v>
      </c>
      <c r="J23" s="289"/>
      <c r="K23" s="69"/>
      <c r="L23" s="69"/>
    </row>
    <row r="24" spans="1:12" ht="12.75">
      <c r="A24" s="70" t="s">
        <v>82</v>
      </c>
      <c r="B24" s="122"/>
      <c r="C24" s="71"/>
      <c r="D24" s="307"/>
      <c r="E24" s="308"/>
      <c r="F24" s="307"/>
      <c r="G24" s="308"/>
      <c r="H24" s="122"/>
      <c r="I24" s="135"/>
      <c r="J24" s="71"/>
      <c r="K24" s="122"/>
      <c r="L24" s="72"/>
    </row>
    <row r="25" spans="1:12" ht="12.75">
      <c r="A25" s="73" t="s">
        <v>83</v>
      </c>
      <c r="B25" s="288"/>
      <c r="C25" s="289"/>
      <c r="D25" s="12"/>
      <c r="E25" s="11"/>
      <c r="F25" s="315"/>
      <c r="G25" s="320"/>
      <c r="H25" s="74"/>
      <c r="I25" s="75"/>
      <c r="J25" s="128"/>
      <c r="K25" s="74"/>
      <c r="L25" s="74"/>
    </row>
    <row r="26" spans="1:12" ht="12.75">
      <c r="A26" s="76" t="s">
        <v>84</v>
      </c>
      <c r="B26" s="311"/>
      <c r="C26" s="312"/>
      <c r="D26" s="288"/>
      <c r="E26" s="289"/>
      <c r="F26" s="123"/>
      <c r="G26" s="124"/>
      <c r="H26" s="74"/>
      <c r="I26" s="315"/>
      <c r="J26" s="316"/>
      <c r="K26" s="74"/>
      <c r="L26" s="74"/>
    </row>
    <row r="27" spans="1:12" ht="12.75">
      <c r="A27" s="77" t="s">
        <v>85</v>
      </c>
      <c r="B27" s="317"/>
      <c r="C27" s="318"/>
      <c r="D27" s="311"/>
      <c r="E27" s="312"/>
      <c r="F27" s="317"/>
      <c r="G27" s="319"/>
      <c r="H27" s="74"/>
      <c r="I27" s="75"/>
      <c r="J27" s="128"/>
      <c r="K27" s="74"/>
      <c r="L27" s="74"/>
    </row>
    <row r="28" spans="1:12" ht="12.75">
      <c r="A28" s="8"/>
      <c r="L28" s="4"/>
    </row>
    <row r="29" spans="1:12" ht="14.25" customHeight="1">
      <c r="A29" s="78"/>
      <c r="B29" s="79" t="s">
        <v>86</v>
      </c>
      <c r="C29" s="79" t="s">
        <v>86</v>
      </c>
      <c r="D29" s="300" t="s">
        <v>87</v>
      </c>
      <c r="E29" s="301"/>
      <c r="F29" s="23" t="s">
        <v>11</v>
      </c>
      <c r="G29" s="300" t="s">
        <v>88</v>
      </c>
      <c r="H29" s="302"/>
      <c r="I29" s="23" t="s">
        <v>11</v>
      </c>
      <c r="J29" s="321" t="s">
        <v>89</v>
      </c>
      <c r="K29" s="325" t="s">
        <v>90</v>
      </c>
      <c r="L29" s="326"/>
    </row>
    <row r="30" spans="1:12" ht="14.25" customHeight="1">
      <c r="A30" s="80" t="s">
        <v>91</v>
      </c>
      <c r="B30" s="19" t="s">
        <v>92</v>
      </c>
      <c r="C30" s="19" t="s">
        <v>93</v>
      </c>
      <c r="D30" s="81" t="s">
        <v>94</v>
      </c>
      <c r="E30" s="81" t="s">
        <v>95</v>
      </c>
      <c r="F30" s="25"/>
      <c r="G30" s="81" t="s">
        <v>94</v>
      </c>
      <c r="H30" s="25" t="s">
        <v>95</v>
      </c>
      <c r="I30" s="25"/>
      <c r="J30" s="322"/>
      <c r="K30" s="327"/>
      <c r="L30" s="328"/>
    </row>
    <row r="31" spans="1:12" ht="14.25" customHeight="1">
      <c r="A31" s="25"/>
      <c r="B31" s="19"/>
      <c r="C31" s="19"/>
      <c r="D31" s="25" t="s">
        <v>96</v>
      </c>
      <c r="E31" s="25" t="s">
        <v>96</v>
      </c>
      <c r="F31" s="25"/>
      <c r="G31" s="25" t="s">
        <v>96</v>
      </c>
      <c r="H31" s="25" t="s">
        <v>96</v>
      </c>
      <c r="I31" s="25"/>
      <c r="J31" s="322"/>
      <c r="K31" s="327"/>
      <c r="L31" s="328"/>
    </row>
    <row r="32" spans="1:12" ht="12.75" customHeight="1">
      <c r="A32" s="82"/>
      <c r="B32" s="24" t="s">
        <v>97</v>
      </c>
      <c r="C32" s="24" t="s">
        <v>98</v>
      </c>
      <c r="D32" s="83"/>
      <c r="E32" s="24" t="s">
        <v>99</v>
      </c>
      <c r="F32" s="26" t="s">
        <v>100</v>
      </c>
      <c r="G32" s="83"/>
      <c r="H32" s="24" t="s">
        <v>101</v>
      </c>
      <c r="I32" s="24" t="s">
        <v>102</v>
      </c>
      <c r="J32" s="24" t="s">
        <v>103</v>
      </c>
      <c r="K32" s="329"/>
      <c r="L32" s="330"/>
    </row>
    <row r="33" spans="1:12" ht="12.75">
      <c r="A33" s="84" t="s">
        <v>132</v>
      </c>
      <c r="B33" s="62"/>
      <c r="C33" s="62"/>
      <c r="D33" s="85"/>
      <c r="E33" s="62"/>
      <c r="F33" s="86"/>
      <c r="G33" s="127"/>
      <c r="H33" s="127"/>
      <c r="I33" s="127"/>
      <c r="J33" s="5"/>
      <c r="K33" s="8"/>
      <c r="L33" s="4"/>
    </row>
    <row r="34" spans="1:12" ht="12.75">
      <c r="A34" s="10" t="s">
        <v>113</v>
      </c>
      <c r="B34" s="10"/>
      <c r="C34" s="10"/>
      <c r="D34" s="10"/>
      <c r="E34" s="120" t="s">
        <v>135</v>
      </c>
      <c r="F34" s="10"/>
      <c r="G34" s="10"/>
      <c r="H34" s="120" t="s">
        <v>136</v>
      </c>
      <c r="I34" s="104"/>
      <c r="J34" s="120" t="s">
        <v>137</v>
      </c>
      <c r="K34" s="311"/>
      <c r="L34" s="312"/>
    </row>
    <row r="35" spans="1:12" ht="12.75">
      <c r="A35" s="10" t="s">
        <v>114</v>
      </c>
      <c r="B35" s="121"/>
      <c r="C35" s="121"/>
      <c r="D35" s="121"/>
      <c r="E35" s="104" t="s">
        <v>138</v>
      </c>
      <c r="F35" s="121"/>
      <c r="G35" s="121"/>
      <c r="H35" s="104" t="s">
        <v>139</v>
      </c>
      <c r="I35" s="121"/>
      <c r="J35" s="120" t="s">
        <v>140</v>
      </c>
      <c r="K35" s="331"/>
      <c r="L35" s="331"/>
    </row>
    <row r="36" spans="1:12" ht="12.75">
      <c r="A36" s="102" t="s">
        <v>115</v>
      </c>
      <c r="B36" s="102"/>
      <c r="C36" s="102"/>
      <c r="D36" s="102"/>
      <c r="E36" s="102"/>
      <c r="F36" s="105"/>
      <c r="G36" s="72"/>
      <c r="H36" s="72"/>
      <c r="I36" s="106"/>
      <c r="J36" s="102"/>
      <c r="K36" s="313"/>
      <c r="L36" s="314"/>
    </row>
    <row r="37" spans="1:12" ht="12.75">
      <c r="A37" s="10" t="s">
        <v>116</v>
      </c>
      <c r="B37" s="10"/>
      <c r="C37" s="10"/>
      <c r="D37" s="126"/>
      <c r="E37" s="126"/>
      <c r="F37" s="120"/>
      <c r="G37" s="126"/>
      <c r="H37" s="126"/>
      <c r="I37" s="120"/>
      <c r="J37" s="126"/>
      <c r="K37" s="332"/>
      <c r="L37" s="332"/>
    </row>
    <row r="38" spans="1:11" ht="12.75" customHeight="1">
      <c r="A38" s="323" t="s">
        <v>117</v>
      </c>
      <c r="B38" s="323"/>
      <c r="C38" s="323"/>
      <c r="D38" s="323"/>
      <c r="E38" s="323"/>
      <c r="F38" s="323"/>
      <c r="G38" s="323"/>
      <c r="H38" s="323"/>
      <c r="I38" s="323"/>
      <c r="J38" s="323"/>
      <c r="K38" s="324"/>
    </row>
    <row r="39" spans="1:11" ht="13.5" customHeight="1">
      <c r="A39" s="324" t="s">
        <v>118</v>
      </c>
      <c r="B39" s="324"/>
      <c r="C39" s="324"/>
      <c r="D39" s="324"/>
      <c r="E39" s="324"/>
      <c r="F39" s="324"/>
      <c r="G39" s="324"/>
      <c r="H39" s="324"/>
      <c r="I39" s="125"/>
      <c r="J39" s="125"/>
      <c r="K39" s="125"/>
    </row>
    <row r="40" spans="1:11" ht="12.75" customHeight="1">
      <c r="A40" s="324" t="s">
        <v>119</v>
      </c>
      <c r="B40" s="324"/>
      <c r="C40" s="324"/>
      <c r="D40" s="125"/>
      <c r="E40" s="125"/>
      <c r="F40" s="125"/>
      <c r="G40" s="125"/>
      <c r="H40" s="125"/>
      <c r="I40" s="125"/>
      <c r="J40" s="125"/>
      <c r="K40" s="125"/>
    </row>
    <row r="41" spans="1:11" ht="12.75" customHeight="1">
      <c r="A41" s="125" t="s">
        <v>120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12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2" ht="11.25" customHeight="1">
      <c r="A43" s="87"/>
      <c r="B43" s="296" t="s">
        <v>8</v>
      </c>
      <c r="C43" s="297"/>
      <c r="D43" s="296" t="s">
        <v>9</v>
      </c>
      <c r="E43" s="297"/>
      <c r="F43" s="300" t="s">
        <v>10</v>
      </c>
      <c r="G43" s="301"/>
      <c r="H43" s="301"/>
      <c r="I43" s="301"/>
      <c r="J43" s="301"/>
      <c r="K43" s="302"/>
      <c r="L43" s="31" t="s">
        <v>11</v>
      </c>
    </row>
    <row r="44" spans="1:12" ht="11.25" customHeight="1">
      <c r="A44" s="88" t="s">
        <v>121</v>
      </c>
      <c r="B44" s="298"/>
      <c r="C44" s="299"/>
      <c r="D44" s="298"/>
      <c r="E44" s="299"/>
      <c r="F44" s="303" t="s">
        <v>13</v>
      </c>
      <c r="G44" s="304"/>
      <c r="H44" s="33" t="s">
        <v>14</v>
      </c>
      <c r="I44" s="305" t="s">
        <v>15</v>
      </c>
      <c r="J44" s="306"/>
      <c r="K44" s="118" t="s">
        <v>14</v>
      </c>
      <c r="L44" s="34"/>
    </row>
    <row r="45" spans="1:12" ht="11.25" customHeight="1">
      <c r="A45" s="89"/>
      <c r="B45" s="36"/>
      <c r="C45" s="37"/>
      <c r="D45" s="309" t="s">
        <v>16</v>
      </c>
      <c r="E45" s="310"/>
      <c r="F45" s="309" t="s">
        <v>17</v>
      </c>
      <c r="G45" s="310"/>
      <c r="H45" s="38" t="s">
        <v>18</v>
      </c>
      <c r="I45" s="309" t="s">
        <v>19</v>
      </c>
      <c r="J45" s="310"/>
      <c r="K45" s="119" t="s">
        <v>20</v>
      </c>
      <c r="L45" s="39" t="s">
        <v>21</v>
      </c>
    </row>
    <row r="46" spans="1:12" ht="11.25" customHeight="1">
      <c r="A46" s="57" t="s">
        <v>73</v>
      </c>
      <c r="B46" s="58"/>
      <c r="C46" s="40"/>
      <c r="D46" s="58"/>
      <c r="E46" s="90"/>
      <c r="F46" s="41"/>
      <c r="G46" s="42"/>
      <c r="H46" s="58"/>
      <c r="I46" s="43"/>
      <c r="J46" s="40"/>
      <c r="K46" s="7"/>
      <c r="L46" s="4"/>
    </row>
    <row r="47" spans="1:12" ht="11.25" customHeight="1">
      <c r="A47" s="20" t="s">
        <v>22</v>
      </c>
      <c r="B47" s="125"/>
      <c r="C47" s="91"/>
      <c r="D47" s="125"/>
      <c r="E47" s="125"/>
      <c r="F47" s="132"/>
      <c r="G47" s="91"/>
      <c r="H47" s="125"/>
      <c r="I47" s="132"/>
      <c r="J47" s="91"/>
      <c r="K47" s="5"/>
      <c r="L47" s="4"/>
    </row>
    <row r="48" spans="1:12" ht="11.25" customHeight="1">
      <c r="A48" s="92" t="s">
        <v>122</v>
      </c>
      <c r="B48" s="125"/>
      <c r="C48" s="91"/>
      <c r="D48" s="125"/>
      <c r="E48" s="125"/>
      <c r="F48" s="132"/>
      <c r="G48" s="91"/>
      <c r="H48" s="125"/>
      <c r="I48" s="132"/>
      <c r="J48" s="91"/>
      <c r="K48" s="5"/>
      <c r="L48" s="4"/>
    </row>
    <row r="49" spans="1:12" ht="11.25" customHeight="1">
      <c r="A49" s="20" t="s">
        <v>23</v>
      </c>
      <c r="B49" s="125"/>
      <c r="C49" s="91"/>
      <c r="D49" s="125"/>
      <c r="E49" s="125"/>
      <c r="F49" s="132"/>
      <c r="G49" s="91"/>
      <c r="H49" s="125"/>
      <c r="I49" s="132"/>
      <c r="J49" s="91"/>
      <c r="K49" s="5"/>
      <c r="L49" s="4"/>
    </row>
    <row r="50" spans="1:12" ht="11.25" customHeight="1">
      <c r="A50" s="20" t="s">
        <v>24</v>
      </c>
      <c r="B50" s="125"/>
      <c r="C50" s="91"/>
      <c r="D50" s="125"/>
      <c r="E50" s="125"/>
      <c r="F50" s="132"/>
      <c r="G50" s="91"/>
      <c r="H50" s="125"/>
      <c r="I50" s="132"/>
      <c r="J50" s="91"/>
      <c r="K50" s="5"/>
      <c r="L50" s="4"/>
    </row>
    <row r="51" spans="1:12" ht="11.25" customHeight="1">
      <c r="A51" s="20" t="s">
        <v>25</v>
      </c>
      <c r="B51" s="125"/>
      <c r="C51" s="91"/>
      <c r="D51" s="125"/>
      <c r="E51" s="125"/>
      <c r="F51" s="132"/>
      <c r="G51" s="91"/>
      <c r="H51" s="125"/>
      <c r="I51" s="132"/>
      <c r="J51" s="91"/>
      <c r="K51" s="5"/>
      <c r="L51" s="4"/>
    </row>
    <row r="52" spans="1:12" ht="11.25" customHeight="1">
      <c r="A52" s="92" t="s">
        <v>26</v>
      </c>
      <c r="B52" s="125"/>
      <c r="C52" s="91"/>
      <c r="D52" s="125"/>
      <c r="E52" s="125"/>
      <c r="F52" s="132"/>
      <c r="G52" s="91"/>
      <c r="H52" s="125"/>
      <c r="I52" s="132"/>
      <c r="J52" s="91"/>
      <c r="K52" s="5"/>
      <c r="L52" s="4"/>
    </row>
    <row r="53" spans="1:12" ht="11.25" customHeight="1">
      <c r="A53" s="20" t="s">
        <v>27</v>
      </c>
      <c r="B53" s="125"/>
      <c r="C53" s="91"/>
      <c r="D53" s="125"/>
      <c r="E53" s="125"/>
      <c r="F53" s="132"/>
      <c r="G53" s="91"/>
      <c r="H53" s="125"/>
      <c r="I53" s="132"/>
      <c r="J53" s="91"/>
      <c r="K53" s="5"/>
      <c r="L53" s="4"/>
    </row>
    <row r="54" spans="1:12" ht="11.25" customHeight="1">
      <c r="A54" s="20" t="s">
        <v>28</v>
      </c>
      <c r="B54" s="125"/>
      <c r="C54" s="91"/>
      <c r="D54" s="125"/>
      <c r="E54" s="125"/>
      <c r="F54" s="132"/>
      <c r="G54" s="91"/>
      <c r="H54" s="125"/>
      <c r="I54" s="132"/>
      <c r="J54" s="91"/>
      <c r="K54" s="5"/>
      <c r="L54" s="4"/>
    </row>
    <row r="55" spans="1:12" ht="25.5">
      <c r="A55" s="93" t="s">
        <v>29</v>
      </c>
      <c r="B55" s="125"/>
      <c r="C55" s="91"/>
      <c r="D55" s="125"/>
      <c r="E55" s="125"/>
      <c r="F55" s="132"/>
      <c r="G55" s="91"/>
      <c r="H55" s="125"/>
      <c r="I55" s="132"/>
      <c r="J55" s="91"/>
      <c r="K55" s="5"/>
      <c r="L55" s="4"/>
    </row>
    <row r="56" spans="1:12" ht="12.75">
      <c r="A56" s="48" t="s">
        <v>30</v>
      </c>
      <c r="B56" s="125"/>
      <c r="C56" s="91"/>
      <c r="D56" s="125"/>
      <c r="E56" s="125"/>
      <c r="F56" s="132"/>
      <c r="G56" s="91"/>
      <c r="H56" s="125"/>
      <c r="I56" s="132"/>
      <c r="J56" s="91"/>
      <c r="K56" s="5"/>
      <c r="L56" s="4"/>
    </row>
    <row r="57" spans="1:12" ht="11.25" customHeight="1">
      <c r="A57" s="20" t="s">
        <v>31</v>
      </c>
      <c r="B57" s="125"/>
      <c r="C57" s="91"/>
      <c r="D57" s="125"/>
      <c r="E57" s="125"/>
      <c r="F57" s="132"/>
      <c r="G57" s="91"/>
      <c r="H57" s="125"/>
      <c r="I57" s="132"/>
      <c r="J57" s="91"/>
      <c r="K57" s="5"/>
      <c r="L57" s="4"/>
    </row>
    <row r="58" spans="1:12" ht="11.25" customHeight="1">
      <c r="A58" s="20" t="s">
        <v>32</v>
      </c>
      <c r="B58" s="125"/>
      <c r="C58" s="91"/>
      <c r="D58" s="125"/>
      <c r="E58" s="125"/>
      <c r="F58" s="132"/>
      <c r="G58" s="91"/>
      <c r="H58" s="125"/>
      <c r="I58" s="132"/>
      <c r="J58" s="91"/>
      <c r="K58" s="5"/>
      <c r="L58" s="4"/>
    </row>
    <row r="59" spans="1:12" ht="11.25" customHeight="1">
      <c r="A59" s="20" t="s">
        <v>33</v>
      </c>
      <c r="B59" s="125"/>
      <c r="C59" s="91"/>
      <c r="D59" s="125"/>
      <c r="E59" s="125"/>
      <c r="F59" s="132"/>
      <c r="G59" s="91"/>
      <c r="H59" s="125"/>
      <c r="I59" s="132"/>
      <c r="J59" s="91"/>
      <c r="K59" s="5"/>
      <c r="L59" s="4"/>
    </row>
    <row r="60" spans="1:12" ht="25.5">
      <c r="A60" s="48" t="s">
        <v>123</v>
      </c>
      <c r="B60" s="125"/>
      <c r="C60" s="91"/>
      <c r="D60" s="125"/>
      <c r="E60" s="125"/>
      <c r="F60" s="132"/>
      <c r="G60" s="91"/>
      <c r="H60" s="125"/>
      <c r="I60" s="132"/>
      <c r="J60" s="91"/>
      <c r="K60" s="5"/>
      <c r="L60" s="4"/>
    </row>
    <row r="61" spans="1:12" ht="11.25" customHeight="1">
      <c r="A61" s="20" t="s">
        <v>34</v>
      </c>
      <c r="B61" s="125"/>
      <c r="C61" s="91"/>
      <c r="D61" s="125"/>
      <c r="E61" s="125"/>
      <c r="F61" s="132"/>
      <c r="G61" s="91"/>
      <c r="H61" s="125"/>
      <c r="I61" s="132"/>
      <c r="J61" s="91"/>
      <c r="K61" s="5"/>
      <c r="L61" s="4"/>
    </row>
    <row r="62" spans="1:12" ht="11.25" customHeight="1">
      <c r="A62" s="20" t="s">
        <v>35</v>
      </c>
      <c r="B62" s="125"/>
      <c r="C62" s="91"/>
      <c r="D62" s="125"/>
      <c r="E62" s="125"/>
      <c r="F62" s="132"/>
      <c r="G62" s="91"/>
      <c r="H62" s="125"/>
      <c r="I62" s="132"/>
      <c r="J62" s="91"/>
      <c r="K62" s="5"/>
      <c r="L62" s="4"/>
    </row>
    <row r="63" spans="1:12" ht="11.25" customHeight="1">
      <c r="A63" s="20" t="s">
        <v>124</v>
      </c>
      <c r="B63" s="125"/>
      <c r="C63" s="91"/>
      <c r="D63" s="125"/>
      <c r="E63" s="125"/>
      <c r="F63" s="132"/>
      <c r="G63" s="91"/>
      <c r="H63" s="125"/>
      <c r="I63" s="132"/>
      <c r="J63" s="91"/>
      <c r="K63" s="5"/>
      <c r="L63" s="4"/>
    </row>
    <row r="64" spans="1:12" ht="11.25" customHeight="1">
      <c r="A64" s="20" t="s">
        <v>125</v>
      </c>
      <c r="B64" s="125"/>
      <c r="C64" s="91"/>
      <c r="D64" s="125"/>
      <c r="E64" s="125"/>
      <c r="F64" s="132"/>
      <c r="G64" s="91"/>
      <c r="H64" s="125"/>
      <c r="I64" s="132"/>
      <c r="J64" s="91"/>
      <c r="K64" s="5"/>
      <c r="L64" s="4"/>
    </row>
    <row r="65" spans="1:12" ht="11.25" customHeight="1">
      <c r="A65" s="20" t="s">
        <v>36</v>
      </c>
      <c r="B65" s="125"/>
      <c r="C65" s="91"/>
      <c r="D65" s="125"/>
      <c r="E65" s="125"/>
      <c r="F65" s="132"/>
      <c r="G65" s="91"/>
      <c r="H65" s="125"/>
      <c r="I65" s="132"/>
      <c r="J65" s="91"/>
      <c r="K65" s="5"/>
      <c r="L65" s="4"/>
    </row>
    <row r="66" spans="1:12" ht="11.25" customHeight="1">
      <c r="A66" s="20" t="s">
        <v>37</v>
      </c>
      <c r="B66" s="125"/>
      <c r="C66" s="91"/>
      <c r="D66" s="125"/>
      <c r="E66" s="125"/>
      <c r="F66" s="132"/>
      <c r="G66" s="91"/>
      <c r="H66" s="125"/>
      <c r="I66" s="132"/>
      <c r="J66" s="91"/>
      <c r="K66" s="5"/>
      <c r="L66" s="4"/>
    </row>
    <row r="67" spans="1:12" ht="11.25" customHeight="1">
      <c r="A67" s="20" t="s">
        <v>38</v>
      </c>
      <c r="B67" s="125"/>
      <c r="C67" s="91"/>
      <c r="D67" s="125"/>
      <c r="E67" s="125"/>
      <c r="F67" s="132"/>
      <c r="G67" s="91"/>
      <c r="H67" s="125"/>
      <c r="I67" s="132"/>
      <c r="J67" s="91"/>
      <c r="K67" s="5"/>
      <c r="L67" s="4"/>
    </row>
    <row r="68" spans="1:12" ht="11.25" customHeight="1">
      <c r="A68" s="20" t="s">
        <v>39</v>
      </c>
      <c r="B68" s="125"/>
      <c r="C68" s="91"/>
      <c r="D68" s="125"/>
      <c r="E68" s="125"/>
      <c r="F68" s="132"/>
      <c r="G68" s="91"/>
      <c r="H68" s="125"/>
      <c r="I68" s="132"/>
      <c r="J68" s="91"/>
      <c r="K68" s="5"/>
      <c r="L68" s="4"/>
    </row>
    <row r="69" spans="1:12" ht="11.25" customHeight="1">
      <c r="A69" s="20" t="s">
        <v>40</v>
      </c>
      <c r="B69" s="125"/>
      <c r="C69" s="91"/>
      <c r="D69" s="125"/>
      <c r="E69" s="125"/>
      <c r="F69" s="132"/>
      <c r="G69" s="91"/>
      <c r="H69" s="125"/>
      <c r="I69" s="132"/>
      <c r="J69" s="91"/>
      <c r="K69" s="5"/>
      <c r="L69" s="4"/>
    </row>
    <row r="70" spans="1:12" ht="11.25" customHeight="1">
      <c r="A70" s="20" t="s">
        <v>41</v>
      </c>
      <c r="B70" s="125"/>
      <c r="C70" s="91"/>
      <c r="D70" s="125"/>
      <c r="E70" s="125"/>
      <c r="F70" s="132"/>
      <c r="G70" s="91"/>
      <c r="H70" s="125"/>
      <c r="I70" s="132"/>
      <c r="J70" s="91"/>
      <c r="K70" s="5"/>
      <c r="L70" s="4"/>
    </row>
    <row r="71" spans="1:12" ht="11.25" customHeight="1">
      <c r="A71" s="20" t="s">
        <v>42</v>
      </c>
      <c r="B71" s="125"/>
      <c r="C71" s="91"/>
      <c r="D71" s="125"/>
      <c r="E71" s="125"/>
      <c r="F71" s="132"/>
      <c r="G71" s="91"/>
      <c r="H71" s="125"/>
      <c r="I71" s="132"/>
      <c r="J71" s="91"/>
      <c r="K71" s="5"/>
      <c r="L71" s="4"/>
    </row>
    <row r="72" spans="1:12" ht="11.25" customHeight="1">
      <c r="A72" s="20" t="s">
        <v>43</v>
      </c>
      <c r="B72" s="125"/>
      <c r="C72" s="91"/>
      <c r="D72" s="125"/>
      <c r="E72" s="125"/>
      <c r="F72" s="132"/>
      <c r="G72" s="91"/>
      <c r="H72" s="125"/>
      <c r="I72" s="132"/>
      <c r="J72" s="91"/>
      <c r="K72" s="5"/>
      <c r="L72" s="4"/>
    </row>
    <row r="73" spans="1:12" ht="11.25" customHeight="1">
      <c r="A73" s="20" t="s">
        <v>44</v>
      </c>
      <c r="B73" s="125"/>
      <c r="C73" s="91"/>
      <c r="D73" s="125"/>
      <c r="E73" s="125"/>
      <c r="F73" s="132"/>
      <c r="G73" s="91"/>
      <c r="H73" s="125"/>
      <c r="I73" s="132"/>
      <c r="J73" s="91"/>
      <c r="K73" s="5"/>
      <c r="L73" s="4"/>
    </row>
    <row r="74" spans="1:12" ht="11.25" customHeight="1">
      <c r="A74" s="20" t="s">
        <v>45</v>
      </c>
      <c r="B74" s="125"/>
      <c r="C74" s="91"/>
      <c r="D74" s="125"/>
      <c r="E74" s="125"/>
      <c r="F74" s="132"/>
      <c r="G74" s="91"/>
      <c r="H74" s="125"/>
      <c r="I74" s="132"/>
      <c r="J74" s="91"/>
      <c r="K74" s="5"/>
      <c r="L74" s="4"/>
    </row>
    <row r="75" spans="1:12" ht="11.25" customHeight="1">
      <c r="A75" s="20" t="s">
        <v>46</v>
      </c>
      <c r="B75" s="125"/>
      <c r="C75" s="91"/>
      <c r="D75" s="125"/>
      <c r="E75" s="125"/>
      <c r="F75" s="132"/>
      <c r="G75" s="91"/>
      <c r="H75" s="125"/>
      <c r="I75" s="132"/>
      <c r="J75" s="91"/>
      <c r="K75" s="5"/>
      <c r="L75" s="4"/>
    </row>
    <row r="76" spans="1:12" ht="11.25" customHeight="1">
      <c r="A76" s="20" t="s">
        <v>47</v>
      </c>
      <c r="B76" s="125"/>
      <c r="C76" s="91"/>
      <c r="D76" s="125"/>
      <c r="E76" s="125"/>
      <c r="F76" s="132"/>
      <c r="G76" s="91"/>
      <c r="H76" s="125"/>
      <c r="I76" s="132"/>
      <c r="J76" s="91"/>
      <c r="K76" s="5"/>
      <c r="L76" s="4"/>
    </row>
    <row r="77" spans="1:12" ht="11.25" customHeight="1">
      <c r="A77" s="20" t="s">
        <v>48</v>
      </c>
      <c r="B77" s="125"/>
      <c r="C77" s="91"/>
      <c r="D77" s="125"/>
      <c r="E77" s="125"/>
      <c r="F77" s="132"/>
      <c r="G77" s="91"/>
      <c r="H77" s="125"/>
      <c r="I77" s="132"/>
      <c r="J77" s="91"/>
      <c r="K77" s="5"/>
      <c r="L77" s="4"/>
    </row>
    <row r="78" spans="1:12" ht="11.25" customHeight="1">
      <c r="A78" s="20" t="s">
        <v>49</v>
      </c>
      <c r="B78" s="125"/>
      <c r="C78" s="91"/>
      <c r="D78" s="125"/>
      <c r="E78" s="125"/>
      <c r="F78" s="132"/>
      <c r="G78" s="91"/>
      <c r="H78" s="125"/>
      <c r="I78" s="132"/>
      <c r="J78" s="91"/>
      <c r="K78" s="5"/>
      <c r="L78" s="4"/>
    </row>
    <row r="79" spans="1:12" ht="11.25" customHeight="1">
      <c r="A79" s="20" t="s">
        <v>50</v>
      </c>
      <c r="B79" s="125"/>
      <c r="C79" s="91"/>
      <c r="D79" s="125"/>
      <c r="E79" s="125"/>
      <c r="F79" s="132"/>
      <c r="G79" s="91"/>
      <c r="H79" s="125"/>
      <c r="I79" s="132"/>
      <c r="J79" s="91"/>
      <c r="K79" s="5"/>
      <c r="L79" s="4"/>
    </row>
    <row r="80" spans="1:12" ht="11.25" customHeight="1">
      <c r="A80" s="20" t="s">
        <v>51</v>
      </c>
      <c r="B80" s="125"/>
      <c r="C80" s="91"/>
      <c r="D80" s="125"/>
      <c r="E80" s="125"/>
      <c r="F80" s="132"/>
      <c r="G80" s="91"/>
      <c r="H80" s="125"/>
      <c r="I80" s="132"/>
      <c r="J80" s="91"/>
      <c r="K80" s="5"/>
      <c r="L80" s="4"/>
    </row>
    <row r="81" spans="1:12" ht="11.25" customHeight="1">
      <c r="A81" s="94" t="s">
        <v>52</v>
      </c>
      <c r="B81" s="125"/>
      <c r="C81" s="91"/>
      <c r="D81" s="125"/>
      <c r="E81" s="125"/>
      <c r="F81" s="132"/>
      <c r="G81" s="91"/>
      <c r="H81" s="125"/>
      <c r="I81" s="132"/>
      <c r="J81" s="91"/>
      <c r="K81" s="5"/>
      <c r="L81" s="4"/>
    </row>
    <row r="82" spans="1:12" ht="11.25" customHeight="1">
      <c r="A82" s="20" t="s">
        <v>53</v>
      </c>
      <c r="B82" s="125"/>
      <c r="C82" s="91"/>
      <c r="D82" s="125"/>
      <c r="E82" s="125"/>
      <c r="F82" s="132"/>
      <c r="G82" s="91"/>
      <c r="H82" s="125"/>
      <c r="I82" s="132"/>
      <c r="J82" s="91"/>
      <c r="K82" s="5"/>
      <c r="L82" s="4"/>
    </row>
    <row r="83" spans="1:12" ht="11.25" customHeight="1">
      <c r="A83" s="20" t="s">
        <v>54</v>
      </c>
      <c r="B83" s="125"/>
      <c r="C83" s="91"/>
      <c r="D83" s="125"/>
      <c r="E83" s="125"/>
      <c r="F83" s="132"/>
      <c r="G83" s="91"/>
      <c r="H83" s="125"/>
      <c r="I83" s="132"/>
      <c r="J83" s="91"/>
      <c r="K83" s="5"/>
      <c r="L83" s="4"/>
    </row>
    <row r="84" spans="1:12" ht="11.25" customHeight="1">
      <c r="A84" s="20" t="s">
        <v>55</v>
      </c>
      <c r="B84" s="125"/>
      <c r="C84" s="91"/>
      <c r="D84" s="125"/>
      <c r="E84" s="125"/>
      <c r="F84" s="132"/>
      <c r="G84" s="91"/>
      <c r="H84" s="125"/>
      <c r="I84" s="132"/>
      <c r="J84" s="91"/>
      <c r="K84" s="5"/>
      <c r="L84" s="4"/>
    </row>
    <row r="85" spans="1:12" ht="11.25" customHeight="1">
      <c r="A85" s="20" t="s">
        <v>56</v>
      </c>
      <c r="B85" s="125"/>
      <c r="C85" s="91"/>
      <c r="D85" s="125"/>
      <c r="E85" s="125"/>
      <c r="F85" s="132"/>
      <c r="G85" s="91"/>
      <c r="H85" s="125"/>
      <c r="I85" s="132"/>
      <c r="J85" s="91"/>
      <c r="K85" s="5"/>
      <c r="L85" s="4"/>
    </row>
    <row r="86" spans="1:12" ht="11.25" customHeight="1">
      <c r="A86" s="48" t="s">
        <v>57</v>
      </c>
      <c r="B86" s="125"/>
      <c r="C86" s="91"/>
      <c r="D86" s="125"/>
      <c r="E86" s="125"/>
      <c r="F86" s="132"/>
      <c r="G86" s="91"/>
      <c r="H86" s="125"/>
      <c r="I86" s="132"/>
      <c r="J86" s="91"/>
      <c r="K86" s="5"/>
      <c r="L86" s="4"/>
    </row>
    <row r="87" spans="1:12" ht="11.25" customHeight="1">
      <c r="A87" s="20" t="s">
        <v>58</v>
      </c>
      <c r="B87" s="125"/>
      <c r="C87" s="91"/>
      <c r="D87" s="125"/>
      <c r="E87" s="125"/>
      <c r="F87" s="132"/>
      <c r="G87" s="91"/>
      <c r="H87" s="125"/>
      <c r="I87" s="132"/>
      <c r="J87" s="91"/>
      <c r="K87" s="5"/>
      <c r="L87" s="4"/>
    </row>
    <row r="88" spans="1:12" ht="11.25" customHeight="1">
      <c r="A88" s="20" t="s">
        <v>59</v>
      </c>
      <c r="B88" s="125"/>
      <c r="C88" s="91"/>
      <c r="D88" s="125"/>
      <c r="E88" s="125"/>
      <c r="F88" s="132"/>
      <c r="G88" s="91"/>
      <c r="H88" s="125"/>
      <c r="I88" s="132"/>
      <c r="J88" s="91"/>
      <c r="K88" s="5"/>
      <c r="L88" s="4"/>
    </row>
    <row r="89" spans="1:12" ht="11.25" customHeight="1">
      <c r="A89" s="20" t="s">
        <v>60</v>
      </c>
      <c r="B89" s="125"/>
      <c r="C89" s="91"/>
      <c r="D89" s="125"/>
      <c r="E89" s="125"/>
      <c r="F89" s="132"/>
      <c r="G89" s="91"/>
      <c r="H89" s="125"/>
      <c r="I89" s="132"/>
      <c r="J89" s="91"/>
      <c r="K89" s="5"/>
      <c r="L89" s="4"/>
    </row>
    <row r="90" spans="1:12" ht="11.25" customHeight="1">
      <c r="A90" s="20" t="s">
        <v>61</v>
      </c>
      <c r="B90" s="125"/>
      <c r="C90" s="91"/>
      <c r="D90" s="125"/>
      <c r="E90" s="125"/>
      <c r="F90" s="132"/>
      <c r="G90" s="91"/>
      <c r="H90" s="125"/>
      <c r="I90" s="132"/>
      <c r="J90" s="91"/>
      <c r="K90" s="5"/>
      <c r="L90" s="4"/>
    </row>
    <row r="91" spans="1:12" ht="11.25" customHeight="1">
      <c r="A91" s="20" t="s">
        <v>62</v>
      </c>
      <c r="B91" s="125"/>
      <c r="C91" s="91"/>
      <c r="D91" s="125"/>
      <c r="E91" s="125"/>
      <c r="F91" s="132"/>
      <c r="G91" s="91"/>
      <c r="H91" s="125"/>
      <c r="I91" s="132"/>
      <c r="J91" s="91"/>
      <c r="K91" s="5"/>
      <c r="L91" s="4"/>
    </row>
    <row r="92" spans="1:12" ht="11.25" customHeight="1">
      <c r="A92" s="20" t="s">
        <v>63</v>
      </c>
      <c r="B92" s="125"/>
      <c r="C92" s="91"/>
      <c r="D92" s="125"/>
      <c r="E92" s="125"/>
      <c r="F92" s="132"/>
      <c r="G92" s="91"/>
      <c r="H92" s="125"/>
      <c r="I92" s="132"/>
      <c r="J92" s="91"/>
      <c r="K92" s="5"/>
      <c r="L92" s="4"/>
    </row>
    <row r="93" spans="1:12" ht="11.25" customHeight="1">
      <c r="A93" s="20" t="s">
        <v>64</v>
      </c>
      <c r="B93" s="125"/>
      <c r="C93" s="91"/>
      <c r="D93" s="125"/>
      <c r="E93" s="125"/>
      <c r="F93" s="132"/>
      <c r="G93" s="91"/>
      <c r="H93" s="125"/>
      <c r="I93" s="132"/>
      <c r="J93" s="91"/>
      <c r="K93" s="5"/>
      <c r="L93" s="4"/>
    </row>
    <row r="94" spans="1:12" ht="11.25" customHeight="1">
      <c r="A94" s="20" t="s">
        <v>65</v>
      </c>
      <c r="B94" s="125"/>
      <c r="C94" s="91"/>
      <c r="D94" s="125"/>
      <c r="E94" s="125"/>
      <c r="F94" s="132"/>
      <c r="G94" s="91"/>
      <c r="H94" s="125"/>
      <c r="I94" s="132"/>
      <c r="J94" s="91"/>
      <c r="K94" s="5"/>
      <c r="L94" s="4"/>
    </row>
    <row r="95" spans="1:12" ht="11.25" customHeight="1">
      <c r="A95" s="20" t="s">
        <v>66</v>
      </c>
      <c r="B95" s="125"/>
      <c r="C95" s="91"/>
      <c r="D95" s="125"/>
      <c r="E95" s="125"/>
      <c r="F95" s="132"/>
      <c r="G95" s="91"/>
      <c r="H95" s="125"/>
      <c r="I95" s="132"/>
      <c r="J95" s="91"/>
      <c r="K95" s="5"/>
      <c r="L95" s="4"/>
    </row>
    <row r="96" spans="1:12" ht="11.25" customHeight="1">
      <c r="A96" s="20" t="s">
        <v>67</v>
      </c>
      <c r="B96" s="125"/>
      <c r="C96" s="91"/>
      <c r="D96" s="125"/>
      <c r="E96" s="125"/>
      <c r="F96" s="132"/>
      <c r="G96" s="91"/>
      <c r="H96" s="125"/>
      <c r="I96" s="132"/>
      <c r="J96" s="91"/>
      <c r="K96" s="5"/>
      <c r="L96" s="4"/>
    </row>
    <row r="97" spans="1:12" ht="11.25" customHeight="1">
      <c r="A97" s="20" t="s">
        <v>68</v>
      </c>
      <c r="B97" s="125"/>
      <c r="C97" s="91"/>
      <c r="D97" s="125"/>
      <c r="E97" s="125"/>
      <c r="F97" s="132"/>
      <c r="G97" s="91"/>
      <c r="H97" s="125"/>
      <c r="I97" s="132"/>
      <c r="J97" s="91"/>
      <c r="K97" s="5"/>
      <c r="L97" s="4"/>
    </row>
    <row r="98" spans="1:12" ht="11.25" customHeight="1">
      <c r="A98" s="20" t="s">
        <v>46</v>
      </c>
      <c r="B98" s="125"/>
      <c r="C98" s="91"/>
      <c r="D98" s="125"/>
      <c r="E98" s="125"/>
      <c r="F98" s="132"/>
      <c r="G98" s="91"/>
      <c r="H98" s="125"/>
      <c r="I98" s="132"/>
      <c r="J98" s="91"/>
      <c r="K98" s="5"/>
      <c r="L98" s="4"/>
    </row>
    <row r="99" spans="1:12" ht="11.25" customHeight="1">
      <c r="A99" s="20" t="s">
        <v>47</v>
      </c>
      <c r="B99" s="125"/>
      <c r="C99" s="91"/>
      <c r="D99" s="125"/>
      <c r="E99" s="125"/>
      <c r="F99" s="132"/>
      <c r="G99" s="91"/>
      <c r="H99" s="125"/>
      <c r="I99" s="132"/>
      <c r="J99" s="91"/>
      <c r="K99" s="5"/>
      <c r="L99" s="4"/>
    </row>
    <row r="100" spans="1:12" ht="11.25" customHeight="1">
      <c r="A100" s="20" t="s">
        <v>48</v>
      </c>
      <c r="B100" s="125"/>
      <c r="C100" s="91"/>
      <c r="D100" s="125"/>
      <c r="E100" s="125"/>
      <c r="F100" s="132"/>
      <c r="G100" s="91"/>
      <c r="H100" s="125"/>
      <c r="I100" s="132"/>
      <c r="J100" s="91"/>
      <c r="K100" s="5"/>
      <c r="L100" s="4"/>
    </row>
    <row r="101" spans="1:12" ht="11.25" customHeight="1">
      <c r="A101" s="49" t="s">
        <v>49</v>
      </c>
      <c r="B101" s="125"/>
      <c r="C101" s="91"/>
      <c r="D101" s="125"/>
      <c r="E101" s="125"/>
      <c r="F101" s="132"/>
      <c r="G101" s="91"/>
      <c r="H101" s="125"/>
      <c r="I101" s="132"/>
      <c r="J101" s="91"/>
      <c r="K101" s="5"/>
      <c r="L101" s="4"/>
    </row>
    <row r="102" spans="1:12" ht="12.75" customHeight="1">
      <c r="A102" s="49" t="s">
        <v>50</v>
      </c>
      <c r="B102" s="125"/>
      <c r="C102" s="91"/>
      <c r="D102" s="125"/>
      <c r="E102" s="125"/>
      <c r="F102" s="132"/>
      <c r="G102" s="91"/>
      <c r="H102" s="125"/>
      <c r="I102" s="132"/>
      <c r="J102" s="91"/>
      <c r="K102" s="5"/>
      <c r="L102" s="4"/>
    </row>
    <row r="103" spans="1:12" ht="11.25" customHeight="1">
      <c r="A103" s="20" t="s">
        <v>51</v>
      </c>
      <c r="B103" s="125"/>
      <c r="C103" s="91"/>
      <c r="D103" s="125"/>
      <c r="E103" s="125"/>
      <c r="F103" s="132"/>
      <c r="G103" s="91"/>
      <c r="H103" s="125"/>
      <c r="I103" s="132"/>
      <c r="J103" s="91"/>
      <c r="K103" s="5"/>
      <c r="L103" s="4"/>
    </row>
    <row r="104" spans="1:12" ht="14.25" customHeight="1">
      <c r="A104" s="49" t="s">
        <v>69</v>
      </c>
      <c r="B104" s="125"/>
      <c r="C104" s="91"/>
      <c r="D104" s="125"/>
      <c r="E104" s="125"/>
      <c r="F104" s="132"/>
      <c r="G104" s="91"/>
      <c r="H104" s="125"/>
      <c r="I104" s="132"/>
      <c r="J104" s="91"/>
      <c r="K104" s="5"/>
      <c r="L104" s="4"/>
    </row>
    <row r="105" spans="1:12" ht="11.25" customHeight="1">
      <c r="A105" s="92" t="s">
        <v>70</v>
      </c>
      <c r="B105" s="125"/>
      <c r="C105" s="91"/>
      <c r="D105" s="125"/>
      <c r="E105" s="125"/>
      <c r="F105" s="132"/>
      <c r="G105" s="91"/>
      <c r="H105" s="125"/>
      <c r="I105" s="132"/>
      <c r="J105" s="91"/>
      <c r="K105" s="5"/>
      <c r="L105" s="4"/>
    </row>
    <row r="106" spans="1:12" ht="11.25" customHeight="1">
      <c r="A106" s="92" t="s">
        <v>71</v>
      </c>
      <c r="B106" s="125"/>
      <c r="C106" s="91"/>
      <c r="D106" s="125"/>
      <c r="E106" s="125"/>
      <c r="F106" s="132"/>
      <c r="G106" s="91"/>
      <c r="H106" s="125"/>
      <c r="I106" s="132"/>
      <c r="J106" s="91"/>
      <c r="K106" s="5"/>
      <c r="L106" s="4"/>
    </row>
    <row r="107" spans="1:12" ht="12.75">
      <c r="A107" s="93" t="s">
        <v>72</v>
      </c>
      <c r="B107" s="125"/>
      <c r="C107" s="91"/>
      <c r="D107" s="125"/>
      <c r="E107" s="125"/>
      <c r="F107" s="132"/>
      <c r="G107" s="91"/>
      <c r="H107" s="125"/>
      <c r="I107" s="132"/>
      <c r="J107" s="91"/>
      <c r="K107" s="5"/>
      <c r="L107" s="4"/>
    </row>
    <row r="108" spans="1:12" ht="12.75">
      <c r="A108" s="93" t="s">
        <v>126</v>
      </c>
      <c r="B108" s="125"/>
      <c r="C108" s="91"/>
      <c r="D108" s="125"/>
      <c r="E108" s="125"/>
      <c r="F108" s="132"/>
      <c r="G108" s="91"/>
      <c r="H108" s="125"/>
      <c r="I108" s="132"/>
      <c r="J108" s="91"/>
      <c r="K108" s="5"/>
      <c r="L108" s="4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3"/>
      <c r="L109" s="9"/>
    </row>
    <row r="111" spans="1:12" ht="11.25" customHeight="1">
      <c r="A111" s="99"/>
      <c r="B111" s="79" t="s">
        <v>86</v>
      </c>
      <c r="C111" s="79" t="s">
        <v>86</v>
      </c>
      <c r="D111" s="300" t="s">
        <v>87</v>
      </c>
      <c r="E111" s="301"/>
      <c r="F111" s="23" t="s">
        <v>11</v>
      </c>
      <c r="G111" s="300" t="s">
        <v>88</v>
      </c>
      <c r="H111" s="302"/>
      <c r="I111" s="23" t="s">
        <v>11</v>
      </c>
      <c r="J111" s="321" t="s">
        <v>89</v>
      </c>
      <c r="K111" s="325" t="s">
        <v>128</v>
      </c>
      <c r="L111" s="326"/>
    </row>
    <row r="112" spans="1:12" ht="26.25" customHeight="1">
      <c r="A112" s="100" t="s">
        <v>129</v>
      </c>
      <c r="B112" s="19" t="s">
        <v>92</v>
      </c>
      <c r="C112" s="19" t="s">
        <v>93</v>
      </c>
      <c r="D112" s="25" t="s">
        <v>13</v>
      </c>
      <c r="E112" s="81" t="s">
        <v>130</v>
      </c>
      <c r="F112" s="25"/>
      <c r="G112" s="25" t="s">
        <v>13</v>
      </c>
      <c r="H112" s="81" t="s">
        <v>130</v>
      </c>
      <c r="I112" s="25"/>
      <c r="J112" s="322"/>
      <c r="K112" s="327"/>
      <c r="L112" s="328"/>
    </row>
    <row r="113" spans="1:12" ht="11.25" customHeight="1">
      <c r="A113" s="101"/>
      <c r="B113" s="130" t="s">
        <v>97</v>
      </c>
      <c r="C113" s="130" t="s">
        <v>98</v>
      </c>
      <c r="D113" s="130"/>
      <c r="E113" s="130" t="s">
        <v>99</v>
      </c>
      <c r="F113" s="129" t="s">
        <v>100</v>
      </c>
      <c r="G113" s="24"/>
      <c r="H113" s="24" t="s">
        <v>101</v>
      </c>
      <c r="I113" s="129" t="s">
        <v>102</v>
      </c>
      <c r="J113" s="24" t="s">
        <v>103</v>
      </c>
      <c r="K113" s="329"/>
      <c r="L113" s="330"/>
    </row>
    <row r="114" spans="1:12" ht="11.25" customHeight="1">
      <c r="A114" s="57" t="s">
        <v>112</v>
      </c>
      <c r="B114" s="15"/>
      <c r="C114" s="7"/>
      <c r="D114" s="15"/>
      <c r="E114" s="7"/>
      <c r="F114" s="15"/>
      <c r="G114" s="7"/>
      <c r="H114" s="15"/>
      <c r="I114" s="7"/>
      <c r="J114" s="7"/>
      <c r="K114" s="8"/>
      <c r="L114" s="4"/>
    </row>
    <row r="115" spans="1:12" ht="11.25" customHeight="1">
      <c r="A115" s="5" t="s">
        <v>104</v>
      </c>
      <c r="C115" s="5"/>
      <c r="E115" s="5"/>
      <c r="G115" s="5"/>
      <c r="I115" s="5"/>
      <c r="J115" s="5"/>
      <c r="K115" s="8"/>
      <c r="L115" s="4"/>
    </row>
    <row r="116" spans="1:12" ht="11.25" customHeight="1">
      <c r="A116" s="5" t="s">
        <v>105</v>
      </c>
      <c r="C116" s="5"/>
      <c r="E116" s="5"/>
      <c r="G116" s="5"/>
      <c r="I116" s="5"/>
      <c r="J116" s="5"/>
      <c r="K116" s="8"/>
      <c r="L116" s="4"/>
    </row>
    <row r="117" spans="1:12" ht="11.25" customHeight="1">
      <c r="A117" s="5" t="s">
        <v>106</v>
      </c>
      <c r="C117" s="5"/>
      <c r="E117" s="5"/>
      <c r="G117" s="5"/>
      <c r="I117" s="5"/>
      <c r="J117" s="5"/>
      <c r="K117" s="8"/>
      <c r="L117" s="4"/>
    </row>
    <row r="118" spans="1:12" ht="11.25" customHeight="1">
      <c r="A118" s="5" t="s">
        <v>107</v>
      </c>
      <c r="C118" s="5"/>
      <c r="E118" s="5"/>
      <c r="G118" s="5"/>
      <c r="I118" s="5"/>
      <c r="J118" s="5"/>
      <c r="K118" s="8"/>
      <c r="L118" s="4"/>
    </row>
    <row r="119" spans="1:12" ht="11.25" customHeight="1">
      <c r="A119" s="5" t="s">
        <v>108</v>
      </c>
      <c r="C119" s="5"/>
      <c r="E119" s="5"/>
      <c r="G119" s="5"/>
      <c r="I119" s="5"/>
      <c r="J119" s="5"/>
      <c r="K119" s="8"/>
      <c r="L119" s="4"/>
    </row>
    <row r="120" spans="1:12" ht="11.25" customHeight="1">
      <c r="A120" s="5" t="s">
        <v>109</v>
      </c>
      <c r="C120" s="5"/>
      <c r="E120" s="5"/>
      <c r="G120" s="5"/>
      <c r="I120" s="5"/>
      <c r="J120" s="5"/>
      <c r="K120" s="8"/>
      <c r="L120" s="4"/>
    </row>
    <row r="121" spans="1:12" ht="11.25" customHeight="1">
      <c r="A121" s="5" t="s">
        <v>110</v>
      </c>
      <c r="C121" s="5"/>
      <c r="E121" s="5"/>
      <c r="G121" s="5"/>
      <c r="I121" s="5"/>
      <c r="J121" s="5"/>
      <c r="K121" s="8"/>
      <c r="L121" s="4"/>
    </row>
    <row r="122" spans="1:12" ht="11.25" customHeight="1">
      <c r="A122" s="5" t="s">
        <v>111</v>
      </c>
      <c r="C122" s="5"/>
      <c r="E122" s="5"/>
      <c r="G122" s="5"/>
      <c r="I122" s="5"/>
      <c r="J122" s="5"/>
      <c r="K122" s="8"/>
      <c r="L122" s="4"/>
    </row>
    <row r="123" spans="1:12" ht="11.25" customHeight="1">
      <c r="A123" s="13" t="s">
        <v>131</v>
      </c>
      <c r="B123" s="1"/>
      <c r="C123" s="13"/>
      <c r="D123" s="108"/>
      <c r="E123" s="109"/>
      <c r="F123" s="108"/>
      <c r="G123" s="109"/>
      <c r="H123" s="108"/>
      <c r="I123" s="109"/>
      <c r="J123" s="109"/>
      <c r="K123" s="110"/>
      <c r="L123" s="111"/>
    </row>
  </sheetData>
  <sheetProtection/>
  <mergeCells count="55">
    <mergeCell ref="B43:C44"/>
    <mergeCell ref="D43:E44"/>
    <mergeCell ref="F43:K43"/>
    <mergeCell ref="F44:G44"/>
    <mergeCell ref="I44:J44"/>
    <mergeCell ref="K37:L37"/>
    <mergeCell ref="A40:C40"/>
    <mergeCell ref="K35:L35"/>
    <mergeCell ref="D111:E111"/>
    <mergeCell ref="G111:H111"/>
    <mergeCell ref="J111:J112"/>
    <mergeCell ref="K111:L113"/>
    <mergeCell ref="D45:E45"/>
    <mergeCell ref="F45:G45"/>
    <mergeCell ref="I45:J45"/>
    <mergeCell ref="F25:G25"/>
    <mergeCell ref="D29:E29"/>
    <mergeCell ref="G29:H29"/>
    <mergeCell ref="J29:J31"/>
    <mergeCell ref="A38:K38"/>
    <mergeCell ref="A39:H39"/>
    <mergeCell ref="B26:C26"/>
    <mergeCell ref="D26:E26"/>
    <mergeCell ref="K29:L32"/>
    <mergeCell ref="K34:L34"/>
    <mergeCell ref="D14:E14"/>
    <mergeCell ref="K36:L36"/>
    <mergeCell ref="I26:J26"/>
    <mergeCell ref="B27:C27"/>
    <mergeCell ref="D27:E27"/>
    <mergeCell ref="F27:G27"/>
    <mergeCell ref="B23:C23"/>
    <mergeCell ref="D23:E23"/>
    <mergeCell ref="F23:G23"/>
    <mergeCell ref="B25:C25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B22:C22"/>
    <mergeCell ref="D22:E22"/>
    <mergeCell ref="F22:G22"/>
    <mergeCell ref="I22:J22"/>
    <mergeCell ref="A3:K3"/>
    <mergeCell ref="A4:K4"/>
    <mergeCell ref="A5:K5"/>
    <mergeCell ref="A6:K6"/>
    <mergeCell ref="A7:K7"/>
    <mergeCell ref="B10:C11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65"/>
  <sheetViews>
    <sheetView showGridLines="0" tabSelected="1" zoomScale="70" zoomScaleNormal="70" zoomScalePageLayoutView="0" workbookViewId="0" topLeftCell="A187">
      <selection activeCell="J212" sqref="J212:K212"/>
    </sheetView>
  </sheetViews>
  <sheetFormatPr defaultColWidth="9.140625" defaultRowHeight="12.75"/>
  <cols>
    <col min="1" max="1" width="106.140625" style="248" customWidth="1"/>
    <col min="2" max="2" width="13.57421875" style="248" customWidth="1"/>
    <col min="3" max="3" width="15.421875" style="248" customWidth="1"/>
    <col min="4" max="4" width="14.421875" style="248" customWidth="1"/>
    <col min="5" max="5" width="15.28125" style="248" customWidth="1"/>
    <col min="6" max="6" width="15.421875" style="248" customWidth="1"/>
    <col min="7" max="7" width="13.8515625" style="248" customWidth="1"/>
    <col min="8" max="8" width="13.7109375" style="248" customWidth="1"/>
    <col min="9" max="9" width="15.57421875" style="248" customWidth="1"/>
    <col min="10" max="10" width="19.28125" style="248" customWidth="1"/>
    <col min="11" max="11" width="18.7109375" style="248" customWidth="1"/>
    <col min="12" max="12" width="15.57421875" style="240" customWidth="1"/>
    <col min="13" max="13" width="18.140625" style="248" customWidth="1"/>
    <col min="14" max="14" width="17.28125" style="248" customWidth="1"/>
    <col min="15" max="15" width="17.140625" style="248" customWidth="1"/>
    <col min="16" max="16" width="15.8515625" style="248" customWidth="1"/>
    <col min="17" max="17" width="18.28125" style="248" customWidth="1"/>
    <col min="18" max="16384" width="9.140625" style="248" customWidth="1"/>
  </cols>
  <sheetData>
    <row r="1" ht="12.75"/>
    <row r="2" spans="1:12" s="3" customFormat="1" ht="15.75">
      <c r="A2" s="212"/>
      <c r="B2" s="212"/>
      <c r="C2" s="212"/>
      <c r="D2" s="212"/>
      <c r="E2" s="212"/>
      <c r="F2" s="212"/>
      <c r="G2" s="212"/>
      <c r="H2" s="212"/>
      <c r="L2" s="240"/>
    </row>
    <row r="3" spans="1:12" s="3" customFormat="1" ht="15.75">
      <c r="A3" s="136"/>
      <c r="B3" s="136"/>
      <c r="C3" s="136"/>
      <c r="D3" s="136"/>
      <c r="E3" s="136"/>
      <c r="F3" s="136"/>
      <c r="G3" s="136"/>
      <c r="H3" s="136"/>
      <c r="L3" s="240"/>
    </row>
    <row r="4" spans="1:12" s="112" customFormat="1" ht="15.75">
      <c r="A4" s="117"/>
      <c r="B4" s="117"/>
      <c r="C4" s="117"/>
      <c r="D4" s="117"/>
      <c r="E4" s="117"/>
      <c r="F4" s="117"/>
      <c r="G4" s="117"/>
      <c r="H4" s="117"/>
      <c r="I4" s="3"/>
      <c r="J4" s="3"/>
      <c r="K4" s="3"/>
      <c r="L4" s="240"/>
    </row>
    <row r="5" spans="1:12" s="112" customFormat="1" ht="15.75">
      <c r="A5" s="462" t="s">
        <v>281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240"/>
    </row>
    <row r="6" spans="1:12" s="112" customFormat="1" ht="15.75">
      <c r="A6" s="463" t="s">
        <v>2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240"/>
    </row>
    <row r="7" spans="1:12" s="112" customFormat="1" ht="15.75">
      <c r="A7" s="464" t="s">
        <v>145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240"/>
    </row>
    <row r="8" spans="1:12" s="112" customFormat="1" ht="15.75">
      <c r="A8" s="463" t="s">
        <v>4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240"/>
    </row>
    <row r="9" spans="1:12" s="112" customFormat="1" ht="15.75">
      <c r="A9" s="463" t="s">
        <v>357</v>
      </c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240"/>
    </row>
    <row r="10" spans="1:12" s="112" customFormat="1" ht="15.75">
      <c r="A10" s="138"/>
      <c r="B10" s="138"/>
      <c r="C10" s="138"/>
      <c r="D10" s="138"/>
      <c r="E10" s="138"/>
      <c r="F10" s="138"/>
      <c r="G10" s="138"/>
      <c r="H10" s="138"/>
      <c r="I10" s="3"/>
      <c r="J10" s="3"/>
      <c r="K10" s="286" t="s">
        <v>358</v>
      </c>
      <c r="L10" s="240"/>
    </row>
    <row r="11" spans="1:12" s="112" customFormat="1" ht="15.75">
      <c r="A11" s="3" t="s">
        <v>147</v>
      </c>
      <c r="B11" s="137"/>
      <c r="C11" s="137"/>
      <c r="D11" s="137"/>
      <c r="E11" s="137"/>
      <c r="F11" s="137"/>
      <c r="G11" s="137"/>
      <c r="H11" s="139"/>
      <c r="I11" s="3"/>
      <c r="J11" s="3"/>
      <c r="K11" s="139">
        <v>1</v>
      </c>
      <c r="L11" s="240"/>
    </row>
    <row r="12" spans="1:12" s="112" customFormat="1" ht="18" customHeight="1">
      <c r="A12" s="411" t="s">
        <v>148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240"/>
    </row>
    <row r="13" spans="1:12" s="112" customFormat="1" ht="15.75">
      <c r="A13" s="392" t="s">
        <v>149</v>
      </c>
      <c r="B13" s="458" t="s">
        <v>141</v>
      </c>
      <c r="C13" s="459"/>
      <c r="D13" s="459"/>
      <c r="E13" s="459"/>
      <c r="F13" s="460"/>
      <c r="G13" s="458" t="s">
        <v>10</v>
      </c>
      <c r="H13" s="459"/>
      <c r="I13" s="459"/>
      <c r="J13" s="459"/>
      <c r="K13" s="459"/>
      <c r="L13" s="240"/>
    </row>
    <row r="14" spans="1:12" s="112" customFormat="1" ht="15.75">
      <c r="A14" s="407"/>
      <c r="B14" s="380" t="s">
        <v>93</v>
      </c>
      <c r="C14" s="405"/>
      <c r="D14" s="405"/>
      <c r="E14" s="405"/>
      <c r="F14" s="382"/>
      <c r="G14" s="380" t="s">
        <v>15</v>
      </c>
      <c r="H14" s="405"/>
      <c r="I14" s="405"/>
      <c r="J14" s="405"/>
      <c r="K14" s="405"/>
      <c r="L14" s="240"/>
    </row>
    <row r="15" spans="1:12" s="112" customFormat="1" ht="15.75">
      <c r="A15" s="425"/>
      <c r="B15" s="396" t="s">
        <v>16</v>
      </c>
      <c r="C15" s="397"/>
      <c r="D15" s="397"/>
      <c r="E15" s="397"/>
      <c r="F15" s="398"/>
      <c r="G15" s="396" t="s">
        <v>17</v>
      </c>
      <c r="H15" s="397"/>
      <c r="I15" s="397"/>
      <c r="J15" s="397"/>
      <c r="K15" s="397"/>
      <c r="L15" s="240"/>
    </row>
    <row r="16" spans="1:12" s="112" customFormat="1" ht="15.75">
      <c r="A16" s="117" t="s">
        <v>150</v>
      </c>
      <c r="B16" s="195" t="s">
        <v>144</v>
      </c>
      <c r="C16" s="117"/>
      <c r="D16" s="117"/>
      <c r="E16" s="350">
        <f>E17+E20+E21+E22+E23</f>
        <v>63272741478.2</v>
      </c>
      <c r="F16" s="349"/>
      <c r="G16" s="195"/>
      <c r="H16" s="117"/>
      <c r="I16" s="117"/>
      <c r="J16" s="350">
        <f>J17+J20+J21+J22+J23</f>
        <v>33019434945.379993</v>
      </c>
      <c r="K16" s="350"/>
      <c r="L16" s="240"/>
    </row>
    <row r="17" spans="1:12" s="112" customFormat="1" ht="29.25" customHeight="1">
      <c r="A17" s="141" t="s">
        <v>151</v>
      </c>
      <c r="B17" s="140"/>
      <c r="C17" s="3"/>
      <c r="D17" s="3"/>
      <c r="E17" s="341">
        <f>E18+E19</f>
        <v>52305248825.46</v>
      </c>
      <c r="F17" s="334"/>
      <c r="G17" s="140"/>
      <c r="H17" s="3"/>
      <c r="I17" s="3"/>
      <c r="J17" s="341">
        <f>J18+J19</f>
        <v>26301575319.559998</v>
      </c>
      <c r="K17" s="341"/>
      <c r="L17" s="240"/>
    </row>
    <row r="18" spans="1:12" s="112" customFormat="1" ht="12.75" customHeight="1">
      <c r="A18" s="141" t="s">
        <v>152</v>
      </c>
      <c r="B18" s="140"/>
      <c r="C18" s="3"/>
      <c r="D18" s="3"/>
      <c r="E18" s="341">
        <f>46064126806.24</f>
        <v>46064126806.24</v>
      </c>
      <c r="F18" s="334"/>
      <c r="G18" s="140"/>
      <c r="H18" s="3"/>
      <c r="I18" s="3"/>
      <c r="J18" s="341">
        <f>23241654782.87</f>
        <v>23241654782.87</v>
      </c>
      <c r="K18" s="341"/>
      <c r="L18" s="240"/>
    </row>
    <row r="19" spans="1:12" s="112" customFormat="1" ht="12.75" customHeight="1">
      <c r="A19" s="141" t="s">
        <v>153</v>
      </c>
      <c r="B19" s="140"/>
      <c r="C19" s="3"/>
      <c r="D19" s="3"/>
      <c r="E19" s="341">
        <f>6241122019.22</f>
        <v>6241122019.22</v>
      </c>
      <c r="F19" s="334"/>
      <c r="G19" s="140"/>
      <c r="H19" s="3"/>
      <c r="I19" s="3"/>
      <c r="J19" s="341">
        <f>3059920536.69</f>
        <v>3059920536.69</v>
      </c>
      <c r="K19" s="341"/>
      <c r="L19" s="240"/>
    </row>
    <row r="20" spans="1:12" s="112" customFormat="1" ht="15.75">
      <c r="A20" s="3" t="s">
        <v>154</v>
      </c>
      <c r="B20" s="140"/>
      <c r="C20" s="3"/>
      <c r="D20" s="3"/>
      <c r="E20" s="341">
        <f>1608874188.31</f>
        <v>1608874188.31</v>
      </c>
      <c r="F20" s="334"/>
      <c r="G20" s="140"/>
      <c r="H20" s="3"/>
      <c r="I20" s="3"/>
      <c r="J20" s="341">
        <f>649704413</f>
        <v>649704413</v>
      </c>
      <c r="K20" s="341"/>
      <c r="L20" s="240"/>
    </row>
    <row r="21" spans="1:12" s="112" customFormat="1" ht="15.75">
      <c r="A21" s="3" t="s">
        <v>155</v>
      </c>
      <c r="B21" s="140"/>
      <c r="C21" s="3"/>
      <c r="D21" s="3"/>
      <c r="E21" s="341">
        <f>3996417431.19</f>
        <v>3996417431.19</v>
      </c>
      <c r="F21" s="334"/>
      <c r="G21" s="140"/>
      <c r="H21" s="3"/>
      <c r="I21" s="3"/>
      <c r="J21" s="341">
        <f>3306542190.28</f>
        <v>3306542190.28</v>
      </c>
      <c r="K21" s="341"/>
      <c r="L21" s="240"/>
    </row>
    <row r="22" spans="1:12" s="112" customFormat="1" ht="15.75">
      <c r="A22" s="3" t="s">
        <v>156</v>
      </c>
      <c r="B22" s="140" t="s">
        <v>144</v>
      </c>
      <c r="C22" s="3"/>
      <c r="D22" s="3"/>
      <c r="E22" s="341">
        <f>5361298434.85</f>
        <v>5361298434.85</v>
      </c>
      <c r="F22" s="334"/>
      <c r="G22" s="140"/>
      <c r="H22" s="3"/>
      <c r="I22" s="3"/>
      <c r="J22" s="341">
        <f>2761426063.42</f>
        <v>2761426063.42</v>
      </c>
      <c r="K22" s="341"/>
      <c r="L22" s="240"/>
    </row>
    <row r="23" spans="1:12" s="112" customFormat="1" ht="15.75">
      <c r="A23" s="141" t="s">
        <v>282</v>
      </c>
      <c r="B23" s="140"/>
      <c r="C23" s="3"/>
      <c r="D23" s="3"/>
      <c r="E23" s="341">
        <f>E24+E25</f>
        <v>902598.39</v>
      </c>
      <c r="F23" s="334"/>
      <c r="G23" s="140"/>
      <c r="H23" s="3"/>
      <c r="I23" s="3"/>
      <c r="J23" s="341">
        <f>J24+J25</f>
        <v>186959.12</v>
      </c>
      <c r="K23" s="341"/>
      <c r="L23" s="240"/>
    </row>
    <row r="24" spans="1:12" s="112" customFormat="1" ht="15.75">
      <c r="A24" s="141" t="s">
        <v>283</v>
      </c>
      <c r="B24" s="140"/>
      <c r="C24" s="3"/>
      <c r="D24" s="3"/>
      <c r="E24" s="341">
        <v>0</v>
      </c>
      <c r="F24" s="334"/>
      <c r="G24" s="140"/>
      <c r="H24" s="3"/>
      <c r="I24" s="3"/>
      <c r="J24" s="341">
        <v>0</v>
      </c>
      <c r="K24" s="341"/>
      <c r="L24" s="240"/>
    </row>
    <row r="25" spans="1:12" s="112" customFormat="1" ht="15.75">
      <c r="A25" s="141" t="s">
        <v>284</v>
      </c>
      <c r="B25" s="140"/>
      <c r="C25" s="3"/>
      <c r="D25" s="3"/>
      <c r="E25" s="341">
        <f>902598.39</f>
        <v>902598.39</v>
      </c>
      <c r="F25" s="334"/>
      <c r="G25" s="140"/>
      <c r="H25" s="3"/>
      <c r="I25" s="3"/>
      <c r="J25" s="341">
        <f>186959.12</f>
        <v>186959.12</v>
      </c>
      <c r="K25" s="341"/>
      <c r="L25" s="240"/>
    </row>
    <row r="26" spans="1:12" s="112" customFormat="1" ht="15.75">
      <c r="A26" s="117" t="s">
        <v>157</v>
      </c>
      <c r="B26" s="195" t="s">
        <v>144</v>
      </c>
      <c r="C26" s="117"/>
      <c r="D26" s="117"/>
      <c r="E26" s="467">
        <f>E27+E28+E29+E30</f>
        <v>3765864633.3700004</v>
      </c>
      <c r="F26" s="345"/>
      <c r="G26" s="195"/>
      <c r="H26" s="117"/>
      <c r="I26" s="117"/>
      <c r="J26" s="467">
        <f>J27+J28+J29+J30</f>
        <v>1901282563.16</v>
      </c>
      <c r="K26" s="467"/>
      <c r="L26" s="240"/>
    </row>
    <row r="27" spans="1:12" s="112" customFormat="1" ht="15.75">
      <c r="A27" s="3" t="s">
        <v>158</v>
      </c>
      <c r="B27" s="140" t="s">
        <v>144</v>
      </c>
      <c r="C27" s="3"/>
      <c r="D27" s="3"/>
      <c r="E27" s="341">
        <f>2460280464.48</f>
        <v>2460280464.48</v>
      </c>
      <c r="F27" s="334"/>
      <c r="G27" s="140"/>
      <c r="H27" s="3"/>
      <c r="I27" s="3"/>
      <c r="J27" s="341">
        <f>1298387938.88</f>
        <v>1298387938.88</v>
      </c>
      <c r="K27" s="341"/>
      <c r="L27" s="240"/>
    </row>
    <row r="28" spans="1:12" s="112" customFormat="1" ht="15.75">
      <c r="A28" s="3" t="s">
        <v>159</v>
      </c>
      <c r="B28" s="140" t="s">
        <v>144</v>
      </c>
      <c r="C28" s="3"/>
      <c r="D28" s="3"/>
      <c r="E28" s="341">
        <f>1305584134.78</f>
        <v>1305584134.78</v>
      </c>
      <c r="F28" s="334"/>
      <c r="G28" s="140"/>
      <c r="H28" s="3"/>
      <c r="I28" s="3"/>
      <c r="J28" s="341">
        <f>602894590.17</f>
        <v>602894590.17</v>
      </c>
      <c r="K28" s="341"/>
      <c r="L28" s="240"/>
    </row>
    <row r="29" spans="1:12" s="112" customFormat="1" ht="15.75">
      <c r="A29" s="3" t="s">
        <v>160</v>
      </c>
      <c r="B29" s="140" t="s">
        <v>144</v>
      </c>
      <c r="C29" s="3"/>
      <c r="D29" s="3"/>
      <c r="E29" s="360">
        <f>34.11</f>
        <v>34.11</v>
      </c>
      <c r="F29" s="461"/>
      <c r="G29" s="282"/>
      <c r="H29" s="3"/>
      <c r="I29" s="3"/>
      <c r="J29" s="341">
        <f>34.11</f>
        <v>34.11</v>
      </c>
      <c r="K29" s="341"/>
      <c r="L29" s="240"/>
    </row>
    <row r="30" spans="1:16" s="112" customFormat="1" ht="15.75">
      <c r="A30" s="3" t="s">
        <v>161</v>
      </c>
      <c r="B30" s="140"/>
      <c r="C30" s="3"/>
      <c r="D30" s="3"/>
      <c r="E30" s="341">
        <v>0</v>
      </c>
      <c r="F30" s="334"/>
      <c r="G30" s="140"/>
      <c r="H30" s="3"/>
      <c r="I30" s="3"/>
      <c r="J30" s="341">
        <v>0</v>
      </c>
      <c r="K30" s="341"/>
      <c r="L30" s="240"/>
      <c r="N30" s="494"/>
      <c r="O30" s="494"/>
      <c r="P30" s="494"/>
    </row>
    <row r="31" spans="1:16" s="6" customFormat="1" ht="15.75">
      <c r="A31" s="196" t="s">
        <v>162</v>
      </c>
      <c r="B31" s="197"/>
      <c r="C31" s="196"/>
      <c r="D31" s="196"/>
      <c r="E31" s="465">
        <f>E32+E33+E34</f>
        <v>13806224991.91</v>
      </c>
      <c r="F31" s="466"/>
      <c r="G31" s="197"/>
      <c r="H31" s="196"/>
      <c r="I31" s="196"/>
      <c r="J31" s="465">
        <f>J32+J33+J34</f>
        <v>7593562664.500001</v>
      </c>
      <c r="K31" s="465"/>
      <c r="L31" s="240"/>
      <c r="N31" s="494"/>
      <c r="O31" s="494"/>
      <c r="P31" s="494"/>
    </row>
    <row r="32" spans="1:16" s="112" customFormat="1" ht="15.75">
      <c r="A32" s="143" t="s">
        <v>163</v>
      </c>
      <c r="B32" s="241"/>
      <c r="C32" s="170"/>
      <c r="D32" s="170"/>
      <c r="E32" s="439">
        <f>11481764458.33</f>
        <v>11481764458.33</v>
      </c>
      <c r="F32" s="468"/>
      <c r="G32" s="140"/>
      <c r="H32" s="3"/>
      <c r="I32" s="3"/>
      <c r="J32" s="341">
        <f>5789644537.56</f>
        <v>5789644537.56</v>
      </c>
      <c r="K32" s="341"/>
      <c r="L32" s="240"/>
      <c r="N32" s="494"/>
      <c r="O32" s="494"/>
      <c r="P32" s="494"/>
    </row>
    <row r="33" spans="1:16" s="112" customFormat="1" ht="15.75">
      <c r="A33" s="143" t="s">
        <v>164</v>
      </c>
      <c r="B33" s="241"/>
      <c r="C33" s="170"/>
      <c r="D33" s="170"/>
      <c r="E33" s="439">
        <f>1998064500.11</f>
        <v>1998064500.11</v>
      </c>
      <c r="F33" s="468"/>
      <c r="G33" s="140"/>
      <c r="H33" s="3"/>
      <c r="I33" s="3"/>
      <c r="J33" s="341">
        <f>1653194479.68</f>
        <v>1653194479.68</v>
      </c>
      <c r="K33" s="341"/>
      <c r="L33" s="240"/>
      <c r="N33" s="494"/>
      <c r="O33" s="494"/>
      <c r="P33" s="494"/>
    </row>
    <row r="34" spans="1:16" s="112" customFormat="1" ht="12.75" customHeight="1">
      <c r="A34" s="143" t="s">
        <v>165</v>
      </c>
      <c r="B34" s="241"/>
      <c r="C34" s="170"/>
      <c r="D34" s="170"/>
      <c r="E34" s="471">
        <f>326396033.47</f>
        <v>326396033.47</v>
      </c>
      <c r="F34" s="472"/>
      <c r="G34" s="140"/>
      <c r="H34" s="3"/>
      <c r="I34" s="3"/>
      <c r="J34" s="342">
        <f>150723647.26</f>
        <v>150723647.26</v>
      </c>
      <c r="K34" s="342"/>
      <c r="L34" s="240"/>
      <c r="N34" s="495"/>
      <c r="O34" s="495"/>
      <c r="P34" s="494"/>
    </row>
    <row r="35" spans="1:16" s="112" customFormat="1" ht="13.5" customHeight="1">
      <c r="A35" s="144" t="s">
        <v>166</v>
      </c>
      <c r="B35" s="198" t="s">
        <v>144</v>
      </c>
      <c r="C35" s="199"/>
      <c r="D35" s="199"/>
      <c r="E35" s="352">
        <f>E16+E26-E31</f>
        <v>53232381119.66</v>
      </c>
      <c r="F35" s="353"/>
      <c r="G35" s="198"/>
      <c r="H35" s="199"/>
      <c r="I35" s="199"/>
      <c r="J35" s="352">
        <f>J16+J26-J31</f>
        <v>27327154844.039993</v>
      </c>
      <c r="K35" s="352"/>
      <c r="L35" s="273"/>
      <c r="N35" s="496"/>
      <c r="O35" s="496"/>
      <c r="P35" s="494"/>
    </row>
    <row r="36" spans="1:16" s="112" customFormat="1" ht="13.5" customHeight="1">
      <c r="A36" s="144"/>
      <c r="B36" s="146"/>
      <c r="C36" s="147"/>
      <c r="D36" s="147"/>
      <c r="E36" s="147"/>
      <c r="F36" s="147"/>
      <c r="G36" s="146"/>
      <c r="H36" s="145"/>
      <c r="I36" s="145"/>
      <c r="J36" s="238"/>
      <c r="K36" s="238"/>
      <c r="L36" s="273"/>
      <c r="M36" s="281"/>
      <c r="N36" s="496"/>
      <c r="O36" s="496"/>
      <c r="P36" s="494"/>
    </row>
    <row r="37" spans="1:16" s="112" customFormat="1" ht="16.5" customHeight="1">
      <c r="A37" s="148" t="s">
        <v>167</v>
      </c>
      <c r="B37" s="242"/>
      <c r="C37" s="243"/>
      <c r="D37" s="243"/>
      <c r="E37" s="473">
        <f>9551077895.49</f>
        <v>9551077895.49</v>
      </c>
      <c r="F37" s="474"/>
      <c r="G37" s="200"/>
      <c r="H37" s="199"/>
      <c r="I37" s="199"/>
      <c r="J37" s="469">
        <f>4893360056.86</f>
        <v>4893360056.86</v>
      </c>
      <c r="K37" s="469"/>
      <c r="L37" s="273"/>
      <c r="N37" s="496"/>
      <c r="O37" s="496"/>
      <c r="P37" s="494"/>
    </row>
    <row r="38" spans="1:16" s="112" customFormat="1" ht="13.5" customHeight="1">
      <c r="A38" s="144"/>
      <c r="B38" s="146"/>
      <c r="C38" s="147"/>
      <c r="D38" s="147"/>
      <c r="E38" s="147"/>
      <c r="F38" s="147"/>
      <c r="G38" s="146"/>
      <c r="H38" s="145"/>
      <c r="I38" s="145"/>
      <c r="J38" s="238"/>
      <c r="K38" s="238"/>
      <c r="L38" s="273"/>
      <c r="M38" s="274"/>
      <c r="N38" s="496"/>
      <c r="O38" s="496"/>
      <c r="P38" s="494"/>
    </row>
    <row r="39" spans="1:16" s="112" customFormat="1" ht="33.75" customHeight="1">
      <c r="A39" s="144" t="s">
        <v>168</v>
      </c>
      <c r="B39" s="200"/>
      <c r="C39" s="201"/>
      <c r="D39" s="201"/>
      <c r="E39" s="352">
        <f>(0.05*((E17-E32)+(E20)+(E21-E33)+(E27)+(E28-E34)))+(0.25*(E22+E29+E30))</f>
        <v>3733833619.8555</v>
      </c>
      <c r="F39" s="353"/>
      <c r="G39" s="200"/>
      <c r="H39" s="199"/>
      <c r="I39" s="199"/>
      <c r="J39" s="352">
        <f>(0.05*((J17-J32)+(J20)+(J21-J33)+(J27)+(J28-J34)))+(0.25*(J22+J29+J30))</f>
        <v>1918633613.7519999</v>
      </c>
      <c r="K39" s="352"/>
      <c r="L39" s="273"/>
      <c r="M39" s="274"/>
      <c r="N39" s="496"/>
      <c r="O39" s="496"/>
      <c r="P39" s="494"/>
    </row>
    <row r="40" spans="1:15" s="112" customFormat="1" ht="3.75" customHeight="1">
      <c r="A40" s="149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273"/>
      <c r="M40" s="274"/>
      <c r="N40" s="274"/>
      <c r="O40" s="274"/>
    </row>
    <row r="41" spans="1:13" s="112" customFormat="1" ht="18.75" customHeight="1">
      <c r="A41" s="411" t="s">
        <v>169</v>
      </c>
      <c r="B41" s="412"/>
      <c r="C41" s="412"/>
      <c r="D41" s="412"/>
      <c r="E41" s="412"/>
      <c r="F41" s="412"/>
      <c r="G41" s="412"/>
      <c r="H41" s="412"/>
      <c r="I41" s="412"/>
      <c r="J41" s="412"/>
      <c r="K41" s="236"/>
      <c r="L41" s="269"/>
      <c r="M41" s="281"/>
    </row>
    <row r="42" spans="1:12" s="112" customFormat="1" ht="15" customHeight="1">
      <c r="A42" s="413" t="s">
        <v>170</v>
      </c>
      <c r="B42" s="459" t="s">
        <v>141</v>
      </c>
      <c r="C42" s="459"/>
      <c r="D42" s="459"/>
      <c r="E42" s="459"/>
      <c r="F42" s="460"/>
      <c r="G42" s="458" t="s">
        <v>10</v>
      </c>
      <c r="H42" s="459"/>
      <c r="I42" s="459"/>
      <c r="J42" s="459"/>
      <c r="K42" s="459"/>
      <c r="L42" s="240"/>
    </row>
    <row r="43" spans="1:12" s="112" customFormat="1" ht="15.75">
      <c r="A43" s="401"/>
      <c r="B43" s="405" t="s">
        <v>93</v>
      </c>
      <c r="C43" s="405"/>
      <c r="D43" s="405"/>
      <c r="E43" s="405"/>
      <c r="F43" s="382"/>
      <c r="G43" s="380" t="s">
        <v>15</v>
      </c>
      <c r="H43" s="405"/>
      <c r="I43" s="405"/>
      <c r="J43" s="405"/>
      <c r="K43" s="405"/>
      <c r="L43" s="240"/>
    </row>
    <row r="44" spans="1:12" s="112" customFormat="1" ht="15.75">
      <c r="A44" s="414"/>
      <c r="B44" s="397" t="s">
        <v>16</v>
      </c>
      <c r="C44" s="397"/>
      <c r="D44" s="397"/>
      <c r="E44" s="397"/>
      <c r="F44" s="398"/>
      <c r="G44" s="396" t="s">
        <v>17</v>
      </c>
      <c r="H44" s="397"/>
      <c r="I44" s="397"/>
      <c r="J44" s="397"/>
      <c r="K44" s="397"/>
      <c r="L44" s="240"/>
    </row>
    <row r="45" spans="1:12" s="112" customFormat="1" ht="15.75">
      <c r="A45" s="202" t="s">
        <v>171</v>
      </c>
      <c r="B45" s="203"/>
      <c r="C45" s="203"/>
      <c r="D45" s="203"/>
      <c r="E45" s="470">
        <f>E46+E49+E52+E54</f>
        <v>4418448658</v>
      </c>
      <c r="F45" s="368"/>
      <c r="G45" s="203"/>
      <c r="H45" s="203"/>
      <c r="I45" s="117"/>
      <c r="J45" s="350">
        <f>J46+J49+J52+J54</f>
        <v>2134848366.32</v>
      </c>
      <c r="K45" s="350"/>
      <c r="L45" s="240"/>
    </row>
    <row r="46" spans="1:13" s="112" customFormat="1" ht="15.75">
      <c r="A46" s="202" t="s">
        <v>172</v>
      </c>
      <c r="B46" s="203"/>
      <c r="C46" s="203"/>
      <c r="D46" s="203"/>
      <c r="E46" s="417">
        <f>E47+E48</f>
        <v>4418448658</v>
      </c>
      <c r="F46" s="418"/>
      <c r="G46" s="203"/>
      <c r="H46" s="203"/>
      <c r="I46" s="117"/>
      <c r="J46" s="467">
        <f>J47+J48</f>
        <v>2134686176.85</v>
      </c>
      <c r="K46" s="467"/>
      <c r="L46" s="240"/>
      <c r="M46" s="281"/>
    </row>
    <row r="47" spans="1:12" s="112" customFormat="1" ht="15.75">
      <c r="A47" s="150" t="s">
        <v>173</v>
      </c>
      <c r="B47" s="151"/>
      <c r="C47" s="151"/>
      <c r="D47" s="151"/>
      <c r="E47" s="361">
        <f>4418448658</f>
        <v>4418448658</v>
      </c>
      <c r="F47" s="337"/>
      <c r="G47" s="151"/>
      <c r="H47" s="151"/>
      <c r="I47" s="3"/>
      <c r="J47" s="341">
        <f>2111208582.06</f>
        <v>2111208582.06</v>
      </c>
      <c r="K47" s="341"/>
      <c r="L47" s="240"/>
    </row>
    <row r="48" spans="1:12" s="112" customFormat="1" ht="15.75">
      <c r="A48" s="150" t="s">
        <v>174</v>
      </c>
      <c r="B48" s="151"/>
      <c r="C48" s="151"/>
      <c r="D48" s="151"/>
      <c r="E48" s="361">
        <v>0</v>
      </c>
      <c r="F48" s="337"/>
      <c r="G48" s="151"/>
      <c r="H48" s="151"/>
      <c r="I48" s="3"/>
      <c r="J48" s="479">
        <f>23477594.79</f>
        <v>23477594.79</v>
      </c>
      <c r="K48" s="479"/>
      <c r="L48" s="240"/>
    </row>
    <row r="49" spans="1:12" s="112" customFormat="1" ht="15.75">
      <c r="A49" s="202" t="s">
        <v>175</v>
      </c>
      <c r="B49" s="203"/>
      <c r="C49" s="203"/>
      <c r="D49" s="203"/>
      <c r="E49" s="417">
        <f>E50+E51</f>
        <v>0</v>
      </c>
      <c r="F49" s="418"/>
      <c r="G49" s="203"/>
      <c r="H49" s="203"/>
      <c r="I49" s="117"/>
      <c r="J49" s="467">
        <f>J50+J51</f>
        <v>162189.47</v>
      </c>
      <c r="K49" s="467"/>
      <c r="L49" s="240"/>
    </row>
    <row r="50" spans="1:12" s="112" customFormat="1" ht="15.75">
      <c r="A50" s="150" t="s">
        <v>176</v>
      </c>
      <c r="B50" s="151"/>
      <c r="C50" s="151"/>
      <c r="D50" s="151"/>
      <c r="E50" s="361">
        <v>0</v>
      </c>
      <c r="F50" s="337"/>
      <c r="G50" s="151"/>
      <c r="H50" s="151"/>
      <c r="I50" s="3"/>
      <c r="J50" s="341">
        <v>0</v>
      </c>
      <c r="K50" s="341"/>
      <c r="L50" s="240"/>
    </row>
    <row r="51" spans="1:12" s="112" customFormat="1" ht="15.75">
      <c r="A51" s="150" t="s">
        <v>177</v>
      </c>
      <c r="B51" s="151"/>
      <c r="C51" s="151"/>
      <c r="D51" s="151"/>
      <c r="E51" s="361">
        <v>0</v>
      </c>
      <c r="F51" s="337"/>
      <c r="G51" s="151"/>
      <c r="H51" s="151"/>
      <c r="I51" s="3"/>
      <c r="J51" s="341">
        <f>162189.47</f>
        <v>162189.47</v>
      </c>
      <c r="K51" s="341"/>
      <c r="L51" s="240"/>
    </row>
    <row r="52" spans="1:12" s="112" customFormat="1" ht="15.75">
      <c r="A52" s="202" t="s">
        <v>178</v>
      </c>
      <c r="B52" s="203"/>
      <c r="C52" s="203"/>
      <c r="D52" s="203"/>
      <c r="E52" s="417">
        <f>E53+E54</f>
        <v>0</v>
      </c>
      <c r="F52" s="418"/>
      <c r="G52" s="203"/>
      <c r="H52" s="203"/>
      <c r="I52" s="117"/>
      <c r="J52" s="467">
        <f>J53+J54</f>
        <v>0</v>
      </c>
      <c r="K52" s="467"/>
      <c r="L52" s="240"/>
    </row>
    <row r="53" spans="1:12" s="112" customFormat="1" ht="15.75">
      <c r="A53" s="150" t="s">
        <v>179</v>
      </c>
      <c r="B53" s="151"/>
      <c r="C53" s="151"/>
      <c r="D53" s="151"/>
      <c r="E53" s="361">
        <v>0</v>
      </c>
      <c r="F53" s="337"/>
      <c r="G53" s="151"/>
      <c r="H53" s="151"/>
      <c r="I53" s="3"/>
      <c r="J53" s="341">
        <v>0</v>
      </c>
      <c r="K53" s="341"/>
      <c r="L53" s="240"/>
    </row>
    <row r="54" spans="1:15" s="112" customFormat="1" ht="15.75">
      <c r="A54" s="150" t="s">
        <v>180</v>
      </c>
      <c r="B54" s="151"/>
      <c r="C54" s="151"/>
      <c r="D54" s="151"/>
      <c r="E54" s="361">
        <v>0</v>
      </c>
      <c r="F54" s="337"/>
      <c r="G54" s="151"/>
      <c r="H54" s="151"/>
      <c r="I54" s="3"/>
      <c r="J54" s="341">
        <v>0</v>
      </c>
      <c r="K54" s="341"/>
      <c r="L54" s="240"/>
      <c r="N54" s="497"/>
      <c r="O54" s="495"/>
    </row>
    <row r="55" spans="1:15" s="112" customFormat="1" ht="18.75">
      <c r="A55" s="204" t="s">
        <v>285</v>
      </c>
      <c r="B55" s="205"/>
      <c r="C55" s="205"/>
      <c r="D55" s="205"/>
      <c r="E55" s="480">
        <f>E47-E37</f>
        <v>-5132629237.49</v>
      </c>
      <c r="F55" s="482"/>
      <c r="G55" s="205"/>
      <c r="H55" s="205"/>
      <c r="I55" s="206"/>
      <c r="J55" s="480">
        <f>J47-J37</f>
        <v>-2782151474.7999997</v>
      </c>
      <c r="K55" s="480"/>
      <c r="L55" s="240"/>
      <c r="N55" s="496"/>
      <c r="O55" s="496"/>
    </row>
    <row r="56" spans="1:16" s="6" customFormat="1" ht="19.5" customHeight="1">
      <c r="A56" s="233" t="s">
        <v>181</v>
      </c>
      <c r="B56" s="415" t="s">
        <v>142</v>
      </c>
      <c r="C56" s="415"/>
      <c r="D56" s="415"/>
      <c r="E56" s="416"/>
      <c r="F56" s="416"/>
      <c r="G56" s="415"/>
      <c r="H56" s="415"/>
      <c r="I56" s="415"/>
      <c r="J56" s="416"/>
      <c r="K56" s="268"/>
      <c r="L56" s="240"/>
      <c r="M56" s="116"/>
      <c r="N56" s="284"/>
      <c r="O56" s="116"/>
      <c r="P56" s="116"/>
    </row>
    <row r="57" spans="1:16" s="6" customFormat="1" ht="15.75">
      <c r="A57" s="207" t="s">
        <v>182</v>
      </c>
      <c r="B57" s="208"/>
      <c r="C57" s="208"/>
      <c r="D57" s="208"/>
      <c r="E57" s="208"/>
      <c r="F57" s="208"/>
      <c r="G57" s="208"/>
      <c r="H57" s="208"/>
      <c r="I57" s="196"/>
      <c r="J57" s="481">
        <f>J58+J59</f>
        <v>140796549.170001</v>
      </c>
      <c r="K57" s="481"/>
      <c r="L57" s="240"/>
      <c r="M57" s="116"/>
      <c r="N57" s="116"/>
      <c r="O57" s="116"/>
      <c r="P57" s="116"/>
    </row>
    <row r="58" spans="1:16" s="6" customFormat="1" ht="12.75" customHeight="1">
      <c r="A58" s="155" t="s">
        <v>183</v>
      </c>
      <c r="B58" s="154"/>
      <c r="C58" s="154"/>
      <c r="D58" s="154"/>
      <c r="E58" s="154"/>
      <c r="F58" s="154"/>
      <c r="G58" s="154"/>
      <c r="H58" s="154"/>
      <c r="I58" s="142"/>
      <c r="J58" s="479">
        <f>140796549.170001</f>
        <v>140796549.170001</v>
      </c>
      <c r="K58" s="479"/>
      <c r="L58" s="498"/>
      <c r="M58" s="499"/>
      <c r="N58" s="499"/>
      <c r="O58" s="499"/>
      <c r="P58" s="499"/>
    </row>
    <row r="59" spans="1:16" s="6" customFormat="1" ht="15.75">
      <c r="A59" s="156" t="s">
        <v>184</v>
      </c>
      <c r="B59" s="154"/>
      <c r="C59" s="154"/>
      <c r="D59" s="154"/>
      <c r="E59" s="154"/>
      <c r="F59" s="154"/>
      <c r="G59" s="154"/>
      <c r="H59" s="154"/>
      <c r="I59" s="142"/>
      <c r="J59" s="356">
        <v>0</v>
      </c>
      <c r="K59" s="356"/>
      <c r="L59" s="240"/>
      <c r="M59" s="116"/>
      <c r="N59" s="116"/>
      <c r="O59" s="116"/>
      <c r="P59" s="116"/>
    </row>
    <row r="60" spans="1:16" s="6" customFormat="1" ht="3.75" customHeight="1">
      <c r="A60" s="157"/>
      <c r="B60" s="158"/>
      <c r="C60" s="158"/>
      <c r="D60" s="158"/>
      <c r="E60" s="158"/>
      <c r="F60" s="158"/>
      <c r="G60" s="158"/>
      <c r="H60" s="158"/>
      <c r="I60" s="159"/>
      <c r="J60" s="159"/>
      <c r="K60" s="159"/>
      <c r="L60" s="240"/>
      <c r="M60" s="116"/>
      <c r="N60" s="116"/>
      <c r="O60" s="116"/>
      <c r="P60" s="116"/>
    </row>
    <row r="61" spans="1:16" s="6" customFormat="1" ht="15.75">
      <c r="A61" s="278" t="s">
        <v>185</v>
      </c>
      <c r="B61" s="275"/>
      <c r="C61" s="275"/>
      <c r="D61" s="275"/>
      <c r="E61" s="275"/>
      <c r="F61" s="275"/>
      <c r="G61" s="275"/>
      <c r="H61" s="275"/>
      <c r="I61" s="277"/>
      <c r="J61" s="469">
        <f>J45+J57</f>
        <v>2275644915.4900007</v>
      </c>
      <c r="K61" s="469"/>
      <c r="L61" s="240"/>
      <c r="M61" s="116"/>
      <c r="N61" s="116"/>
      <c r="O61" s="116"/>
      <c r="P61" s="116"/>
    </row>
    <row r="62" spans="1:16" s="6" customFormat="1" ht="15.75">
      <c r="A62" s="226"/>
      <c r="B62" s="226"/>
      <c r="C62" s="226"/>
      <c r="D62" s="226"/>
      <c r="E62" s="226"/>
      <c r="F62" s="226"/>
      <c r="G62" s="226"/>
      <c r="H62" s="226"/>
      <c r="I62" s="227"/>
      <c r="J62" s="227"/>
      <c r="K62" s="228" t="s">
        <v>292</v>
      </c>
      <c r="L62" s="240"/>
      <c r="M62" s="116"/>
      <c r="N62" s="116"/>
      <c r="O62" s="116"/>
      <c r="P62" s="116"/>
    </row>
    <row r="63" spans="1:11" s="240" customFormat="1" ht="15.75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</row>
    <row r="64" spans="1:11" s="240" customFormat="1" ht="15.75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09" t="s">
        <v>287</v>
      </c>
    </row>
    <row r="65" spans="1:11" s="240" customFormat="1" ht="15.75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</row>
    <row r="66" spans="1:11" s="240" customFormat="1" ht="15.75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10"/>
    </row>
    <row r="67" spans="1:11" s="240" customFormat="1" ht="15.75">
      <c r="A67" s="373" t="str">
        <f>A5</f>
        <v>GOVERNO DO ESTADO DO RIO DE JANEIRO</v>
      </c>
      <c r="B67" s="373"/>
      <c r="C67" s="373"/>
      <c r="D67" s="373"/>
      <c r="E67" s="373"/>
      <c r="F67" s="373"/>
      <c r="G67" s="373"/>
      <c r="H67" s="373"/>
      <c r="I67" s="373"/>
      <c r="J67" s="373"/>
      <c r="K67" s="373"/>
    </row>
    <row r="68" spans="1:11" s="240" customFormat="1" ht="15.75">
      <c r="A68" s="373" t="str">
        <f>A6</f>
        <v>RELATÓRIO RESUMIDO DA EXECUÇÃO ORÇAMENTÁRIA</v>
      </c>
      <c r="B68" s="373"/>
      <c r="C68" s="373"/>
      <c r="D68" s="373"/>
      <c r="E68" s="373"/>
      <c r="F68" s="373"/>
      <c r="G68" s="373"/>
      <c r="H68" s="373"/>
      <c r="I68" s="373"/>
      <c r="J68" s="373"/>
      <c r="K68" s="373"/>
    </row>
    <row r="69" spans="1:11" s="240" customFormat="1" ht="15.75">
      <c r="A69" s="410" t="str">
        <f>A7</f>
        <v>DEMONSTRATIVO DAS RECEITAS E DESPESAS COM MANUTENÇÃO E DESENVOLVIMENTO DO ENSINO - MDE</v>
      </c>
      <c r="B69" s="410"/>
      <c r="C69" s="410"/>
      <c r="D69" s="410"/>
      <c r="E69" s="410"/>
      <c r="F69" s="410"/>
      <c r="G69" s="410"/>
      <c r="H69" s="410"/>
      <c r="I69" s="410"/>
      <c r="J69" s="410"/>
      <c r="K69" s="410"/>
    </row>
    <row r="70" spans="1:11" s="240" customFormat="1" ht="15.75">
      <c r="A70" s="373" t="str">
        <f>A8</f>
        <v>ORÇAMENTOS FISCAL E DA SEGURIDADE SOCIAL</v>
      </c>
      <c r="B70" s="373"/>
      <c r="C70" s="373"/>
      <c r="D70" s="373"/>
      <c r="E70" s="373"/>
      <c r="F70" s="373"/>
      <c r="G70" s="373"/>
      <c r="H70" s="373"/>
      <c r="I70" s="373"/>
      <c r="J70" s="373"/>
      <c r="K70" s="373"/>
    </row>
    <row r="71" spans="1:11" s="240" customFormat="1" ht="15.75">
      <c r="A71" s="373" t="str">
        <f>A9</f>
        <v>JANEIRO A JUNHO 2022/BIMESTRE MAIO - JUNHO</v>
      </c>
      <c r="B71" s="373"/>
      <c r="C71" s="373"/>
      <c r="D71" s="373"/>
      <c r="E71" s="373"/>
      <c r="F71" s="373"/>
      <c r="G71" s="373"/>
      <c r="H71" s="373"/>
      <c r="I71" s="373"/>
      <c r="J71" s="373"/>
      <c r="K71" s="373"/>
    </row>
    <row r="72" spans="1:11" s="240" customFormat="1" ht="15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09" t="str">
        <f>K10</f>
        <v>Emissão: 19/07/2022</v>
      </c>
    </row>
    <row r="73" spans="1:16" s="6" customFormat="1" ht="15.75">
      <c r="A73" s="3" t="s">
        <v>147</v>
      </c>
      <c r="B73" s="210"/>
      <c r="C73" s="210"/>
      <c r="D73" s="210"/>
      <c r="E73" s="210"/>
      <c r="F73" s="210"/>
      <c r="G73" s="210"/>
      <c r="H73" s="210"/>
      <c r="I73" s="210"/>
      <c r="J73" s="210"/>
      <c r="K73" s="211">
        <f>K11</f>
        <v>1</v>
      </c>
      <c r="L73" s="240"/>
      <c r="M73" s="116"/>
      <c r="N73" s="116"/>
      <c r="O73" s="116"/>
      <c r="P73" s="116"/>
    </row>
    <row r="74" spans="1:16" s="112" customFormat="1" ht="29.25" customHeight="1">
      <c r="A74" s="392" t="s">
        <v>286</v>
      </c>
      <c r="B74" s="408" t="s">
        <v>186</v>
      </c>
      <c r="C74" s="409"/>
      <c r="D74" s="390" t="s">
        <v>87</v>
      </c>
      <c r="E74" s="392"/>
      <c r="F74" s="390" t="s">
        <v>88</v>
      </c>
      <c r="G74" s="391"/>
      <c r="H74" s="392"/>
      <c r="I74" s="374" t="s">
        <v>143</v>
      </c>
      <c r="J74" s="375"/>
      <c r="K74" s="375"/>
      <c r="L74" s="240"/>
      <c r="M74" s="453"/>
      <c r="N74" s="453"/>
      <c r="O74" s="18"/>
      <c r="P74" s="17"/>
    </row>
    <row r="75" spans="1:15" s="112" customFormat="1" ht="15.75">
      <c r="A75" s="407"/>
      <c r="B75" s="405"/>
      <c r="C75" s="382"/>
      <c r="D75" s="380" t="s">
        <v>15</v>
      </c>
      <c r="E75" s="382"/>
      <c r="F75" s="380" t="s">
        <v>15</v>
      </c>
      <c r="G75" s="381"/>
      <c r="H75" s="382"/>
      <c r="I75" s="394" t="s">
        <v>15</v>
      </c>
      <c r="J75" s="395"/>
      <c r="K75" s="395"/>
      <c r="L75" s="240"/>
      <c r="M75" s="17"/>
      <c r="N75" s="17"/>
      <c r="O75" s="17"/>
    </row>
    <row r="76" spans="1:16" s="112" customFormat="1" ht="15.75">
      <c r="A76" s="407"/>
      <c r="B76" s="397" t="s">
        <v>19</v>
      </c>
      <c r="C76" s="398"/>
      <c r="D76" s="396" t="s">
        <v>97</v>
      </c>
      <c r="E76" s="398"/>
      <c r="F76" s="380" t="s">
        <v>98</v>
      </c>
      <c r="G76" s="381"/>
      <c r="H76" s="382"/>
      <c r="I76" s="365" t="s">
        <v>99</v>
      </c>
      <c r="J76" s="366"/>
      <c r="K76" s="366"/>
      <c r="L76" s="240"/>
      <c r="M76" s="17"/>
      <c r="N76" s="17"/>
      <c r="O76" s="17"/>
      <c r="P76" s="17"/>
    </row>
    <row r="77" spans="1:16" s="112" customFormat="1" ht="12.75" customHeight="1">
      <c r="A77" s="207" t="s">
        <v>187</v>
      </c>
      <c r="B77" s="367">
        <f>B78+B79</f>
        <v>3143179861.81</v>
      </c>
      <c r="C77" s="368"/>
      <c r="D77" s="367">
        <f>D78+D79</f>
        <v>2876861308.24</v>
      </c>
      <c r="E77" s="368"/>
      <c r="F77" s="214"/>
      <c r="G77" s="470">
        <f>G78+G79</f>
        <v>1428564939.5</v>
      </c>
      <c r="H77" s="368"/>
      <c r="I77" s="218"/>
      <c r="J77" s="350">
        <f>J78+J79</f>
        <v>1387315537.1799998</v>
      </c>
      <c r="K77" s="350"/>
      <c r="L77" s="240"/>
      <c r="O77" s="500"/>
      <c r="P77" s="500"/>
    </row>
    <row r="78" spans="1:16" s="112" customFormat="1" ht="15.75">
      <c r="A78" s="150" t="s">
        <v>188</v>
      </c>
      <c r="B78" s="369">
        <f>976247774-102914386.02</f>
        <v>873333387.98</v>
      </c>
      <c r="C78" s="370"/>
      <c r="D78" s="336">
        <f>711858240.7</f>
        <v>711858240.7</v>
      </c>
      <c r="E78" s="337"/>
      <c r="F78" s="176"/>
      <c r="G78" s="338">
        <f>428566947.32</f>
        <v>428566947.32</v>
      </c>
      <c r="H78" s="337"/>
      <c r="I78" s="217"/>
      <c r="J78" s="335">
        <f>416192126.62</f>
        <v>416192126.62</v>
      </c>
      <c r="K78" s="335"/>
      <c r="L78" s="240"/>
      <c r="O78" s="500"/>
      <c r="P78" s="500"/>
    </row>
    <row r="79" spans="1:16" s="112" customFormat="1" ht="15.75">
      <c r="A79" s="150" t="s">
        <v>189</v>
      </c>
      <c r="B79" s="369">
        <f>2564301863.81-294455389.98</f>
        <v>2269846473.83</v>
      </c>
      <c r="C79" s="370"/>
      <c r="D79" s="336">
        <f>2165003067.54</f>
        <v>2165003067.54</v>
      </c>
      <c r="E79" s="337"/>
      <c r="F79" s="176"/>
      <c r="G79" s="338">
        <f>999997992.18</f>
        <v>999997992.18</v>
      </c>
      <c r="H79" s="337"/>
      <c r="I79" s="217"/>
      <c r="J79" s="335">
        <f>971123410.56</f>
        <v>971123410.56</v>
      </c>
      <c r="K79" s="335"/>
      <c r="L79" s="240"/>
      <c r="O79" s="500"/>
      <c r="P79" s="500"/>
    </row>
    <row r="80" spans="1:16" s="112" customFormat="1" ht="15" customHeight="1">
      <c r="A80" s="202" t="s">
        <v>190</v>
      </c>
      <c r="B80" s="483">
        <f>B81+B82</f>
        <v>1401306268.33</v>
      </c>
      <c r="C80" s="484"/>
      <c r="D80" s="485">
        <f>D81+D82</f>
        <v>1401306268.33</v>
      </c>
      <c r="E80" s="418"/>
      <c r="F80" s="215"/>
      <c r="G80" s="487">
        <f>G81+G82</f>
        <v>728229483.96</v>
      </c>
      <c r="H80" s="418"/>
      <c r="I80" s="218"/>
      <c r="J80" s="344">
        <f>J81+J82</f>
        <v>702291842.73</v>
      </c>
      <c r="K80" s="344"/>
      <c r="L80" s="240"/>
      <c r="O80" s="500"/>
      <c r="P80" s="500"/>
    </row>
    <row r="81" spans="1:17" s="112" customFormat="1" ht="15.75">
      <c r="A81" s="150" t="s">
        <v>191</v>
      </c>
      <c r="B81" s="369">
        <f>108261099+102914386.02</f>
        <v>211175485.01999998</v>
      </c>
      <c r="C81" s="370"/>
      <c r="D81" s="336">
        <f>211175485.02</f>
        <v>211175485.02</v>
      </c>
      <c r="E81" s="337"/>
      <c r="F81" s="176"/>
      <c r="G81" s="338">
        <f>113628733.72</f>
        <v>113628733.72</v>
      </c>
      <c r="H81" s="337"/>
      <c r="I81" s="217"/>
      <c r="J81" s="335">
        <f>111755573.56</f>
        <v>111755573.56</v>
      </c>
      <c r="K81" s="335"/>
      <c r="L81" s="240"/>
      <c r="O81" s="500"/>
      <c r="P81" s="500"/>
      <c r="Q81" s="501"/>
    </row>
    <row r="82" spans="1:17" s="112" customFormat="1" ht="15.75">
      <c r="A82" s="150" t="s">
        <v>192</v>
      </c>
      <c r="B82" s="475">
        <f>895675393.33+294455389.98</f>
        <v>1190130783.31</v>
      </c>
      <c r="C82" s="476"/>
      <c r="D82" s="371">
        <f>1190130783.31</f>
        <v>1190130783.31</v>
      </c>
      <c r="E82" s="372"/>
      <c r="F82" s="216"/>
      <c r="G82" s="434">
        <f>614600750.24</f>
        <v>614600750.24</v>
      </c>
      <c r="H82" s="372"/>
      <c r="I82" s="217"/>
      <c r="J82" s="342">
        <f>590536269.17</f>
        <v>590536269.17</v>
      </c>
      <c r="K82" s="342"/>
      <c r="L82" s="240"/>
      <c r="O82" s="500"/>
      <c r="P82" s="500"/>
      <c r="Q82" s="501"/>
    </row>
    <row r="83" spans="1:16" s="112" customFormat="1" ht="15.75">
      <c r="A83" s="275" t="s">
        <v>193</v>
      </c>
      <c r="B83" s="477">
        <f>B77+B80</f>
        <v>4544486130.139999</v>
      </c>
      <c r="C83" s="478"/>
      <c r="D83" s="477">
        <f>D77+D80</f>
        <v>4278167576.5699997</v>
      </c>
      <c r="E83" s="478"/>
      <c r="F83" s="276"/>
      <c r="G83" s="486">
        <f>G77+G80</f>
        <v>2156794423.46</v>
      </c>
      <c r="H83" s="478"/>
      <c r="I83" s="277"/>
      <c r="J83" s="469">
        <f>J77+J80</f>
        <v>2089607379.9099998</v>
      </c>
      <c r="K83" s="469"/>
      <c r="L83" s="240"/>
      <c r="O83" s="500"/>
      <c r="P83" s="500"/>
    </row>
    <row r="84" spans="1:16" s="112" customFormat="1" ht="3.75" customHeight="1">
      <c r="A84" s="240"/>
      <c r="B84" s="240"/>
      <c r="C84" s="240"/>
      <c r="D84" s="240"/>
      <c r="E84" s="269"/>
      <c r="F84" s="240"/>
      <c r="G84" s="240"/>
      <c r="H84" s="269"/>
      <c r="I84" s="240"/>
      <c r="J84" s="240"/>
      <c r="K84" s="269"/>
      <c r="L84" s="240"/>
      <c r="O84" s="244"/>
      <c r="P84" s="244"/>
    </row>
    <row r="85" spans="1:15" s="112" customFormat="1" ht="15.75">
      <c r="A85" s="452" t="s">
        <v>194</v>
      </c>
      <c r="B85" s="452"/>
      <c r="C85" s="452"/>
      <c r="D85" s="452"/>
      <c r="E85" s="452"/>
      <c r="F85" s="452"/>
      <c r="G85" s="452"/>
      <c r="H85" s="452"/>
      <c r="I85" s="452"/>
      <c r="J85" s="452"/>
      <c r="K85" s="237"/>
      <c r="L85" s="240"/>
      <c r="O85" s="281"/>
    </row>
    <row r="86" spans="1:12" s="112" customFormat="1" ht="29.25" customHeight="1">
      <c r="A86" s="391" t="s">
        <v>195</v>
      </c>
      <c r="B86" s="390" t="s">
        <v>87</v>
      </c>
      <c r="C86" s="391"/>
      <c r="D86" s="391"/>
      <c r="E86" s="392"/>
      <c r="F86" s="374" t="s">
        <v>88</v>
      </c>
      <c r="G86" s="375"/>
      <c r="H86" s="406"/>
      <c r="I86" s="374" t="s">
        <v>143</v>
      </c>
      <c r="J86" s="375"/>
      <c r="K86" s="375"/>
      <c r="L86" s="240"/>
    </row>
    <row r="87" spans="1:15" s="112" customFormat="1" ht="19.5" customHeight="1">
      <c r="A87" s="431"/>
      <c r="B87" s="399" t="s">
        <v>15</v>
      </c>
      <c r="C87" s="400"/>
      <c r="D87" s="400"/>
      <c r="E87" s="401"/>
      <c r="F87" s="402" t="s">
        <v>15</v>
      </c>
      <c r="G87" s="403"/>
      <c r="H87" s="404"/>
      <c r="I87" s="402" t="s">
        <v>15</v>
      </c>
      <c r="J87" s="455"/>
      <c r="K87" s="455"/>
      <c r="L87" s="240"/>
      <c r="M87" s="281"/>
      <c r="N87" s="281"/>
      <c r="O87" s="281"/>
    </row>
    <row r="88" spans="1:12" s="112" customFormat="1" ht="16.5" customHeight="1">
      <c r="A88" s="431"/>
      <c r="B88" s="380" t="s">
        <v>97</v>
      </c>
      <c r="C88" s="381"/>
      <c r="D88" s="381"/>
      <c r="E88" s="382"/>
      <c r="F88" s="399" t="s">
        <v>98</v>
      </c>
      <c r="G88" s="400"/>
      <c r="H88" s="401"/>
      <c r="I88" s="365" t="s">
        <v>99</v>
      </c>
      <c r="J88" s="366"/>
      <c r="K88" s="366"/>
      <c r="L88" s="240"/>
    </row>
    <row r="89" spans="1:12" s="112" customFormat="1" ht="15.75">
      <c r="A89" s="162" t="s">
        <v>196</v>
      </c>
      <c r="B89" s="163"/>
      <c r="C89" s="164"/>
      <c r="D89" s="444">
        <f>D77</f>
        <v>2876861308.24</v>
      </c>
      <c r="E89" s="457"/>
      <c r="F89" s="163"/>
      <c r="G89" s="444">
        <f>G77</f>
        <v>1428564939.5</v>
      </c>
      <c r="H89" s="457"/>
      <c r="I89" s="220"/>
      <c r="J89" s="446">
        <f>J77</f>
        <v>1387315537.1799998</v>
      </c>
      <c r="K89" s="446"/>
      <c r="L89" s="240"/>
    </row>
    <row r="90" spans="1:12" s="112" customFormat="1" ht="15.75">
      <c r="A90" s="165" t="s">
        <v>197</v>
      </c>
      <c r="B90" s="166"/>
      <c r="C90" s="220"/>
      <c r="D90" s="489">
        <f>D83-H104-H105-D91</f>
        <v>4151967914.9599996</v>
      </c>
      <c r="E90" s="490"/>
      <c r="F90" s="166"/>
      <c r="G90" s="489">
        <f>G83-H104-H105-G91</f>
        <v>2030594761.8500001</v>
      </c>
      <c r="H90" s="490"/>
      <c r="I90" s="220"/>
      <c r="J90" s="488">
        <f>J83-H104-H105-J91</f>
        <v>1963407718.3</v>
      </c>
      <c r="K90" s="488"/>
      <c r="L90" s="269"/>
    </row>
    <row r="91" spans="1:12" s="112" customFormat="1" ht="15.75">
      <c r="A91" s="165" t="s">
        <v>198</v>
      </c>
      <c r="B91" s="166"/>
      <c r="C91" s="220"/>
      <c r="D91" s="489">
        <f>4506143.56-H105</f>
        <v>162189.46999999974</v>
      </c>
      <c r="E91" s="490"/>
      <c r="F91" s="166"/>
      <c r="G91" s="489">
        <f>4506143.56-H105</f>
        <v>162189.46999999974</v>
      </c>
      <c r="H91" s="490"/>
      <c r="I91" s="220"/>
      <c r="J91" s="488">
        <f>4506143.56-H105</f>
        <v>162189.46999999974</v>
      </c>
      <c r="K91" s="488"/>
      <c r="L91" s="269"/>
    </row>
    <row r="92" spans="1:12" s="112" customFormat="1" ht="15.75">
      <c r="A92" s="165" t="s">
        <v>199</v>
      </c>
      <c r="B92" s="166"/>
      <c r="C92" s="220"/>
      <c r="D92" s="489">
        <v>0</v>
      </c>
      <c r="E92" s="490"/>
      <c r="F92" s="166"/>
      <c r="G92" s="489">
        <v>0</v>
      </c>
      <c r="H92" s="490"/>
      <c r="I92" s="220"/>
      <c r="J92" s="488">
        <v>0</v>
      </c>
      <c r="K92" s="488"/>
      <c r="L92" s="269"/>
    </row>
    <row r="93" spans="1:12" s="112" customFormat="1" ht="31.5">
      <c r="A93" s="165" t="s">
        <v>200</v>
      </c>
      <c r="B93" s="167"/>
      <c r="C93" s="168"/>
      <c r="D93" s="436">
        <v>0</v>
      </c>
      <c r="E93" s="379"/>
      <c r="F93" s="167"/>
      <c r="G93" s="436">
        <v>0</v>
      </c>
      <c r="H93" s="379"/>
      <c r="I93" s="167"/>
      <c r="J93" s="471">
        <v>0</v>
      </c>
      <c r="K93" s="471"/>
      <c r="L93" s="269"/>
    </row>
    <row r="94" spans="1:12" s="112" customFormat="1" ht="27" customHeight="1">
      <c r="A94" s="413" t="s">
        <v>288</v>
      </c>
      <c r="B94" s="400" t="s">
        <v>201</v>
      </c>
      <c r="C94" s="400"/>
      <c r="D94" s="401"/>
      <c r="E94" s="430" t="s">
        <v>202</v>
      </c>
      <c r="F94" s="454"/>
      <c r="G94" s="407"/>
      <c r="H94" s="430" t="s">
        <v>203</v>
      </c>
      <c r="I94" s="407"/>
      <c r="J94" s="390" t="s">
        <v>204</v>
      </c>
      <c r="K94" s="391"/>
      <c r="L94" s="240"/>
    </row>
    <row r="95" spans="1:12" s="112" customFormat="1" ht="13.5" customHeight="1">
      <c r="A95" s="414"/>
      <c r="B95" s="421" t="s">
        <v>205</v>
      </c>
      <c r="C95" s="422"/>
      <c r="D95" s="414"/>
      <c r="E95" s="421" t="s">
        <v>103</v>
      </c>
      <c r="F95" s="422"/>
      <c r="G95" s="414"/>
      <c r="H95" s="421" t="s">
        <v>206</v>
      </c>
      <c r="I95" s="414"/>
      <c r="J95" s="424" t="s">
        <v>207</v>
      </c>
      <c r="K95" s="416"/>
      <c r="L95" s="240"/>
    </row>
    <row r="96" spans="1:13" s="112" customFormat="1" ht="17.25" customHeight="1">
      <c r="A96" s="169" t="s">
        <v>208</v>
      </c>
      <c r="B96" s="456">
        <f>J45*0.7</f>
        <v>1494393856.4239998</v>
      </c>
      <c r="C96" s="444"/>
      <c r="D96" s="457"/>
      <c r="E96" s="456">
        <f>G89</f>
        <v>1428564939.5</v>
      </c>
      <c r="F96" s="444"/>
      <c r="G96" s="457"/>
      <c r="H96" s="444">
        <f>G89</f>
        <v>1428564939.5</v>
      </c>
      <c r="I96" s="444"/>
      <c r="J96" s="445">
        <f>H96/J45*100</f>
        <v>66.91645936252259</v>
      </c>
      <c r="K96" s="446"/>
      <c r="L96" s="240"/>
      <c r="M96" s="281"/>
    </row>
    <row r="97" spans="1:12" s="112" customFormat="1" ht="16.5" customHeight="1">
      <c r="A97" s="169" t="s">
        <v>209</v>
      </c>
      <c r="B97" s="378">
        <f>J52*0.15</f>
        <v>0</v>
      </c>
      <c r="C97" s="436"/>
      <c r="D97" s="379"/>
      <c r="E97" s="378">
        <f>G93</f>
        <v>0</v>
      </c>
      <c r="F97" s="436"/>
      <c r="G97" s="379"/>
      <c r="H97" s="437">
        <f>G93</f>
        <v>0</v>
      </c>
      <c r="I97" s="437"/>
      <c r="J97" s="438">
        <v>0</v>
      </c>
      <c r="K97" s="439"/>
      <c r="L97" s="240"/>
    </row>
    <row r="98" spans="1:12" s="112" customFormat="1" ht="25.5" customHeight="1">
      <c r="A98" s="413" t="s">
        <v>289</v>
      </c>
      <c r="B98" s="420" t="s">
        <v>210</v>
      </c>
      <c r="C98" s="420"/>
      <c r="D98" s="413"/>
      <c r="E98" s="390" t="s">
        <v>211</v>
      </c>
      <c r="F98" s="391"/>
      <c r="G98" s="392"/>
      <c r="H98" s="390" t="s">
        <v>212</v>
      </c>
      <c r="I98" s="392"/>
      <c r="J98" s="390" t="s">
        <v>213</v>
      </c>
      <c r="K98" s="391"/>
      <c r="L98" s="240"/>
    </row>
    <row r="99" spans="1:12" s="112" customFormat="1" ht="16.5" customHeight="1">
      <c r="A99" s="414"/>
      <c r="B99" s="421" t="s">
        <v>146</v>
      </c>
      <c r="C99" s="422"/>
      <c r="D99" s="414"/>
      <c r="E99" s="421" t="s">
        <v>214</v>
      </c>
      <c r="F99" s="422"/>
      <c r="G99" s="414"/>
      <c r="H99" s="421" t="s">
        <v>215</v>
      </c>
      <c r="I99" s="414"/>
      <c r="J99" s="424" t="s">
        <v>216</v>
      </c>
      <c r="K99" s="416"/>
      <c r="L99" s="269"/>
    </row>
    <row r="100" spans="1:12" s="112" customFormat="1" ht="19.5" customHeight="1">
      <c r="A100" s="170" t="s">
        <v>217</v>
      </c>
      <c r="B100" s="447">
        <f>J45*0.1</f>
        <v>213484836.632</v>
      </c>
      <c r="C100" s="448"/>
      <c r="D100" s="448"/>
      <c r="E100" s="447">
        <f>J45-(G90+G91+G92)</f>
        <v>104091414.99999976</v>
      </c>
      <c r="F100" s="448"/>
      <c r="G100" s="449"/>
      <c r="H100" s="450">
        <f>E100</f>
        <v>104091414.99999976</v>
      </c>
      <c r="I100" s="451"/>
      <c r="J100" s="438">
        <f>H100/J45*100</f>
        <v>4.875822406976381</v>
      </c>
      <c r="K100" s="439"/>
      <c r="L100" s="269"/>
    </row>
    <row r="101" spans="1:12" s="112" customFormat="1" ht="84" customHeight="1">
      <c r="A101" s="392" t="s">
        <v>290</v>
      </c>
      <c r="B101" s="390" t="s">
        <v>218</v>
      </c>
      <c r="C101" s="392"/>
      <c r="D101" s="390" t="s">
        <v>219</v>
      </c>
      <c r="E101" s="392"/>
      <c r="F101" s="390" t="s">
        <v>220</v>
      </c>
      <c r="G101" s="391"/>
      <c r="H101" s="390" t="s">
        <v>221</v>
      </c>
      <c r="I101" s="392"/>
      <c r="J101" s="232" t="s">
        <v>222</v>
      </c>
      <c r="K101" s="232" t="s">
        <v>211</v>
      </c>
      <c r="L101" s="240"/>
    </row>
    <row r="102" spans="1:12" s="112" customFormat="1" ht="16.5" customHeight="1">
      <c r="A102" s="407"/>
      <c r="B102" s="421" t="s">
        <v>223</v>
      </c>
      <c r="C102" s="414"/>
      <c r="D102" s="421" t="s">
        <v>224</v>
      </c>
      <c r="E102" s="414"/>
      <c r="F102" s="421" t="s">
        <v>225</v>
      </c>
      <c r="G102" s="422"/>
      <c r="H102" s="421" t="s">
        <v>226</v>
      </c>
      <c r="I102" s="414"/>
      <c r="J102" s="234" t="s">
        <v>227</v>
      </c>
      <c r="K102" s="235" t="s">
        <v>306</v>
      </c>
      <c r="L102" s="240"/>
    </row>
    <row r="103" spans="1:12" s="112" customFormat="1" ht="14.25" customHeight="1">
      <c r="A103" s="230" t="s">
        <v>228</v>
      </c>
      <c r="B103" s="440">
        <f>B104+B105</f>
        <v>410676603.826</v>
      </c>
      <c r="C103" s="441"/>
      <c r="D103" s="442">
        <f>D104+D105</f>
        <v>140796549.170001</v>
      </c>
      <c r="E103" s="443"/>
      <c r="F103" s="367">
        <f>F104+F105</f>
        <v>126037472.14</v>
      </c>
      <c r="G103" s="368"/>
      <c r="H103" s="440">
        <f>H104+H105</f>
        <v>126037472.14</v>
      </c>
      <c r="I103" s="441"/>
      <c r="J103" s="245">
        <f>J104+J105</f>
        <v>0</v>
      </c>
      <c r="K103" s="245">
        <f>D103-F103-J103</f>
        <v>14759077.030001</v>
      </c>
      <c r="L103" s="240"/>
    </row>
    <row r="104" spans="1:22" s="112" customFormat="1" ht="15.75">
      <c r="A104" s="165" t="s">
        <v>229</v>
      </c>
      <c r="B104" s="376">
        <f>410676603.826-4343954.09</f>
        <v>406332649.736</v>
      </c>
      <c r="C104" s="377"/>
      <c r="D104" s="376">
        <f>J58-4343954.09</f>
        <v>136452595.080001</v>
      </c>
      <c r="E104" s="377"/>
      <c r="F104" s="369">
        <f>47451467.11+74242050.94</f>
        <v>121693518.05</v>
      </c>
      <c r="G104" s="370"/>
      <c r="H104" s="376">
        <f>47451467.11+74242050.94</f>
        <v>121693518.05</v>
      </c>
      <c r="I104" s="377"/>
      <c r="J104" s="285">
        <v>0</v>
      </c>
      <c r="K104" s="285">
        <f>D104-F104-J104</f>
        <v>14759077.030001</v>
      </c>
      <c r="L104" s="498"/>
      <c r="M104" s="499"/>
      <c r="N104" s="499"/>
      <c r="O104" s="499"/>
      <c r="P104" s="499"/>
      <c r="Q104" s="494"/>
      <c r="R104" s="494"/>
      <c r="S104" s="494"/>
      <c r="T104" s="494"/>
      <c r="U104" s="494"/>
      <c r="V104" s="494"/>
    </row>
    <row r="105" spans="1:22" s="112" customFormat="1" ht="15.75">
      <c r="A105" s="165" t="s">
        <v>230</v>
      </c>
      <c r="B105" s="378">
        <f>4343954.09</f>
        <v>4343954.09</v>
      </c>
      <c r="C105" s="379"/>
      <c r="D105" s="378">
        <f>4343954.09</f>
        <v>4343954.09</v>
      </c>
      <c r="E105" s="379"/>
      <c r="F105" s="371">
        <f>4343954.09</f>
        <v>4343954.09</v>
      </c>
      <c r="G105" s="372"/>
      <c r="H105" s="378">
        <f>4343954.09</f>
        <v>4343954.09</v>
      </c>
      <c r="I105" s="379"/>
      <c r="J105" s="247">
        <v>0</v>
      </c>
      <c r="K105" s="247">
        <f>D105-F105-J105</f>
        <v>0</v>
      </c>
      <c r="L105" s="498"/>
      <c r="M105" s="499"/>
      <c r="N105" s="499"/>
      <c r="O105" s="499"/>
      <c r="P105" s="499"/>
      <c r="Q105" s="494"/>
      <c r="R105" s="494"/>
      <c r="S105" s="494"/>
      <c r="T105" s="494"/>
      <c r="U105" s="494"/>
      <c r="V105" s="494"/>
    </row>
    <row r="106" spans="1:12" s="112" customFormat="1" ht="3.75" customHeight="1">
      <c r="A106" s="171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240"/>
    </row>
    <row r="107" spans="1:12" s="112" customFormat="1" ht="15.75" customHeight="1">
      <c r="A107" s="412" t="s">
        <v>231</v>
      </c>
      <c r="B107" s="412"/>
      <c r="C107" s="412"/>
      <c r="D107" s="412"/>
      <c r="E107" s="412"/>
      <c r="F107" s="412"/>
      <c r="G107" s="412"/>
      <c r="H107" s="412"/>
      <c r="I107" s="412"/>
      <c r="J107" s="412"/>
      <c r="K107" s="236"/>
      <c r="L107" s="240"/>
    </row>
    <row r="108" spans="1:12" s="112" customFormat="1" ht="31.5" customHeight="1">
      <c r="A108" s="392" t="s">
        <v>291</v>
      </c>
      <c r="B108" s="408" t="s">
        <v>186</v>
      </c>
      <c r="C108" s="409"/>
      <c r="D108" s="390" t="s">
        <v>87</v>
      </c>
      <c r="E108" s="392"/>
      <c r="F108" s="390" t="s">
        <v>88</v>
      </c>
      <c r="G108" s="391"/>
      <c r="H108" s="392"/>
      <c r="I108" s="374" t="s">
        <v>143</v>
      </c>
      <c r="J108" s="375"/>
      <c r="K108" s="375"/>
      <c r="L108" s="240"/>
    </row>
    <row r="109" spans="1:12" s="112" customFormat="1" ht="15.75">
      <c r="A109" s="407"/>
      <c r="B109" s="405"/>
      <c r="C109" s="382"/>
      <c r="D109" s="380" t="s">
        <v>15</v>
      </c>
      <c r="E109" s="382"/>
      <c r="F109" s="380" t="s">
        <v>15</v>
      </c>
      <c r="G109" s="381"/>
      <c r="H109" s="382"/>
      <c r="I109" s="394" t="s">
        <v>15</v>
      </c>
      <c r="J109" s="395"/>
      <c r="K109" s="395"/>
      <c r="L109" s="240"/>
    </row>
    <row r="110" spans="1:12" s="112" customFormat="1" ht="15.75">
      <c r="A110" s="425"/>
      <c r="B110" s="397" t="s">
        <v>19</v>
      </c>
      <c r="C110" s="398"/>
      <c r="D110" s="396" t="s">
        <v>97</v>
      </c>
      <c r="E110" s="398"/>
      <c r="F110" s="380" t="s">
        <v>98</v>
      </c>
      <c r="G110" s="381"/>
      <c r="H110" s="382"/>
      <c r="I110" s="365" t="s">
        <v>99</v>
      </c>
      <c r="J110" s="366"/>
      <c r="K110" s="366"/>
      <c r="L110" s="240"/>
    </row>
    <row r="111" spans="1:14" s="112" customFormat="1" ht="15.75">
      <c r="A111" s="153" t="s">
        <v>232</v>
      </c>
      <c r="B111" s="435">
        <f>B112+B113</f>
        <v>0</v>
      </c>
      <c r="C111" s="364"/>
      <c r="D111" s="435">
        <f>D112+D113</f>
        <v>0</v>
      </c>
      <c r="E111" s="364"/>
      <c r="F111" s="249"/>
      <c r="G111" s="359">
        <f>G112+G113</f>
        <v>0</v>
      </c>
      <c r="H111" s="364"/>
      <c r="I111" s="250"/>
      <c r="J111" s="346">
        <f>J112+J113</f>
        <v>0</v>
      </c>
      <c r="K111" s="346"/>
      <c r="L111" s="240"/>
      <c r="M111" s="423"/>
      <c r="N111" s="423"/>
    </row>
    <row r="112" spans="1:14" s="112" customFormat="1" ht="15.75">
      <c r="A112" s="150" t="s">
        <v>233</v>
      </c>
      <c r="B112" s="336">
        <v>0</v>
      </c>
      <c r="C112" s="337"/>
      <c r="D112" s="336">
        <v>0</v>
      </c>
      <c r="E112" s="337"/>
      <c r="F112" s="251"/>
      <c r="G112" s="338">
        <v>0</v>
      </c>
      <c r="H112" s="337"/>
      <c r="I112" s="250"/>
      <c r="J112" s="335">
        <v>0</v>
      </c>
      <c r="K112" s="335"/>
      <c r="L112" s="240"/>
      <c r="M112" s="423"/>
      <c r="N112" s="423"/>
    </row>
    <row r="113" spans="1:14" s="112" customFormat="1" ht="15.75">
      <c r="A113" s="150" t="s">
        <v>234</v>
      </c>
      <c r="B113" s="336">
        <v>0</v>
      </c>
      <c r="C113" s="337"/>
      <c r="D113" s="336">
        <v>0</v>
      </c>
      <c r="E113" s="337"/>
      <c r="F113" s="251"/>
      <c r="G113" s="338">
        <v>0</v>
      </c>
      <c r="H113" s="337"/>
      <c r="I113" s="250"/>
      <c r="J113" s="335">
        <v>0</v>
      </c>
      <c r="K113" s="335"/>
      <c r="L113" s="240"/>
      <c r="M113" s="423"/>
      <c r="N113" s="423"/>
    </row>
    <row r="114" spans="1:14" s="112" customFormat="1" ht="15.75">
      <c r="A114" s="150" t="s">
        <v>235</v>
      </c>
      <c r="B114" s="336">
        <f>31214640</f>
        <v>31214640</v>
      </c>
      <c r="C114" s="337"/>
      <c r="D114" s="336">
        <f>4518605.46</f>
        <v>4518605.46</v>
      </c>
      <c r="E114" s="337"/>
      <c r="F114" s="251"/>
      <c r="G114" s="338">
        <f>3890201.3</f>
        <v>3890201.3</v>
      </c>
      <c r="H114" s="337"/>
      <c r="I114" s="250"/>
      <c r="J114" s="335">
        <f>3792219.97</f>
        <v>3792219.97</v>
      </c>
      <c r="K114" s="335"/>
      <c r="L114" s="240"/>
      <c r="M114" s="423"/>
      <c r="N114" s="423"/>
    </row>
    <row r="115" spans="1:14" s="112" customFormat="1" ht="15.75">
      <c r="A115" s="150" t="s">
        <v>236</v>
      </c>
      <c r="B115" s="336">
        <f>179606517.33</f>
        <v>179606517.33</v>
      </c>
      <c r="C115" s="337"/>
      <c r="D115" s="336">
        <f>115741542.64</f>
        <v>115741542.64</v>
      </c>
      <c r="E115" s="337"/>
      <c r="F115" s="251"/>
      <c r="G115" s="338">
        <f>63437698.04</f>
        <v>63437698.04</v>
      </c>
      <c r="H115" s="337"/>
      <c r="I115" s="250"/>
      <c r="J115" s="335">
        <f>60820133.01</f>
        <v>60820133.01</v>
      </c>
      <c r="K115" s="335"/>
      <c r="L115" s="240"/>
      <c r="M115" s="423"/>
      <c r="N115" s="423"/>
    </row>
    <row r="116" spans="1:14" s="112" customFormat="1" ht="15.75">
      <c r="A116" s="150" t="s">
        <v>237</v>
      </c>
      <c r="B116" s="336">
        <f>301701021.11</f>
        <v>301701021.11</v>
      </c>
      <c r="C116" s="337"/>
      <c r="D116" s="336">
        <f>182735710.99</f>
        <v>182735710.99</v>
      </c>
      <c r="E116" s="337"/>
      <c r="F116" s="251"/>
      <c r="G116" s="338">
        <f>130820323.58</f>
        <v>130820323.58</v>
      </c>
      <c r="H116" s="337"/>
      <c r="I116" s="250"/>
      <c r="J116" s="335">
        <f>109174803.66</f>
        <v>109174803.66</v>
      </c>
      <c r="K116" s="335"/>
      <c r="L116" s="240"/>
      <c r="M116" s="423"/>
      <c r="N116" s="423"/>
    </row>
    <row r="117" spans="1:14" s="112" customFormat="1" ht="15.75">
      <c r="A117" s="173" t="s">
        <v>238</v>
      </c>
      <c r="B117" s="336">
        <f>68655736.14</f>
        <v>68655736.14</v>
      </c>
      <c r="C117" s="337"/>
      <c r="D117" s="336">
        <f>24406698.78</f>
        <v>24406698.78</v>
      </c>
      <c r="E117" s="337"/>
      <c r="F117" s="251"/>
      <c r="G117" s="338">
        <f>14211476.7</f>
        <v>14211476.7</v>
      </c>
      <c r="H117" s="337"/>
      <c r="I117" s="246"/>
      <c r="J117" s="335">
        <f>9132879.54</f>
        <v>9132879.54</v>
      </c>
      <c r="K117" s="335"/>
      <c r="L117" s="240"/>
      <c r="M117" s="423"/>
      <c r="N117" s="423"/>
    </row>
    <row r="118" spans="1:12" s="112" customFormat="1" ht="15.75">
      <c r="A118" s="270" t="s">
        <v>310</v>
      </c>
      <c r="B118" s="336">
        <f>3579853072.9</f>
        <v>3579853072.9</v>
      </c>
      <c r="C118" s="337"/>
      <c r="D118" s="336">
        <f>2233789911.76</f>
        <v>2233789911.76</v>
      </c>
      <c r="E118" s="337"/>
      <c r="F118" s="271"/>
      <c r="G118" s="338">
        <f>1461974618.25</f>
        <v>1461974618.25</v>
      </c>
      <c r="H118" s="337"/>
      <c r="I118" s="271"/>
      <c r="J118" s="335">
        <f>1335549992.23</f>
        <v>1335549992.23</v>
      </c>
      <c r="K118" s="335"/>
      <c r="L118" s="240"/>
    </row>
    <row r="119" spans="1:12" s="112" customFormat="1" ht="15.75">
      <c r="A119" s="174" t="s">
        <v>311</v>
      </c>
      <c r="B119" s="362">
        <f>B111+B114+B115+B116+B117+B118</f>
        <v>4161030987.48</v>
      </c>
      <c r="C119" s="363"/>
      <c r="D119" s="362">
        <f>D111+D114+D115+D116+D117+D118</f>
        <v>2561192469.63</v>
      </c>
      <c r="E119" s="363"/>
      <c r="F119" s="252"/>
      <c r="G119" s="383">
        <f>G111+G114+G115+G116+G117+G118</f>
        <v>1674334317.87</v>
      </c>
      <c r="H119" s="363"/>
      <c r="I119" s="257"/>
      <c r="J119" s="352">
        <f>J111+J114+J115+J116+J117+J118</f>
        <v>1518470028.41</v>
      </c>
      <c r="K119" s="352"/>
      <c r="L119" s="240"/>
    </row>
    <row r="120" spans="1:12" s="112" customFormat="1" ht="15.75">
      <c r="A120" s="213"/>
      <c r="B120" s="213"/>
      <c r="C120" s="213"/>
      <c r="D120" s="213"/>
      <c r="E120" s="213"/>
      <c r="F120" s="213"/>
      <c r="G120" s="213"/>
      <c r="H120" s="213"/>
      <c r="I120" s="219"/>
      <c r="J120" s="219"/>
      <c r="K120" s="229" t="s">
        <v>293</v>
      </c>
      <c r="L120" s="240"/>
    </row>
    <row r="121" spans="1:11" s="240" customFormat="1" ht="15.7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</row>
    <row r="122" spans="1:11" s="240" customFormat="1" ht="15.7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09" t="s">
        <v>287</v>
      </c>
    </row>
    <row r="123" spans="1:11" s="240" customFormat="1" ht="15.7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  <row r="124" spans="1:11" s="240" customFormat="1" ht="15.7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</row>
    <row r="125" spans="1:11" s="240" customFormat="1" ht="15.75">
      <c r="A125" s="373" t="str">
        <f>A67</f>
        <v>GOVERNO DO ESTADO DO RIO DE JANEIRO</v>
      </c>
      <c r="B125" s="373"/>
      <c r="C125" s="373"/>
      <c r="D125" s="373"/>
      <c r="E125" s="373"/>
      <c r="F125" s="373"/>
      <c r="G125" s="373"/>
      <c r="H125" s="373"/>
      <c r="I125" s="373"/>
      <c r="J125" s="373"/>
      <c r="K125" s="373"/>
    </row>
    <row r="126" spans="1:11" s="240" customFormat="1" ht="15.75">
      <c r="A126" s="373" t="str">
        <f>A68</f>
        <v>RELATÓRIO RESUMIDO DA EXECUÇÃO ORÇAMENTÁRIA</v>
      </c>
      <c r="B126" s="373"/>
      <c r="C126" s="373"/>
      <c r="D126" s="373"/>
      <c r="E126" s="373"/>
      <c r="F126" s="373"/>
      <c r="G126" s="373"/>
      <c r="H126" s="373"/>
      <c r="I126" s="373"/>
      <c r="J126" s="373"/>
      <c r="K126" s="373"/>
    </row>
    <row r="127" spans="1:11" s="240" customFormat="1" ht="15.75">
      <c r="A127" s="410" t="str">
        <f>A69</f>
        <v>DEMONSTRATIVO DAS RECEITAS E DESPESAS COM MANUTENÇÃO E DESENVOLVIMENTO DO ENSINO - MDE</v>
      </c>
      <c r="B127" s="410"/>
      <c r="C127" s="410"/>
      <c r="D127" s="410"/>
      <c r="E127" s="410"/>
      <c r="F127" s="410"/>
      <c r="G127" s="410"/>
      <c r="H127" s="410"/>
      <c r="I127" s="410"/>
      <c r="J127" s="410"/>
      <c r="K127" s="410"/>
    </row>
    <row r="128" spans="1:11" s="240" customFormat="1" ht="15.75">
      <c r="A128" s="373" t="str">
        <f>A70</f>
        <v>ORÇAMENTOS FISCAL E DA SEGURIDADE SOCIAL</v>
      </c>
      <c r="B128" s="373"/>
      <c r="C128" s="373"/>
      <c r="D128" s="373"/>
      <c r="E128" s="373"/>
      <c r="F128" s="373"/>
      <c r="G128" s="373"/>
      <c r="H128" s="373"/>
      <c r="I128" s="373"/>
      <c r="J128" s="373"/>
      <c r="K128" s="373"/>
    </row>
    <row r="129" spans="1:11" s="240" customFormat="1" ht="15.75">
      <c r="A129" s="373" t="str">
        <f>A71</f>
        <v>JANEIRO A JUNHO 2022/BIMESTRE MAIO - JUNHO</v>
      </c>
      <c r="B129" s="373"/>
      <c r="C129" s="373"/>
      <c r="D129" s="373"/>
      <c r="E129" s="373"/>
      <c r="F129" s="373"/>
      <c r="G129" s="373"/>
      <c r="H129" s="373"/>
      <c r="I129" s="373"/>
      <c r="J129" s="373"/>
      <c r="K129" s="373"/>
    </row>
    <row r="130" spans="1:11" s="240" customFormat="1" ht="15.75">
      <c r="A130" s="210"/>
      <c r="B130" s="210"/>
      <c r="C130" s="210"/>
      <c r="D130" s="210"/>
      <c r="E130" s="210"/>
      <c r="F130" s="210"/>
      <c r="G130" s="210"/>
      <c r="H130" s="210"/>
      <c r="I130" s="210"/>
      <c r="J130" s="210"/>
      <c r="K130" s="209" t="str">
        <f>K72</f>
        <v>Emissão: 19/07/2022</v>
      </c>
    </row>
    <row r="131" spans="1:11" s="240" customFormat="1" ht="15.75">
      <c r="A131" s="3" t="s">
        <v>147</v>
      </c>
      <c r="B131" s="210"/>
      <c r="C131" s="210"/>
      <c r="D131" s="210"/>
      <c r="E131" s="210"/>
      <c r="F131" s="210"/>
      <c r="G131" s="210"/>
      <c r="H131" s="210"/>
      <c r="I131" s="210"/>
      <c r="J131" s="210"/>
      <c r="K131" s="211">
        <f>K73</f>
        <v>1</v>
      </c>
    </row>
    <row r="132" spans="1:16" s="112" customFormat="1" ht="12.75">
      <c r="A132" s="391" t="s">
        <v>239</v>
      </c>
      <c r="B132" s="391"/>
      <c r="C132" s="391"/>
      <c r="D132" s="391"/>
      <c r="E132" s="391"/>
      <c r="F132" s="391"/>
      <c r="G132" s="391"/>
      <c r="H132" s="392"/>
      <c r="I132" s="390" t="s">
        <v>142</v>
      </c>
      <c r="J132" s="391"/>
      <c r="K132" s="391"/>
      <c r="L132" s="273"/>
      <c r="M132" s="274"/>
      <c r="N132" s="274"/>
      <c r="O132" s="274"/>
      <c r="P132" s="274"/>
    </row>
    <row r="133" spans="1:16" s="112" customFormat="1" ht="12.75">
      <c r="A133" s="416"/>
      <c r="B133" s="416"/>
      <c r="C133" s="416"/>
      <c r="D133" s="416"/>
      <c r="E133" s="416"/>
      <c r="F133" s="416"/>
      <c r="G133" s="416"/>
      <c r="H133" s="425"/>
      <c r="I133" s="424"/>
      <c r="J133" s="416"/>
      <c r="K133" s="416"/>
      <c r="L133" s="273"/>
      <c r="M133" s="274"/>
      <c r="N133" s="274"/>
      <c r="O133" s="274"/>
      <c r="P133" s="274"/>
    </row>
    <row r="134" spans="1:16" s="112" customFormat="1" ht="18" customHeight="1">
      <c r="A134" s="384" t="s">
        <v>320</v>
      </c>
      <c r="B134" s="384"/>
      <c r="C134" s="384"/>
      <c r="D134" s="384"/>
      <c r="E134" s="384"/>
      <c r="F134" s="384"/>
      <c r="G134" s="384"/>
      <c r="H134" s="385"/>
      <c r="I134" s="176"/>
      <c r="J134" s="359">
        <f>G90+G91+G119+H103</f>
        <v>3831128741.33</v>
      </c>
      <c r="K134" s="359"/>
      <c r="L134" s="273"/>
      <c r="M134" s="502"/>
      <c r="N134" s="502"/>
      <c r="O134" s="274"/>
      <c r="P134" s="274"/>
    </row>
    <row r="135" spans="1:16" s="112" customFormat="1" ht="18" customHeight="1">
      <c r="A135" s="388" t="s">
        <v>312</v>
      </c>
      <c r="B135" s="388"/>
      <c r="C135" s="388"/>
      <c r="D135" s="388"/>
      <c r="E135" s="388"/>
      <c r="F135" s="388"/>
      <c r="G135" s="388"/>
      <c r="H135" s="389"/>
      <c r="I135" s="176"/>
      <c r="J135" s="360">
        <f>J55</f>
        <v>-2782151474.7999997</v>
      </c>
      <c r="K135" s="360"/>
      <c r="L135" s="273"/>
      <c r="M135" s="496"/>
      <c r="N135" s="496"/>
      <c r="O135" s="274"/>
      <c r="P135" s="274"/>
    </row>
    <row r="136" spans="1:16" s="112" customFormat="1" ht="18" customHeight="1">
      <c r="A136" s="388" t="s">
        <v>313</v>
      </c>
      <c r="B136" s="388"/>
      <c r="C136" s="388"/>
      <c r="D136" s="388"/>
      <c r="E136" s="388"/>
      <c r="F136" s="388"/>
      <c r="G136" s="388"/>
      <c r="H136" s="389"/>
      <c r="I136" s="176"/>
      <c r="J136" s="361">
        <v>0</v>
      </c>
      <c r="K136" s="361"/>
      <c r="L136" s="273"/>
      <c r="M136" s="496"/>
      <c r="N136" s="496"/>
      <c r="O136" s="274"/>
      <c r="P136" s="274"/>
    </row>
    <row r="137" spans="1:16" s="112" customFormat="1" ht="18" customHeight="1">
      <c r="A137" s="388" t="s">
        <v>314</v>
      </c>
      <c r="B137" s="388"/>
      <c r="C137" s="388"/>
      <c r="D137" s="388"/>
      <c r="E137" s="388"/>
      <c r="F137" s="388"/>
      <c r="G137" s="388"/>
      <c r="H137" s="389"/>
      <c r="I137" s="176"/>
      <c r="J137" s="361">
        <v>0</v>
      </c>
      <c r="K137" s="361"/>
      <c r="L137" s="273"/>
      <c r="M137" s="496"/>
      <c r="N137" s="496"/>
      <c r="O137" s="274"/>
      <c r="P137" s="274"/>
    </row>
    <row r="138" spans="1:16" s="112" customFormat="1" ht="18" customHeight="1">
      <c r="A138" s="432" t="s">
        <v>315</v>
      </c>
      <c r="B138" s="432"/>
      <c r="C138" s="432"/>
      <c r="D138" s="432"/>
      <c r="E138" s="432"/>
      <c r="F138" s="432"/>
      <c r="G138" s="432"/>
      <c r="H138" s="433"/>
      <c r="I138" s="176"/>
      <c r="J138" s="434">
        <f>154669805.75</f>
        <v>154669805.75</v>
      </c>
      <c r="K138" s="434"/>
      <c r="L138" s="273"/>
      <c r="M138" s="502"/>
      <c r="N138" s="502"/>
      <c r="O138" s="274"/>
      <c r="P138" s="274"/>
    </row>
    <row r="139" spans="1:16" s="112" customFormat="1" ht="18" customHeight="1">
      <c r="A139" s="386" t="s">
        <v>316</v>
      </c>
      <c r="B139" s="386"/>
      <c r="C139" s="386"/>
      <c r="D139" s="386"/>
      <c r="E139" s="386"/>
      <c r="F139" s="386"/>
      <c r="G139" s="386"/>
      <c r="H139" s="387"/>
      <c r="I139" s="221"/>
      <c r="J139" s="383">
        <f>(J134-(J135+J136+J137+J138))</f>
        <v>6458610410.379999</v>
      </c>
      <c r="K139" s="383"/>
      <c r="L139" s="273"/>
      <c r="M139" s="496"/>
      <c r="N139" s="496"/>
      <c r="O139" s="274"/>
      <c r="P139" s="274"/>
    </row>
    <row r="140" spans="1:16" s="112" customFormat="1" ht="9.75" customHeight="1">
      <c r="A140" s="179"/>
      <c r="B140" s="180"/>
      <c r="C140" s="180"/>
      <c r="D140" s="180"/>
      <c r="E140" s="180"/>
      <c r="F140" s="180"/>
      <c r="G140" s="175"/>
      <c r="H140" s="175"/>
      <c r="I140" s="175"/>
      <c r="J140" s="175"/>
      <c r="K140" s="175"/>
      <c r="L140" s="273"/>
      <c r="M140" s="274"/>
      <c r="N140" s="274"/>
      <c r="O140" s="274"/>
      <c r="P140" s="274"/>
    </row>
    <row r="141" spans="1:16" s="112" customFormat="1" ht="15" customHeight="1">
      <c r="A141" s="391" t="s">
        <v>296</v>
      </c>
      <c r="B141" s="391"/>
      <c r="C141" s="392"/>
      <c r="D141" s="419" t="s">
        <v>201</v>
      </c>
      <c r="E141" s="420"/>
      <c r="F141" s="420"/>
      <c r="G141" s="413"/>
      <c r="H141" s="390" t="s">
        <v>202</v>
      </c>
      <c r="I141" s="392"/>
      <c r="J141" s="390" t="s">
        <v>204</v>
      </c>
      <c r="K141" s="391"/>
      <c r="L141" s="273"/>
      <c r="M141" s="274"/>
      <c r="N141" s="274"/>
      <c r="O141" s="274"/>
      <c r="P141" s="274"/>
    </row>
    <row r="142" spans="1:16" s="112" customFormat="1" ht="15" customHeight="1">
      <c r="A142" s="416"/>
      <c r="B142" s="416"/>
      <c r="C142" s="425"/>
      <c r="D142" s="421" t="s">
        <v>240</v>
      </c>
      <c r="E142" s="422"/>
      <c r="F142" s="422"/>
      <c r="G142" s="414"/>
      <c r="H142" s="421" t="s">
        <v>241</v>
      </c>
      <c r="I142" s="414"/>
      <c r="J142" s="424" t="s">
        <v>242</v>
      </c>
      <c r="K142" s="416"/>
      <c r="L142" s="273"/>
      <c r="M142" s="274"/>
      <c r="N142" s="274"/>
      <c r="O142" s="274"/>
      <c r="P142" s="274"/>
    </row>
    <row r="143" spans="1:16" s="112" customFormat="1" ht="15" customHeight="1">
      <c r="A143" s="222" t="s">
        <v>243</v>
      </c>
      <c r="B143" s="182"/>
      <c r="C143" s="182"/>
      <c r="D143" s="426">
        <f>0.25*(J35)</f>
        <v>6831788711.009998</v>
      </c>
      <c r="E143" s="427"/>
      <c r="F143" s="427"/>
      <c r="G143" s="428"/>
      <c r="H143" s="426">
        <f>J139</f>
        <v>6458610410.379999</v>
      </c>
      <c r="I143" s="428"/>
      <c r="J143" s="362">
        <f>(J139/J35)*100</f>
        <v>23.634404852024364</v>
      </c>
      <c r="K143" s="383"/>
      <c r="L143" s="273"/>
      <c r="M143" s="496"/>
      <c r="N143" s="496"/>
      <c r="O143" s="274"/>
      <c r="P143" s="274"/>
    </row>
    <row r="144" spans="1:16" s="112" customFormat="1" ht="3.75" customHeight="1">
      <c r="A144" s="181"/>
      <c r="B144" s="182"/>
      <c r="C144" s="182"/>
      <c r="D144" s="183"/>
      <c r="E144" s="168"/>
      <c r="F144" s="168"/>
      <c r="G144" s="168"/>
      <c r="H144" s="168"/>
      <c r="I144" s="168"/>
      <c r="J144" s="184"/>
      <c r="K144" s="184"/>
      <c r="L144" s="273"/>
      <c r="M144" s="274"/>
      <c r="N144" s="274"/>
      <c r="O144" s="274"/>
      <c r="P144" s="274"/>
    </row>
    <row r="145" spans="1:16" s="112" customFormat="1" ht="15" customHeight="1">
      <c r="A145" s="392" t="s">
        <v>297</v>
      </c>
      <c r="B145" s="419" t="s">
        <v>244</v>
      </c>
      <c r="C145" s="420"/>
      <c r="D145" s="419" t="s">
        <v>245</v>
      </c>
      <c r="E145" s="413"/>
      <c r="F145" s="420" t="s">
        <v>246</v>
      </c>
      <c r="G145" s="420"/>
      <c r="H145" s="390" t="s">
        <v>247</v>
      </c>
      <c r="I145" s="392"/>
      <c r="J145" s="390" t="s">
        <v>248</v>
      </c>
      <c r="K145" s="391"/>
      <c r="L145" s="273"/>
      <c r="M145" s="274"/>
      <c r="N145" s="274"/>
      <c r="O145" s="274"/>
      <c r="P145" s="274"/>
    </row>
    <row r="146" spans="1:16" s="112" customFormat="1" ht="15.75" customHeight="1">
      <c r="A146" s="407"/>
      <c r="B146" s="399"/>
      <c r="C146" s="429"/>
      <c r="D146" s="399"/>
      <c r="E146" s="401"/>
      <c r="F146" s="429"/>
      <c r="G146" s="429"/>
      <c r="H146" s="430"/>
      <c r="I146" s="407"/>
      <c r="J146" s="430"/>
      <c r="K146" s="431"/>
      <c r="L146" s="273"/>
      <c r="M146" s="274"/>
      <c r="N146" s="274"/>
      <c r="O146" s="274"/>
      <c r="P146" s="274"/>
    </row>
    <row r="147" spans="1:16" s="112" customFormat="1" ht="15" customHeight="1">
      <c r="A147" s="425"/>
      <c r="B147" s="421" t="s">
        <v>249</v>
      </c>
      <c r="C147" s="414"/>
      <c r="D147" s="421" t="s">
        <v>250</v>
      </c>
      <c r="E147" s="414"/>
      <c r="F147" s="424" t="s">
        <v>251</v>
      </c>
      <c r="G147" s="416"/>
      <c r="H147" s="424" t="s">
        <v>252</v>
      </c>
      <c r="I147" s="425"/>
      <c r="J147" s="424" t="s">
        <v>308</v>
      </c>
      <c r="K147" s="416"/>
      <c r="L147" s="273"/>
      <c r="M147" s="274"/>
      <c r="N147" s="274"/>
      <c r="O147" s="274"/>
      <c r="P147" s="274"/>
    </row>
    <row r="148" spans="1:16" s="112" customFormat="1" ht="15" customHeight="1">
      <c r="A148" s="231" t="s">
        <v>253</v>
      </c>
      <c r="B148" s="348">
        <f>B149+B158+B160</f>
        <v>1872043323.1899998</v>
      </c>
      <c r="C148" s="349"/>
      <c r="D148" s="348">
        <f>D149+D158+D160</f>
        <v>22281488.09</v>
      </c>
      <c r="E148" s="349"/>
      <c r="F148" s="348">
        <f>F149+F158+F160</f>
        <v>281368131.4</v>
      </c>
      <c r="G148" s="349"/>
      <c r="H148" s="348">
        <f>H149+H158+H160</f>
        <v>164367545.00000003</v>
      </c>
      <c r="I148" s="349"/>
      <c r="J148" s="348">
        <f>J149+J158+J160</f>
        <v>1426307646.7899995</v>
      </c>
      <c r="K148" s="350"/>
      <c r="L148" s="273"/>
      <c r="M148" s="274"/>
      <c r="N148" s="274"/>
      <c r="O148" s="274"/>
      <c r="P148" s="274"/>
    </row>
    <row r="149" spans="1:16" s="112" customFormat="1" ht="15" customHeight="1">
      <c r="A149" s="185" t="s">
        <v>254</v>
      </c>
      <c r="B149" s="333">
        <f>SUM(B150:B157)</f>
        <v>1646447434.4399998</v>
      </c>
      <c r="C149" s="334"/>
      <c r="D149" s="333">
        <f>SUM(D150:D157)</f>
        <v>22150991.9</v>
      </c>
      <c r="E149" s="334"/>
      <c r="F149" s="333">
        <f>SUM(F150:F157)</f>
        <v>59228717.800000004</v>
      </c>
      <c r="G149" s="334"/>
      <c r="H149" s="333">
        <f>SUM(H150:H157)</f>
        <v>160979248.69000003</v>
      </c>
      <c r="I149" s="334"/>
      <c r="J149" s="333">
        <f>SUM(J150:J157)</f>
        <v>1426239467.9499996</v>
      </c>
      <c r="K149" s="341"/>
      <c r="L149" s="273"/>
      <c r="M149" s="274"/>
      <c r="N149" s="274"/>
      <c r="O149" s="274"/>
      <c r="P149" s="274"/>
    </row>
    <row r="150" spans="1:16" s="112" customFormat="1" ht="15" customHeight="1">
      <c r="A150" s="185" t="s">
        <v>321</v>
      </c>
      <c r="B150" s="333">
        <f>1228069.46</f>
        <v>1228069.46</v>
      </c>
      <c r="C150" s="334"/>
      <c r="D150" s="333">
        <v>0</v>
      </c>
      <c r="E150" s="334"/>
      <c r="F150" s="333">
        <v>0</v>
      </c>
      <c r="G150" s="334"/>
      <c r="H150" s="333">
        <v>0</v>
      </c>
      <c r="I150" s="334"/>
      <c r="J150" s="333">
        <f>B150-F150-H150</f>
        <v>1228069.46</v>
      </c>
      <c r="K150" s="335"/>
      <c r="L150" s="273"/>
      <c r="M150" s="274"/>
      <c r="N150" s="274"/>
      <c r="O150" s="274"/>
      <c r="P150" s="274"/>
    </row>
    <row r="151" spans="1:16" s="112" customFormat="1" ht="15" customHeight="1">
      <c r="A151" s="185" t="s">
        <v>322</v>
      </c>
      <c r="B151" s="333">
        <f>7815970.92</f>
        <v>7815970.92</v>
      </c>
      <c r="C151" s="334"/>
      <c r="D151" s="333">
        <v>0</v>
      </c>
      <c r="E151" s="334"/>
      <c r="F151" s="333">
        <v>0</v>
      </c>
      <c r="G151" s="334"/>
      <c r="H151" s="333">
        <v>0</v>
      </c>
      <c r="I151" s="334"/>
      <c r="J151" s="333">
        <f aca="true" t="shared" si="0" ref="J151:J156">B151-F151-H151</f>
        <v>7815970.92</v>
      </c>
      <c r="K151" s="335"/>
      <c r="L151" s="273"/>
      <c r="M151" s="274"/>
      <c r="N151" s="274"/>
      <c r="O151" s="274"/>
      <c r="P151" s="274"/>
    </row>
    <row r="152" spans="1:16" s="112" customFormat="1" ht="15" customHeight="1">
      <c r="A152" s="185" t="s">
        <v>323</v>
      </c>
      <c r="B152" s="333">
        <f>9810659.34</f>
        <v>9810659.34</v>
      </c>
      <c r="C152" s="334"/>
      <c r="D152" s="333">
        <v>0</v>
      </c>
      <c r="E152" s="334"/>
      <c r="F152" s="333">
        <v>0</v>
      </c>
      <c r="G152" s="334"/>
      <c r="H152" s="333">
        <v>0</v>
      </c>
      <c r="I152" s="334"/>
      <c r="J152" s="333">
        <f t="shared" si="0"/>
        <v>9810659.34</v>
      </c>
      <c r="K152" s="335"/>
      <c r="L152" s="273"/>
      <c r="M152" s="274"/>
      <c r="N152" s="274"/>
      <c r="O152" s="274"/>
      <c r="P152" s="274"/>
    </row>
    <row r="153" spans="1:16" s="112" customFormat="1" ht="15" customHeight="1">
      <c r="A153" s="185" t="s">
        <v>324</v>
      </c>
      <c r="B153" s="333">
        <f>452365419.21</f>
        <v>452365419.21</v>
      </c>
      <c r="C153" s="334"/>
      <c r="D153" s="333">
        <v>0</v>
      </c>
      <c r="E153" s="334"/>
      <c r="F153" s="333">
        <v>0</v>
      </c>
      <c r="G153" s="334"/>
      <c r="H153" s="333">
        <f>138648142.94</f>
        <v>138648142.94</v>
      </c>
      <c r="I153" s="334"/>
      <c r="J153" s="333">
        <f t="shared" si="0"/>
        <v>313717276.27</v>
      </c>
      <c r="K153" s="335"/>
      <c r="L153" s="273"/>
      <c r="M153" s="274"/>
      <c r="N153" s="274"/>
      <c r="O153" s="274"/>
      <c r="P153" s="274"/>
    </row>
    <row r="154" spans="1:16" s="112" customFormat="1" ht="15" customHeight="1">
      <c r="A154" s="185" t="s">
        <v>325</v>
      </c>
      <c r="B154" s="333">
        <f>790077620.29</f>
        <v>790077620.29</v>
      </c>
      <c r="C154" s="334"/>
      <c r="D154" s="333">
        <v>0</v>
      </c>
      <c r="E154" s="334"/>
      <c r="F154" s="333">
        <f>1834009.32</f>
        <v>1834009.32</v>
      </c>
      <c r="G154" s="334"/>
      <c r="H154" s="333">
        <f>93715.34</f>
        <v>93715.34</v>
      </c>
      <c r="I154" s="334"/>
      <c r="J154" s="333">
        <f t="shared" si="0"/>
        <v>788149895.6299999</v>
      </c>
      <c r="K154" s="335"/>
      <c r="L154" s="273"/>
      <c r="M154" s="274"/>
      <c r="N154" s="274"/>
      <c r="O154" s="274"/>
      <c r="P154" s="274"/>
    </row>
    <row r="155" spans="1:16" s="112" customFormat="1" ht="15" customHeight="1">
      <c r="A155" s="185" t="s">
        <v>326</v>
      </c>
      <c r="B155" s="333">
        <f>291966095.77</f>
        <v>291966095.77</v>
      </c>
      <c r="C155" s="334"/>
      <c r="D155" s="333">
        <v>0</v>
      </c>
      <c r="E155" s="334"/>
      <c r="F155" s="333">
        <f>493427.85</f>
        <v>493427.85</v>
      </c>
      <c r="G155" s="334"/>
      <c r="H155" s="333">
        <f>22205628.49</f>
        <v>22205628.49</v>
      </c>
      <c r="I155" s="334"/>
      <c r="J155" s="333">
        <f t="shared" si="0"/>
        <v>269267039.42999995</v>
      </c>
      <c r="K155" s="335"/>
      <c r="L155" s="273"/>
      <c r="M155" s="274"/>
      <c r="N155" s="274"/>
      <c r="O155" s="274"/>
      <c r="P155" s="274"/>
    </row>
    <row r="156" spans="1:16" s="112" customFormat="1" ht="15" customHeight="1">
      <c r="A156" s="185" t="s">
        <v>327</v>
      </c>
      <c r="B156" s="333">
        <f>4710362.13</f>
        <v>4710362.13</v>
      </c>
      <c r="C156" s="334"/>
      <c r="D156" s="333">
        <v>0</v>
      </c>
      <c r="E156" s="334"/>
      <c r="F156" s="333">
        <v>0</v>
      </c>
      <c r="G156" s="334"/>
      <c r="H156" s="333">
        <f>0.05</f>
        <v>0.05</v>
      </c>
      <c r="I156" s="334"/>
      <c r="J156" s="333">
        <f t="shared" si="0"/>
        <v>4710362.08</v>
      </c>
      <c r="K156" s="335"/>
      <c r="L156" s="273"/>
      <c r="M156" s="274"/>
      <c r="N156" s="274"/>
      <c r="O156" s="274"/>
      <c r="P156" s="274"/>
    </row>
    <row r="157" spans="1:16" s="112" customFormat="1" ht="15" customHeight="1">
      <c r="A157" s="185" t="s">
        <v>353</v>
      </c>
      <c r="B157" s="333">
        <f>88473237.32</f>
        <v>88473237.32</v>
      </c>
      <c r="C157" s="334"/>
      <c r="D157" s="333">
        <f>22150991.9</f>
        <v>22150991.9</v>
      </c>
      <c r="E157" s="334"/>
      <c r="F157" s="333">
        <f>56901280.63</f>
        <v>56901280.63</v>
      </c>
      <c r="G157" s="334"/>
      <c r="H157" s="333">
        <f>31761.87</f>
        <v>31761.87</v>
      </c>
      <c r="I157" s="334"/>
      <c r="J157" s="333">
        <f>B157-F157-H157</f>
        <v>31540194.81999999</v>
      </c>
      <c r="K157" s="335"/>
      <c r="L157" s="273"/>
      <c r="M157" s="274"/>
      <c r="N157" s="274"/>
      <c r="O157" s="274"/>
      <c r="P157" s="274"/>
    </row>
    <row r="158" spans="1:13" s="112" customFormat="1" ht="15.75">
      <c r="A158" s="185" t="s">
        <v>255</v>
      </c>
      <c r="B158" s="333">
        <f>B159</f>
        <v>225595888.75</v>
      </c>
      <c r="C158" s="334"/>
      <c r="D158" s="333">
        <f>D159</f>
        <v>130496.19</v>
      </c>
      <c r="E158" s="334"/>
      <c r="F158" s="333">
        <f>F159</f>
        <v>222139413.6</v>
      </c>
      <c r="G158" s="334"/>
      <c r="H158" s="333">
        <f>H159</f>
        <v>3388296.31</v>
      </c>
      <c r="I158" s="334"/>
      <c r="J158" s="333">
        <f>J159</f>
        <v>68178.8400000059</v>
      </c>
      <c r="K158" s="341"/>
      <c r="L158" s="240"/>
      <c r="M158" s="274"/>
    </row>
    <row r="159" spans="1:13" s="112" customFormat="1" ht="15.75">
      <c r="A159" s="185" t="s">
        <v>353</v>
      </c>
      <c r="B159" s="333">
        <f>225595888.75</f>
        <v>225595888.75</v>
      </c>
      <c r="C159" s="334"/>
      <c r="D159" s="333">
        <f>130496.19</f>
        <v>130496.19</v>
      </c>
      <c r="E159" s="334"/>
      <c r="F159" s="333">
        <f>222139413.6</f>
        <v>222139413.6</v>
      </c>
      <c r="G159" s="334"/>
      <c r="H159" s="333">
        <f>3388296.31</f>
        <v>3388296.31</v>
      </c>
      <c r="I159" s="334"/>
      <c r="J159" s="333">
        <f>B159-F159-H159</f>
        <v>68178.8400000059</v>
      </c>
      <c r="K159" s="335"/>
      <c r="L159" s="240"/>
      <c r="M159" s="274"/>
    </row>
    <row r="160" spans="1:13" s="112" customFormat="1" ht="15.75">
      <c r="A160" s="185" t="s">
        <v>256</v>
      </c>
      <c r="B160" s="351">
        <v>0</v>
      </c>
      <c r="C160" s="343"/>
      <c r="D160" s="351">
        <v>0</v>
      </c>
      <c r="E160" s="343"/>
      <c r="F160" s="351">
        <v>0</v>
      </c>
      <c r="G160" s="343"/>
      <c r="H160" s="351">
        <v>0</v>
      </c>
      <c r="I160" s="343"/>
      <c r="J160" s="351">
        <f>B160-F160-H160</f>
        <v>0</v>
      </c>
      <c r="K160" s="342"/>
      <c r="L160" s="240"/>
      <c r="M160" s="274"/>
    </row>
    <row r="161" spans="1:12" s="112" customFormat="1" ht="3.75" customHeight="1">
      <c r="A161" s="149"/>
      <c r="B161" s="149"/>
      <c r="C161" s="149"/>
      <c r="D161" s="149"/>
      <c r="E161" s="187"/>
      <c r="F161" s="187"/>
      <c r="G161" s="157"/>
      <c r="H161" s="157"/>
      <c r="I161" s="157"/>
      <c r="J161" s="157"/>
      <c r="K161" s="175"/>
      <c r="L161" s="240"/>
    </row>
    <row r="162" spans="1:12" s="112" customFormat="1" ht="15" customHeight="1">
      <c r="A162" s="412" t="s">
        <v>257</v>
      </c>
      <c r="B162" s="412"/>
      <c r="C162" s="412"/>
      <c r="D162" s="412"/>
      <c r="E162" s="412"/>
      <c r="F162" s="412"/>
      <c r="G162" s="412"/>
      <c r="H162" s="412"/>
      <c r="I162" s="412"/>
      <c r="J162" s="412"/>
      <c r="K162" s="412"/>
      <c r="L162" s="240"/>
    </row>
    <row r="163" spans="1:12" s="112" customFormat="1" ht="15" customHeight="1">
      <c r="A163" s="392" t="s">
        <v>307</v>
      </c>
      <c r="B163" s="458" t="s">
        <v>141</v>
      </c>
      <c r="C163" s="459"/>
      <c r="D163" s="459"/>
      <c r="E163" s="459"/>
      <c r="F163" s="460"/>
      <c r="G163" s="458" t="s">
        <v>10</v>
      </c>
      <c r="H163" s="459"/>
      <c r="I163" s="459"/>
      <c r="J163" s="459"/>
      <c r="K163" s="459"/>
      <c r="L163" s="240"/>
    </row>
    <row r="164" spans="1:12" s="112" customFormat="1" ht="15" customHeight="1">
      <c r="A164" s="407"/>
      <c r="B164" s="380" t="s">
        <v>93</v>
      </c>
      <c r="C164" s="405"/>
      <c r="D164" s="405"/>
      <c r="E164" s="405"/>
      <c r="F164" s="382"/>
      <c r="G164" s="380" t="s">
        <v>15</v>
      </c>
      <c r="H164" s="405"/>
      <c r="I164" s="405"/>
      <c r="J164" s="405"/>
      <c r="K164" s="405"/>
      <c r="L164" s="240"/>
    </row>
    <row r="165" spans="1:12" s="112" customFormat="1" ht="15" customHeight="1">
      <c r="A165" s="425"/>
      <c r="B165" s="396" t="s">
        <v>16</v>
      </c>
      <c r="C165" s="397"/>
      <c r="D165" s="397"/>
      <c r="E165" s="397"/>
      <c r="F165" s="398"/>
      <c r="G165" s="396" t="s">
        <v>17</v>
      </c>
      <c r="H165" s="397"/>
      <c r="I165" s="397"/>
      <c r="J165" s="397"/>
      <c r="K165" s="397"/>
      <c r="L165" s="240"/>
    </row>
    <row r="166" spans="1:12" s="112" customFormat="1" ht="31.5" customHeight="1">
      <c r="A166" s="177" t="s">
        <v>258</v>
      </c>
      <c r="B166" s="3"/>
      <c r="C166" s="137"/>
      <c r="D166" s="3"/>
      <c r="E166" s="346">
        <f>E167+E168+E169+E170+E171</f>
        <v>635248386.25</v>
      </c>
      <c r="F166" s="354"/>
      <c r="G166" s="188"/>
      <c r="H166" s="137"/>
      <c r="I166" s="3"/>
      <c r="J166" s="346">
        <f>J167+J168+J169+J170+J171</f>
        <v>315182531.57000005</v>
      </c>
      <c r="K166" s="346"/>
      <c r="L166" s="240"/>
    </row>
    <row r="167" spans="1:12" s="112" customFormat="1" ht="15.75">
      <c r="A167" s="177" t="s">
        <v>259</v>
      </c>
      <c r="B167" s="3"/>
      <c r="C167" s="137"/>
      <c r="D167" s="3"/>
      <c r="E167" s="341">
        <f>479693485.79</f>
        <v>479693485.79</v>
      </c>
      <c r="F167" s="334"/>
      <c r="G167" s="188"/>
      <c r="H167" s="137"/>
      <c r="I167" s="3"/>
      <c r="J167" s="341">
        <f>250908852.62</f>
        <v>250908852.62</v>
      </c>
      <c r="K167" s="341"/>
      <c r="L167" s="240"/>
    </row>
    <row r="168" spans="1:12" s="112" customFormat="1" ht="15.75">
      <c r="A168" s="177" t="s">
        <v>260</v>
      </c>
      <c r="B168" s="3"/>
      <c r="C168" s="137"/>
      <c r="D168" s="3"/>
      <c r="E168" s="341">
        <f>21822028</f>
        <v>21822028</v>
      </c>
      <c r="F168" s="334"/>
      <c r="G168" s="188"/>
      <c r="H168" s="137"/>
      <c r="I168" s="3"/>
      <c r="J168" s="341">
        <v>0</v>
      </c>
      <c r="K168" s="341"/>
      <c r="L168" s="240"/>
    </row>
    <row r="169" spans="1:12" s="112" customFormat="1" ht="15.75">
      <c r="A169" s="177" t="s">
        <v>261</v>
      </c>
      <c r="B169" s="3"/>
      <c r="C169" s="137"/>
      <c r="D169" s="3"/>
      <c r="E169" s="341">
        <f>77146059</f>
        <v>77146059</v>
      </c>
      <c r="F169" s="334"/>
      <c r="G169" s="188"/>
      <c r="H169" s="137"/>
      <c r="I169" s="3"/>
      <c r="J169" s="341">
        <f>30952039.6</f>
        <v>30952039.6</v>
      </c>
      <c r="K169" s="341"/>
      <c r="L169" s="240"/>
    </row>
    <row r="170" spans="1:12" s="112" customFormat="1" ht="15.75">
      <c r="A170" s="177" t="s">
        <v>262</v>
      </c>
      <c r="B170" s="143"/>
      <c r="C170" s="137"/>
      <c r="D170" s="3"/>
      <c r="E170" s="341">
        <v>0</v>
      </c>
      <c r="F170" s="334"/>
      <c r="G170" s="188"/>
      <c r="H170" s="137"/>
      <c r="I170" s="3"/>
      <c r="J170" s="341">
        <v>0</v>
      </c>
      <c r="K170" s="341"/>
      <c r="L170" s="240"/>
    </row>
    <row r="171" spans="1:12" s="112" customFormat="1" ht="15.75">
      <c r="A171" s="177" t="s">
        <v>263</v>
      </c>
      <c r="B171" s="143"/>
      <c r="C171" s="137"/>
      <c r="D171" s="3"/>
      <c r="E171" s="341">
        <f>56586813.46</f>
        <v>56586813.46</v>
      </c>
      <c r="F171" s="334"/>
      <c r="G171" s="188"/>
      <c r="H171" s="137"/>
      <c r="I171" s="3"/>
      <c r="J171" s="341">
        <f>33321639.35</f>
        <v>33321639.35</v>
      </c>
      <c r="K171" s="341"/>
      <c r="L171" s="240"/>
    </row>
    <row r="172" spans="1:12" s="112" customFormat="1" ht="15.75">
      <c r="A172" s="177" t="s">
        <v>264</v>
      </c>
      <c r="B172" s="143"/>
      <c r="C172" s="137"/>
      <c r="D172" s="3"/>
      <c r="E172" s="341">
        <f>11303027</f>
        <v>11303027</v>
      </c>
      <c r="F172" s="334"/>
      <c r="G172" s="140"/>
      <c r="H172" s="3"/>
      <c r="I172" s="3"/>
      <c r="J172" s="341">
        <v>0</v>
      </c>
      <c r="K172" s="341"/>
      <c r="L172" s="240"/>
    </row>
    <row r="173" spans="1:12" s="112" customFormat="1" ht="15.75">
      <c r="A173" s="177" t="s">
        <v>265</v>
      </c>
      <c r="B173" s="143"/>
      <c r="C173" s="137"/>
      <c r="D173" s="3"/>
      <c r="E173" s="341">
        <v>0</v>
      </c>
      <c r="F173" s="334"/>
      <c r="G173" s="140"/>
      <c r="H173" s="3"/>
      <c r="I173" s="3"/>
      <c r="J173" s="341">
        <v>0</v>
      </c>
      <c r="K173" s="341"/>
      <c r="L173" s="240"/>
    </row>
    <row r="174" spans="1:12" s="112" customFormat="1" ht="15.75">
      <c r="A174" s="177" t="s">
        <v>266</v>
      </c>
      <c r="B174" s="143"/>
      <c r="C174" s="137"/>
      <c r="D174" s="3"/>
      <c r="E174" s="341">
        <v>0</v>
      </c>
      <c r="F174" s="334"/>
      <c r="G174" s="140"/>
      <c r="H174" s="3"/>
      <c r="I174" s="3"/>
      <c r="J174" s="341">
        <v>0</v>
      </c>
      <c r="K174" s="341"/>
      <c r="L174" s="240"/>
    </row>
    <row r="175" spans="1:12" s="112" customFormat="1" ht="15" customHeight="1">
      <c r="A175" s="177" t="s">
        <v>267</v>
      </c>
      <c r="B175" s="152"/>
      <c r="C175" s="189"/>
      <c r="D175" s="152"/>
      <c r="E175" s="342">
        <v>0</v>
      </c>
      <c r="F175" s="343"/>
      <c r="G175" s="186"/>
      <c r="H175" s="3"/>
      <c r="I175" s="3"/>
      <c r="J175" s="342">
        <v>0</v>
      </c>
      <c r="K175" s="342"/>
      <c r="L175" s="240"/>
    </row>
    <row r="176" spans="1:12" s="112" customFormat="1" ht="33" customHeight="1">
      <c r="A176" s="144" t="s">
        <v>268</v>
      </c>
      <c r="B176" s="198"/>
      <c r="C176" s="223"/>
      <c r="D176" s="199"/>
      <c r="E176" s="352">
        <f>E166+E172+E173+E174+E175</f>
        <v>646551413.25</v>
      </c>
      <c r="F176" s="353"/>
      <c r="G176" s="198"/>
      <c r="H176" s="199"/>
      <c r="I176" s="199"/>
      <c r="J176" s="352">
        <f>J166+J172+J173+J174+J175</f>
        <v>315182531.57000005</v>
      </c>
      <c r="K176" s="352"/>
      <c r="L176" s="240"/>
    </row>
    <row r="177" spans="1:13" s="112" customFormat="1" ht="3.75" customHeight="1">
      <c r="A177" s="190"/>
      <c r="B177" s="190"/>
      <c r="C177" s="190"/>
      <c r="D177" s="190"/>
      <c r="E177" s="190"/>
      <c r="F177" s="190"/>
      <c r="G177" s="190"/>
      <c r="H177" s="190"/>
      <c r="I177" s="190"/>
      <c r="J177" s="190"/>
      <c r="K177" s="191"/>
      <c r="L177" s="269"/>
      <c r="M177" s="281"/>
    </row>
    <row r="178" spans="1:12" s="112" customFormat="1" ht="31.5" customHeight="1">
      <c r="A178" s="392" t="s">
        <v>309</v>
      </c>
      <c r="B178" s="408" t="s">
        <v>186</v>
      </c>
      <c r="C178" s="409"/>
      <c r="D178" s="390" t="s">
        <v>87</v>
      </c>
      <c r="E178" s="392"/>
      <c r="F178" s="390" t="s">
        <v>88</v>
      </c>
      <c r="G178" s="391"/>
      <c r="H178" s="392"/>
      <c r="I178" s="374" t="s">
        <v>143</v>
      </c>
      <c r="J178" s="375"/>
      <c r="K178" s="375"/>
      <c r="L178" s="240"/>
    </row>
    <row r="179" spans="1:12" s="112" customFormat="1" ht="15.75">
      <c r="A179" s="407"/>
      <c r="B179" s="405"/>
      <c r="C179" s="382"/>
      <c r="D179" s="380" t="s">
        <v>15</v>
      </c>
      <c r="E179" s="382"/>
      <c r="F179" s="380" t="s">
        <v>15</v>
      </c>
      <c r="G179" s="381"/>
      <c r="H179" s="382"/>
      <c r="I179" s="394" t="s">
        <v>15</v>
      </c>
      <c r="J179" s="395"/>
      <c r="K179" s="395"/>
      <c r="L179" s="240"/>
    </row>
    <row r="180" spans="1:12" s="112" customFormat="1" ht="15.75" customHeight="1">
      <c r="A180" s="407"/>
      <c r="B180" s="397" t="s">
        <v>19</v>
      </c>
      <c r="C180" s="398"/>
      <c r="D180" s="396" t="s">
        <v>97</v>
      </c>
      <c r="E180" s="398"/>
      <c r="F180" s="380" t="s">
        <v>98</v>
      </c>
      <c r="G180" s="381"/>
      <c r="H180" s="382"/>
      <c r="I180" s="365" t="s">
        <v>99</v>
      </c>
      <c r="J180" s="366"/>
      <c r="K180" s="366"/>
      <c r="L180" s="240"/>
    </row>
    <row r="181" spans="1:14" s="112" customFormat="1" ht="12.75" customHeight="1">
      <c r="A181" s="153" t="s">
        <v>269</v>
      </c>
      <c r="B181" s="358">
        <f>B182+B183</f>
        <v>0</v>
      </c>
      <c r="C181" s="354"/>
      <c r="D181" s="358">
        <f>D182+D183</f>
        <v>0</v>
      </c>
      <c r="E181" s="354"/>
      <c r="F181" s="254"/>
      <c r="G181" s="346">
        <f>G182+G183</f>
        <v>0</v>
      </c>
      <c r="H181" s="354"/>
      <c r="I181" s="239"/>
      <c r="J181" s="346">
        <f>J182+J183</f>
        <v>0</v>
      </c>
      <c r="K181" s="346"/>
      <c r="L181" s="240"/>
      <c r="M181" s="423"/>
      <c r="N181" s="423"/>
    </row>
    <row r="182" spans="1:14" s="112" customFormat="1" ht="15.75">
      <c r="A182" s="150" t="s">
        <v>270</v>
      </c>
      <c r="B182" s="333">
        <v>0</v>
      </c>
      <c r="C182" s="334"/>
      <c r="D182" s="333">
        <v>0</v>
      </c>
      <c r="E182" s="334"/>
      <c r="F182" s="253"/>
      <c r="G182" s="335">
        <v>0</v>
      </c>
      <c r="H182" s="334"/>
      <c r="I182" s="239"/>
      <c r="J182" s="335">
        <v>0</v>
      </c>
      <c r="K182" s="335"/>
      <c r="L182" s="240"/>
      <c r="M182" s="423"/>
      <c r="N182" s="423"/>
    </row>
    <row r="183" spans="1:14" s="112" customFormat="1" ht="15.75">
      <c r="A183" s="150" t="s">
        <v>271</v>
      </c>
      <c r="B183" s="333">
        <v>0</v>
      </c>
      <c r="C183" s="334"/>
      <c r="D183" s="333">
        <v>0</v>
      </c>
      <c r="E183" s="334"/>
      <c r="F183" s="253"/>
      <c r="G183" s="335">
        <v>0</v>
      </c>
      <c r="H183" s="334"/>
      <c r="I183" s="239"/>
      <c r="J183" s="335">
        <v>0</v>
      </c>
      <c r="K183" s="335"/>
      <c r="L183" s="240"/>
      <c r="M183" s="423"/>
      <c r="N183" s="423"/>
    </row>
    <row r="184" spans="1:14" s="112" customFormat="1" ht="15.75">
      <c r="A184" s="150" t="s">
        <v>272</v>
      </c>
      <c r="B184" s="333">
        <v>0</v>
      </c>
      <c r="C184" s="334"/>
      <c r="D184" s="333">
        <v>0</v>
      </c>
      <c r="E184" s="334"/>
      <c r="F184" s="253"/>
      <c r="G184" s="335">
        <v>0</v>
      </c>
      <c r="H184" s="334"/>
      <c r="I184" s="239"/>
      <c r="J184" s="335">
        <v>0</v>
      </c>
      <c r="K184" s="335"/>
      <c r="L184" s="240"/>
      <c r="M184" s="423"/>
      <c r="N184" s="423"/>
    </row>
    <row r="185" spans="1:14" s="112" customFormat="1" ht="15.75">
      <c r="A185" s="150" t="s">
        <v>273</v>
      </c>
      <c r="B185" s="333">
        <v>0</v>
      </c>
      <c r="C185" s="334"/>
      <c r="D185" s="333">
        <v>0</v>
      </c>
      <c r="E185" s="334"/>
      <c r="F185" s="253"/>
      <c r="G185" s="335">
        <v>0</v>
      </c>
      <c r="H185" s="334"/>
      <c r="I185" s="239"/>
      <c r="J185" s="335">
        <v>0</v>
      </c>
      <c r="K185" s="335"/>
      <c r="L185" s="240"/>
      <c r="M185" s="423"/>
      <c r="N185" s="423"/>
    </row>
    <row r="186" spans="1:14" s="112" customFormat="1" ht="15.75">
      <c r="A186" s="150" t="s">
        <v>274</v>
      </c>
      <c r="B186" s="333">
        <f>98858272.23</f>
        <v>98858272.23</v>
      </c>
      <c r="C186" s="334"/>
      <c r="D186" s="333">
        <f>21823241.06</f>
        <v>21823241.06</v>
      </c>
      <c r="E186" s="334"/>
      <c r="F186" s="253"/>
      <c r="G186" s="335">
        <f>19124083.66</f>
        <v>19124083.66</v>
      </c>
      <c r="H186" s="334"/>
      <c r="I186" s="239"/>
      <c r="J186" s="335">
        <f>18152290.87</f>
        <v>18152290.87</v>
      </c>
      <c r="K186" s="335"/>
      <c r="L186" s="240"/>
      <c r="M186" s="423"/>
      <c r="N186" s="423"/>
    </row>
    <row r="187" spans="1:14" s="112" customFormat="1" ht="15.75">
      <c r="A187" s="173" t="s">
        <v>275</v>
      </c>
      <c r="B187" s="335">
        <f>18163635.29</f>
        <v>18163635.29</v>
      </c>
      <c r="C187" s="334"/>
      <c r="D187" s="335">
        <f>5319205.79</f>
        <v>5319205.79</v>
      </c>
      <c r="E187" s="334"/>
      <c r="F187" s="256"/>
      <c r="G187" s="335">
        <f>819967.25</f>
        <v>819967.25</v>
      </c>
      <c r="H187" s="334"/>
      <c r="I187" s="256"/>
      <c r="J187" s="335">
        <f>528833.05</f>
        <v>528833.05</v>
      </c>
      <c r="K187" s="335"/>
      <c r="L187" s="240"/>
      <c r="M187" s="423"/>
      <c r="N187" s="423"/>
    </row>
    <row r="188" spans="1:12" s="112" customFormat="1" ht="15.75">
      <c r="A188" s="173" t="s">
        <v>328</v>
      </c>
      <c r="B188" s="356">
        <f>1757685843.76</f>
        <v>1757685843.76</v>
      </c>
      <c r="C188" s="357"/>
      <c r="D188" s="356">
        <f>1090703821.16</f>
        <v>1090703821.16</v>
      </c>
      <c r="E188" s="357"/>
      <c r="F188" s="280"/>
      <c r="G188" s="356">
        <f>702977037.8</f>
        <v>702977037.8</v>
      </c>
      <c r="H188" s="357"/>
      <c r="I188" s="280"/>
      <c r="J188" s="356">
        <f>665526677.35</f>
        <v>665526677.35</v>
      </c>
      <c r="K188" s="356"/>
      <c r="L188" s="240"/>
    </row>
    <row r="189" spans="1:12" s="112" customFormat="1" ht="15.75">
      <c r="A189" s="144" t="s">
        <v>329</v>
      </c>
      <c r="B189" s="355">
        <f>B181+B184+B185+B186+B187+B188</f>
        <v>1874707751.28</v>
      </c>
      <c r="C189" s="353"/>
      <c r="D189" s="355">
        <f>D181+D184+D185+D186+D187+D188</f>
        <v>1117846268.01</v>
      </c>
      <c r="E189" s="353"/>
      <c r="F189" s="257"/>
      <c r="G189" s="352">
        <f>G181+G184+G185+G186+G187+G188</f>
        <v>722921088.7099999</v>
      </c>
      <c r="H189" s="353"/>
      <c r="I189" s="257"/>
      <c r="J189" s="352">
        <f>J181+J184+J185+J186+J187+J188</f>
        <v>684207801.27</v>
      </c>
      <c r="K189" s="352"/>
      <c r="L189" s="240"/>
    </row>
    <row r="190" spans="1:12" s="112" customFormat="1" ht="15.75">
      <c r="A190" s="240"/>
      <c r="B190" s="240"/>
      <c r="C190" s="240"/>
      <c r="D190" s="240"/>
      <c r="E190" s="240"/>
      <c r="F190" s="240"/>
      <c r="G190" s="240"/>
      <c r="H190" s="240"/>
      <c r="I190" s="240"/>
      <c r="J190" s="240"/>
      <c r="K190" s="209" t="s">
        <v>294</v>
      </c>
      <c r="L190" s="240"/>
    </row>
    <row r="191" spans="1:12" s="112" customFormat="1" ht="15.75" customHeight="1">
      <c r="A191" s="210"/>
      <c r="B191" s="210"/>
      <c r="C191" s="210"/>
      <c r="D191" s="210"/>
      <c r="E191" s="210"/>
      <c r="F191" s="210"/>
      <c r="G191" s="210"/>
      <c r="H191" s="210"/>
      <c r="I191" s="210"/>
      <c r="J191" s="210"/>
      <c r="K191" s="209" t="s">
        <v>287</v>
      </c>
      <c r="L191" s="240"/>
    </row>
    <row r="192" spans="1:12" s="112" customFormat="1" ht="15.75" customHeight="1">
      <c r="A192" s="210"/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40"/>
    </row>
    <row r="193" spans="1:12" s="112" customFormat="1" ht="15.75" customHeight="1">
      <c r="A193" s="210"/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40"/>
    </row>
    <row r="194" spans="1:12" s="112" customFormat="1" ht="15.75">
      <c r="A194" s="373" t="str">
        <f>A125</f>
        <v>GOVERNO DO ESTADO DO RIO DE JANEIRO</v>
      </c>
      <c r="B194" s="373"/>
      <c r="C194" s="373"/>
      <c r="D194" s="373"/>
      <c r="E194" s="373"/>
      <c r="F194" s="373"/>
      <c r="G194" s="373"/>
      <c r="H194" s="373"/>
      <c r="I194" s="373"/>
      <c r="J194" s="373"/>
      <c r="K194" s="373"/>
      <c r="L194" s="240"/>
    </row>
    <row r="195" spans="1:12" s="112" customFormat="1" ht="15.75">
      <c r="A195" s="373" t="str">
        <f>A126</f>
        <v>RELATÓRIO RESUMIDO DA EXECUÇÃO ORÇAMENTÁRIA</v>
      </c>
      <c r="B195" s="373"/>
      <c r="C195" s="373"/>
      <c r="D195" s="373"/>
      <c r="E195" s="373"/>
      <c r="F195" s="373"/>
      <c r="G195" s="373"/>
      <c r="H195" s="373"/>
      <c r="I195" s="373"/>
      <c r="J195" s="373"/>
      <c r="K195" s="373"/>
      <c r="L195" s="240"/>
    </row>
    <row r="196" spans="1:12" s="112" customFormat="1" ht="15.75">
      <c r="A196" s="410" t="str">
        <f>A127</f>
        <v>DEMONSTRATIVO DAS RECEITAS E DESPESAS COM MANUTENÇÃO E DESENVOLVIMENTO DO ENSINO - MDE</v>
      </c>
      <c r="B196" s="410"/>
      <c r="C196" s="410"/>
      <c r="D196" s="410"/>
      <c r="E196" s="410"/>
      <c r="F196" s="410"/>
      <c r="G196" s="410"/>
      <c r="H196" s="410"/>
      <c r="I196" s="410"/>
      <c r="J196" s="410"/>
      <c r="K196" s="410"/>
      <c r="L196" s="240"/>
    </row>
    <row r="197" spans="1:12" s="112" customFormat="1" ht="15.75">
      <c r="A197" s="373" t="str">
        <f>A128</f>
        <v>ORÇAMENTOS FISCAL E DA SEGURIDADE SOCIAL</v>
      </c>
      <c r="B197" s="373"/>
      <c r="C197" s="373"/>
      <c r="D197" s="373"/>
      <c r="E197" s="373"/>
      <c r="F197" s="373"/>
      <c r="G197" s="373"/>
      <c r="H197" s="373"/>
      <c r="I197" s="373"/>
      <c r="J197" s="373"/>
      <c r="K197" s="373"/>
      <c r="L197" s="240"/>
    </row>
    <row r="198" spans="1:12" s="112" customFormat="1" ht="15.75">
      <c r="A198" s="373" t="str">
        <f>A129</f>
        <v>JANEIRO A JUNHO 2022/BIMESTRE MAIO - JUNHO</v>
      </c>
      <c r="B198" s="373"/>
      <c r="C198" s="373"/>
      <c r="D198" s="373"/>
      <c r="E198" s="373"/>
      <c r="F198" s="373"/>
      <c r="G198" s="373"/>
      <c r="H198" s="373"/>
      <c r="I198" s="373"/>
      <c r="J198" s="373"/>
      <c r="K198" s="373"/>
      <c r="L198" s="240"/>
    </row>
    <row r="199" spans="1:12" s="112" customFormat="1" ht="15.75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09" t="str">
        <f>K130</f>
        <v>Emissão: 19/07/2022</v>
      </c>
      <c r="L199" s="240"/>
    </row>
    <row r="200" spans="1:12" s="112" customFormat="1" ht="15.75">
      <c r="A200" s="3" t="s">
        <v>147</v>
      </c>
      <c r="B200" s="210"/>
      <c r="C200" s="210"/>
      <c r="D200" s="210"/>
      <c r="E200" s="210"/>
      <c r="F200" s="210"/>
      <c r="G200" s="210"/>
      <c r="H200" s="210"/>
      <c r="I200" s="210"/>
      <c r="J200" s="210"/>
      <c r="K200" s="211">
        <f>K131</f>
        <v>1</v>
      </c>
      <c r="L200" s="240"/>
    </row>
    <row r="201" spans="1:12" s="112" customFormat="1" ht="15.75" customHeight="1">
      <c r="A201" s="392" t="s">
        <v>276</v>
      </c>
      <c r="B201" s="408" t="s">
        <v>186</v>
      </c>
      <c r="C201" s="409"/>
      <c r="D201" s="390" t="s">
        <v>87</v>
      </c>
      <c r="E201" s="392"/>
      <c r="F201" s="390" t="s">
        <v>88</v>
      </c>
      <c r="G201" s="391"/>
      <c r="H201" s="392"/>
      <c r="I201" s="374" t="s">
        <v>143</v>
      </c>
      <c r="J201" s="375"/>
      <c r="K201" s="375"/>
      <c r="L201" s="240"/>
    </row>
    <row r="202" spans="1:12" s="112" customFormat="1" ht="15.75">
      <c r="A202" s="407"/>
      <c r="B202" s="405"/>
      <c r="C202" s="382"/>
      <c r="D202" s="380" t="s">
        <v>15</v>
      </c>
      <c r="E202" s="382"/>
      <c r="F202" s="380" t="s">
        <v>15</v>
      </c>
      <c r="G202" s="381"/>
      <c r="H202" s="382"/>
      <c r="I202" s="394" t="s">
        <v>15</v>
      </c>
      <c r="J202" s="395"/>
      <c r="K202" s="395"/>
      <c r="L202" s="240"/>
    </row>
    <row r="203" spans="1:12" s="112" customFormat="1" ht="15.75">
      <c r="A203" s="407"/>
      <c r="B203" s="397" t="s">
        <v>19</v>
      </c>
      <c r="C203" s="398"/>
      <c r="D203" s="396" t="s">
        <v>97</v>
      </c>
      <c r="E203" s="398"/>
      <c r="F203" s="396" t="s">
        <v>98</v>
      </c>
      <c r="G203" s="397"/>
      <c r="H203" s="398"/>
      <c r="I203" s="365" t="s">
        <v>99</v>
      </c>
      <c r="J203" s="366"/>
      <c r="K203" s="366"/>
      <c r="L203" s="240"/>
    </row>
    <row r="204" spans="1:13" s="112" customFormat="1" ht="15.75">
      <c r="A204" s="224" t="s">
        <v>331</v>
      </c>
      <c r="B204" s="348">
        <f>B83+B119+B189</f>
        <v>10580224868.9</v>
      </c>
      <c r="C204" s="349"/>
      <c r="D204" s="348">
        <f>D83+D119+D189</f>
        <v>7957206314.21</v>
      </c>
      <c r="E204" s="349"/>
      <c r="F204" s="258"/>
      <c r="G204" s="350">
        <f>G83+G119+G189</f>
        <v>4554049830.04</v>
      </c>
      <c r="H204" s="349"/>
      <c r="I204" s="259"/>
      <c r="J204" s="350">
        <f>J83+J119+J189</f>
        <v>4292285209.5899997</v>
      </c>
      <c r="K204" s="350"/>
      <c r="L204" s="240"/>
      <c r="M204" s="281"/>
    </row>
    <row r="205" spans="1:16" s="112" customFormat="1" ht="15.75">
      <c r="A205" s="225" t="s">
        <v>332</v>
      </c>
      <c r="B205" s="347">
        <f>B206+B207+B208+B209</f>
        <v>9591365493.01</v>
      </c>
      <c r="C205" s="345"/>
      <c r="D205" s="347">
        <f>D206+D207+D208+D209</f>
        <v>7669655081.41</v>
      </c>
      <c r="E205" s="345"/>
      <c r="F205" s="260"/>
      <c r="G205" s="344">
        <f>G206+G207+G208+G209</f>
        <v>4403995013.53</v>
      </c>
      <c r="H205" s="345"/>
      <c r="I205" s="259"/>
      <c r="J205" s="344">
        <f>J206+J207+J208+J209</f>
        <v>4143329724.33</v>
      </c>
      <c r="K205" s="344"/>
      <c r="L205" s="240"/>
      <c r="M205" s="281"/>
      <c r="N205" s="281"/>
      <c r="O205" s="281"/>
      <c r="P205" s="281"/>
    </row>
    <row r="206" spans="1:14" s="112" customFormat="1" ht="15.75">
      <c r="A206" s="177" t="s">
        <v>333</v>
      </c>
      <c r="B206" s="333">
        <f>6037284283.04</f>
        <v>6037284283.04</v>
      </c>
      <c r="C206" s="334"/>
      <c r="D206" s="333">
        <f>5062443292.94</f>
        <v>5062443292.94</v>
      </c>
      <c r="E206" s="334"/>
      <c r="F206" s="261"/>
      <c r="G206" s="335">
        <f>2814306449.63</f>
        <v>2814306449.63</v>
      </c>
      <c r="H206" s="334"/>
      <c r="I206" s="256"/>
      <c r="J206" s="335">
        <f>2652394184.89</f>
        <v>2652394184.89</v>
      </c>
      <c r="K206" s="335"/>
      <c r="L206" s="240"/>
      <c r="M206" s="281"/>
      <c r="N206" s="281"/>
    </row>
    <row r="207" spans="1:12" s="112" customFormat="1" ht="15.75">
      <c r="A207" s="177" t="s">
        <v>334</v>
      </c>
      <c r="B207" s="333">
        <f>830423</f>
        <v>830423</v>
      </c>
      <c r="C207" s="334"/>
      <c r="D207" s="333">
        <f>433835.38</f>
        <v>433835.38</v>
      </c>
      <c r="E207" s="334"/>
      <c r="F207" s="261"/>
      <c r="G207" s="335">
        <f>229164.37</f>
        <v>229164.37</v>
      </c>
      <c r="H207" s="334"/>
      <c r="I207" s="256"/>
      <c r="J207" s="335">
        <f>192247.47</f>
        <v>192247.47</v>
      </c>
      <c r="K207" s="335"/>
      <c r="L207" s="240"/>
    </row>
    <row r="208" spans="1:12" s="112" customFormat="1" ht="15.75">
      <c r="A208" s="177" t="s">
        <v>335</v>
      </c>
      <c r="B208" s="333">
        <v>0</v>
      </c>
      <c r="C208" s="334"/>
      <c r="D208" s="333">
        <v>0</v>
      </c>
      <c r="E208" s="334"/>
      <c r="F208" s="261"/>
      <c r="G208" s="335">
        <v>0</v>
      </c>
      <c r="H208" s="334"/>
      <c r="I208" s="256"/>
      <c r="J208" s="335">
        <v>0</v>
      </c>
      <c r="K208" s="335"/>
      <c r="L208" s="240"/>
    </row>
    <row r="209" spans="1:12" s="112" customFormat="1" ht="15.75">
      <c r="A209" s="177" t="s">
        <v>336</v>
      </c>
      <c r="B209" s="333">
        <f>3553250786.97</f>
        <v>3553250786.97</v>
      </c>
      <c r="C209" s="334"/>
      <c r="D209" s="333">
        <f>2606777953.09</f>
        <v>2606777953.09</v>
      </c>
      <c r="E209" s="334"/>
      <c r="F209" s="261"/>
      <c r="G209" s="335">
        <f>1589459399.53</f>
        <v>1589459399.53</v>
      </c>
      <c r="H209" s="334"/>
      <c r="I209" s="256"/>
      <c r="J209" s="335">
        <f>1490743291.97</f>
        <v>1490743291.97</v>
      </c>
      <c r="K209" s="335"/>
      <c r="L209" s="240"/>
    </row>
    <row r="210" spans="1:12" s="112" customFormat="1" ht="15.75">
      <c r="A210" s="225" t="s">
        <v>337</v>
      </c>
      <c r="B210" s="347">
        <f>B211+B212</f>
        <v>988859375.89</v>
      </c>
      <c r="C210" s="345"/>
      <c r="D210" s="347">
        <f>D211+D212</f>
        <v>287551232.8</v>
      </c>
      <c r="E210" s="345"/>
      <c r="F210" s="260"/>
      <c r="G210" s="344">
        <f>G211+G212</f>
        <v>150054816.51</v>
      </c>
      <c r="H210" s="345"/>
      <c r="I210" s="259"/>
      <c r="J210" s="344">
        <f>J211+J212</f>
        <v>148955485.26</v>
      </c>
      <c r="K210" s="344"/>
      <c r="L210" s="269"/>
    </row>
    <row r="211" spans="1:12" s="112" customFormat="1" ht="15.75">
      <c r="A211" s="177" t="s">
        <v>338</v>
      </c>
      <c r="B211" s="333">
        <v>0</v>
      </c>
      <c r="C211" s="334"/>
      <c r="D211" s="333">
        <v>0</v>
      </c>
      <c r="E211" s="334"/>
      <c r="F211" s="261"/>
      <c r="G211" s="335">
        <v>0</v>
      </c>
      <c r="H211" s="334"/>
      <c r="I211" s="256"/>
      <c r="J211" s="335">
        <v>0</v>
      </c>
      <c r="K211" s="335"/>
      <c r="L211" s="240"/>
    </row>
    <row r="212" spans="1:12" s="112" customFormat="1" ht="15.75">
      <c r="A212" s="178" t="s">
        <v>339</v>
      </c>
      <c r="B212" s="351">
        <f>988859375.89</f>
        <v>988859375.89</v>
      </c>
      <c r="C212" s="343"/>
      <c r="D212" s="351">
        <f>287551232.8</f>
        <v>287551232.8</v>
      </c>
      <c r="E212" s="343"/>
      <c r="F212" s="255"/>
      <c r="G212" s="342">
        <f>150054816.51</f>
        <v>150054816.51</v>
      </c>
      <c r="H212" s="343"/>
      <c r="I212" s="255"/>
      <c r="J212" s="342">
        <f>148955485.26</f>
        <v>148955485.26</v>
      </c>
      <c r="K212" s="342"/>
      <c r="L212" s="240"/>
    </row>
    <row r="213" spans="1:12" s="112" customFormat="1" ht="3.75" customHeight="1">
      <c r="A213" s="192"/>
      <c r="B213" s="152"/>
      <c r="C213" s="283"/>
      <c r="D213" s="283"/>
      <c r="E213" s="283"/>
      <c r="F213" s="283"/>
      <c r="G213" s="283"/>
      <c r="H213" s="283"/>
      <c r="I213" s="283"/>
      <c r="J213" s="283"/>
      <c r="K213" s="283"/>
      <c r="L213" s="240"/>
    </row>
    <row r="214" spans="1:14" s="112" customFormat="1" ht="15.75">
      <c r="A214" s="392" t="s">
        <v>277</v>
      </c>
      <c r="B214" s="419" t="s">
        <v>169</v>
      </c>
      <c r="C214" s="420"/>
      <c r="D214" s="420"/>
      <c r="E214" s="420"/>
      <c r="F214" s="413"/>
      <c r="G214" s="419" t="s">
        <v>278</v>
      </c>
      <c r="H214" s="420"/>
      <c r="I214" s="420"/>
      <c r="J214" s="420"/>
      <c r="K214" s="420"/>
      <c r="L214" s="503"/>
      <c r="M214" s="503"/>
      <c r="N214" s="503"/>
    </row>
    <row r="215" spans="1:14" s="112" customFormat="1" ht="15.75">
      <c r="A215" s="407"/>
      <c r="B215" s="421" t="s">
        <v>279</v>
      </c>
      <c r="C215" s="422"/>
      <c r="D215" s="422"/>
      <c r="E215" s="422"/>
      <c r="F215" s="414"/>
      <c r="G215" s="421" t="s">
        <v>280</v>
      </c>
      <c r="H215" s="422"/>
      <c r="I215" s="422"/>
      <c r="J215" s="422"/>
      <c r="K215" s="422"/>
      <c r="L215" s="503"/>
      <c r="M215" s="503"/>
      <c r="N215" s="503"/>
    </row>
    <row r="216" spans="1:14" s="112" customFormat="1" ht="15.75" customHeight="1">
      <c r="A216" s="160" t="s">
        <v>340</v>
      </c>
      <c r="B216" s="262"/>
      <c r="C216" s="263"/>
      <c r="D216" s="263"/>
      <c r="E216" s="346">
        <v>529887960.2</v>
      </c>
      <c r="F216" s="354"/>
      <c r="G216" s="262"/>
      <c r="H216" s="263"/>
      <c r="I216" s="263"/>
      <c r="J216" s="346">
        <v>642779089.2</v>
      </c>
      <c r="K216" s="346"/>
      <c r="L216" s="503"/>
      <c r="M216" s="503"/>
      <c r="N216" s="503"/>
    </row>
    <row r="217" spans="1:14" s="112" customFormat="1" ht="15.75" customHeight="1">
      <c r="A217" s="161" t="s">
        <v>341</v>
      </c>
      <c r="B217" s="264"/>
      <c r="C217" s="265"/>
      <c r="D217" s="265"/>
      <c r="E217" s="341">
        <v>2134848366.32</v>
      </c>
      <c r="F217" s="334"/>
      <c r="G217" s="264"/>
      <c r="H217" s="265"/>
      <c r="I217" s="265"/>
      <c r="J217" s="341">
        <v>284230491.97</v>
      </c>
      <c r="K217" s="341"/>
      <c r="L217" s="503"/>
      <c r="M217" s="503"/>
      <c r="N217" s="503"/>
    </row>
    <row r="218" spans="1:14" s="112" customFormat="1" ht="15.75" customHeight="1">
      <c r="A218" s="161" t="s">
        <v>342</v>
      </c>
      <c r="B218" s="188"/>
      <c r="C218" s="137"/>
      <c r="D218" s="137"/>
      <c r="E218" s="341">
        <v>2416055317.81</v>
      </c>
      <c r="F218" s="334"/>
      <c r="G218" s="188"/>
      <c r="H218" s="137"/>
      <c r="I218" s="137"/>
      <c r="J218" s="341">
        <v>374533972.73</v>
      </c>
      <c r="K218" s="341"/>
      <c r="L218" s="503"/>
      <c r="M218" s="503"/>
      <c r="N218" s="503"/>
    </row>
    <row r="219" spans="1:14" s="112" customFormat="1" ht="15.75" customHeight="1">
      <c r="A219" s="161" t="s">
        <v>343</v>
      </c>
      <c r="B219" s="264"/>
      <c r="C219" s="265"/>
      <c r="D219" s="265"/>
      <c r="E219" s="341">
        <v>248681008.71000004</v>
      </c>
      <c r="F219" s="334"/>
      <c r="G219" s="264"/>
      <c r="H219" s="265"/>
      <c r="I219" s="265"/>
      <c r="J219" s="341">
        <v>552475608.44</v>
      </c>
      <c r="K219" s="341"/>
      <c r="L219" s="503"/>
      <c r="M219" s="503"/>
      <c r="N219" s="503"/>
    </row>
    <row r="220" spans="1:14" s="112" customFormat="1" ht="15.75" customHeight="1">
      <c r="A220" s="161" t="s">
        <v>344</v>
      </c>
      <c r="B220" s="264"/>
      <c r="C220" s="265"/>
      <c r="D220" s="265"/>
      <c r="E220" s="341">
        <v>0</v>
      </c>
      <c r="F220" s="334"/>
      <c r="G220" s="264"/>
      <c r="H220" s="265"/>
      <c r="I220" s="265"/>
      <c r="J220" s="341">
        <v>0</v>
      </c>
      <c r="K220" s="341"/>
      <c r="L220" s="503"/>
      <c r="M220" s="503"/>
      <c r="N220" s="503"/>
    </row>
    <row r="221" spans="1:14" s="112" customFormat="1" ht="15.75" customHeight="1">
      <c r="A221" s="161" t="s">
        <v>345</v>
      </c>
      <c r="B221" s="188"/>
      <c r="C221" s="137"/>
      <c r="D221" s="137"/>
      <c r="E221" s="341">
        <v>0</v>
      </c>
      <c r="F221" s="334"/>
      <c r="G221" s="188"/>
      <c r="H221" s="137"/>
      <c r="I221" s="137"/>
      <c r="J221" s="341">
        <v>0</v>
      </c>
      <c r="K221" s="341"/>
      <c r="L221" s="503"/>
      <c r="M221" s="503"/>
      <c r="N221" s="503"/>
    </row>
    <row r="222" spans="1:14" s="112" customFormat="1" ht="15.75" customHeight="1">
      <c r="A222" s="157" t="s">
        <v>346</v>
      </c>
      <c r="B222" s="266"/>
      <c r="C222" s="267"/>
      <c r="D222" s="267"/>
      <c r="E222" s="342">
        <v>248681008.71000004</v>
      </c>
      <c r="F222" s="343"/>
      <c r="G222" s="266"/>
      <c r="H222" s="267"/>
      <c r="I222" s="267"/>
      <c r="J222" s="342">
        <v>552475608.44</v>
      </c>
      <c r="K222" s="342"/>
      <c r="L222" s="503"/>
      <c r="M222" s="503"/>
      <c r="N222" s="503"/>
    </row>
    <row r="223" spans="1:12" s="112" customFormat="1" ht="15.75">
      <c r="A223" s="193" t="s">
        <v>317</v>
      </c>
      <c r="B223" s="115"/>
      <c r="C223" s="115"/>
      <c r="D223" s="115"/>
      <c r="E223" s="115"/>
      <c r="F223" s="279"/>
      <c r="G223" s="279"/>
      <c r="H223" s="115"/>
      <c r="J223" s="281"/>
      <c r="K223" s="194" t="s">
        <v>295</v>
      </c>
      <c r="L223" s="240"/>
    </row>
    <row r="224" spans="1:12" s="112" customFormat="1" ht="15.75">
      <c r="A224" s="272" t="s">
        <v>318</v>
      </c>
      <c r="B224" s="115"/>
      <c r="C224" s="115"/>
      <c r="D224" s="115"/>
      <c r="E224" s="115"/>
      <c r="F224" s="279"/>
      <c r="G224" s="115"/>
      <c r="H224" s="115"/>
      <c r="K224" s="287"/>
      <c r="L224" s="240"/>
    </row>
    <row r="225" spans="1:12" s="112" customFormat="1" ht="15.75">
      <c r="A225" s="339" t="s">
        <v>319</v>
      </c>
      <c r="B225" s="339"/>
      <c r="C225" s="339"/>
      <c r="D225" s="339"/>
      <c r="E225" s="339"/>
      <c r="F225" s="339"/>
      <c r="G225" s="339"/>
      <c r="H225" s="115"/>
      <c r="J225" s="281"/>
      <c r="K225" s="194"/>
      <c r="L225" s="269"/>
    </row>
    <row r="226" spans="1:12" s="112" customFormat="1" ht="13.5" customHeight="1">
      <c r="A226" s="393" t="s">
        <v>298</v>
      </c>
      <c r="B226" s="393"/>
      <c r="C226" s="393"/>
      <c r="D226" s="393"/>
      <c r="E226" s="393"/>
      <c r="F226" s="393"/>
      <c r="G226" s="393"/>
      <c r="H226" s="393"/>
      <c r="I226" s="393"/>
      <c r="J226" s="393"/>
      <c r="K226" s="393"/>
      <c r="L226" s="240"/>
    </row>
    <row r="227" spans="1:12" s="112" customFormat="1" ht="13.5" customHeight="1">
      <c r="A227" s="492" t="s">
        <v>299</v>
      </c>
      <c r="B227" s="492"/>
      <c r="C227" s="492"/>
      <c r="D227" s="492"/>
      <c r="E227" s="492"/>
      <c r="F227" s="492"/>
      <c r="G227" s="492"/>
      <c r="H227" s="492"/>
      <c r="I227" s="492"/>
      <c r="J227" s="492"/>
      <c r="K227" s="492"/>
      <c r="L227" s="240"/>
    </row>
    <row r="228" spans="1:11" ht="13.5" customHeight="1">
      <c r="A228" s="493" t="s">
        <v>300</v>
      </c>
      <c r="B228" s="493"/>
      <c r="C228" s="493"/>
      <c r="D228" s="493"/>
      <c r="E228" s="493"/>
      <c r="F228" s="493"/>
      <c r="G228" s="493"/>
      <c r="H228" s="493"/>
      <c r="I228" s="493"/>
      <c r="J228" s="493"/>
      <c r="K228" s="493"/>
    </row>
    <row r="229" spans="1:11" ht="13.5" customHeight="1">
      <c r="A229" s="492" t="s">
        <v>301</v>
      </c>
      <c r="B229" s="492"/>
      <c r="C229" s="492"/>
      <c r="D229" s="492"/>
      <c r="E229" s="492"/>
      <c r="F229" s="492"/>
      <c r="G229" s="492"/>
      <c r="H229" s="492"/>
      <c r="I229" s="492"/>
      <c r="J229" s="492"/>
      <c r="K229" s="492"/>
    </row>
    <row r="230" spans="1:11" ht="13.5" customHeight="1">
      <c r="A230" s="393" t="s">
        <v>302</v>
      </c>
      <c r="B230" s="393"/>
      <c r="C230" s="393"/>
      <c r="D230" s="393"/>
      <c r="E230" s="393"/>
      <c r="F230" s="393"/>
      <c r="G230" s="393"/>
      <c r="H230" s="393"/>
      <c r="I230" s="393"/>
      <c r="J230" s="393"/>
      <c r="K230" s="393"/>
    </row>
    <row r="231" spans="1:11" ht="13.5" customHeight="1">
      <c r="A231" s="393" t="s">
        <v>303</v>
      </c>
      <c r="B231" s="393"/>
      <c r="C231" s="393"/>
      <c r="D231" s="393"/>
      <c r="E231" s="393"/>
      <c r="F231" s="393"/>
      <c r="G231" s="393"/>
      <c r="H231" s="393"/>
      <c r="I231" s="393"/>
      <c r="J231" s="393"/>
      <c r="K231" s="393"/>
    </row>
    <row r="232" spans="1:11" ht="13.5" customHeight="1">
      <c r="A232" s="393" t="s">
        <v>304</v>
      </c>
      <c r="B232" s="393"/>
      <c r="C232" s="393"/>
      <c r="D232" s="393"/>
      <c r="E232" s="393"/>
      <c r="F232" s="393"/>
      <c r="G232" s="393"/>
      <c r="H232" s="393"/>
      <c r="I232" s="393"/>
      <c r="J232" s="393"/>
      <c r="K232" s="393"/>
    </row>
    <row r="233" spans="1:11" ht="13.5" customHeight="1">
      <c r="A233" s="393" t="s">
        <v>305</v>
      </c>
      <c r="B233" s="393"/>
      <c r="C233" s="393"/>
      <c r="D233" s="393"/>
      <c r="E233" s="393"/>
      <c r="F233" s="393"/>
      <c r="G233" s="393"/>
      <c r="H233" s="393"/>
      <c r="I233" s="393"/>
      <c r="J233" s="393"/>
      <c r="K233" s="393"/>
    </row>
    <row r="234" spans="1:11" ht="12.75">
      <c r="A234" s="340" t="s">
        <v>330</v>
      </c>
      <c r="B234" s="340"/>
      <c r="C234" s="340"/>
      <c r="D234" s="340"/>
      <c r="E234" s="340"/>
      <c r="F234" s="340"/>
      <c r="G234" s="340"/>
      <c r="H234" s="340"/>
      <c r="I234" s="340"/>
      <c r="J234" s="340"/>
      <c r="K234" s="340"/>
    </row>
    <row r="235" spans="1:11" ht="53.25" customHeight="1">
      <c r="A235" s="491" t="s">
        <v>359</v>
      </c>
      <c r="B235" s="491"/>
      <c r="C235" s="491"/>
      <c r="D235" s="491"/>
      <c r="E235" s="491"/>
      <c r="F235" s="491"/>
      <c r="G235" s="491"/>
      <c r="H235" s="491"/>
      <c r="I235" s="491"/>
      <c r="J235" s="491"/>
      <c r="K235" s="491"/>
    </row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3" spans="1:11" ht="15.75" customHeight="1">
      <c r="A263" s="137" t="s">
        <v>347</v>
      </c>
      <c r="B263" s="463" t="s">
        <v>350</v>
      </c>
      <c r="C263" s="463"/>
      <c r="D263" s="463"/>
      <c r="E263" s="463"/>
      <c r="F263" s="463"/>
      <c r="G263" s="463" t="s">
        <v>354</v>
      </c>
      <c r="H263" s="463"/>
      <c r="I263" s="463"/>
      <c r="J263" s="463"/>
      <c r="K263" s="463"/>
    </row>
    <row r="264" spans="1:11" ht="15.75" customHeight="1">
      <c r="A264" s="137" t="s">
        <v>348</v>
      </c>
      <c r="B264" s="463" t="s">
        <v>351</v>
      </c>
      <c r="C264" s="463"/>
      <c r="D264" s="463"/>
      <c r="E264" s="463"/>
      <c r="F264" s="463"/>
      <c r="G264" s="463" t="s">
        <v>355</v>
      </c>
      <c r="H264" s="463"/>
      <c r="I264" s="463"/>
      <c r="J264" s="463"/>
      <c r="K264" s="463"/>
    </row>
    <row r="265" spans="1:11" ht="15.75" customHeight="1">
      <c r="A265" s="137" t="s">
        <v>349</v>
      </c>
      <c r="B265" s="463" t="s">
        <v>352</v>
      </c>
      <c r="C265" s="463"/>
      <c r="D265" s="463"/>
      <c r="E265" s="463"/>
      <c r="F265" s="463"/>
      <c r="G265" s="463" t="s">
        <v>356</v>
      </c>
      <c r="H265" s="463"/>
      <c r="I265" s="463"/>
      <c r="J265" s="463"/>
      <c r="K265" s="463"/>
    </row>
  </sheetData>
  <sheetProtection/>
  <mergeCells count="542">
    <mergeCell ref="B157:C157"/>
    <mergeCell ref="D157:E157"/>
    <mergeCell ref="F157:G157"/>
    <mergeCell ref="H157:I157"/>
    <mergeCell ref="J157:K157"/>
    <mergeCell ref="B264:F264"/>
    <mergeCell ref="G263:K263"/>
    <mergeCell ref="G264:K264"/>
    <mergeCell ref="B163:F163"/>
    <mergeCell ref="G163:K163"/>
    <mergeCell ref="G265:K265"/>
    <mergeCell ref="B265:F265"/>
    <mergeCell ref="G188:H188"/>
    <mergeCell ref="J188:K188"/>
    <mergeCell ref="A235:K235"/>
    <mergeCell ref="B263:F263"/>
    <mergeCell ref="A196:K196"/>
    <mergeCell ref="A227:K227"/>
    <mergeCell ref="A228:K228"/>
    <mergeCell ref="A229:K229"/>
    <mergeCell ref="D89:E89"/>
    <mergeCell ref="D90:E90"/>
    <mergeCell ref="D91:E91"/>
    <mergeCell ref="D92:E92"/>
    <mergeCell ref="D93:E93"/>
    <mergeCell ref="G91:H91"/>
    <mergeCell ref="G92:H92"/>
    <mergeCell ref="G93:H93"/>
    <mergeCell ref="G89:H89"/>
    <mergeCell ref="G90:H90"/>
    <mergeCell ref="J89:K89"/>
    <mergeCell ref="J90:K90"/>
    <mergeCell ref="J91:K91"/>
    <mergeCell ref="J92:K92"/>
    <mergeCell ref="J93:K93"/>
    <mergeCell ref="J83:K83"/>
    <mergeCell ref="J78:K78"/>
    <mergeCell ref="J79:K79"/>
    <mergeCell ref="J80:K80"/>
    <mergeCell ref="J81:K81"/>
    <mergeCell ref="J82:K82"/>
    <mergeCell ref="G83:H83"/>
    <mergeCell ref="G78:H78"/>
    <mergeCell ref="G80:H80"/>
    <mergeCell ref="G81:H81"/>
    <mergeCell ref="G82:H82"/>
    <mergeCell ref="B78:C78"/>
    <mergeCell ref="B79:C79"/>
    <mergeCell ref="B80:C80"/>
    <mergeCell ref="D77:E77"/>
    <mergeCell ref="D78:E78"/>
    <mergeCell ref="D79:E79"/>
    <mergeCell ref="D80:E80"/>
    <mergeCell ref="J59:K59"/>
    <mergeCell ref="J61:K61"/>
    <mergeCell ref="B77:C77"/>
    <mergeCell ref="J77:K77"/>
    <mergeCell ref="J58:K58"/>
    <mergeCell ref="E54:F54"/>
    <mergeCell ref="E55:F55"/>
    <mergeCell ref="G77:H77"/>
    <mergeCell ref="F74:H74"/>
    <mergeCell ref="F75:H75"/>
    <mergeCell ref="J48:K48"/>
    <mergeCell ref="J49:K49"/>
    <mergeCell ref="J50:K50"/>
    <mergeCell ref="J54:K54"/>
    <mergeCell ref="J55:K55"/>
    <mergeCell ref="J57:K57"/>
    <mergeCell ref="J51:K51"/>
    <mergeCell ref="J52:K52"/>
    <mergeCell ref="J53:K53"/>
    <mergeCell ref="B81:C81"/>
    <mergeCell ref="B82:C82"/>
    <mergeCell ref="B83:C83"/>
    <mergeCell ref="D81:E81"/>
    <mergeCell ref="D82:E82"/>
    <mergeCell ref="D83:E83"/>
    <mergeCell ref="E48:F48"/>
    <mergeCell ref="E49:F49"/>
    <mergeCell ref="E50:F50"/>
    <mergeCell ref="E51:F51"/>
    <mergeCell ref="E52:F52"/>
    <mergeCell ref="E53:F53"/>
    <mergeCell ref="E47:F47"/>
    <mergeCell ref="E35:F35"/>
    <mergeCell ref="E37:F37"/>
    <mergeCell ref="E39:F39"/>
    <mergeCell ref="G43:K43"/>
    <mergeCell ref="J45:K45"/>
    <mergeCell ref="J46:K46"/>
    <mergeCell ref="J47:K47"/>
    <mergeCell ref="J33:K33"/>
    <mergeCell ref="J34:K34"/>
    <mergeCell ref="J35:K35"/>
    <mergeCell ref="J37:K37"/>
    <mergeCell ref="J39:K39"/>
    <mergeCell ref="E45:F45"/>
    <mergeCell ref="E34:F34"/>
    <mergeCell ref="B42:F42"/>
    <mergeCell ref="G42:K42"/>
    <mergeCell ref="B43:F43"/>
    <mergeCell ref="J30:K30"/>
    <mergeCell ref="J31:K31"/>
    <mergeCell ref="J32:K32"/>
    <mergeCell ref="J18:K18"/>
    <mergeCell ref="J19:K19"/>
    <mergeCell ref="J20:K20"/>
    <mergeCell ref="J21:K21"/>
    <mergeCell ref="J23:K23"/>
    <mergeCell ref="J24:K24"/>
    <mergeCell ref="J22:K22"/>
    <mergeCell ref="E26:F26"/>
    <mergeCell ref="E27:F27"/>
    <mergeCell ref="E28:F28"/>
    <mergeCell ref="E32:F32"/>
    <mergeCell ref="E33:F33"/>
    <mergeCell ref="J25:K25"/>
    <mergeCell ref="J26:K26"/>
    <mergeCell ref="J27:K27"/>
    <mergeCell ref="J28:K28"/>
    <mergeCell ref="J29:K29"/>
    <mergeCell ref="E30:F30"/>
    <mergeCell ref="E31:F31"/>
    <mergeCell ref="E18:F18"/>
    <mergeCell ref="E19:F19"/>
    <mergeCell ref="E20:F20"/>
    <mergeCell ref="E21:F21"/>
    <mergeCell ref="E22:F22"/>
    <mergeCell ref="E23:F23"/>
    <mergeCell ref="E24:F24"/>
    <mergeCell ref="E25:F25"/>
    <mergeCell ref="B14:F14"/>
    <mergeCell ref="G14:K14"/>
    <mergeCell ref="B15:F15"/>
    <mergeCell ref="G15:K15"/>
    <mergeCell ref="E16:F16"/>
    <mergeCell ref="E17:F17"/>
    <mergeCell ref="E29:F29"/>
    <mergeCell ref="J16:K16"/>
    <mergeCell ref="J17:K17"/>
    <mergeCell ref="A5:K5"/>
    <mergeCell ref="A6:K6"/>
    <mergeCell ref="A7:K7"/>
    <mergeCell ref="A8:K8"/>
    <mergeCell ref="A9:K9"/>
    <mergeCell ref="A12:K12"/>
    <mergeCell ref="A13:A15"/>
    <mergeCell ref="B13:F13"/>
    <mergeCell ref="G13:K13"/>
    <mergeCell ref="A74:A76"/>
    <mergeCell ref="B74:C74"/>
    <mergeCell ref="D74:E74"/>
    <mergeCell ref="I74:K74"/>
    <mergeCell ref="I75:K75"/>
    <mergeCell ref="I76:K76"/>
    <mergeCell ref="F76:H76"/>
    <mergeCell ref="A67:K67"/>
    <mergeCell ref="A129:K129"/>
    <mergeCell ref="A194:K194"/>
    <mergeCell ref="A195:K195"/>
    <mergeCell ref="I87:K87"/>
    <mergeCell ref="F108:H108"/>
    <mergeCell ref="I108:K108"/>
    <mergeCell ref="I88:K88"/>
    <mergeCell ref="A94:A95"/>
    <mergeCell ref="B96:D96"/>
    <mergeCell ref="E96:G96"/>
    <mergeCell ref="M74:N74"/>
    <mergeCell ref="B75:C75"/>
    <mergeCell ref="D75:E75"/>
    <mergeCell ref="B76:C76"/>
    <mergeCell ref="D76:E76"/>
    <mergeCell ref="A98:A99"/>
    <mergeCell ref="E94:G94"/>
    <mergeCell ref="H94:I94"/>
    <mergeCell ref="J94:K94"/>
    <mergeCell ref="B86:E86"/>
    <mergeCell ref="A85:J85"/>
    <mergeCell ref="A86:A88"/>
    <mergeCell ref="I86:K86"/>
    <mergeCell ref="G79:H79"/>
    <mergeCell ref="B95:D95"/>
    <mergeCell ref="E95:G95"/>
    <mergeCell ref="H95:I95"/>
    <mergeCell ref="J95:K95"/>
    <mergeCell ref="B94:D94"/>
    <mergeCell ref="H96:I96"/>
    <mergeCell ref="J96:K96"/>
    <mergeCell ref="B100:D100"/>
    <mergeCell ref="E100:G100"/>
    <mergeCell ref="H100:I100"/>
    <mergeCell ref="J100:K100"/>
    <mergeCell ref="H98:I98"/>
    <mergeCell ref="J98:K98"/>
    <mergeCell ref="B99:D99"/>
    <mergeCell ref="E99:G99"/>
    <mergeCell ref="H99:I99"/>
    <mergeCell ref="J99:K99"/>
    <mergeCell ref="B103:C103"/>
    <mergeCell ref="D103:E103"/>
    <mergeCell ref="H103:I103"/>
    <mergeCell ref="F101:G101"/>
    <mergeCell ref="H101:I101"/>
    <mergeCell ref="B102:C102"/>
    <mergeCell ref="D102:E102"/>
    <mergeCell ref="F102:G102"/>
    <mergeCell ref="A107:J107"/>
    <mergeCell ref="B97:D97"/>
    <mergeCell ref="E97:G97"/>
    <mergeCell ref="H97:I97"/>
    <mergeCell ref="J97:K97"/>
    <mergeCell ref="B98:D98"/>
    <mergeCell ref="E98:G98"/>
    <mergeCell ref="A101:A102"/>
    <mergeCell ref="B101:C101"/>
    <mergeCell ref="D101:E101"/>
    <mergeCell ref="H102:I102"/>
    <mergeCell ref="F109:H109"/>
    <mergeCell ref="I109:K109"/>
    <mergeCell ref="A127:K127"/>
    <mergeCell ref="H104:I104"/>
    <mergeCell ref="H105:I105"/>
    <mergeCell ref="B114:C114"/>
    <mergeCell ref="B115:C115"/>
    <mergeCell ref="D111:E111"/>
    <mergeCell ref="D112:E112"/>
    <mergeCell ref="A128:K128"/>
    <mergeCell ref="M111:N117"/>
    <mergeCell ref="A108:A110"/>
    <mergeCell ref="B108:C108"/>
    <mergeCell ref="D108:E108"/>
    <mergeCell ref="B109:C109"/>
    <mergeCell ref="D109:E109"/>
    <mergeCell ref="B111:C111"/>
    <mergeCell ref="B112:C112"/>
    <mergeCell ref="B113:C113"/>
    <mergeCell ref="A137:H137"/>
    <mergeCell ref="B110:C110"/>
    <mergeCell ref="D110:E110"/>
    <mergeCell ref="F110:H110"/>
    <mergeCell ref="I110:K110"/>
    <mergeCell ref="A125:K125"/>
    <mergeCell ref="A126:K126"/>
    <mergeCell ref="A132:H133"/>
    <mergeCell ref="I132:K133"/>
    <mergeCell ref="A136:H136"/>
    <mergeCell ref="A138:H138"/>
    <mergeCell ref="A141:C142"/>
    <mergeCell ref="D141:G141"/>
    <mergeCell ref="H141:I141"/>
    <mergeCell ref="J141:K141"/>
    <mergeCell ref="D142:G142"/>
    <mergeCell ref="H142:I142"/>
    <mergeCell ref="J142:K142"/>
    <mergeCell ref="J138:K138"/>
    <mergeCell ref="J139:K139"/>
    <mergeCell ref="A145:A147"/>
    <mergeCell ref="B145:C146"/>
    <mergeCell ref="D145:E146"/>
    <mergeCell ref="F145:G146"/>
    <mergeCell ref="H145:I146"/>
    <mergeCell ref="J145:K146"/>
    <mergeCell ref="B147:C147"/>
    <mergeCell ref="B164:F164"/>
    <mergeCell ref="G164:K164"/>
    <mergeCell ref="D143:G143"/>
    <mergeCell ref="H143:I143"/>
    <mergeCell ref="J143:K143"/>
    <mergeCell ref="B158:C158"/>
    <mergeCell ref="B160:C160"/>
    <mergeCell ref="D148:E148"/>
    <mergeCell ref="D149:E149"/>
    <mergeCell ref="D158:E158"/>
    <mergeCell ref="D179:E179"/>
    <mergeCell ref="B180:C180"/>
    <mergeCell ref="D180:E180"/>
    <mergeCell ref="I180:K180"/>
    <mergeCell ref="D147:E147"/>
    <mergeCell ref="F147:G147"/>
    <mergeCell ref="H147:I147"/>
    <mergeCell ref="J147:K147"/>
    <mergeCell ref="A162:K162"/>
    <mergeCell ref="A163:A165"/>
    <mergeCell ref="M181:N187"/>
    <mergeCell ref="A201:A203"/>
    <mergeCell ref="B201:C201"/>
    <mergeCell ref="D201:E201"/>
    <mergeCell ref="B202:C202"/>
    <mergeCell ref="D202:E202"/>
    <mergeCell ref="B203:C203"/>
    <mergeCell ref="D203:E203"/>
    <mergeCell ref="B185:C185"/>
    <mergeCell ref="B186:C186"/>
    <mergeCell ref="A230:K230"/>
    <mergeCell ref="A231:K231"/>
    <mergeCell ref="A214:A215"/>
    <mergeCell ref="B214:F214"/>
    <mergeCell ref="G214:K214"/>
    <mergeCell ref="B215:F215"/>
    <mergeCell ref="G215:K215"/>
    <mergeCell ref="E216:F216"/>
    <mergeCell ref="E217:F217"/>
    <mergeCell ref="J217:K217"/>
    <mergeCell ref="A68:K68"/>
    <mergeCell ref="A69:K69"/>
    <mergeCell ref="A70:K70"/>
    <mergeCell ref="A71:K71"/>
    <mergeCell ref="A41:J41"/>
    <mergeCell ref="A42:A44"/>
    <mergeCell ref="B44:F44"/>
    <mergeCell ref="G44:K44"/>
    <mergeCell ref="B56:J56"/>
    <mergeCell ref="E46:F46"/>
    <mergeCell ref="F86:H86"/>
    <mergeCell ref="A197:K197"/>
    <mergeCell ref="D117:E117"/>
    <mergeCell ref="B116:C116"/>
    <mergeCell ref="B117:C117"/>
    <mergeCell ref="B119:C119"/>
    <mergeCell ref="B165:F165"/>
    <mergeCell ref="G165:K165"/>
    <mergeCell ref="A178:A180"/>
    <mergeCell ref="B178:C178"/>
    <mergeCell ref="I179:K179"/>
    <mergeCell ref="F180:H180"/>
    <mergeCell ref="B148:C148"/>
    <mergeCell ref="B149:C149"/>
    <mergeCell ref="B87:E87"/>
    <mergeCell ref="B88:E88"/>
    <mergeCell ref="F88:H88"/>
    <mergeCell ref="F87:H87"/>
    <mergeCell ref="D178:E178"/>
    <mergeCell ref="B179:C179"/>
    <mergeCell ref="A232:K232"/>
    <mergeCell ref="A233:K233"/>
    <mergeCell ref="F201:H201"/>
    <mergeCell ref="I201:K201"/>
    <mergeCell ref="F202:H202"/>
    <mergeCell ref="I202:K202"/>
    <mergeCell ref="F203:H203"/>
    <mergeCell ref="A226:K226"/>
    <mergeCell ref="B206:C206"/>
    <mergeCell ref="B207:C207"/>
    <mergeCell ref="B104:C104"/>
    <mergeCell ref="B105:C105"/>
    <mergeCell ref="D104:E104"/>
    <mergeCell ref="D105:E105"/>
    <mergeCell ref="F179:H179"/>
    <mergeCell ref="G119:H119"/>
    <mergeCell ref="A134:H134"/>
    <mergeCell ref="A139:H139"/>
    <mergeCell ref="A135:H135"/>
    <mergeCell ref="F178:H178"/>
    <mergeCell ref="D115:E115"/>
    <mergeCell ref="D116:E116"/>
    <mergeCell ref="J114:K114"/>
    <mergeCell ref="J113:K113"/>
    <mergeCell ref="I203:K203"/>
    <mergeCell ref="F103:G103"/>
    <mergeCell ref="F104:G104"/>
    <mergeCell ref="F105:G105"/>
    <mergeCell ref="A198:K198"/>
    <mergeCell ref="I178:K178"/>
    <mergeCell ref="D119:E119"/>
    <mergeCell ref="G111:H111"/>
    <mergeCell ref="G112:H112"/>
    <mergeCell ref="G113:H113"/>
    <mergeCell ref="G114:H114"/>
    <mergeCell ref="G115:H115"/>
    <mergeCell ref="G116:H116"/>
    <mergeCell ref="G117:H117"/>
    <mergeCell ref="D113:E113"/>
    <mergeCell ref="D114:E114"/>
    <mergeCell ref="J112:K112"/>
    <mergeCell ref="J111:K111"/>
    <mergeCell ref="J134:K134"/>
    <mergeCell ref="J135:K135"/>
    <mergeCell ref="J136:K136"/>
    <mergeCell ref="J137:K137"/>
    <mergeCell ref="J119:K119"/>
    <mergeCell ref="J117:K117"/>
    <mergeCell ref="J116:K116"/>
    <mergeCell ref="J115:K115"/>
    <mergeCell ref="D160:E160"/>
    <mergeCell ref="B154:C154"/>
    <mergeCell ref="B155:C155"/>
    <mergeCell ref="B156:C156"/>
    <mergeCell ref="B159:C159"/>
    <mergeCell ref="D150:E150"/>
    <mergeCell ref="D151:E151"/>
    <mergeCell ref="D152:E152"/>
    <mergeCell ref="D153:E153"/>
    <mergeCell ref="D154:E154"/>
    <mergeCell ref="F148:G148"/>
    <mergeCell ref="F149:G149"/>
    <mergeCell ref="F158:G158"/>
    <mergeCell ref="F160:G160"/>
    <mergeCell ref="H148:I148"/>
    <mergeCell ref="H149:I149"/>
    <mergeCell ref="H158:I158"/>
    <mergeCell ref="H160:I160"/>
    <mergeCell ref="F159:G159"/>
    <mergeCell ref="F156:G156"/>
    <mergeCell ref="J148:K148"/>
    <mergeCell ref="J149:K149"/>
    <mergeCell ref="J158:K158"/>
    <mergeCell ref="J160:K160"/>
    <mergeCell ref="J166:K166"/>
    <mergeCell ref="J167:K167"/>
    <mergeCell ref="J153:K153"/>
    <mergeCell ref="J152:K152"/>
    <mergeCell ref="J151:K151"/>
    <mergeCell ref="J150:K150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E176:F176"/>
    <mergeCell ref="E175:F175"/>
    <mergeCell ref="E174:F174"/>
    <mergeCell ref="E173:F173"/>
    <mergeCell ref="E172:F172"/>
    <mergeCell ref="E171:F171"/>
    <mergeCell ref="E170:F170"/>
    <mergeCell ref="E169:F169"/>
    <mergeCell ref="E168:F168"/>
    <mergeCell ref="E167:F167"/>
    <mergeCell ref="E166:F166"/>
    <mergeCell ref="B181:C181"/>
    <mergeCell ref="B182:C182"/>
    <mergeCell ref="B183:C183"/>
    <mergeCell ref="B184:C184"/>
    <mergeCell ref="D184:E184"/>
    <mergeCell ref="D183:E183"/>
    <mergeCell ref="D182:E182"/>
    <mergeCell ref="D181:E181"/>
    <mergeCell ref="J183:K183"/>
    <mergeCell ref="B187:C187"/>
    <mergeCell ref="B189:C189"/>
    <mergeCell ref="D189:E189"/>
    <mergeCell ref="D187:E187"/>
    <mergeCell ref="D186:E186"/>
    <mergeCell ref="D185:E185"/>
    <mergeCell ref="B188:C188"/>
    <mergeCell ref="D188:E188"/>
    <mergeCell ref="J204:K204"/>
    <mergeCell ref="J186:K186"/>
    <mergeCell ref="J185:K185"/>
    <mergeCell ref="G181:H181"/>
    <mergeCell ref="G182:H182"/>
    <mergeCell ref="G183:H183"/>
    <mergeCell ref="G184:H184"/>
    <mergeCell ref="G185:H185"/>
    <mergeCell ref="G186:H186"/>
    <mergeCell ref="J184:K184"/>
    <mergeCell ref="D208:E208"/>
    <mergeCell ref="J182:K182"/>
    <mergeCell ref="J181:K181"/>
    <mergeCell ref="B204:C204"/>
    <mergeCell ref="B205:C205"/>
    <mergeCell ref="G187:H187"/>
    <mergeCell ref="G189:H189"/>
    <mergeCell ref="J189:K189"/>
    <mergeCell ref="J187:K187"/>
    <mergeCell ref="J205:K205"/>
    <mergeCell ref="J206:K206"/>
    <mergeCell ref="B208:C208"/>
    <mergeCell ref="B209:C209"/>
    <mergeCell ref="B210:C210"/>
    <mergeCell ref="B211:C211"/>
    <mergeCell ref="B212:C212"/>
    <mergeCell ref="D212:E212"/>
    <mergeCell ref="D211:E211"/>
    <mergeCell ref="D210:E210"/>
    <mergeCell ref="D209:E209"/>
    <mergeCell ref="J216:K216"/>
    <mergeCell ref="J208:K208"/>
    <mergeCell ref="D207:E207"/>
    <mergeCell ref="D206:E206"/>
    <mergeCell ref="D205:E205"/>
    <mergeCell ref="D204:E204"/>
    <mergeCell ref="G204:H204"/>
    <mergeCell ref="G205:H205"/>
    <mergeCell ref="G206:H206"/>
    <mergeCell ref="G207:H207"/>
    <mergeCell ref="J207:K207"/>
    <mergeCell ref="J212:K212"/>
    <mergeCell ref="J211:K211"/>
    <mergeCell ref="J210:K210"/>
    <mergeCell ref="J209:K209"/>
    <mergeCell ref="G208:H208"/>
    <mergeCell ref="G209:H209"/>
    <mergeCell ref="G210:H210"/>
    <mergeCell ref="G211:H211"/>
    <mergeCell ref="G212:H212"/>
    <mergeCell ref="J221:K221"/>
    <mergeCell ref="J222:K222"/>
    <mergeCell ref="E218:F218"/>
    <mergeCell ref="E219:F219"/>
    <mergeCell ref="E220:F220"/>
    <mergeCell ref="E221:F221"/>
    <mergeCell ref="E222:F222"/>
    <mergeCell ref="J218:K218"/>
    <mergeCell ref="J219:K219"/>
    <mergeCell ref="J220:K220"/>
    <mergeCell ref="B118:C118"/>
    <mergeCell ref="D118:E118"/>
    <mergeCell ref="G118:H118"/>
    <mergeCell ref="J118:K118"/>
    <mergeCell ref="A225:G225"/>
    <mergeCell ref="A234:K234"/>
    <mergeCell ref="B150:C150"/>
    <mergeCell ref="B151:C151"/>
    <mergeCell ref="B152:C152"/>
    <mergeCell ref="B153:C153"/>
    <mergeCell ref="D155:E155"/>
    <mergeCell ref="D156:E156"/>
    <mergeCell ref="D159:E159"/>
    <mergeCell ref="F155:G155"/>
    <mergeCell ref="F154:G154"/>
    <mergeCell ref="F153:G153"/>
    <mergeCell ref="F152:G152"/>
    <mergeCell ref="F151:G151"/>
    <mergeCell ref="F150:G150"/>
    <mergeCell ref="H150:I150"/>
    <mergeCell ref="H151:I151"/>
    <mergeCell ref="H152:I152"/>
    <mergeCell ref="H153:I153"/>
    <mergeCell ref="H154:I154"/>
    <mergeCell ref="H155:I155"/>
    <mergeCell ref="H156:I156"/>
    <mergeCell ref="H159:I159"/>
    <mergeCell ref="J159:K159"/>
    <mergeCell ref="J156:K156"/>
    <mergeCell ref="J155:K155"/>
    <mergeCell ref="J154:K154"/>
  </mergeCells>
  <printOptions horizontalCentered="1" verticalCentered="1"/>
  <pageMargins left="0.5118110236220472" right="0.5118110236220472" top="0" bottom="0" header="0" footer="0"/>
  <pageSetup fitToHeight="0" fitToWidth="1" horizontalDpi="600" verticalDpi="600" orientation="landscape" paperSize="9" scale="53" r:id="rId2"/>
  <rowBreaks count="3" manualBreakCount="3">
    <brk id="62" max="10" man="1"/>
    <brk id="120" max="10" man="1"/>
    <brk id="190" max="10" man="1"/>
  </rowBreaks>
  <ignoredErrors>
    <ignoredError sqref="J158" formula="1"/>
    <ignoredError sqref="J14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2022-07-15T16:58:52Z</cp:lastPrinted>
  <dcterms:created xsi:type="dcterms:W3CDTF">2004-08-09T19:29:24Z</dcterms:created>
  <dcterms:modified xsi:type="dcterms:W3CDTF">2022-07-27T15:36:17Z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0x010100546B60B162FBE646A6D2F86599B998A0</vt:lpwstr>
  </property>
</Properties>
</file>