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736" windowHeight="11160" tabRatio="919" firstSheet="1" activeTab="1"/>
  </bookViews>
  <sheets>
    <sheet name="Anexo 1 - BO resumo" sheetId="1" state="hidden" r:id="rId1"/>
    <sheet name="Anexo 8 - MDE Estados-Novo" sheetId="2" r:id="rId2"/>
  </sheets>
  <definedNames>
    <definedName name="Ações" localSheetId="0">#REF!</definedName>
    <definedName name="Ações" localSheetId="1">#REF!</definedName>
    <definedName name="Ações">#REF!</definedName>
    <definedName name="_xlnm.Print_Area" localSheetId="0">'Anexo 1 - BO resumo'!$A$1:$K$38</definedName>
    <definedName name="_xlnm.Print_Area" localSheetId="1">'Anexo 8 - MDE Estados-Novo'!$A$1:$K$271</definedName>
    <definedName name="Cancela" localSheetId="0">#REF!,#REF!</definedName>
    <definedName name="Cancela" localSheetId="1">#REF!,#REF!</definedName>
    <definedName name="Cancela">#REF!,#REF!</definedName>
    <definedName name="ClassPrevAtu" localSheetId="0">#REF!</definedName>
    <definedName name="ClassPrevAtu" localSheetId="1">#REF!</definedName>
    <definedName name="ClassPrevAtu">#REF!</definedName>
    <definedName name="ClassPrevInicial" localSheetId="0">#REF!</definedName>
    <definedName name="ClassPrevInicial">#REF!</definedName>
    <definedName name="ClassRecAnt" localSheetId="0">#REF!</definedName>
    <definedName name="ClassRecAnt">#REF!</definedName>
    <definedName name="ClassRecBim" localSheetId="0">#REF!</definedName>
    <definedName name="ClassRecBim">#REF!</definedName>
    <definedName name="ClassRecNoBim" localSheetId="0">#REF!</definedName>
    <definedName name="ClassRecNoBim">#REF!</definedName>
    <definedName name="CritEx" localSheetId="0">#REF!</definedName>
    <definedName name="CritEx">#REF!</definedName>
    <definedName name="DespAcao" localSheetId="0">#REF!</definedName>
    <definedName name="DespAcao">#REF!</definedName>
    <definedName name="DespElem" localSheetId="0">#REF!</definedName>
    <definedName name="DespElem">#REF!</definedName>
    <definedName name="doExeAnt" localSheetId="0">#REF!</definedName>
    <definedName name="doExeAnt">#REF!</definedName>
    <definedName name="doExercicio" localSheetId="0">#REF!</definedName>
    <definedName name="doExercicio">#REF!</definedName>
    <definedName name="DotacaoAtualizada" localSheetId="0">#REF!</definedName>
    <definedName name="DotacaoAtualizada">#REF!</definedName>
    <definedName name="DotacaoInicial" localSheetId="0">#REF!</definedName>
    <definedName name="DotacaoInicial">#REF!</definedName>
    <definedName name="dsfrw" localSheetId="0">#REF!,#REF!</definedName>
    <definedName name="dsfrw" localSheetId="1">#REF!,#REF!</definedName>
    <definedName name="dsfrw">#REF!,#REF!</definedName>
    <definedName name="Elementos" localSheetId="0">#REF!</definedName>
    <definedName name="Elementos" localSheetId="1">#REF!</definedName>
    <definedName name="Elementos">#REF!</definedName>
    <definedName name="fdsafs" localSheetId="0">#REF!,#REF!</definedName>
    <definedName name="fdsafs" localSheetId="1">#REF!,#REF!</definedName>
    <definedName name="fdsafs">#REF!,#REF!</definedName>
    <definedName name="fdsf" localSheetId="0">#REF!</definedName>
    <definedName name="fdsf" localSheetId="1">#REF!</definedName>
    <definedName name="fdsf">#REF!</definedName>
    <definedName name="fhksjd" localSheetId="0">#REF!,#REF!</definedName>
    <definedName name="fhksjd" localSheetId="1">#REF!,#REF!</definedName>
    <definedName name="fhksjd">#REF!,#REF!</definedName>
    <definedName name="fsdfs" localSheetId="0">#REF!</definedName>
    <definedName name="fsdfs" localSheetId="1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 localSheetId="0">#REF!</definedName>
    <definedName name="LiqAteBimAnt" localSheetId="1">#REF!</definedName>
    <definedName name="LiqAteBimAnt">#REF!</definedName>
    <definedName name="LiqAteBimestre" localSheetId="0">#REF!</definedName>
    <definedName name="LiqAteBimestre">#REF!</definedName>
    <definedName name="LiqNoBim" localSheetId="0">#REF!</definedName>
    <definedName name="LiqNoBim">#REF!</definedName>
    <definedName name="Naturezas" localSheetId="0">#REF!</definedName>
    <definedName name="Naturezas">#REF!</definedName>
    <definedName name="nobo1" localSheetId="0">#REF!</definedName>
    <definedName name="nobo1">#REF!</definedName>
    <definedName name="Novo" localSheetId="0">#REF!</definedName>
    <definedName name="Novo">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 localSheetId="1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 localSheetId="1">#REF!</definedName>
    <definedName name="Planilha_1CabGráfico">#REF!</definedName>
    <definedName name="Planilha_1TítCols" localSheetId="0">#REF!,#REF!</definedName>
    <definedName name="Planilha_1TítCols" localSheetId="1">#REF!,#REF!</definedName>
    <definedName name="Planilha_1TítCols">#REF!,#REF!</definedName>
    <definedName name="Planilha_1TítLins" localSheetId="0">#REF!</definedName>
    <definedName name="Planilha_1TítLins" localSheetId="1">#REF!</definedName>
    <definedName name="Planilha_1TítLins">#REF!</definedName>
    <definedName name="Planilha_2ÁreaTotal" localSheetId="0">#REF!,#REF!</definedName>
    <definedName name="Planilha_2ÁreaTotal" localSheetId="1">#REF!,#REF!</definedName>
    <definedName name="Planilha_2ÁreaTotal">#REF!,#REF!</definedName>
    <definedName name="Planilha_2CabGráfico" localSheetId="0">#REF!</definedName>
    <definedName name="Planilha_2CabGráfico" localSheetId="1">#REF!</definedName>
    <definedName name="Planilha_2CabGráfico">#REF!</definedName>
    <definedName name="Planilha_2TítCols" localSheetId="0">#REF!,#REF!</definedName>
    <definedName name="Planilha_2TítCols" localSheetId="1">#REF!,#REF!</definedName>
    <definedName name="Planilha_2TítCols">#REF!,#REF!</definedName>
    <definedName name="Planilha_2TítLins" localSheetId="0">#REF!</definedName>
    <definedName name="Planilha_2TítLins" localSheetId="1">#REF!</definedName>
    <definedName name="Planilha_2TítLins">#REF!</definedName>
    <definedName name="Planilha_3ÁreaTotal" localSheetId="0">#REF!,#REF!</definedName>
    <definedName name="Planilha_3ÁreaTotal" localSheetId="1">#REF!,#REF!</definedName>
    <definedName name="Planilha_3ÁreaTotal">#REF!,#REF!</definedName>
    <definedName name="Planilha_3CabGráfico" localSheetId="0">#REF!</definedName>
    <definedName name="Planilha_3CabGráfico" localSheetId="1">#REF!</definedName>
    <definedName name="Planilha_3CabGráfico">#REF!</definedName>
    <definedName name="Planilha_3TítCols" localSheetId="0">#REF!,#REF!</definedName>
    <definedName name="Planilha_3TítCols" localSheetId="1">#REF!,#REF!</definedName>
    <definedName name="Planilha_3TítCols">#REF!,#REF!</definedName>
    <definedName name="Planilha_3TítLins" localSheetId="0">#REF!</definedName>
    <definedName name="Planilha_3TítLins" localSheetId="1">#REF!</definedName>
    <definedName name="Planilha_3TítLins">#REF!</definedName>
    <definedName name="Planilha_4ÁreaTotal" localSheetId="0">#REF!,#REF!</definedName>
    <definedName name="Planilha_4ÁreaTotal" localSheetId="1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 localSheetId="1">#REF!</definedName>
    <definedName name="Planilhas">#REF!</definedName>
    <definedName name="PrevAtu" localSheetId="0">#REF!</definedName>
    <definedName name="PrevAtu">#REF!</definedName>
    <definedName name="PrevInicial" localSheetId="0">#REF!</definedName>
    <definedName name="PrevInicial">#REF!</definedName>
    <definedName name="RecAnt" localSheetId="0">#REF!</definedName>
    <definedName name="RecAnt">#REF!</definedName>
    <definedName name="RecBim" localSheetId="0">#REF!</definedName>
    <definedName name="RecBim">#REF!</definedName>
    <definedName name="RecNBim" localSheetId="0">#REF!</definedName>
    <definedName name="RecNBim">#REF!</definedName>
    <definedName name="RecNoBim" localSheetId="0">#REF!</definedName>
    <definedName name="RecNoBim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 localSheetId="1">#REF!,#REF!</definedName>
    <definedName name="RGPS2">#REF!,#REF!</definedName>
    <definedName name="xxx" localSheetId="0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<sst xmlns="http://schemas.openxmlformats.org/spreadsheetml/2006/main" count="499" uniqueCount="359">
  <si>
    <t>Tabela 1 - Balanço Orçamentário</t>
  </si>
  <si>
    <t>&lt;ENTE DA FEDERAÇÃO&gt;</t>
  </si>
  <si>
    <t>RELATÓRIO RESUMIDO DA EXECUÇÃO ORÇAMENTÁRIA</t>
  </si>
  <si>
    <t>BALANÇO ORÇAMENTÁRIO</t>
  </si>
  <si>
    <t>ORÇAMENTOS FISCAL E DA SEGURIDADE SOCIAL</t>
  </si>
  <si>
    <t>&lt;PERÍODO DE REFERÊNCIA PADRÃO&gt;</t>
  </si>
  <si>
    <t>RREO - Anexo 1 (LRF, Art. 52, inciso I, alíneas "a" e "b" do inciso II e §1º)</t>
  </si>
  <si>
    <t>Em Reais</t>
  </si>
  <si>
    <t>PREVISÃO INICIAL</t>
  </si>
  <si>
    <t>PREVISÃO ATUALIZADA</t>
  </si>
  <si>
    <t>RECEITAS REALIZADAS</t>
  </si>
  <si>
    <t>SALDO</t>
  </si>
  <si>
    <t>RECEITAS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</si>
  <si>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</si>
  <si>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</si>
  <si>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</si>
  <si>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</si>
  <si>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</si>
  <si>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</si>
  <si>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</si>
  <si>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</si>
  <si>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</si>
  <si>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 xml:space="preserve">    RECEITAS CORRENTES</t>
  </si>
  <si>
    <t xml:space="preserve">            Impostos</t>
  </si>
  <si>
    <t xml:space="preserve">            Taxas</t>
  </si>
  <si>
    <t xml:space="preserve">            Contribuição de Melhoria</t>
  </si>
  <si>
    <t xml:space="preserve">        CONTRIBUIÇÕES</t>
  </si>
  <si>
    <t xml:space="preserve">            Contribuições Sociais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</si>
  <si>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</si>
  <si>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</si>
  <si>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</si>
  <si>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RECEITA PATRIMONIAL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</si>
  <si>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</si>
  <si>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</si>
  <si>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</si>
  <si>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</si>
  <si>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</si>
  <si>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</si>
  <si>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</si>
  <si>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</si>
  <si>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</si>
  <si>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</si>
  <si>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</si>
  <si>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</si>
  <si>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TRANSFERÊNCIAS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</si>
  <si>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</si>
  <si>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</si>
  <si>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</si>
  <si>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</si>
  <si>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</si>
  <si>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</t>
  </si>
  <si>
    <t xml:space="preserve">            Transferências de Pessoas Físicas</t>
  </si>
  <si>
    <t xml:space="preserve">             Transferências Provenientes de Depósitos Não Identificados</t>
  </si>
  <si>
    <t xml:space="preserve">        OUTRAS RECEITAS CORRENTES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</si>
  <si>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</si>
  <si>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</si>
  <si>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</si>
  <si>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</si>
  <si>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RECEITAS DE CAPITAL</t>
  </si>
  <si>
    <t xml:space="preserve">        OPERAÇÕES DE CRÉDITO</t>
  </si>
  <si>
    <t xml:space="preserve">            Operações de Crédito - Mercado Interno</t>
  </si>
  <si>
    <t xml:space="preserve">            Operações de Crédito -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</si>
  <si>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</si>
  <si>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</si>
  <si>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</si>
  <si>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</si>
  <si>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</si>
  <si>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</si>
  <si>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Transferências da União e de suas Entidades</t>
  </si>
  <si>
    <t xml:space="preserve">            Transferências Provenientes de Depósitos Não Identificados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</si>
  <si>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</si>
  <si>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</si>
  <si>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</si>
  <si>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>RECEITAS (INTRA-ORÇAMENTÁRIAS) (II)</t>
  </si>
  <si>
    <t>SUBTOTAL DAS RECEITAS (III) = (I + II)</t>
  </si>
  <si>
    <t>OPERAÇÕES DE CRÉDITO / REFINANCIAMENTO  (IV)</t>
  </si>
  <si>
    <t xml:space="preserve">    Operações de Crédito - Mercado Interno</t>
  </si>
  <si>
    <t xml:space="preserve">        Mobiliária</t>
  </si>
  <si>
    <t xml:space="preserve">        Contratual</t>
  </si>
  <si>
    <t xml:space="preserve">    Operações de Crédito - Mercado Externo</t>
  </si>
  <si>
    <t>TOTAL DAS RECEITAS (V) = (III + IV)</t>
  </si>
  <si>
    <r>
      <t>DÉFICIT (VI)</t>
    </r>
    <r>
      <rPr>
        <vertAlign val="superscript"/>
        <sz val="10"/>
        <rFont val="Times New Roman"/>
        <family val="1"/>
      </rPr>
      <t>1</t>
    </r>
  </si>
  <si>
    <t>TOTAL COM DÉFICIT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</si>
  <si>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</si>
  <si>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</si>
  <si>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</si>
  <si>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>DOTAÇÃO</t>
  </si>
  <si>
    <t>DESPESAS EMPENHADAS</t>
  </si>
  <si>
    <t>DESPESAS LIQUIDADAS</t>
  </si>
  <si>
    <t>DESPESAS PAGAS ATÉ O BIMESTRE</t>
  </si>
  <si>
    <r>
      <t>INSCRITAS EM RESTOS A PAGAR NÃO PROCESSADOS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(k) </t>
    </r>
  </si>
  <si>
    <t>DESPESAS</t>
  </si>
  <si>
    <t>INICIAL</t>
  </si>
  <si>
    <t>ATUALIZADA</t>
  </si>
  <si>
    <t xml:space="preserve">No </t>
  </si>
  <si>
    <t xml:space="preserve">Até o </t>
  </si>
  <si>
    <t>Bimestre</t>
  </si>
  <si>
    <t>(d)</t>
  </si>
  <si>
    <t>(e)</t>
  </si>
  <si>
    <t>(f)</t>
  </si>
  <si>
    <t xml:space="preserve">(g) = (e-f) </t>
  </si>
  <si>
    <t>(h)</t>
  </si>
  <si>
    <t>(i) = (e-h)</t>
  </si>
  <si>
    <t>(j)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</si>
  <si>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</si>
  <si>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</si>
  <si>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</si>
  <si>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</si>
  <si>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</si>
  <si>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</si>
  <si>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</si>
  <si>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</si>
  <si>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>DESPESAS (INTRA-ORÇAMENTÁRIAS) (IX)</t>
  </si>
  <si>
    <t>TOTAL DAS DESPESAS (XII) = (X + XI)</t>
  </si>
  <si>
    <t>SUPERÁVIT (XIII)</t>
  </si>
  <si>
    <t>TOTAL COM SUPERÁVIT (XIV) = (XII + XIII)</t>
  </si>
  <si>
    <t>RESERVA DO RPPS</t>
  </si>
  <si>
    <t>FONTE: Sistema &lt;sistema&gt;, Unidade Responsável: &lt;Unidade Responsável&gt;. Emissão: &lt;dd/mm/aaaa&gt;, às &lt;hh:mm:ss&gt;. Assinado Digitalmente no dia &lt;dd/mm/aaaa&gt;, às &lt;hh:mm:ss&gt;.</t>
  </si>
  <si>
    <t>1 O déficit será apurado pela diferença entre a receita realizada e a despesa liquidada nos cinco primeiros bimestres e a despesa empenhada no último bimestre.</t>
  </si>
  <si>
    <t>2 Essa linha será apresentada somente no Demonstrativo aplicado aos Estados.</t>
  </si>
  <si>
    <t>NOTA:</t>
  </si>
  <si>
    <t>RECEITAS INTRA-ORÇAMENTÁRIAS</t>
  </si>
  <si>
    <t xml:space="preserve">        IMPOSTOS, TAXAS E CONTRIBUIÇÕES DE MELHORIA</t>
  </si>
  <si>
    <t xml:space="preserve">            Delegação de Serviços Públicos Mediante Concessão, Permissão, Autorização ou Licença</t>
  </si>
  <si>
    <t xml:space="preserve">            Cessão de Direitos</t>
  </si>
  <si>
    <t xml:space="preserve">            Demais Receitas Patrimoniais</t>
  </si>
  <si>
    <t xml:space="preserve">            Resgate de Títulos do Tesouro       </t>
  </si>
  <si>
    <t xml:space="preserve">           Demais Receitas de Capital</t>
  </si>
  <si>
    <t>INSCRITAS EM RESTOS A PAGAR NÃO PROCESSADOS                          (k)</t>
  </si>
  <si>
    <t>DESPESAS INTRA-ORÇAMENTÁRIAS</t>
  </si>
  <si>
    <t>Até o 
Bimestre</t>
  </si>
  <si>
    <t xml:space="preserve">    RESERVA DE CONTIGÊNCIA</t>
  </si>
  <si>
    <t>(...)</t>
  </si>
  <si>
    <t>(A)</t>
  </si>
  <si>
    <t>(B)</t>
  </si>
  <si>
    <t>(C)</t>
  </si>
  <si>
    <t>(E)</t>
  </si>
  <si>
    <t>(G)</t>
  </si>
  <si>
    <t>(D)</t>
  </si>
  <si>
    <t>(F)</t>
  </si>
  <si>
    <t>(H)</t>
  </si>
  <si>
    <t>PREVISÃO</t>
  </si>
  <si>
    <t>VALOR</t>
  </si>
  <si>
    <t>DESPESAS PAGAS</t>
  </si>
  <si>
    <t xml:space="preserve"> </t>
  </si>
  <si>
    <t>DEMONSTRATIVO DAS RECEITAS E DESPESAS COM MANUTENÇÃO E DESENVOLVIMENTO DO ENSINO - MDE</t>
  </si>
  <si>
    <t>(m)</t>
  </si>
  <si>
    <t>RREO - ANEXO 8 (LDB, art. 72)</t>
  </si>
  <si>
    <t>RECEITA RESULTANTE DE IMPOSTOS (Arts. 212 e 212-A da Constituição Federal)</t>
  </si>
  <si>
    <t>RECEITA RESULTANTE DE IMPOSTOS</t>
  </si>
  <si>
    <t>1- RECEITA DE IMPOSTOS</t>
  </si>
  <si>
    <t xml:space="preserve">    1.1- Receita Resultante do Imposto sobre a Circulação de Mercadorias e Serviços de Transporte Interestadual e Intermunicipal e de Comunicação – ICMS</t>
  </si>
  <si>
    <t xml:space="preserve">       1.1.1- ICMS - Principal e Encargos (Multas, Juros de Mora, Divida Ativa e Outros Encargos do ICMS)</t>
  </si>
  <si>
    <t xml:space="preserve">       1.1.2- Adicional de até 2% do ICMS destinado ao Fundo de Combate à Pobreza (ADCT, art. 82, §1º)</t>
  </si>
  <si>
    <t xml:space="preserve">    1.2- Receita Resultante do Imposto de Transmissão Causa Mortis e Doação de Bens e Direitos – ITCD</t>
  </si>
  <si>
    <t xml:space="preserve">    1.3- Receita Resultante do Imposto sobre a Propriedade de Veículos Automotores – IPVA</t>
  </si>
  <si>
    <t xml:space="preserve">    1.4- Receita Resultante do Imposto sobre a Renda e Proventos de Qualquer Natureza Retido na Fonte – IRRF</t>
  </si>
  <si>
    <t xml:space="preserve">2- RECEITA DE TRANSFERÊNCIAS CONSTITUCIONAIS E LEGAIS </t>
  </si>
  <si>
    <t xml:space="preserve">    2.1- Cota-Parte FPE </t>
  </si>
  <si>
    <t xml:space="preserve">    2.2- Cota-Parte IPI-Exportação </t>
  </si>
  <si>
    <t xml:space="preserve">    2.3- Cota-Parte IOF-Ouro </t>
  </si>
  <si>
    <t xml:space="preserve">    2.4- Compensações Financeiras Provenientes de Impostos e Transferências Constitucionais</t>
  </si>
  <si>
    <t>3- DEDUÇÕES DE TRANSFERÊNCIAS CONSTITUCIONAIS AOS MUNICÍPIOS</t>
  </si>
  <si>
    <t xml:space="preserve">    3.1- PARCELA DO ICMS REPASSADA AOS MUNICÍPIOS (25% de 1.1.1)</t>
  </si>
  <si>
    <t xml:space="preserve">    3.2- PARCELA DO IPVA REPASSADA AOS MUNICÍPIOS (50% de 1.3)</t>
  </si>
  <si>
    <t xml:space="preserve">    3.3- PARCELA DA COTA-PARTE DO IPI-EXPORTAÇÃO REPASSADA AOS MUNICÍPIOS (25% de 2.2)</t>
  </si>
  <si>
    <t>4- TOTAL DA RECEITA LÍQUIDA RESULTANTE DE IMPOSTOS (1 + 2 - 3)</t>
  </si>
  <si>
    <t>5- TOTAL DESTINADO AO FUNDEB - 20% DE ((1.1 - 3.1) + (1.2) + (1.3 - 3.2) + (2.1) + (2.2 - 3.3))</t>
  </si>
  <si>
    <t>6- VALOR MÍNIMO A SER APLICADO ALÉM DO VALOR DESTINADO AO FUNDEB - 5% DE ((1.1 - 3.1) + (1.2) + (1.3 - 3.2) + (2.1) + (2.2 - 3.3)) + 25% DE (1.4 + 2.3 + 2.4)</t>
  </si>
  <si>
    <t>FUNDEB</t>
  </si>
  <si>
    <t>RECEITAS RECEBIDAS DO FUNDEB NO EXERCÍCIO</t>
  </si>
  <si>
    <t>7- RECEITAS RECEBIDAS DO FUNDEB</t>
  </si>
  <si>
    <t xml:space="preserve">    7.1- FUNDEB - Impostos e Transferências de Impostos</t>
  </si>
  <si>
    <t xml:space="preserve">       7.1.1- Principal</t>
  </si>
  <si>
    <t xml:space="preserve">       7.1.2- Rendimentos de Aplicação Financeira</t>
  </si>
  <si>
    <t xml:space="preserve">    7.2- FUNDEB - Complementação da União - VAAF</t>
  </si>
  <si>
    <t xml:space="preserve">       7.2.1- Principal</t>
  </si>
  <si>
    <t xml:space="preserve">       7.2.2- Rendimentos de Aplicação Financeira</t>
  </si>
  <si>
    <t xml:space="preserve">    7.3- FUNDEB - Complementação da União - VAAT</t>
  </si>
  <si>
    <t xml:space="preserve">       7.3.1- Principal</t>
  </si>
  <si>
    <t xml:space="preserve">       7.3.2- Rendimentos de Aplicação Financeira</t>
  </si>
  <si>
    <t>RECURSOS RECEBIDOS EM EXERCÍCIOS ANTERIORES E NÃO UTILIZADOS (SUPERÁVIT)</t>
  </si>
  <si>
    <t>9- TOTAL DOS RECURSOS DE SUPERÁVIT</t>
  </si>
  <si>
    <t xml:space="preserve">  9.1- SUPERÁVIT DO EXERCÍCIO IMEDIATAMENTE ANTERIOR</t>
  </si>
  <si>
    <t xml:space="preserve">  9.2- SUPERÁVIT RESIDUAL DE OUTROS EXERCÍCIOS</t>
  </si>
  <si>
    <t>10- TOTAL DOS RECURSOS DO FUNDEB DISPONÍVEIS PARA UTILIZAÇÃO (7 + 9)</t>
  </si>
  <si>
    <t>DOTAÇÃO ATUALIZADA</t>
  </si>
  <si>
    <t>11- PROFISSIONAIS DA EDUCAÇÃO BÁSICA</t>
  </si>
  <si>
    <t xml:space="preserve">   11.1- Ensino Fundamental </t>
  </si>
  <si>
    <t xml:space="preserve">   11.2- Ensino Médio </t>
  </si>
  <si>
    <t>12- OUTRAS DESPESAS</t>
  </si>
  <si>
    <t xml:space="preserve">   12.1- Ensino Fundamental </t>
  </si>
  <si>
    <t xml:space="preserve">   12.2- Ensino Médio</t>
  </si>
  <si>
    <t>13- TOTAL DAS DESPESAS COM RECURSOS DO FUNDEB (11 + 12)</t>
  </si>
  <si>
    <t>INDICADORES DO FUNDEB</t>
  </si>
  <si>
    <t>DESPESAS CUSTEADAS COM RECEITAS DO FUNDEB RECEBIDAS NO EXERCÍCIO</t>
  </si>
  <si>
    <t>14- Total das Despesas do FUNDEB com Profissionais da Educação Básica</t>
  </si>
  <si>
    <t>15- Total das Despesas custeadas com FUNDEB - Impostos e Transferências de Impostos</t>
  </si>
  <si>
    <t>16- Total das Despesas custeadas com FUNDEB - Complementação da União - VAAF</t>
  </si>
  <si>
    <t>17- Total das Despesas custeadas com FUNDEB - Complementação da União - VAAT</t>
  </si>
  <si>
    <t>18- Total das Despesas custeadas com FUNDEB - Complementação da União - VAAT Aplicadas em Despesa de Capital</t>
  </si>
  <si>
    <t>VALOR EXIGIDO</t>
  </si>
  <si>
    <t>VALOR APLICADO</t>
  </si>
  <si>
    <t>VALOR CONSIDERADO APÓS DEDUÇÕES</t>
  </si>
  <si>
    <t>% APLICADO</t>
  </si>
  <si>
    <t>(i)</t>
  </si>
  <si>
    <t>(k)</t>
  </si>
  <si>
    <t>(l)</t>
  </si>
  <si>
    <t>19- Mínimo de 70% do FUNDEB na Remuneração dos Profissionais da Educação Básica</t>
  </si>
  <si>
    <t>20- Mínimo de 15% da Complementação da União ao FUNDEB - VAAT em Despesas de Capital</t>
  </si>
  <si>
    <t>VALOR MÁXIMO PERMITIDO</t>
  </si>
  <si>
    <t>VALOR NÃO APLICADO</t>
  </si>
  <si>
    <t>VALOR NÃO APLICADO APÓS AJUSTE</t>
  </si>
  <si>
    <t>% NÃO APLICADO</t>
  </si>
  <si>
    <t>(n)</t>
  </si>
  <si>
    <t>(o)</t>
  </si>
  <si>
    <t>(p)</t>
  </si>
  <si>
    <t xml:space="preserve">21- Total da Receita Recebida e não Aplicada no Exercício </t>
  </si>
  <si>
    <t>VALOR DE SUPERÁVIT PERMITIDO NO EXERCÍCIO ANTERIOR</t>
  </si>
  <si>
    <t>VALOR NÃO APLICADO NO EXERCÍCIO ANTERIOR</t>
  </si>
  <si>
    <t>VALOR DE SUPERÁVIT APLICADO ATÉ O PRIMEIRO QUADRIMESTRE</t>
  </si>
  <si>
    <t xml:space="preserve">VALOR APLICADO ATÉ O PRIMEIRO QUADRIMESTRE QUE INTEGRARÁ O LIMITE CONSTITUCIONAL </t>
  </si>
  <si>
    <t>VALOR APLICADO APÓS O PRIMEIRO QUADRIMESTRE</t>
  </si>
  <si>
    <t>(q)</t>
  </si>
  <si>
    <t>(r)</t>
  </si>
  <si>
    <t>(s)</t>
  </si>
  <si>
    <t>(t)</t>
  </si>
  <si>
    <t>(u)</t>
  </si>
  <si>
    <t>22- Total das Despesas custeadas com Superávit do FUNDEB</t>
  </si>
  <si>
    <t xml:space="preserve">   22.1- Total das Despesas custeadas com FUNDEB - Impostos e Transferências de Impostos</t>
  </si>
  <si>
    <t xml:space="preserve">   22.2- Total das Despesas custeadas com FUNDEB - Complementação da União (VAAF + VAAT)</t>
  </si>
  <si>
    <t>DESPESAS COM MANUTENÇÃO E DESENVOLVIMENTO DO ENSINO – MDE -  CUSTEADAS COM RECEITA DE IMPOSTOS (EXCETO FUNDEB)</t>
  </si>
  <si>
    <t>23- EDUCAÇÃO INFANTIL</t>
  </si>
  <si>
    <t xml:space="preserve">   23.1- Creche</t>
  </si>
  <si>
    <t xml:space="preserve">   23.2- Pré-escola</t>
  </si>
  <si>
    <t xml:space="preserve">24- ENSINO FUNDAMENTAL </t>
  </si>
  <si>
    <t xml:space="preserve">25- ENSINO MÉDIO </t>
  </si>
  <si>
    <t>26- ENSINO SUPERIOR</t>
  </si>
  <si>
    <t>27- ENSINO PROFISSIONAL NÃO INTEGRADO AO ENSINO REGULAR</t>
  </si>
  <si>
    <t>APURAÇÃO DAS DESPESAS PARA FINS DE LIMITE MÍNIMO CONSTITUCIONAL</t>
  </si>
  <si>
    <t>(x)</t>
  </si>
  <si>
    <t>(w)</t>
  </si>
  <si>
    <t>(y)</t>
  </si>
  <si>
    <t>36- APLICAÇÃO EM MDE SOBRE A RECEITA LÍQUIDA RESULTANTE DE IMPOSTOS</t>
  </si>
  <si>
    <t>SALDO INICIAL</t>
  </si>
  <si>
    <t>RP LIQUIDADOS</t>
  </si>
  <si>
    <t>RP PAGOS</t>
  </si>
  <si>
    <t>RP CANCELADOS</t>
  </si>
  <si>
    <t>SALDO FINAL</t>
  </si>
  <si>
    <t>(z)</t>
  </si>
  <si>
    <t>(aa)</t>
  </si>
  <si>
    <t>(ab)</t>
  </si>
  <si>
    <t>(ac)</t>
  </si>
  <si>
    <t>37- RESTOS A PAGAR DE DESPESAS COM MDE</t>
  </si>
  <si>
    <t xml:space="preserve">   37.1 - Executadas com Recursos de Impostos e Transferências de Impostos</t>
  </si>
  <si>
    <t xml:space="preserve">   37.2 - Executadas com Recursos do FUNDEB - Impostos</t>
  </si>
  <si>
    <t xml:space="preserve">   37.3 - Executadas com Recursos do FUNDEB - Complementação da União (VAAT + VAAF)</t>
  </si>
  <si>
    <t>OUTRAS INFORMAÇÕES PARA CONTROLE</t>
  </si>
  <si>
    <t>38- RECEITA DE TRANSFERÊNCIAS DO FNDE (INCLUINDO RENDIMENTOS DE APLICAÇÃO FINANCEIRA)</t>
  </si>
  <si>
    <t xml:space="preserve">    38.1- Salário-Educação</t>
  </si>
  <si>
    <t xml:space="preserve">    38.2- PDDE</t>
  </si>
  <si>
    <t xml:space="preserve">    38.3- PNAE</t>
  </si>
  <si>
    <t xml:space="preserve">    38.4 - PNATE</t>
  </si>
  <si>
    <t xml:space="preserve">    38.5- Outras Transferências do FNDE</t>
  </si>
  <si>
    <t>39- RECEITA DE TRANSFERÊNCIAS DE CONVÊNIOS</t>
  </si>
  <si>
    <t>40- RECEITA DE ROYALTIES DESTINADOS À EDUCAÇÃO</t>
  </si>
  <si>
    <t>41- RECEITA DE OPERAÇÕES DE CRÉDITO VINCULADAS À EDUCAÇÃO</t>
  </si>
  <si>
    <t>42- OUTRAS RECEITAS PARA FINANCIAMENTO DO ENSINO</t>
  </si>
  <si>
    <t>43- TOTAL DAS RECEITAS ADICIONAIS PARA FINANCIAMENTO DO ENSINO = (38 + 39 +40 + 41 + 42)</t>
  </si>
  <si>
    <t>44- EDUCAÇÃO INFANTIL</t>
  </si>
  <si>
    <t xml:space="preserve">   44.1- Creche</t>
  </si>
  <si>
    <t xml:space="preserve">   44.2- Pré-escola</t>
  </si>
  <si>
    <t xml:space="preserve">45- ENSINO FUNDAMENTAL </t>
  </si>
  <si>
    <t xml:space="preserve">46- ENSINO MÉDIO </t>
  </si>
  <si>
    <t>47- ENSINO SUPERIOR</t>
  </si>
  <si>
    <t>48- ENSINO PROFISSIONAL NÃO INTEGRADO AO ENSINO REGULAR</t>
  </si>
  <si>
    <t>TOTAL GERAL DAS DESPESAS COM EDUCAÇÃO</t>
  </si>
  <si>
    <t>CONTROLE DA DISPONIBILIDADE FINANCEIRA E CONCILIAÇÃO BANCÁRIA</t>
  </si>
  <si>
    <t>SALÁRIO EDUCAÇÃO</t>
  </si>
  <si>
    <t>(ae)</t>
  </si>
  <si>
    <t>(af)</t>
  </si>
  <si>
    <t>GOVERNO DO ESTADO DO RIO DE JANEIRO</t>
  </si>
  <si>
    <t xml:space="preserve">    1.5-Receita Resultante de Outros Impostos (Líquida)</t>
  </si>
  <si>
    <t xml:space="preserve">       1.5.1- ITBI</t>
  </si>
  <si>
    <t xml:space="preserve">       1.5.2- ICM</t>
  </si>
  <si>
    <r>
      <t>8- RESULTADO LÍQUIDO DAS TRANSFERÊNCIAS DO FUNDEB (7.1.1 – 5)</t>
    </r>
    <r>
      <rPr>
        <b/>
        <vertAlign val="superscript"/>
        <sz val="12"/>
        <rFont val="Times New Roman"/>
        <family val="1"/>
      </rPr>
      <t>1</t>
    </r>
  </si>
  <si>
    <r>
      <t>DESPESAS COM RECUROS DO FUNDEB                                                                                                                                                                                      (Por Área de Atuação)</t>
    </r>
    <r>
      <rPr>
        <b/>
        <vertAlign val="superscript"/>
        <sz val="12"/>
        <rFont val="Times New Roman"/>
        <family val="1"/>
      </rPr>
      <t>6</t>
    </r>
  </si>
  <si>
    <t>Continuação</t>
  </si>
  <si>
    <r>
      <t>INDICADORES - Art. 212-A, inciso XI e § 3º - Constituição Federal</t>
    </r>
    <r>
      <rPr>
        <b/>
        <vertAlign val="superscript"/>
        <sz val="12"/>
        <rFont val="Times New Roman"/>
        <family val="1"/>
      </rPr>
      <t>2</t>
    </r>
  </si>
  <si>
    <r>
      <t>INDICADOR - Art.25, § 3º - Lei nº 14.113, de 2020 - (Máximo de 10% de Superávit)</t>
    </r>
    <r>
      <rPr>
        <b/>
        <vertAlign val="superscript"/>
        <sz val="12"/>
        <rFont val="Times New Roman"/>
        <family val="1"/>
      </rPr>
      <t>3</t>
    </r>
  </si>
  <si>
    <r>
      <t>INDICADOR - Art.25, § 3º - Lei nº 14.113, de 2020 - (Aplicação do Superávit de Exercício Anterior)</t>
    </r>
    <r>
      <rPr>
        <b/>
        <vertAlign val="superscript"/>
        <sz val="12"/>
        <rFont val="Times New Roman"/>
        <family val="1"/>
      </rPr>
      <t>3</t>
    </r>
  </si>
  <si>
    <r>
      <t xml:space="preserve"> DESPESAS COM AÇÕES TÍPICAS DE MDE - RECEITAS DE IMPOSTOS - EXCETO FUNDEB                  (Por Área de Atuação)</t>
    </r>
    <r>
      <rPr>
        <b/>
        <vertAlign val="superscript"/>
        <sz val="12"/>
        <rFont val="Times New Roman"/>
        <family val="1"/>
      </rPr>
      <t>6</t>
    </r>
  </si>
  <si>
    <t>Continua (1/4)</t>
  </si>
  <si>
    <t>Continua (2/4)</t>
  </si>
  <si>
    <t>Continua (3/4)</t>
  </si>
  <si>
    <t>(4/4)</t>
  </si>
  <si>
    <r>
      <t>APURAÇÃO DO LIMITE MÍNIMO CONSTITUCIONAL</t>
    </r>
    <r>
      <rPr>
        <b/>
        <vertAlign val="superscript"/>
        <sz val="12"/>
        <rFont val="Times New Roman"/>
        <family val="1"/>
      </rPr>
      <t>2 e 5</t>
    </r>
  </si>
  <si>
    <r>
      <t>RESTOS A PAGAR INSCRITOS EM EXERCÍCIOS ANTERIORES COM DISPONIBILIDADE FINANCEIRA DE RECURSOS DE IMPOSTOS E DO FUNDEB</t>
    </r>
    <r>
      <rPr>
        <b/>
        <vertAlign val="superscript"/>
        <sz val="12"/>
        <rFont val="Times New Roman"/>
        <family val="1"/>
      </rPr>
      <t>8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</si>
  <si>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Se resultado líquido da transferência (8) &gt; 0 = acréscimo resultante das transferências do FUNDEB, se resultado líquido da transferência (8) &lt; 0 = decréscimo resultante das transferências do FUNDEB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</si>
  <si>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</si>
  <si>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t xml:space="preserve">3 </t>
    </r>
    <r>
      <rPr>
        <sz val="10"/>
        <rFont val="Times New Roman"/>
        <family val="1"/>
      </rPr>
      <t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</si>
  <si>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</si>
  <si>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Nos cinco primeiros bimestres do exercício o acompanhamento será feito com base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</si>
  <si>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As linhas representam áreas de atuação e não correspondem exatamente às subfunções da Função Educação. As despesas classificadas nas demais subfunções típicas e nas subfunções atípicas deverão ser rateadas para essas áreas de atuação.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</si>
  <si>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Valor inscrito em RPNP sem disponibilidade de caixa, que não deve ser considerado na apuração dos indicadores e limites.</t>
    </r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</si>
  <si>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Controle da execução de restos a pagar considerados no cumprimento do limite mínimo dos exercícios anteriores.</t>
    </r>
  </si>
  <si>
    <t>(v) = (r) - (s) - (u)</t>
  </si>
  <si>
    <t>RECEITAS ADICIONAIS PARA FINANCIAMENTO DO ENSINO</t>
  </si>
  <si>
    <t>(ad) = (z) - (ab) - (ac)</t>
  </si>
  <si>
    <r>
      <t>OUTRAS DESPESAS COM EDUCAÇÃO  (Por Área de Atuação)</t>
    </r>
    <r>
      <rPr>
        <b/>
        <vertAlign val="superscript"/>
        <sz val="12"/>
        <rFont val="Times New Roman"/>
        <family val="1"/>
      </rPr>
      <t>6</t>
    </r>
  </si>
  <si>
    <t>28- OUTRAS</t>
  </si>
  <si>
    <t>29- TOTAL DAS DESPESAS COM AÇÕES TÍPICAS DE MDE (23 + 24 + 25 + 26 + 27 + 28)</t>
  </si>
  <si>
    <t>31 (-) RESULTADO LÍQUIDO DAS TRANSFERÊNCIAS DO FUNDEB = (L8)</t>
  </si>
  <si>
    <r>
      <t>32 (-) RESTOS A PAGAR NÃO PROCESSADOS INSCRITOS NO EXERCÍCIO SEM DISPONIBILIDADE FINANCEIRA DE RECURSOS DO FUNDEB IMPOSTOS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= (L15h)</t>
    </r>
  </si>
  <si>
    <r>
      <t>33 (-) RESTOS A PAGAR NÃO PROCESSADOS INSCRITOS NO EXERCÍCIO SEM DISPONIBILIDADE FINANCEIRA DE RECURSOS DE IMPOSTOS</t>
    </r>
    <r>
      <rPr>
        <vertAlign val="superscript"/>
        <sz val="12"/>
        <rFont val="Times New Roman"/>
        <family val="1"/>
      </rPr>
      <t>4 e 7</t>
    </r>
  </si>
  <si>
    <t>34 (-) CANCELAMENTO, NO EXERCÍCIO, DE RESTOS A PAGAR INSCRITOS COM DISPONIBILIDADE FINANCEIRA DE RECURSOS DE IMPOSTOS VINCULADOS AO ENSINO = (L37.1(ac) + L37.2(ac))</t>
  </si>
  <si>
    <t>35- TOTAL DAS DESPESAS PARA FINS DE LIMITE  (30 – (31 + 32 + 33 + 34))</t>
  </si>
  <si>
    <t>FONTE: Siafe-Rio - Secretaria de Estado de Fazenda.</t>
  </si>
  <si>
    <t>Notas:</t>
  </si>
  <si>
    <t xml:space="preserve">  As Multas de Natureza Formal e as Multas da LC Estadual 134/09 não sofrem repartição do FUNDEB.</t>
  </si>
  <si>
    <t>30- TOTAL DAS DESPESAS DE MDE CUSTEADAS COM RECURSOS DE IMPOSTOS (FUNDEB E RECEITA DE IMPOSTOS) = (L15(d ou e) + L29(d ou e) + L22.1(t))</t>
  </si>
  <si>
    <t xml:space="preserve">           Inscritos em 2014</t>
  </si>
  <si>
    <t xml:space="preserve">           Inscritos em 2015</t>
  </si>
  <si>
    <t xml:space="preserve">           Inscritos em 2016</t>
  </si>
  <si>
    <t xml:space="preserve">           Inscritos em 2017</t>
  </si>
  <si>
    <t xml:space="preserve">           Inscritos em 2018</t>
  </si>
  <si>
    <t xml:space="preserve">           Inscritos em 2019</t>
  </si>
  <si>
    <t xml:space="preserve">           Inscritos em 2020</t>
  </si>
  <si>
    <t>49- OUTRAS</t>
  </si>
  <si>
    <t>50- TOTAL DAS OUTRAS DESPESAS COM EDUCAÇÃO (44 + 45 + 46 + 47 + 48 + 49)</t>
  </si>
  <si>
    <t>As linhas "28 - OUTRAS" e "49 - OUTRAS" foram inseridas no demonstrativo porque não foi possível realizar o rateamento das despesas por área de atuação sistemicamente.</t>
  </si>
  <si>
    <t>51- TOTAL GERAL DAS DESPESAS COM EDUCAÇÃO (13 + 29 + 50)</t>
  </si>
  <si>
    <t xml:space="preserve">   51.1- Despesas Correntes</t>
  </si>
  <si>
    <t xml:space="preserve">      51.1.1 - Pessoal Ativo</t>
  </si>
  <si>
    <t xml:space="preserve">      51.1.2 - Pessoal Inativo</t>
  </si>
  <si>
    <t xml:space="preserve">      51.1.3 -Transferências às instituições comunitárias, confessionais ou filantrópicas sem fins lucrativos</t>
  </si>
  <si>
    <t xml:space="preserve">      51.1.4 -Outras Despesas Correntes</t>
  </si>
  <si>
    <t xml:space="preserve">   51.2- Despesas de Capital</t>
  </si>
  <si>
    <t xml:space="preserve">      51.2.1 -Transferências às instituições comunitárias, confessionais ou filantrópicas sem fins lucrativos</t>
  </si>
  <si>
    <t xml:space="preserve">      51.2.2 -Outras Despesas de Capital</t>
  </si>
  <si>
    <t>52- DISPONIBILIDADE FINANCEIRA EM 31 DE DEZEMBRO DE 2020</t>
  </si>
  <si>
    <t>53- (+) INGRESSO DE RECURSOS ATÉ O BIMESTRE (orçamentário)</t>
  </si>
  <si>
    <t>54- (-) PAGAMENTOS EFETUADOS ATÉ O BIMESTRE (orçamentário e restos a pagar)</t>
  </si>
  <si>
    <t>55- (=) DISPONIBILIDADE FINANCEIRA ATÉ O BIMESTRE</t>
  </si>
  <si>
    <t>56- (+) AJUSTES POSITIVOS ( RETENÇÕES E OUTROS VALORES EXTRAORÇAMENTÁRIOS)</t>
  </si>
  <si>
    <t>57- (-) AJUSTES NEGATIVOS (OUTROS VALORES EXTRAORÇAMENTÁRIOS)</t>
  </si>
  <si>
    <t>58- (=) SALDO FINANCEIRO CONCILIADO (Saldo Bancário)</t>
  </si>
  <si>
    <t>Renato Ferreira Costa</t>
  </si>
  <si>
    <t>Coordenador - ID: 4.284.985-3</t>
  </si>
  <si>
    <t>Contador - CRC-RJ-097281/O-6</t>
  </si>
  <si>
    <t>Ronald Marcio G. Rodrigues</t>
  </si>
  <si>
    <t>Superintendente - ID: 1.943.584-3</t>
  </si>
  <si>
    <t>Contador - CRC-RJ-079208/O-8</t>
  </si>
  <si>
    <t>Carlos César dos Santos Soares</t>
  </si>
  <si>
    <t>Subsecretário de Estado - ID: 5.015.471-0</t>
  </si>
  <si>
    <t>Contador - CRC-RJ-105516/O-5</t>
  </si>
  <si>
    <t>JANEIRO A JUNHO 2021/BIMESTRE MAIO - JUNHO</t>
  </si>
  <si>
    <t>Emissão: 19/07/2021</t>
  </si>
  <si>
    <t>Conforme estabelece o Manual de Demonstrativos Fiscais da STN, o ente que possua controle sobre o cancelamento dos Restos a Pagar que foram considerados na apuração do limite mínimo do seu respectivo ano de inscrição deverá informar apenas o valor cancelado que tenha causado impacto nesse limite. Até o 3º Bimestre/2021, o Estado do Rio de Janeiro cancelou R$ 2.307.767,25 dos Restos a Pagar inscritos em 2017, 2018 e 2020. Como o Estado não aplicou o mínimo constitucional nos exercícios de 2017, 2018 e 2020, faz-se necessário, no exercício de 2021, deduzir os Restos a Pagar Cancelados que foram inscritos nesses exercícios, de forma a compensar o descumprimento do limite de aplicação mínima em MDE dos anos anteriores.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</si>
</sst>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trike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trike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D9D9D9"/>
        <bgColor indexed="64"/>
      </patternFill>
    </fill>
    <fill>
      <patternFill patternType="lightUp">
        <bgColor theme="0" tint="-0.149959996342659"/>
      </patternFill>
    </fill>
    <fill>
      <patternFill patternType="lightUp">
        <bgColor theme="0" tint="-0.149990007281303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93">
    <xf numFmtId="0" fontId="0" fillId="0" borderId="0" xfId="0" applyAlignment="1">
      <alignment/>
    </xf>
    <xf numFmtId="0" fontId="3" fillId="0" borderId="10" xfId="49" applyFont="1" applyBorder="1">
      <alignment/>
      <protection/>
    </xf>
    <xf numFmtId="164" fontId="3" fillId="0" borderId="0" xfId="49" applyNumberFormat="1" applyFont="1" applyAlignment="1">
      <alignment horizontal="right"/>
      <protection/>
    </xf>
    <xf numFmtId="0" fontId="8" fillId="0" borderId="0" xfId="49" applyFont="1">
      <alignment/>
      <protection/>
    </xf>
    <xf numFmtId="0" fontId="3" fillId="0" borderId="11" xfId="49" applyFont="1" applyBorder="1">
      <alignment/>
      <protection/>
    </xf>
    <xf numFmtId="0" fontId="3" fillId="0" borderId="12" xfId="49" applyFont="1" applyBorder="1">
      <alignment/>
      <protection/>
    </xf>
    <xf numFmtId="0" fontId="3" fillId="33" borderId="0" xfId="49" applyFont="1" applyFill="1">
      <alignment/>
      <protection/>
    </xf>
    <xf numFmtId="0" fontId="3" fillId="0" borderId="13" xfId="49" applyFont="1" applyBorder="1">
      <alignment/>
      <protection/>
    </xf>
    <xf numFmtId="0" fontId="3" fillId="0" borderId="14" xfId="49" applyFont="1" applyBorder="1">
      <alignment/>
      <protection/>
    </xf>
    <xf numFmtId="0" fontId="3" fillId="0" borderId="15" xfId="49" applyFont="1" applyBorder="1">
      <alignment/>
      <protection/>
    </xf>
    <xf numFmtId="0" fontId="3" fillId="0" borderId="16" xfId="49" applyFont="1" applyBorder="1">
      <alignment/>
      <protection/>
    </xf>
    <xf numFmtId="0" fontId="3" fillId="0" borderId="17" xfId="49" applyFont="1" applyBorder="1">
      <alignment/>
      <protection/>
    </xf>
    <xf numFmtId="0" fontId="3" fillId="0" borderId="18" xfId="49" applyFont="1" applyBorder="1">
      <alignment/>
      <protection/>
    </xf>
    <xf numFmtId="0" fontId="3" fillId="0" borderId="19" xfId="49" applyFont="1" applyBorder="1">
      <alignment/>
      <protection/>
    </xf>
    <xf numFmtId="0" fontId="3" fillId="0" borderId="20" xfId="49" applyFont="1" applyBorder="1">
      <alignment/>
      <protection/>
    </xf>
    <xf numFmtId="0" fontId="3" fillId="0" borderId="21" xfId="49" applyFont="1" applyBorder="1">
      <alignment/>
      <protection/>
    </xf>
    <xf numFmtId="0" fontId="3" fillId="0" borderId="22" xfId="49" applyFont="1" applyBorder="1">
      <alignment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 horizontal="center" wrapText="1"/>
      <protection/>
    </xf>
    <xf numFmtId="0" fontId="4" fillId="34" borderId="12" xfId="49" applyFont="1" applyFill="1" applyBorder="1" applyAlignment="1">
      <alignment horizontal="center"/>
      <protection/>
    </xf>
    <xf numFmtId="49" fontId="3" fillId="0" borderId="12" xfId="49" applyNumberFormat="1" applyFont="1" applyBorder="1">
      <alignment/>
      <protection/>
    </xf>
    <xf numFmtId="37" fontId="3" fillId="0" borderId="12" xfId="49" applyNumberFormat="1" applyFont="1" applyBorder="1">
      <alignment/>
      <protection/>
    </xf>
    <xf numFmtId="37" fontId="3" fillId="0" borderId="14" xfId="49" applyNumberFormat="1" applyFont="1" applyBorder="1">
      <alignment/>
      <protection/>
    </xf>
    <xf numFmtId="0" fontId="4" fillId="34" borderId="22" xfId="49" applyFont="1" applyFill="1" applyBorder="1" applyAlignment="1">
      <alignment horizontal="center"/>
      <protection/>
    </xf>
    <xf numFmtId="0" fontId="4" fillId="34" borderId="19" xfId="49" applyFont="1" applyFill="1" applyBorder="1" applyAlignment="1">
      <alignment horizontal="center"/>
      <protection/>
    </xf>
    <xf numFmtId="0" fontId="4" fillId="34" borderId="14" xfId="49" applyFont="1" applyFill="1" applyBorder="1" applyAlignment="1">
      <alignment horizontal="center"/>
      <protection/>
    </xf>
    <xf numFmtId="0" fontId="4" fillId="34" borderId="20" xfId="49" applyFont="1" applyFill="1" applyBorder="1" applyAlignment="1">
      <alignment horizontal="center"/>
      <protection/>
    </xf>
    <xf numFmtId="49" fontId="3" fillId="0" borderId="0" xfId="49" applyNumberFormat="1" applyFont="1" applyAlignment="1">
      <alignment horizontal="center"/>
      <protection/>
    </xf>
    <xf numFmtId="166" fontId="3" fillId="0" borderId="0" xfId="49" applyNumberFormat="1" applyFont="1">
      <alignment/>
      <protection/>
    </xf>
    <xf numFmtId="0" fontId="3" fillId="0" borderId="0" xfId="49" applyFont="1" applyAlignment="1">
      <alignment horizontal="right"/>
      <protection/>
    </xf>
    <xf numFmtId="49" fontId="4" fillId="34" borderId="13" xfId="49" applyNumberFormat="1" applyFont="1" applyFill="1" applyBorder="1">
      <alignment/>
      <protection/>
    </xf>
    <xf numFmtId="49" fontId="4" fillId="34" borderId="13" xfId="49" applyNumberFormat="1" applyFont="1" applyFill="1" applyBorder="1" applyAlignment="1">
      <alignment horizontal="center"/>
      <protection/>
    </xf>
    <xf numFmtId="0" fontId="7" fillId="34" borderId="12" xfId="49" applyFont="1" applyFill="1" applyBorder="1" applyAlignment="1">
      <alignment horizontal="center"/>
      <protection/>
    </xf>
    <xf numFmtId="166" fontId="4" fillId="34" borderId="14" xfId="49" applyNumberFormat="1" applyFont="1" applyFill="1" applyBorder="1" applyAlignment="1">
      <alignment horizontal="center"/>
      <protection/>
    </xf>
    <xf numFmtId="49" fontId="4" fillId="34" borderId="12" xfId="49" applyNumberFormat="1" applyFont="1" applyFill="1" applyBorder="1" applyAlignment="1">
      <alignment horizontal="center"/>
      <protection/>
    </xf>
    <xf numFmtId="0" fontId="4" fillId="34" borderId="19" xfId="49" applyFont="1" applyFill="1" applyBorder="1">
      <alignment/>
      <protection/>
    </xf>
    <xf numFmtId="49" fontId="4" fillId="34" borderId="20" xfId="49" applyNumberFormat="1" applyFont="1" applyFill="1" applyBorder="1" applyAlignment="1">
      <alignment vertical="center"/>
      <protection/>
    </xf>
    <xf numFmtId="49" fontId="4" fillId="34" borderId="15" xfId="49" applyNumberFormat="1" applyFont="1" applyFill="1" applyBorder="1" applyAlignment="1">
      <alignment vertical="center"/>
      <protection/>
    </xf>
    <xf numFmtId="166" fontId="4" fillId="34" borderId="20" xfId="49" applyNumberFormat="1" applyFont="1" applyFill="1" applyBorder="1" applyAlignment="1">
      <alignment horizontal="center"/>
      <protection/>
    </xf>
    <xf numFmtId="49" fontId="4" fillId="34" borderId="19" xfId="49" applyNumberFormat="1" applyFont="1" applyFill="1" applyBorder="1" applyAlignment="1">
      <alignment horizontal="center"/>
      <protection/>
    </xf>
    <xf numFmtId="37" fontId="3" fillId="0" borderId="23" xfId="49" applyNumberFormat="1" applyFont="1" applyBorder="1">
      <alignment/>
      <protection/>
    </xf>
    <xf numFmtId="37" fontId="3" fillId="0" borderId="22" xfId="49" applyNumberFormat="1" applyFont="1" applyBorder="1">
      <alignment/>
      <protection/>
    </xf>
    <xf numFmtId="166" fontId="3" fillId="0" borderId="23" xfId="49" applyNumberFormat="1" applyFont="1" applyBorder="1">
      <alignment/>
      <protection/>
    </xf>
    <xf numFmtId="166" fontId="3" fillId="0" borderId="22" xfId="49" applyNumberFormat="1" applyFont="1" applyBorder="1">
      <alignment/>
      <protection/>
    </xf>
    <xf numFmtId="166" fontId="3" fillId="0" borderId="12" xfId="49" applyNumberFormat="1" applyFont="1" applyBorder="1">
      <alignment/>
      <protection/>
    </xf>
    <xf numFmtId="37" fontId="3" fillId="0" borderId="11" xfId="49" applyNumberFormat="1" applyFont="1" applyBorder="1">
      <alignment/>
      <protection/>
    </xf>
    <xf numFmtId="166" fontId="3" fillId="0" borderId="11" xfId="49" applyNumberFormat="1" applyFont="1" applyBorder="1">
      <alignment/>
      <protection/>
    </xf>
    <xf numFmtId="166" fontId="3" fillId="0" borderId="14" xfId="49" applyNumberFormat="1" applyFont="1" applyBorder="1">
      <alignment/>
      <protection/>
    </xf>
    <xf numFmtId="49" fontId="3" fillId="0" borderId="12" xfId="49" applyNumberFormat="1" applyFont="1" applyBorder="1" applyAlignment="1">
      <alignment wrapText="1"/>
      <protection/>
    </xf>
    <xf numFmtId="0" fontId="5" fillId="0" borderId="12" xfId="49" applyFont="1" applyBorder="1" applyAlignment="1">
      <alignment horizontal="justify" vertical="top" wrapText="1"/>
      <protection/>
    </xf>
    <xf numFmtId="49" fontId="3" fillId="0" borderId="16" xfId="49" applyNumberFormat="1" applyFont="1" applyBorder="1">
      <alignment/>
      <protection/>
    </xf>
    <xf numFmtId="37" fontId="3" fillId="0" borderId="18" xfId="49" applyNumberFormat="1" applyFont="1" applyBorder="1">
      <alignment/>
      <protection/>
    </xf>
    <xf numFmtId="37" fontId="3" fillId="0" borderId="17" xfId="49" applyNumberFormat="1" applyFont="1" applyBorder="1">
      <alignment/>
      <protection/>
    </xf>
    <xf numFmtId="166" fontId="3" fillId="0" borderId="17" xfId="49" applyNumberFormat="1" applyFont="1" applyBorder="1">
      <alignment/>
      <protection/>
    </xf>
    <xf numFmtId="37" fontId="3" fillId="0" borderId="13" xfId="49" applyNumberFormat="1" applyFont="1" applyBorder="1">
      <alignment/>
      <protection/>
    </xf>
    <xf numFmtId="166" fontId="3" fillId="0" borderId="18" xfId="49" applyNumberFormat="1" applyFont="1" applyBorder="1">
      <alignment/>
      <protection/>
    </xf>
    <xf numFmtId="166" fontId="3" fillId="0" borderId="16" xfId="49" applyNumberFormat="1" applyFont="1" applyBorder="1">
      <alignment/>
      <protection/>
    </xf>
    <xf numFmtId="0" fontId="3" fillId="0" borderId="13" xfId="49" applyFont="1" applyBorder="1" applyAlignment="1">
      <alignment wrapText="1"/>
      <protection/>
    </xf>
    <xf numFmtId="37" fontId="3" fillId="0" borderId="21" xfId="49" applyNumberFormat="1" applyFont="1" applyBorder="1">
      <alignment/>
      <protection/>
    </xf>
    <xf numFmtId="37" fontId="3" fillId="0" borderId="13" xfId="49" applyNumberFormat="1" applyFont="1" applyBorder="1" applyAlignment="1">
      <alignment horizontal="center"/>
      <protection/>
    </xf>
    <xf numFmtId="37" fontId="3" fillId="0" borderId="0" xfId="49" applyNumberFormat="1" applyFont="1">
      <alignment/>
      <protection/>
    </xf>
    <xf numFmtId="37" fontId="3" fillId="0" borderId="12" xfId="49" applyNumberFormat="1" applyFont="1" applyBorder="1" applyAlignment="1">
      <alignment horizontal="center"/>
      <protection/>
    </xf>
    <xf numFmtId="37" fontId="3" fillId="0" borderId="20" xfId="49" applyNumberFormat="1" applyFont="1" applyBorder="1">
      <alignment/>
      <protection/>
    </xf>
    <xf numFmtId="37" fontId="3" fillId="0" borderId="10" xfId="49" applyNumberFormat="1" applyFont="1" applyBorder="1">
      <alignment/>
      <protection/>
    </xf>
    <xf numFmtId="166" fontId="3" fillId="0" borderId="15" xfId="49" applyNumberFormat="1" applyFont="1" applyBorder="1">
      <alignment/>
      <protection/>
    </xf>
    <xf numFmtId="166" fontId="3" fillId="0" borderId="20" xfId="49" applyNumberFormat="1" applyFont="1" applyBorder="1">
      <alignment/>
      <protection/>
    </xf>
    <xf numFmtId="37" fontId="3" fillId="0" borderId="15" xfId="49" applyNumberFormat="1" applyFont="1" applyBorder="1">
      <alignment/>
      <protection/>
    </xf>
    <xf numFmtId="37" fontId="3" fillId="0" borderId="19" xfId="49" applyNumberFormat="1" applyFont="1" applyBorder="1" applyAlignment="1">
      <alignment horizontal="center"/>
      <protection/>
    </xf>
    <xf numFmtId="37" fontId="4" fillId="0" borderId="16" xfId="49" applyNumberFormat="1" applyFont="1" applyBorder="1" applyAlignment="1">
      <alignment horizontal="center"/>
      <protection/>
    </xf>
    <xf numFmtId="37" fontId="3" fillId="35" borderId="13" xfId="49" applyNumberFormat="1" applyFont="1" applyFill="1" applyBorder="1" applyAlignment="1">
      <alignment horizontal="center"/>
      <protection/>
    </xf>
    <xf numFmtId="49" fontId="3" fillId="34" borderId="18" xfId="49" applyNumberFormat="1" applyFont="1" applyFill="1" applyBorder="1">
      <alignment/>
      <protection/>
    </xf>
    <xf numFmtId="37" fontId="4" fillId="34" borderId="17" xfId="49" applyNumberFormat="1" applyFont="1" applyFill="1" applyBorder="1" applyAlignment="1">
      <alignment horizontal="center"/>
      <protection/>
    </xf>
    <xf numFmtId="37" fontId="3" fillId="34" borderId="16" xfId="49" applyNumberFormat="1" applyFont="1" applyFill="1" applyBorder="1" applyAlignment="1">
      <alignment horizontal="center"/>
      <protection/>
    </xf>
    <xf numFmtId="49" fontId="3" fillId="0" borderId="14" xfId="49" applyNumberFormat="1" applyFont="1" applyBorder="1" applyAlignment="1">
      <alignment wrapText="1"/>
      <protection/>
    </xf>
    <xf numFmtId="37" fontId="3" fillId="35" borderId="16" xfId="49" applyNumberFormat="1" applyFont="1" applyFill="1" applyBorder="1" applyAlignment="1">
      <alignment horizontal="center" vertical="center"/>
      <protection/>
    </xf>
    <xf numFmtId="37" fontId="3" fillId="0" borderId="24" xfId="49" applyNumberFormat="1" applyFont="1" applyBorder="1" applyAlignment="1">
      <alignment horizontal="center" vertical="center"/>
      <protection/>
    </xf>
    <xf numFmtId="49" fontId="3" fillId="0" borderId="16" xfId="49" applyNumberFormat="1" applyFont="1" applyBorder="1" applyAlignment="1">
      <alignment wrapText="1"/>
      <protection/>
    </xf>
    <xf numFmtId="0" fontId="3" fillId="0" borderId="18" xfId="49" applyFont="1" applyBorder="1" applyAlignment="1">
      <alignment horizontal="justify"/>
      <protection/>
    </xf>
    <xf numFmtId="0" fontId="4" fillId="34" borderId="22" xfId="49" applyFont="1" applyFill="1" applyBorder="1">
      <alignment/>
      <protection/>
    </xf>
    <xf numFmtId="0" fontId="4" fillId="34" borderId="13" xfId="49" applyFont="1" applyFill="1" applyBorder="1" applyAlignment="1">
      <alignment horizontal="center"/>
      <protection/>
    </xf>
    <xf numFmtId="0" fontId="7" fillId="34" borderId="14" xfId="49" applyFont="1" applyFill="1" applyBorder="1" applyAlignment="1">
      <alignment horizontal="center"/>
      <protection/>
    </xf>
    <xf numFmtId="0" fontId="4" fillId="34" borderId="14" xfId="49" applyFont="1" applyFill="1" applyBorder="1" applyAlignment="1">
      <alignment horizontal="center" wrapText="1"/>
      <protection/>
    </xf>
    <xf numFmtId="0" fontId="4" fillId="34" borderId="20" xfId="49" applyFont="1" applyFill="1" applyBorder="1">
      <alignment/>
      <protection/>
    </xf>
    <xf numFmtId="0" fontId="56" fillId="34" borderId="19" xfId="49" applyFont="1" applyFill="1" applyBorder="1" applyAlignment="1">
      <alignment horizontal="center"/>
      <protection/>
    </xf>
    <xf numFmtId="49" fontId="3" fillId="0" borderId="19" xfId="49" applyNumberFormat="1" applyFont="1" applyBorder="1">
      <alignment/>
      <protection/>
    </xf>
    <xf numFmtId="166" fontId="3" fillId="0" borderId="19" xfId="49" applyNumberFormat="1" applyFont="1" applyBorder="1">
      <alignment/>
      <protection/>
    </xf>
    <xf numFmtId="37" fontId="3" fillId="0" borderId="19" xfId="49" applyNumberFormat="1" applyFont="1" applyBorder="1">
      <alignment/>
      <protection/>
    </xf>
    <xf numFmtId="49" fontId="4" fillId="34" borderId="23" xfId="49" applyNumberFormat="1" applyFont="1" applyFill="1" applyBorder="1">
      <alignment/>
      <protection/>
    </xf>
    <xf numFmtId="0" fontId="4" fillId="36" borderId="11" xfId="49" applyFont="1" applyFill="1" applyBorder="1" applyAlignment="1">
      <alignment horizontal="center"/>
      <protection/>
    </xf>
    <xf numFmtId="0" fontId="4" fillId="36" borderId="15" xfId="49" applyFont="1" applyFill="1" applyBorder="1">
      <alignment/>
      <protection/>
    </xf>
    <xf numFmtId="166" fontId="3" fillId="0" borderId="21" xfId="49" applyNumberFormat="1" applyFont="1" applyBorder="1">
      <alignment/>
      <protection/>
    </xf>
    <xf numFmtId="0" fontId="2" fillId="0" borderId="11" xfId="49" applyFont="1" applyBorder="1" applyAlignment="1">
      <alignment horizontal="left" vertical="center" wrapText="1"/>
      <protection/>
    </xf>
    <xf numFmtId="49" fontId="3" fillId="0" borderId="11" xfId="49" applyNumberFormat="1" applyFont="1" applyBorder="1">
      <alignment/>
      <protection/>
    </xf>
    <xf numFmtId="49" fontId="3" fillId="0" borderId="11" xfId="49" applyNumberFormat="1" applyFont="1" applyBorder="1" applyAlignment="1">
      <alignment wrapText="1"/>
      <protection/>
    </xf>
    <xf numFmtId="0" fontId="5" fillId="0" borderId="12" xfId="49" applyFont="1" applyBorder="1">
      <alignment/>
      <protection/>
    </xf>
    <xf numFmtId="0" fontId="3" fillId="33" borderId="15" xfId="49" applyFont="1" applyFill="1" applyBorder="1" applyAlignment="1">
      <alignment horizontal="justify" vertical="top" wrapText="1"/>
      <protection/>
    </xf>
    <xf numFmtId="0" fontId="2" fillId="0" borderId="10" xfId="49" applyFont="1" applyBorder="1" applyAlignment="1">
      <alignment horizontal="left" vertical="center" wrapText="1"/>
      <protection/>
    </xf>
    <xf numFmtId="0" fontId="2" fillId="0" borderId="15" xfId="49" applyFont="1" applyBorder="1" applyAlignment="1">
      <alignment horizontal="left" vertical="center" wrapText="1"/>
      <protection/>
    </xf>
    <xf numFmtId="0" fontId="2" fillId="0" borderId="20" xfId="49" applyFont="1" applyBorder="1" applyAlignment="1">
      <alignment horizontal="left" vertical="center" wrapText="1"/>
      <protection/>
    </xf>
    <xf numFmtId="0" fontId="4" fillId="34" borderId="21" xfId="49" applyFont="1" applyFill="1" applyBorder="1">
      <alignment/>
      <protection/>
    </xf>
    <xf numFmtId="0" fontId="4" fillId="34" borderId="0" xfId="49" applyFont="1" applyFill="1" applyAlignment="1">
      <alignment horizontal="center"/>
      <protection/>
    </xf>
    <xf numFmtId="0" fontId="4" fillId="34" borderId="10" xfId="49" applyFont="1" applyFill="1" applyBorder="1">
      <alignment/>
      <protection/>
    </xf>
    <xf numFmtId="0" fontId="3" fillId="34" borderId="16" xfId="49" applyFont="1" applyFill="1" applyBorder="1">
      <alignment/>
      <protection/>
    </xf>
    <xf numFmtId="37" fontId="3" fillId="0" borderId="16" xfId="49" applyNumberFormat="1" applyFont="1" applyBorder="1">
      <alignment/>
      <protection/>
    </xf>
    <xf numFmtId="37" fontId="3" fillId="0" borderId="16" xfId="49" applyNumberFormat="1" applyFont="1" applyBorder="1" applyAlignment="1">
      <alignment horizontal="center"/>
      <protection/>
    </xf>
    <xf numFmtId="37" fontId="3" fillId="37" borderId="16" xfId="49" applyNumberFormat="1" applyFont="1" applyFill="1" applyBorder="1" applyAlignment="1">
      <alignment horizontal="center"/>
      <protection/>
    </xf>
    <xf numFmtId="37" fontId="3" fillId="38" borderId="16" xfId="49" applyNumberFormat="1" applyFont="1" applyFill="1" applyBorder="1" applyAlignment="1">
      <alignment horizontal="center"/>
      <protection/>
    </xf>
    <xf numFmtId="0" fontId="3" fillId="0" borderId="14" xfId="49" applyFont="1" applyBorder="1" applyAlignment="1">
      <alignment horizontal="left"/>
      <protection/>
    </xf>
    <xf numFmtId="0" fontId="3" fillId="35" borderId="10" xfId="49" applyFont="1" applyFill="1" applyBorder="1">
      <alignment/>
      <protection/>
    </xf>
    <xf numFmtId="0" fontId="3" fillId="35" borderId="19" xfId="49" applyFont="1" applyFill="1" applyBorder="1">
      <alignment/>
      <protection/>
    </xf>
    <xf numFmtId="0" fontId="3" fillId="35" borderId="20" xfId="49" applyFont="1" applyFill="1" applyBorder="1">
      <alignment/>
      <protection/>
    </xf>
    <xf numFmtId="0" fontId="3" fillId="35" borderId="15" xfId="49" applyFont="1" applyFill="1" applyBorder="1">
      <alignment/>
      <protection/>
    </xf>
    <xf numFmtId="0" fontId="3" fillId="0" borderId="0" xfId="49" applyFont="1">
      <alignment/>
      <protection/>
    </xf>
    <xf numFmtId="49" fontId="3" fillId="0" borderId="0" xfId="49" applyNumberFormat="1" applyFont="1">
      <alignment/>
      <protection/>
    </xf>
    <xf numFmtId="0" fontId="4" fillId="0" borderId="0" xfId="49" applyFont="1">
      <alignment/>
      <protection/>
    </xf>
    <xf numFmtId="0" fontId="2" fillId="0" borderId="0" xfId="49" applyFont="1">
      <alignment/>
      <protection/>
    </xf>
    <xf numFmtId="0" fontId="3" fillId="33" borderId="0" xfId="51" applyFont="1" applyFill="1" applyAlignment="1">
      <alignment horizontal="center"/>
      <protection/>
    </xf>
    <xf numFmtId="0" fontId="6" fillId="0" borderId="0" xfId="49" applyFont="1">
      <alignment/>
      <protection/>
    </xf>
    <xf numFmtId="49" fontId="4" fillId="34" borderId="14" xfId="49" applyNumberFormat="1" applyFont="1" applyFill="1" applyBorder="1" applyAlignment="1">
      <alignment horizontal="center"/>
      <protection/>
    </xf>
    <xf numFmtId="49" fontId="4" fillId="34" borderId="20" xfId="49" applyNumberFormat="1" applyFont="1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37" fontId="3" fillId="35" borderId="16" xfId="49" applyNumberFormat="1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37" fontId="3" fillId="35" borderId="18" xfId="49" applyNumberFormat="1" applyFont="1" applyFill="1" applyBorder="1" applyAlignment="1">
      <alignment horizontal="center" vertical="center"/>
      <protection/>
    </xf>
    <xf numFmtId="0" fontId="0" fillId="35" borderId="17" xfId="49" applyFill="1" applyBorder="1" applyAlignment="1">
      <alignment horizontal="center" vertical="center"/>
      <protection/>
    </xf>
    <xf numFmtId="0" fontId="2" fillId="0" borderId="0" xfId="49" applyFont="1" applyAlignment="1">
      <alignment horizontal="left" vertical="center" wrapText="1"/>
      <protection/>
    </xf>
    <xf numFmtId="0" fontId="3" fillId="35" borderId="16" xfId="49" applyFont="1" applyFill="1" applyBorder="1" applyAlignment="1">
      <alignment horizontal="center"/>
      <protection/>
    </xf>
    <xf numFmtId="37" fontId="3" fillId="0" borderId="20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 vertical="center"/>
      <protection/>
    </xf>
    <xf numFmtId="0" fontId="4" fillId="34" borderId="20" xfId="49" applyFont="1" applyFill="1" applyBorder="1" applyAlignment="1">
      <alignment horizontal="center" vertical="center"/>
      <protection/>
    </xf>
    <xf numFmtId="0" fontId="4" fillId="34" borderId="19" xfId="49" applyFont="1" applyFill="1" applyBorder="1" applyAlignment="1">
      <alignment horizontal="center" vertical="center"/>
      <protection/>
    </xf>
    <xf numFmtId="0" fontId="3" fillId="0" borderId="0" xfId="49" applyFont="1" applyAlignment="1">
      <alignment horizontal="center"/>
      <protection/>
    </xf>
    <xf numFmtId="0" fontId="2" fillId="0" borderId="14" xfId="49" applyFont="1" applyBorder="1" applyAlignment="1">
      <alignment horizontal="left" vertical="center" wrapText="1"/>
      <protection/>
    </xf>
    <xf numFmtId="37" fontId="3" fillId="0" borderId="22" xfId="49" applyNumberFormat="1" applyFont="1" applyBorder="1" applyAlignment="1">
      <alignment horizontal="center"/>
      <protection/>
    </xf>
    <xf numFmtId="37" fontId="3" fillId="0" borderId="14" xfId="49" applyNumberFormat="1" applyFont="1" applyBorder="1" applyAlignment="1">
      <alignment horizontal="center"/>
      <protection/>
    </xf>
    <xf numFmtId="37" fontId="4" fillId="34" borderId="18" xfId="49" applyNumberFormat="1" applyFont="1" applyFill="1" applyBorder="1" applyAlignment="1">
      <alignment horizontal="center"/>
      <protection/>
    </xf>
    <xf numFmtId="0" fontId="6" fillId="0" borderId="0" xfId="49" applyFont="1" applyAlignment="1">
      <alignment horizontal="left"/>
      <protection/>
    </xf>
    <xf numFmtId="0" fontId="8" fillId="0" borderId="0" xfId="49" applyFont="1" applyAlignment="1">
      <alignment horizontal="center"/>
      <protection/>
    </xf>
    <xf numFmtId="0" fontId="8" fillId="0" borderId="0" xfId="49" applyFont="1" applyAlignment="1">
      <alignment horizontal="left"/>
      <protection/>
    </xf>
    <xf numFmtId="164" fontId="8" fillId="0" borderId="0" xfId="49" applyNumberFormat="1" applyFont="1" applyAlignment="1">
      <alignment horizontal="right"/>
      <protection/>
    </xf>
    <xf numFmtId="0" fontId="8" fillId="0" borderId="14" xfId="49" applyFont="1" applyBorder="1">
      <alignment/>
      <protection/>
    </xf>
    <xf numFmtId="0" fontId="8" fillId="0" borderId="0" xfId="49" applyFont="1" applyAlignment="1">
      <alignment wrapText="1"/>
      <protection/>
    </xf>
    <xf numFmtId="0" fontId="8" fillId="33" borderId="0" xfId="49" applyFont="1" applyFill="1">
      <alignment/>
      <protection/>
    </xf>
    <xf numFmtId="0" fontId="8" fillId="0" borderId="0" xfId="49" applyFont="1" applyAlignment="1">
      <alignment horizontal="left" wrapText="1"/>
      <protection/>
    </xf>
    <xf numFmtId="0" fontId="6" fillId="0" borderId="17" xfId="49" applyFont="1" applyBorder="1" applyAlignment="1">
      <alignment horizontal="left" wrapText="1"/>
      <protection/>
    </xf>
    <xf numFmtId="0" fontId="8" fillId="0" borderId="24" xfId="49" applyFont="1" applyBorder="1">
      <alignment/>
      <protection/>
    </xf>
    <xf numFmtId="0" fontId="8" fillId="0" borderId="22" xfId="49" applyFont="1" applyBorder="1">
      <alignment/>
      <protection/>
    </xf>
    <xf numFmtId="0" fontId="8" fillId="0" borderId="21" xfId="49" applyFont="1" applyBorder="1">
      <alignment/>
      <protection/>
    </xf>
    <xf numFmtId="0" fontId="6" fillId="0" borderId="17" xfId="49" applyFont="1" applyBorder="1" applyAlignment="1">
      <alignment horizontal="left" vertical="center" wrapText="1"/>
      <protection/>
    </xf>
    <xf numFmtId="0" fontId="6" fillId="0" borderId="24" xfId="49" applyFont="1" applyBorder="1" applyAlignment="1">
      <alignment horizontal="left" wrapText="1"/>
      <protection/>
    </xf>
    <xf numFmtId="0" fontId="8" fillId="0" borderId="11" xfId="49" applyFont="1" applyBorder="1" applyAlignment="1">
      <alignment horizontal="left" vertical="top" wrapText="1"/>
      <protection/>
    </xf>
    <xf numFmtId="0" fontId="8" fillId="0" borderId="0" xfId="49" applyFont="1" applyAlignment="1">
      <alignment horizontal="right" vertical="top" wrapText="1"/>
      <protection/>
    </xf>
    <xf numFmtId="0" fontId="8" fillId="0" borderId="10" xfId="49" applyFont="1" applyBorder="1">
      <alignment/>
      <protection/>
    </xf>
    <xf numFmtId="0" fontId="8" fillId="0" borderId="23" xfId="49" applyFont="1" applyBorder="1" applyAlignment="1">
      <alignment horizontal="left" vertical="top" wrapText="1"/>
      <protection/>
    </xf>
    <xf numFmtId="0" fontId="8" fillId="33" borderId="0" xfId="49" applyFont="1" applyFill="1" applyAlignment="1">
      <alignment horizontal="left" vertical="top" wrapText="1"/>
      <protection/>
    </xf>
    <xf numFmtId="0" fontId="8" fillId="33" borderId="11" xfId="49" applyFont="1" applyFill="1" applyBorder="1" applyAlignment="1">
      <alignment horizontal="left" vertical="top" wrapText="1"/>
      <protection/>
    </xf>
    <xf numFmtId="0" fontId="8" fillId="33" borderId="15" xfId="49" applyFont="1" applyFill="1" applyBorder="1" applyAlignment="1">
      <alignment horizontal="left" vertical="top" wrapText="1"/>
      <protection/>
    </xf>
    <xf numFmtId="0" fontId="8" fillId="0" borderId="10" xfId="49" applyFont="1" applyBorder="1" applyAlignment="1">
      <alignment horizontal="left" vertical="top" wrapText="1"/>
      <protection/>
    </xf>
    <xf numFmtId="0" fontId="8" fillId="33" borderId="24" xfId="49" applyFont="1" applyFill="1" applyBorder="1" applyAlignment="1">
      <alignment horizontal="left" vertical="top" wrapText="1"/>
      <protection/>
    </xf>
    <xf numFmtId="0" fontId="8" fillId="33" borderId="24" xfId="49" applyFont="1" applyFill="1" applyBorder="1">
      <alignment/>
      <protection/>
    </xf>
    <xf numFmtId="0" fontId="8" fillId="0" borderId="21" xfId="49" applyFont="1" applyBorder="1" applyAlignment="1">
      <alignment horizontal="left" vertical="top" wrapText="1"/>
      <protection/>
    </xf>
    <xf numFmtId="0" fontId="8" fillId="0" borderId="0" xfId="49" applyFont="1" applyAlignment="1">
      <alignment horizontal="left" vertical="top" wrapText="1"/>
      <protection/>
    </xf>
    <xf numFmtId="0" fontId="8" fillId="0" borderId="21" xfId="49" applyFont="1" applyBorder="1" applyAlignment="1">
      <alignment horizontal="justify" vertical="top"/>
      <protection/>
    </xf>
    <xf numFmtId="0" fontId="8" fillId="0" borderId="22" xfId="49" applyFont="1" applyBorder="1" applyAlignment="1">
      <alignment horizontal="center" vertical="center"/>
      <protection/>
    </xf>
    <xf numFmtId="0" fontId="8" fillId="0" borderId="21" xfId="49" applyFont="1" applyBorder="1" applyAlignment="1">
      <alignment horizontal="center" vertical="center"/>
      <protection/>
    </xf>
    <xf numFmtId="0" fontId="8" fillId="0" borderId="0" xfId="49" applyFont="1" applyAlignment="1">
      <alignment horizontal="justify" vertical="top"/>
      <protection/>
    </xf>
    <xf numFmtId="0" fontId="8" fillId="0" borderId="14" xfId="49" applyFont="1" applyBorder="1" applyAlignment="1">
      <alignment horizontal="center" vertical="center"/>
      <protection/>
    </xf>
    <xf numFmtId="0" fontId="8" fillId="0" borderId="20" xfId="49" applyFont="1" applyBorder="1" applyAlignment="1">
      <alignment horizontal="center" vertical="center"/>
      <protection/>
    </xf>
    <xf numFmtId="0" fontId="8" fillId="0" borderId="10" xfId="49" applyFont="1" applyBorder="1" applyAlignment="1">
      <alignment horizontal="center" vertical="center"/>
      <protection/>
    </xf>
    <xf numFmtId="0" fontId="8" fillId="0" borderId="0" xfId="49" applyFont="1" applyAlignment="1">
      <alignment vertical="top"/>
      <protection/>
    </xf>
    <xf numFmtId="0" fontId="8" fillId="0" borderId="0" xfId="49" applyFont="1" applyAlignment="1">
      <alignment vertical="center" wrapText="1"/>
      <protection/>
    </xf>
    <xf numFmtId="0" fontId="8" fillId="0" borderId="24" xfId="49" applyFont="1" applyBorder="1" applyAlignment="1">
      <alignment horizontal="justify" vertical="center"/>
      <protection/>
    </xf>
    <xf numFmtId="0" fontId="13" fillId="0" borderId="24" xfId="49" applyFont="1" applyBorder="1" applyAlignment="1">
      <alignment vertical="center"/>
      <protection/>
    </xf>
    <xf numFmtId="0" fontId="8" fillId="0" borderId="11" xfId="49" applyFont="1" applyBorder="1" applyAlignment="1">
      <alignment horizontal="left" vertical="top"/>
      <protection/>
    </xf>
    <xf numFmtId="0" fontId="6" fillId="0" borderId="17" xfId="49" applyFont="1" applyBorder="1" applyAlignment="1">
      <alignment horizontal="left" vertical="top" wrapText="1"/>
      <protection/>
    </xf>
    <xf numFmtId="0" fontId="8" fillId="0" borderId="24" xfId="49" applyFont="1" applyBorder="1" applyAlignment="1">
      <alignment horizontal="left" vertical="top" wrapText="1"/>
      <protection/>
    </xf>
    <xf numFmtId="0" fontId="8" fillId="0" borderId="14" xfId="49" applyFont="1" applyBorder="1" applyAlignment="1">
      <alignment horizontal="left" vertical="top" wrapText="1"/>
      <protection/>
    </xf>
    <xf numFmtId="0" fontId="8" fillId="0" borderId="11" xfId="49" applyFont="1" applyBorder="1" applyAlignment="1">
      <alignment horizontal="left" wrapText="1"/>
      <protection/>
    </xf>
    <xf numFmtId="0" fontId="8" fillId="0" borderId="15" xfId="49" applyFont="1" applyBorder="1" applyAlignment="1">
      <alignment horizontal="left" wrapText="1"/>
      <protection/>
    </xf>
    <xf numFmtId="0" fontId="8" fillId="0" borderId="24" xfId="49" applyFont="1" applyBorder="1" applyAlignment="1">
      <alignment horizontal="left" wrapText="1"/>
      <protection/>
    </xf>
    <xf numFmtId="0" fontId="13" fillId="0" borderId="24" xfId="49" applyFont="1" applyBorder="1" applyAlignment="1">
      <alignment horizontal="left" wrapText="1"/>
      <protection/>
    </xf>
    <xf numFmtId="0" fontId="8" fillId="0" borderId="10" xfId="49" applyFont="1" applyBorder="1" applyAlignment="1">
      <alignment horizontal="left" vertical="center" wrapText="1"/>
      <protection/>
    </xf>
    <xf numFmtId="0" fontId="6" fillId="0" borderId="10" xfId="49" applyFont="1" applyBorder="1" applyAlignment="1">
      <alignment horizontal="center" vertical="center" wrapText="1"/>
      <protection/>
    </xf>
    <xf numFmtId="0" fontId="8" fillId="0" borderId="24" xfId="49" applyFont="1" applyBorder="1" applyAlignment="1">
      <alignment horizontal="center" vertical="center"/>
      <protection/>
    </xf>
    <xf numFmtId="0" fontId="8" fillId="0" borderId="24" xfId="49" applyFont="1" applyBorder="1" applyAlignment="1">
      <alignment horizontal="center" vertical="top" wrapText="1"/>
      <protection/>
    </xf>
    <xf numFmtId="0" fontId="8" fillId="0" borderId="0" xfId="49" applyFont="1" applyAlignment="1">
      <alignment vertical="center"/>
      <protection/>
    </xf>
    <xf numFmtId="0" fontId="8" fillId="0" borderId="20" xfId="49" applyFont="1" applyBorder="1">
      <alignment/>
      <protection/>
    </xf>
    <xf numFmtId="0" fontId="6" fillId="0" borderId="10" xfId="49" applyFont="1" applyBorder="1" applyAlignment="1">
      <alignment horizontal="left" wrapText="1"/>
      <protection/>
    </xf>
    <xf numFmtId="0" fontId="8" fillId="0" borderId="14" xfId="49" applyFont="1" applyBorder="1" applyAlignment="1">
      <alignment horizontal="center"/>
      <protection/>
    </xf>
    <xf numFmtId="0" fontId="8" fillId="0" borderId="10" xfId="49" applyFont="1" applyBorder="1" applyAlignment="1">
      <alignment horizontal="center"/>
      <protection/>
    </xf>
    <xf numFmtId="0" fontId="6" fillId="0" borderId="10" xfId="49" applyFont="1" applyBorder="1" applyAlignment="1">
      <alignment wrapText="1"/>
      <protection/>
    </xf>
    <xf numFmtId="0" fontId="6" fillId="0" borderId="0" xfId="49" applyFont="1" applyAlignment="1">
      <alignment wrapText="1"/>
      <protection/>
    </xf>
    <xf numFmtId="0" fontId="6" fillId="0" borderId="0" xfId="49" applyFont="1" applyAlignment="1">
      <alignment horizontal="left" wrapText="1"/>
      <protection/>
    </xf>
    <xf numFmtId="0" fontId="14" fillId="0" borderId="21" xfId="49" applyFont="1" applyBorder="1">
      <alignment/>
      <protection/>
    </xf>
    <xf numFmtId="0" fontId="8" fillId="0" borderId="0" xfId="49" applyFont="1" applyAlignment="1">
      <alignment horizontal="right"/>
      <protection/>
    </xf>
    <xf numFmtId="0" fontId="6" fillId="0" borderId="14" xfId="49" applyFont="1" applyBorder="1">
      <alignment/>
      <protection/>
    </xf>
    <xf numFmtId="0" fontId="6" fillId="33" borderId="0" xfId="49" applyFont="1" applyFill="1">
      <alignment/>
      <protection/>
    </xf>
    <xf numFmtId="0" fontId="6" fillId="33" borderId="14" xfId="49" applyFont="1" applyFill="1" applyBorder="1">
      <alignment/>
      <protection/>
    </xf>
    <xf numFmtId="0" fontId="6" fillId="0" borderId="18" xfId="49" applyFont="1" applyBorder="1">
      <alignment/>
      <protection/>
    </xf>
    <xf numFmtId="0" fontId="6" fillId="0" borderId="24" xfId="49" applyFont="1" applyBorder="1">
      <alignment/>
      <protection/>
    </xf>
    <xf numFmtId="0" fontId="6" fillId="0" borderId="22" xfId="49" applyFont="1" applyBorder="1">
      <alignment/>
      <protection/>
    </xf>
    <xf numFmtId="0" fontId="6" fillId="0" borderId="21" xfId="49" applyFont="1" applyBorder="1">
      <alignment/>
      <protection/>
    </xf>
    <xf numFmtId="0" fontId="6" fillId="0" borderId="11" xfId="49" applyFont="1" applyBorder="1" applyAlignment="1">
      <alignment horizontal="left" vertical="top" wrapText="1"/>
      <protection/>
    </xf>
    <xf numFmtId="0" fontId="6" fillId="0" borderId="0" xfId="49" applyFont="1" applyAlignment="1">
      <alignment horizontal="right" vertical="top" wrapText="1"/>
      <protection/>
    </xf>
    <xf numFmtId="0" fontId="6" fillId="0" borderId="15" xfId="49" applyFont="1" applyBorder="1" applyAlignment="1">
      <alignment horizontal="left" vertical="top" wrapText="1"/>
      <protection/>
    </xf>
    <xf numFmtId="0" fontId="6" fillId="0" borderId="10" xfId="49" applyFont="1" applyBorder="1" applyAlignment="1">
      <alignment horizontal="right" vertical="top" wrapText="1"/>
      <protection/>
    </xf>
    <xf numFmtId="0" fontId="6" fillId="0" borderId="10" xfId="49" applyFont="1" applyBorder="1">
      <alignment/>
      <protection/>
    </xf>
    <xf numFmtId="0" fontId="6" fillId="0" borderId="23" xfId="49" applyFont="1" applyBorder="1" applyAlignment="1">
      <alignment horizontal="left" vertical="top" wrapText="1"/>
      <protection/>
    </xf>
    <xf numFmtId="0" fontId="6" fillId="33" borderId="0" xfId="49" applyFont="1" applyFill="1" applyAlignment="1">
      <alignment horizontal="left" vertical="top" wrapText="1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6" fillId="0" borderId="0" xfId="49" applyFont="1" applyAlignment="1">
      <alignment/>
      <protection/>
    </xf>
    <xf numFmtId="0" fontId="6" fillId="0" borderId="0" xfId="49" applyFont="1" applyBorder="1" applyAlignment="1">
      <alignment horizontal="left" vertical="top" wrapText="1"/>
      <protection/>
    </xf>
    <xf numFmtId="0" fontId="6" fillId="0" borderId="22" xfId="49" applyFont="1" applyBorder="1" applyAlignment="1">
      <alignment horizontal="left" vertical="top" wrapText="1"/>
      <protection/>
    </xf>
    <xf numFmtId="0" fontId="6" fillId="0" borderId="14" xfId="49" applyFont="1" applyBorder="1" applyAlignment="1">
      <alignment horizontal="left" vertical="top" wrapText="1"/>
      <protection/>
    </xf>
    <xf numFmtId="0" fontId="8" fillId="0" borderId="20" xfId="49" applyFont="1" applyBorder="1" applyAlignment="1">
      <alignment horizontal="left" vertical="top" wrapText="1"/>
      <protection/>
    </xf>
    <xf numFmtId="0" fontId="8" fillId="0" borderId="0" xfId="49" applyFont="1" applyBorder="1" applyAlignment="1">
      <alignment vertical="top" wrapText="1"/>
      <protection/>
    </xf>
    <xf numFmtId="0" fontId="6" fillId="0" borderId="0" xfId="49" applyFont="1" applyBorder="1" applyAlignment="1">
      <alignment vertical="top" wrapText="1"/>
      <protection/>
    </xf>
    <xf numFmtId="0" fontId="6" fillId="0" borderId="0" xfId="49" applyFont="1" applyBorder="1">
      <alignment/>
      <protection/>
    </xf>
    <xf numFmtId="0" fontId="8" fillId="0" borderId="0" xfId="49" applyFont="1" applyBorder="1" applyAlignment="1">
      <alignment horizontal="center" vertical="center"/>
      <protection/>
    </xf>
    <xf numFmtId="0" fontId="6" fillId="0" borderId="18" xfId="49" applyFont="1" applyBorder="1" applyAlignment="1">
      <alignment horizontal="left" vertical="top" wrapText="1"/>
      <protection/>
    </xf>
    <xf numFmtId="0" fontId="6" fillId="0" borderId="10" xfId="49" applyFont="1" applyBorder="1" applyAlignment="1">
      <alignment horizontal="left" vertical="center" wrapText="1"/>
      <protection/>
    </xf>
    <xf numFmtId="0" fontId="6" fillId="0" borderId="24" xfId="49" applyFont="1" applyBorder="1" applyAlignment="1">
      <alignment horizontal="center"/>
      <protection/>
    </xf>
    <xf numFmtId="0" fontId="6" fillId="0" borderId="23" xfId="49" applyFont="1" applyBorder="1" applyAlignment="1">
      <alignment horizontal="left" wrapText="1"/>
      <protection/>
    </xf>
    <xf numFmtId="0" fontId="6" fillId="0" borderId="11" xfId="49" applyFont="1" applyBorder="1" applyAlignment="1">
      <alignment horizontal="left" wrapText="1"/>
      <protection/>
    </xf>
    <xf numFmtId="0" fontId="6" fillId="33" borderId="0" xfId="49" applyFont="1" applyFill="1" applyBorder="1" applyAlignment="1">
      <alignment horizontal="left" vertical="top" wrapText="1"/>
      <protection/>
    </xf>
    <xf numFmtId="0" fontId="6" fillId="33" borderId="0" xfId="49" applyFont="1" applyFill="1" applyBorder="1">
      <alignment/>
      <protection/>
    </xf>
    <xf numFmtId="0" fontId="8" fillId="33" borderId="0" xfId="0" applyFont="1" applyFill="1" applyAlignment="1">
      <alignment horizontal="right"/>
    </xf>
    <xf numFmtId="0" fontId="8" fillId="33" borderId="0" xfId="49" applyFont="1" applyFill="1" applyBorder="1" applyAlignment="1">
      <alignment horizontal="right"/>
      <protection/>
    </xf>
    <xf numFmtId="0" fontId="8" fillId="0" borderId="0" xfId="49" applyFont="1" applyBorder="1" applyAlignment="1">
      <alignment horizontal="right"/>
      <protection/>
    </xf>
    <xf numFmtId="0" fontId="6" fillId="0" borderId="21" xfId="49" applyFont="1" applyBorder="1" applyAlignment="1">
      <alignment horizontal="justify" vertical="top"/>
      <protection/>
    </xf>
    <xf numFmtId="0" fontId="6" fillId="0" borderId="0" xfId="49" applyFont="1" applyAlignment="1">
      <alignment vertical="center"/>
      <protection/>
    </xf>
    <xf numFmtId="0" fontId="6" fillId="34" borderId="22" xfId="49" applyFont="1" applyFill="1" applyBorder="1" applyAlignment="1">
      <alignment horizontal="center" vertical="center" wrapText="1"/>
      <protection/>
    </xf>
    <xf numFmtId="0" fontId="6" fillId="34" borderId="23" xfId="49" applyFont="1" applyFill="1" applyBorder="1" applyAlignment="1">
      <alignment horizontal="center" vertical="center" wrapText="1"/>
      <protection/>
    </xf>
    <xf numFmtId="0" fontId="6" fillId="34" borderId="20" xfId="49" applyFont="1" applyFill="1" applyBorder="1" applyAlignment="1">
      <alignment horizontal="center" vertical="center"/>
      <protection/>
    </xf>
    <xf numFmtId="0" fontId="6" fillId="34" borderId="20" xfId="49" applyFont="1" applyFill="1" applyBorder="1" applyAlignment="1">
      <alignment horizontal="center" vertical="center" wrapText="1"/>
      <protection/>
    </xf>
    <xf numFmtId="0" fontId="11" fillId="34" borderId="24" xfId="49" applyFont="1" applyFill="1" applyBorder="1" applyAlignment="1">
      <alignment horizontal="center" vertical="center"/>
      <protection/>
    </xf>
    <xf numFmtId="0" fontId="6" fillId="34" borderId="24" xfId="49" applyFont="1" applyFill="1" applyBorder="1" applyAlignment="1">
      <alignment horizontal="center" vertical="top"/>
      <protection/>
    </xf>
    <xf numFmtId="43" fontId="8" fillId="0" borderId="24" xfId="74" applyFont="1" applyBorder="1" applyAlignment="1">
      <alignment/>
    </xf>
    <xf numFmtId="43" fontId="8" fillId="0" borderId="0" xfId="74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4" xfId="49" applyFont="1" applyBorder="1" applyAlignment="1">
      <alignment vertical="center" wrapText="1"/>
      <protection/>
    </xf>
    <xf numFmtId="0" fontId="6" fillId="0" borderId="18" xfId="49" applyFont="1" applyBorder="1" applyAlignment="1">
      <alignment wrapText="1"/>
      <protection/>
    </xf>
    <xf numFmtId="0" fontId="6" fillId="0" borderId="24" xfId="49" applyFont="1" applyBorder="1" applyAlignment="1">
      <alignment wrapText="1"/>
      <protection/>
    </xf>
    <xf numFmtId="0" fontId="0" fillId="33" borderId="0" xfId="0" applyFont="1" applyFill="1" applyAlignment="1">
      <alignment/>
    </xf>
    <xf numFmtId="0" fontId="3" fillId="0" borderId="0" xfId="49" applyFont="1" applyAlignment="1">
      <alignment horizontal="center" vertical="center" wrapText="1"/>
      <protection/>
    </xf>
    <xf numFmtId="43" fontId="6" fillId="0" borderId="22" xfId="74" applyFont="1" applyBorder="1" applyAlignment="1">
      <alignment vertical="top" wrapText="1"/>
    </xf>
    <xf numFmtId="43" fontId="8" fillId="0" borderId="14" xfId="74" applyFont="1" applyBorder="1" applyAlignment="1">
      <alignment vertical="top" wrapText="1"/>
    </xf>
    <xf numFmtId="43" fontId="8" fillId="0" borderId="20" xfId="74" applyFont="1" applyBorder="1" applyAlignment="1">
      <alignment vertical="top" wrapText="1"/>
    </xf>
    <xf numFmtId="0" fontId="0" fillId="0" borderId="0" xfId="49" applyFont="1">
      <alignment/>
      <protection/>
    </xf>
    <xf numFmtId="43" fontId="8" fillId="0" borderId="22" xfId="74" applyFont="1" applyBorder="1" applyAlignment="1">
      <alignment horizontal="left" vertical="top" wrapText="1"/>
    </xf>
    <xf numFmtId="43" fontId="8" fillId="0" borderId="0" xfId="74" applyFont="1" applyBorder="1" applyAlignment="1">
      <alignment vertical="top" wrapText="1"/>
    </xf>
    <xf numFmtId="43" fontId="8" fillId="0" borderId="14" xfId="74" applyFont="1" applyBorder="1" applyAlignment="1">
      <alignment horizontal="left" vertical="top" wrapText="1"/>
    </xf>
    <xf numFmtId="43" fontId="6" fillId="0" borderId="18" xfId="74" applyFont="1" applyBorder="1" applyAlignment="1">
      <alignment horizontal="left" vertical="top" wrapText="1"/>
    </xf>
    <xf numFmtId="43" fontId="8" fillId="0" borderId="14" xfId="74" applyFont="1" applyBorder="1" applyAlignment="1">
      <alignment horizontal="center"/>
    </xf>
    <xf numFmtId="43" fontId="8" fillId="0" borderId="22" xfId="74" applyFont="1" applyBorder="1" applyAlignment="1">
      <alignment horizontal="center"/>
    </xf>
    <xf numFmtId="43" fontId="8" fillId="0" borderId="20" xfId="74" applyFont="1" applyBorder="1" applyAlignment="1">
      <alignment/>
    </xf>
    <xf numFmtId="43" fontId="8" fillId="0" borderId="0" xfId="74" applyFont="1" applyBorder="1" applyAlignment="1">
      <alignment/>
    </xf>
    <xf numFmtId="43" fontId="6" fillId="0" borderId="18" xfId="74" applyFont="1" applyBorder="1" applyAlignment="1">
      <alignment/>
    </xf>
    <xf numFmtId="43" fontId="6" fillId="0" borderId="22" xfId="74" applyFont="1" applyBorder="1" applyAlignment="1">
      <alignment/>
    </xf>
    <xf numFmtId="43" fontId="6" fillId="0" borderId="0" xfId="74" applyFont="1" applyBorder="1" applyAlignment="1">
      <alignment/>
    </xf>
    <xf numFmtId="43" fontId="6" fillId="0" borderId="14" xfId="74" applyFont="1" applyBorder="1" applyAlignment="1">
      <alignment/>
    </xf>
    <xf numFmtId="43" fontId="8" fillId="0" borderId="14" xfId="74" applyFont="1" applyBorder="1" applyAlignment="1">
      <alignment/>
    </xf>
    <xf numFmtId="0" fontId="8" fillId="0" borderId="22" xfId="49" applyFont="1" applyBorder="1" applyAlignment="1">
      <alignment/>
      <protection/>
    </xf>
    <xf numFmtId="0" fontId="8" fillId="0" borderId="21" xfId="49" applyFont="1" applyBorder="1" applyAlignment="1">
      <alignment/>
      <protection/>
    </xf>
    <xf numFmtId="0" fontId="8" fillId="0" borderId="14" xfId="49" applyFont="1" applyBorder="1" applyAlignment="1">
      <alignment/>
      <protection/>
    </xf>
    <xf numFmtId="0" fontId="8" fillId="0" borderId="0" xfId="49" applyFont="1" applyAlignment="1">
      <alignment/>
      <protection/>
    </xf>
    <xf numFmtId="0" fontId="8" fillId="0" borderId="20" xfId="49" applyFont="1" applyBorder="1" applyAlignment="1">
      <alignment/>
      <protection/>
    </xf>
    <xf numFmtId="0" fontId="8" fillId="0" borderId="10" xfId="49" applyFont="1" applyBorder="1" applyAlignment="1">
      <alignment/>
      <protection/>
    </xf>
    <xf numFmtId="0" fontId="6" fillId="34" borderId="10" xfId="49" applyFont="1" applyFill="1" applyBorder="1" applyAlignment="1">
      <alignment horizontal="center" vertical="center" wrapText="1"/>
      <protection/>
    </xf>
    <xf numFmtId="43" fontId="0" fillId="0" borderId="0" xfId="0" applyNumberFormat="1" applyFont="1" applyAlignment="1">
      <alignment/>
    </xf>
    <xf numFmtId="0" fontId="8" fillId="0" borderId="0" xfId="49" applyFont="1" applyBorder="1" applyAlignment="1">
      <alignment horizontal="left" vertical="top"/>
      <protection/>
    </xf>
    <xf numFmtId="0" fontId="3" fillId="0" borderId="0" xfId="49" applyFont="1" applyBorder="1">
      <alignment/>
      <protection/>
    </xf>
    <xf numFmtId="0" fontId="3" fillId="0" borderId="0" xfId="0" applyFont="1" applyAlignment="1">
      <alignment wrapText="1"/>
    </xf>
    <xf numFmtId="43" fontId="0" fillId="0" borderId="0" xfId="74" applyFont="1" applyAlignment="1">
      <alignment/>
    </xf>
    <xf numFmtId="43" fontId="3" fillId="0" borderId="0" xfId="74" applyFont="1" applyAlignment="1">
      <alignment/>
    </xf>
    <xf numFmtId="0" fontId="6" fillId="33" borderId="24" xfId="49" applyFont="1" applyFill="1" applyBorder="1" applyAlignment="1">
      <alignment horizontal="left" vertical="top" wrapText="1"/>
      <protection/>
    </xf>
    <xf numFmtId="0" fontId="6" fillId="33" borderId="18" xfId="49" applyFont="1" applyFill="1" applyBorder="1" applyAlignment="1">
      <alignment horizontal="left" vertical="top" wrapText="1"/>
      <protection/>
    </xf>
    <xf numFmtId="0" fontId="6" fillId="33" borderId="24" xfId="49" applyFont="1" applyFill="1" applyBorder="1">
      <alignment/>
      <protection/>
    </xf>
    <xf numFmtId="0" fontId="6" fillId="33" borderId="17" xfId="49" applyFont="1" applyFill="1" applyBorder="1" applyAlignment="1">
      <alignment horizontal="left" vertical="top" wrapText="1"/>
      <protection/>
    </xf>
    <xf numFmtId="43" fontId="2" fillId="0" borderId="0" xfId="49" applyNumberFormat="1" applyFont="1">
      <alignment/>
      <protection/>
    </xf>
    <xf numFmtId="0" fontId="8" fillId="33" borderId="0" xfId="49" applyFont="1" applyFill="1" applyAlignment="1">
      <alignment horizontal="right"/>
      <protection/>
    </xf>
    <xf numFmtId="43" fontId="8" fillId="33" borderId="0" xfId="74" applyFont="1" applyFill="1" applyAlignment="1">
      <alignment/>
    </xf>
    <xf numFmtId="43" fontId="8" fillId="0" borderId="10" xfId="49" applyNumberFormat="1" applyFont="1" applyBorder="1">
      <alignment/>
      <protection/>
    </xf>
    <xf numFmtId="43" fontId="3" fillId="0" borderId="0" xfId="49" applyNumberFormat="1" applyFont="1">
      <alignment/>
      <protection/>
    </xf>
    <xf numFmtId="49" fontId="4" fillId="34" borderId="22" xfId="49" applyNumberFormat="1" applyFont="1" applyFill="1" applyBorder="1" applyAlignment="1">
      <alignment horizontal="center" vertical="center" wrapText="1"/>
      <protection/>
    </xf>
    <xf numFmtId="49" fontId="4" fillId="34" borderId="23" xfId="49" applyNumberFormat="1" applyFont="1" applyFill="1" applyBorder="1" applyAlignment="1">
      <alignment horizontal="center" vertical="center" wrapText="1"/>
      <protection/>
    </xf>
    <xf numFmtId="49" fontId="4" fillId="34" borderId="14" xfId="49" applyNumberFormat="1" applyFont="1" applyFill="1" applyBorder="1" applyAlignment="1">
      <alignment horizontal="center" vertical="center" wrapText="1"/>
      <protection/>
    </xf>
    <xf numFmtId="49" fontId="4" fillId="34" borderId="11" xfId="49" applyNumberFormat="1" applyFont="1" applyFill="1" applyBorder="1" applyAlignment="1">
      <alignment horizontal="center" vertical="center" wrapText="1"/>
      <protection/>
    </xf>
    <xf numFmtId="0" fontId="4" fillId="34" borderId="18" xfId="49" applyFont="1" applyFill="1" applyBorder="1" applyAlignment="1">
      <alignment horizontal="center"/>
      <protection/>
    </xf>
    <xf numFmtId="0" fontId="4" fillId="34" borderId="24" xfId="49" applyFont="1" applyFill="1" applyBorder="1" applyAlignment="1">
      <alignment horizontal="center"/>
      <protection/>
    </xf>
    <xf numFmtId="0" fontId="4" fillId="34" borderId="17" xfId="49" applyFont="1" applyFill="1" applyBorder="1" applyAlignment="1">
      <alignment horizontal="center"/>
      <protection/>
    </xf>
    <xf numFmtId="49" fontId="4" fillId="34" borderId="14" xfId="49" applyNumberFormat="1" applyFont="1" applyFill="1" applyBorder="1" applyAlignment="1">
      <alignment horizontal="center"/>
      <protection/>
    </xf>
    <xf numFmtId="49" fontId="4" fillId="34" borderId="11" xfId="49" applyNumberFormat="1" applyFont="1" applyFill="1" applyBorder="1" applyAlignment="1">
      <alignment horizontal="center"/>
      <protection/>
    </xf>
    <xf numFmtId="49" fontId="4" fillId="34" borderId="22" xfId="49" applyNumberFormat="1" applyFont="1" applyFill="1" applyBorder="1" applyAlignment="1">
      <alignment horizontal="center"/>
      <protection/>
    </xf>
    <xf numFmtId="49" fontId="4" fillId="34" borderId="23" xfId="49" applyNumberFormat="1" applyFont="1" applyFill="1" applyBorder="1" applyAlignment="1">
      <alignment horizontal="center"/>
      <protection/>
    </xf>
    <xf numFmtId="0" fontId="3" fillId="35" borderId="16" xfId="49" applyFont="1" applyFill="1" applyBorder="1" applyAlignment="1">
      <alignment horizontal="center"/>
      <protection/>
    </xf>
    <xf numFmtId="0" fontId="2" fillId="0" borderId="0" xfId="49" applyFont="1" applyAlignment="1">
      <alignment horizontal="left" vertical="center" wrapText="1"/>
      <protection/>
    </xf>
    <xf numFmtId="37" fontId="3" fillId="35" borderId="16" xfId="49" applyNumberFormat="1" applyFont="1" applyFill="1" applyBorder="1" applyAlignment="1">
      <alignment horizontal="center"/>
      <protection/>
    </xf>
    <xf numFmtId="0" fontId="4" fillId="34" borderId="13" xfId="49" applyFont="1" applyFill="1" applyBorder="1" applyAlignment="1">
      <alignment horizontal="center" vertical="center" wrapText="1"/>
      <protection/>
    </xf>
    <xf numFmtId="0" fontId="4" fillId="34" borderId="12" xfId="49" applyFont="1" applyFill="1" applyBorder="1" applyAlignment="1">
      <alignment horizontal="center" vertical="center" wrapText="1"/>
      <protection/>
    </xf>
    <xf numFmtId="0" fontId="4" fillId="34" borderId="22" xfId="49" applyFont="1" applyFill="1" applyBorder="1" applyAlignment="1">
      <alignment horizontal="center" vertical="center" wrapText="1"/>
      <protection/>
    </xf>
    <xf numFmtId="0" fontId="4" fillId="34" borderId="23" xfId="49" applyFont="1" applyFill="1" applyBorder="1" applyAlignment="1">
      <alignment horizontal="center" vertical="center" wrapText="1"/>
      <protection/>
    </xf>
    <xf numFmtId="0" fontId="4" fillId="34" borderId="14" xfId="49" applyFont="1" applyFill="1" applyBorder="1" applyAlignment="1">
      <alignment horizontal="center" vertical="center" wrapText="1"/>
      <protection/>
    </xf>
    <xf numFmtId="0" fontId="4" fillId="34" borderId="11" xfId="49" applyFont="1" applyFill="1" applyBorder="1" applyAlignment="1">
      <alignment horizontal="center" vertical="center" wrapText="1"/>
      <protection/>
    </xf>
    <xf numFmtId="0" fontId="4" fillId="34" borderId="20" xfId="49" applyFont="1" applyFill="1" applyBorder="1" applyAlignment="1">
      <alignment horizontal="center" vertical="center" wrapText="1"/>
      <protection/>
    </xf>
    <xf numFmtId="0" fontId="4" fillId="34" borderId="15" xfId="49" applyFont="1" applyFill="1" applyBorder="1" applyAlignment="1">
      <alignment horizontal="center" vertical="center" wrapText="1"/>
      <protection/>
    </xf>
    <xf numFmtId="49" fontId="4" fillId="34" borderId="20" xfId="49" applyNumberFormat="1" applyFont="1" applyFill="1" applyBorder="1" applyAlignment="1">
      <alignment horizontal="center"/>
      <protection/>
    </xf>
    <xf numFmtId="49" fontId="4" fillId="34" borderId="15" xfId="49" applyNumberFormat="1" applyFont="1" applyFill="1" applyBorder="1" applyAlignment="1">
      <alignment horizontal="center"/>
      <protection/>
    </xf>
    <xf numFmtId="37" fontId="3" fillId="35" borderId="18" xfId="49" applyNumberFormat="1" applyFont="1" applyFill="1" applyBorder="1" applyAlignment="1">
      <alignment horizontal="center" vertical="center"/>
      <protection/>
    </xf>
    <xf numFmtId="0" fontId="0" fillId="35" borderId="17" xfId="49" applyFill="1" applyBorder="1" applyAlignment="1">
      <alignment horizontal="center" vertical="center"/>
      <protection/>
    </xf>
    <xf numFmtId="0" fontId="2" fillId="0" borderId="21" xfId="49" applyFont="1" applyBorder="1" applyAlignment="1">
      <alignment horizontal="left" vertical="center" wrapText="1"/>
      <protection/>
    </xf>
    <xf numFmtId="0" fontId="3" fillId="0" borderId="18" xfId="49" applyFont="1" applyBorder="1" applyAlignment="1">
      <alignment horizontal="center"/>
      <protection/>
    </xf>
    <xf numFmtId="0" fontId="3" fillId="0" borderId="17" xfId="49" applyFont="1" applyBorder="1" applyAlignment="1">
      <alignment horizontal="center"/>
      <protection/>
    </xf>
    <xf numFmtId="37" fontId="3" fillId="0" borderId="18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/>
      <protection/>
    </xf>
    <xf numFmtId="0" fontId="3" fillId="34" borderId="18" xfId="49" applyFont="1" applyFill="1" applyBorder="1" applyAlignment="1">
      <alignment horizontal="center"/>
      <protection/>
    </xf>
    <xf numFmtId="0" fontId="3" fillId="34" borderId="17" xfId="49" applyFont="1" applyFill="1" applyBorder="1" applyAlignment="1">
      <alignment horizontal="center"/>
      <protection/>
    </xf>
    <xf numFmtId="37" fontId="3" fillId="35" borderId="17" xfId="49" applyNumberFormat="1" applyFont="1" applyFill="1" applyBorder="1" applyAlignment="1">
      <alignment horizontal="center" vertical="center"/>
      <protection/>
    </xf>
    <xf numFmtId="37" fontId="3" fillId="35" borderId="18" xfId="49" applyNumberFormat="1" applyFont="1" applyFill="1" applyBorder="1" applyAlignment="1">
      <alignment horizontal="center"/>
      <protection/>
    </xf>
    <xf numFmtId="37" fontId="3" fillId="35" borderId="17" xfId="49" applyNumberFormat="1" applyFont="1" applyFill="1" applyBorder="1" applyAlignment="1">
      <alignment horizontal="center"/>
      <protection/>
    </xf>
    <xf numFmtId="0" fontId="0" fillId="35" borderId="17" xfId="49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0" fontId="0" fillId="34" borderId="17" xfId="49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166" fontId="3" fillId="0" borderId="18" xfId="49" applyNumberFormat="1" applyFont="1" applyBorder="1" applyAlignment="1">
      <alignment horizontal="center"/>
      <protection/>
    </xf>
    <xf numFmtId="166" fontId="3" fillId="0" borderId="17" xfId="49" applyNumberFormat="1" applyFont="1" applyBorder="1" applyAlignment="1">
      <alignment horizontal="center"/>
      <protection/>
    </xf>
    <xf numFmtId="0" fontId="3" fillId="0" borderId="0" xfId="49" applyFont="1" applyAlignment="1">
      <alignment horizontal="left"/>
      <protection/>
    </xf>
    <xf numFmtId="49" fontId="3" fillId="0" borderId="0" xfId="49" applyNumberFormat="1" applyFont="1" applyAlignment="1">
      <alignment horizontal="left"/>
      <protection/>
    </xf>
    <xf numFmtId="0" fontId="4" fillId="0" borderId="0" xfId="49" applyFont="1" applyAlignment="1">
      <alignment horizontal="left"/>
      <protection/>
    </xf>
    <xf numFmtId="0" fontId="8" fillId="0" borderId="0" xfId="49" applyFont="1" applyAlignment="1">
      <alignment horizontal="center"/>
      <protection/>
    </xf>
    <xf numFmtId="43" fontId="8" fillId="33" borderId="10" xfId="74" applyFont="1" applyFill="1" applyBorder="1" applyAlignment="1">
      <alignment horizontal="center"/>
    </xf>
    <xf numFmtId="43" fontId="8" fillId="33" borderId="15" xfId="74" applyFont="1" applyFill="1" applyBorder="1" applyAlignment="1">
      <alignment horizontal="center"/>
    </xf>
    <xf numFmtId="0" fontId="3" fillId="0" borderId="0" xfId="49" applyFont="1" applyAlignment="1">
      <alignment horizontal="left" wrapText="1"/>
      <protection/>
    </xf>
    <xf numFmtId="0" fontId="6" fillId="0" borderId="0" xfId="0" applyFont="1" applyAlignment="1">
      <alignment horizontal="center"/>
    </xf>
    <xf numFmtId="43" fontId="8" fillId="0" borderId="21" xfId="74" applyFont="1" applyBorder="1" applyAlignment="1">
      <alignment horizontal="center" vertical="center"/>
    </xf>
    <xf numFmtId="43" fontId="8" fillId="0" borderId="23" xfId="74" applyFont="1" applyBorder="1" applyAlignment="1">
      <alignment horizontal="center" vertical="center"/>
    </xf>
    <xf numFmtId="43" fontId="8" fillId="0" borderId="0" xfId="74" applyFont="1" applyBorder="1" applyAlignment="1">
      <alignment horizontal="center" vertical="center"/>
    </xf>
    <xf numFmtId="43" fontId="8" fillId="0" borderId="11" xfId="74" applyFont="1" applyBorder="1" applyAlignment="1">
      <alignment horizontal="center" vertical="center"/>
    </xf>
    <xf numFmtId="43" fontId="8" fillId="0" borderId="10" xfId="74" applyFont="1" applyBorder="1" applyAlignment="1">
      <alignment horizontal="center" vertical="center"/>
    </xf>
    <xf numFmtId="43" fontId="8" fillId="0" borderId="15" xfId="74" applyFont="1" applyBorder="1" applyAlignment="1">
      <alignment horizontal="center" vertical="center"/>
    </xf>
    <xf numFmtId="43" fontId="8" fillId="0" borderId="21" xfId="74" applyFont="1" applyBorder="1" applyAlignment="1">
      <alignment horizontal="center" vertical="center" wrapText="1"/>
    </xf>
    <xf numFmtId="43" fontId="8" fillId="0" borderId="0" xfId="74" applyFont="1" applyBorder="1" applyAlignment="1">
      <alignment horizontal="center" vertical="center" wrapText="1"/>
    </xf>
    <xf numFmtId="43" fontId="8" fillId="0" borderId="10" xfId="74" applyFont="1" applyBorder="1" applyAlignment="1">
      <alignment horizontal="center" vertical="center" wrapText="1"/>
    </xf>
    <xf numFmtId="43" fontId="6" fillId="33" borderId="24" xfId="74" applyFont="1" applyFill="1" applyBorder="1" applyAlignment="1">
      <alignment horizontal="center"/>
    </xf>
    <xf numFmtId="43" fontId="8" fillId="0" borderId="0" xfId="74" applyFont="1" applyBorder="1" applyAlignment="1">
      <alignment horizontal="center"/>
    </xf>
    <xf numFmtId="43" fontId="6" fillId="0" borderId="0" xfId="74" applyFont="1" applyBorder="1" applyAlignment="1">
      <alignment horizontal="center"/>
    </xf>
    <xf numFmtId="43" fontId="8" fillId="0" borderId="10" xfId="74" applyFont="1" applyBorder="1" applyAlignment="1">
      <alignment horizontal="center"/>
    </xf>
    <xf numFmtId="43" fontId="6" fillId="33" borderId="24" xfId="74" applyFont="1" applyFill="1" applyBorder="1" applyAlignment="1">
      <alignment horizontal="center" vertical="top" wrapText="1"/>
    </xf>
    <xf numFmtId="43" fontId="6" fillId="33" borderId="17" xfId="74" applyFont="1" applyFill="1" applyBorder="1" applyAlignment="1">
      <alignment horizontal="center" vertical="top" wrapText="1"/>
    </xf>
    <xf numFmtId="43" fontId="8" fillId="0" borderId="0" xfId="74" applyFont="1" applyBorder="1" applyAlignment="1">
      <alignment horizontal="center" vertical="top" wrapText="1"/>
    </xf>
    <xf numFmtId="43" fontId="8" fillId="0" borderId="11" xfId="74" applyFont="1" applyBorder="1" applyAlignment="1">
      <alignment horizontal="center" vertical="top" wrapText="1"/>
    </xf>
    <xf numFmtId="43" fontId="6" fillId="0" borderId="0" xfId="74" applyFont="1" applyBorder="1" applyAlignment="1">
      <alignment horizontal="center" vertical="top" wrapText="1"/>
    </xf>
    <xf numFmtId="43" fontId="6" fillId="0" borderId="11" xfId="74" applyFont="1" applyBorder="1" applyAlignment="1">
      <alignment horizontal="center" vertical="top" wrapText="1"/>
    </xf>
    <xf numFmtId="43" fontId="8" fillId="0" borderId="10" xfId="74" applyFont="1" applyBorder="1" applyAlignment="1">
      <alignment horizontal="center" vertical="top" wrapText="1"/>
    </xf>
    <xf numFmtId="43" fontId="8" fillId="0" borderId="15" xfId="74" applyFont="1" applyBorder="1" applyAlignment="1">
      <alignment horizontal="center" vertical="top" wrapText="1"/>
    </xf>
    <xf numFmtId="43" fontId="8" fillId="33" borderId="14" xfId="74" applyFont="1" applyFill="1" applyBorder="1" applyAlignment="1">
      <alignment horizontal="center" vertical="top" wrapText="1"/>
    </xf>
    <xf numFmtId="43" fontId="8" fillId="33" borderId="11" xfId="74" applyFont="1" applyFill="1" applyBorder="1" applyAlignment="1">
      <alignment horizontal="center" vertical="top" wrapText="1"/>
    </xf>
    <xf numFmtId="43" fontId="6" fillId="0" borderId="14" xfId="74" applyFont="1" applyBorder="1" applyAlignment="1">
      <alignment horizontal="center" vertical="top" wrapText="1"/>
    </xf>
    <xf numFmtId="43" fontId="6" fillId="0" borderId="22" xfId="74" applyFont="1" applyBorder="1" applyAlignment="1">
      <alignment horizontal="center" vertical="top" wrapText="1"/>
    </xf>
    <xf numFmtId="43" fontId="6" fillId="0" borderId="23" xfId="74" applyFont="1" applyBorder="1" applyAlignment="1">
      <alignment horizontal="center" vertical="top" wrapText="1"/>
    </xf>
    <xf numFmtId="43" fontId="8" fillId="0" borderId="14" xfId="74" applyFont="1" applyBorder="1" applyAlignment="1">
      <alignment horizontal="center" vertical="top" wrapText="1"/>
    </xf>
    <xf numFmtId="43" fontId="6" fillId="0" borderId="21" xfId="74" applyFont="1" applyBorder="1" applyAlignment="1">
      <alignment horizontal="center"/>
    </xf>
    <xf numFmtId="43" fontId="8" fillId="33" borderId="0" xfId="74" applyFont="1" applyFill="1" applyAlignment="1">
      <alignment horizontal="center"/>
    </xf>
    <xf numFmtId="43" fontId="8" fillId="0" borderId="0" xfId="74" applyFont="1" applyAlignment="1">
      <alignment horizontal="center" vertical="top" wrapText="1"/>
    </xf>
    <xf numFmtId="165" fontId="6" fillId="0" borderId="10" xfId="65" applyFont="1" applyFill="1" applyBorder="1" applyAlignment="1">
      <alignment horizontal="center"/>
    </xf>
    <xf numFmtId="165" fontId="6" fillId="0" borderId="15" xfId="65" applyFont="1" applyFill="1" applyBorder="1" applyAlignment="1">
      <alignment horizontal="center"/>
    </xf>
    <xf numFmtId="43" fontId="6" fillId="0" borderId="21" xfId="74" applyFont="1" applyBorder="1" applyAlignment="1">
      <alignment horizontal="center" vertical="top" wrapText="1"/>
    </xf>
    <xf numFmtId="0" fontId="6" fillId="34" borderId="22" xfId="49" applyFont="1" applyFill="1" applyBorder="1" applyAlignment="1">
      <alignment horizontal="center" vertical="center" wrapText="1"/>
      <protection/>
    </xf>
    <xf numFmtId="0" fontId="6" fillId="34" borderId="21" xfId="49" applyFont="1" applyFill="1" applyBorder="1" applyAlignment="1">
      <alignment horizontal="center" vertical="center" wrapText="1"/>
      <protection/>
    </xf>
    <xf numFmtId="0" fontId="6" fillId="34" borderId="23" xfId="49" applyFont="1" applyFill="1" applyBorder="1" applyAlignment="1">
      <alignment horizontal="center" vertical="center" wrapText="1"/>
      <protection/>
    </xf>
    <xf numFmtId="0" fontId="6" fillId="34" borderId="14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  <xf numFmtId="0" fontId="6" fillId="34" borderId="11" xfId="49" applyFont="1" applyFill="1" applyBorder="1" applyAlignment="1">
      <alignment horizontal="center"/>
      <protection/>
    </xf>
    <xf numFmtId="43" fontId="8" fillId="0" borderId="0" xfId="74" applyFont="1" applyAlignment="1">
      <alignment horizontal="center"/>
    </xf>
    <xf numFmtId="43" fontId="6" fillId="0" borderId="0" xfId="74" applyFont="1" applyAlignment="1">
      <alignment horizontal="center"/>
    </xf>
    <xf numFmtId="43" fontId="6" fillId="33" borderId="21" xfId="74" applyFont="1" applyFill="1" applyBorder="1" applyAlignment="1">
      <alignment horizontal="center"/>
    </xf>
    <xf numFmtId="43" fontId="8" fillId="33" borderId="20" xfId="74" applyFont="1" applyFill="1" applyBorder="1" applyAlignment="1">
      <alignment horizontal="center" vertical="top" wrapText="1"/>
    </xf>
    <xf numFmtId="43" fontId="8" fillId="33" borderId="15" xfId="74" applyFont="1" applyFill="1" applyBorder="1" applyAlignment="1">
      <alignment horizontal="center" vertical="top" wrapText="1"/>
    </xf>
    <xf numFmtId="43" fontId="6" fillId="33" borderId="18" xfId="74" applyFont="1" applyFill="1" applyBorder="1" applyAlignment="1">
      <alignment horizontal="center" vertical="top" wrapText="1"/>
    </xf>
    <xf numFmtId="43" fontId="8" fillId="0" borderId="20" xfId="74" applyFont="1" applyBorder="1" applyAlignment="1">
      <alignment horizontal="center" vertical="top" wrapText="1"/>
    </xf>
    <xf numFmtId="43" fontId="6" fillId="0" borderId="0" xfId="74" applyFont="1" applyAlignment="1">
      <alignment horizontal="center" vertical="top" wrapText="1"/>
    </xf>
    <xf numFmtId="43" fontId="6" fillId="0" borderId="24" xfId="74" applyFont="1" applyBorder="1" applyAlignment="1">
      <alignment horizontal="center"/>
    </xf>
    <xf numFmtId="43" fontId="6" fillId="0" borderId="17" xfId="74" applyFont="1" applyBorder="1" applyAlignment="1">
      <alignment horizontal="center"/>
    </xf>
    <xf numFmtId="43" fontId="6" fillId="33" borderId="24" xfId="74" applyFont="1" applyFill="1" applyBorder="1" applyAlignment="1">
      <alignment horizontal="center" wrapText="1"/>
    </xf>
    <xf numFmtId="43" fontId="6" fillId="33" borderId="17" xfId="74" applyFont="1" applyFill="1" applyBorder="1" applyAlignment="1">
      <alignment horizontal="center" wrapText="1"/>
    </xf>
    <xf numFmtId="0" fontId="6" fillId="34" borderId="0" xfId="49" applyFont="1" applyFill="1" applyAlignment="1">
      <alignment horizontal="center"/>
      <protection/>
    </xf>
    <xf numFmtId="43" fontId="8" fillId="0" borderId="15" xfId="74" applyFont="1" applyBorder="1" applyAlignment="1">
      <alignment horizontal="center" vertical="center" wrapText="1"/>
    </xf>
    <xf numFmtId="0" fontId="6" fillId="34" borderId="21" xfId="49" applyFont="1" applyFill="1" applyBorder="1" applyAlignment="1">
      <alignment horizontal="center"/>
      <protection/>
    </xf>
    <xf numFmtId="0" fontId="6" fillId="34" borderId="23" xfId="49" applyFont="1" applyFill="1" applyBorder="1" applyAlignment="1">
      <alignment horizontal="center"/>
      <protection/>
    </xf>
    <xf numFmtId="0" fontId="6" fillId="34" borderId="22" xfId="49" applyFont="1" applyFill="1" applyBorder="1" applyAlignment="1">
      <alignment horizontal="center"/>
      <protection/>
    </xf>
    <xf numFmtId="43" fontId="6" fillId="33" borderId="0" xfId="74" applyFont="1" applyFill="1" applyAlignment="1">
      <alignment horizontal="center"/>
    </xf>
    <xf numFmtId="43" fontId="6" fillId="0" borderId="11" xfId="74" applyFont="1" applyBorder="1" applyAlignment="1">
      <alignment horizontal="center"/>
    </xf>
    <xf numFmtId="43" fontId="8" fillId="0" borderId="11" xfId="74" applyFont="1" applyBorder="1" applyAlignment="1">
      <alignment horizontal="center"/>
    </xf>
    <xf numFmtId="43" fontId="8" fillId="0" borderId="0" xfId="74" applyFont="1" applyAlignment="1">
      <alignment horizontal="center" vertical="center" wrapText="1"/>
    </xf>
    <xf numFmtId="43" fontId="8" fillId="0" borderId="11" xfId="74" applyFont="1" applyBorder="1" applyAlignment="1">
      <alignment horizontal="center" vertical="center" wrapText="1"/>
    </xf>
    <xf numFmtId="43" fontId="6" fillId="33" borderId="11" xfId="74" applyFont="1" applyFill="1" applyBorder="1" applyAlignment="1">
      <alignment horizontal="center"/>
    </xf>
    <xf numFmtId="0" fontId="6" fillId="34" borderId="20" xfId="49" applyFont="1" applyFill="1" applyBorder="1" applyAlignment="1">
      <alignment horizontal="center"/>
      <protection/>
    </xf>
    <xf numFmtId="0" fontId="6" fillId="34" borderId="10" xfId="49" applyFont="1" applyFill="1" applyBorder="1" applyAlignment="1">
      <alignment horizontal="center"/>
      <protection/>
    </xf>
    <xf numFmtId="0" fontId="6" fillId="34" borderId="15" xfId="49" applyFont="1" applyFill="1" applyBorder="1" applyAlignment="1">
      <alignment horizontal="center"/>
      <protection/>
    </xf>
    <xf numFmtId="43" fontId="6" fillId="0" borderId="23" xfId="74" applyFont="1" applyBorder="1" applyAlignment="1">
      <alignment horizontal="center"/>
    </xf>
    <xf numFmtId="0" fontId="8" fillId="0" borderId="0" xfId="49" applyFont="1" applyAlignment="1">
      <alignment horizontal="center" vertical="top" wrapText="1"/>
      <protection/>
    </xf>
    <xf numFmtId="0" fontId="6" fillId="0" borderId="0" xfId="49" applyFont="1" applyAlignment="1">
      <alignment horizontal="center"/>
      <protection/>
    </xf>
    <xf numFmtId="0" fontId="11" fillId="34" borderId="21" xfId="49" applyFont="1" applyFill="1" applyBorder="1" applyAlignment="1">
      <alignment horizontal="center" vertical="center"/>
      <protection/>
    </xf>
    <xf numFmtId="0" fontId="6" fillId="34" borderId="11" xfId="49" applyFont="1" applyFill="1" applyBorder="1" applyAlignment="1">
      <alignment horizontal="center" vertical="center" wrapText="1"/>
      <protection/>
    </xf>
    <xf numFmtId="0" fontId="6" fillId="34" borderId="15" xfId="49" applyFont="1" applyFill="1" applyBorder="1" applyAlignment="1">
      <alignment horizontal="center" vertical="center" wrapText="1"/>
      <protection/>
    </xf>
    <xf numFmtId="0" fontId="6" fillId="34" borderId="21" xfId="49" applyFont="1" applyFill="1" applyBorder="1" applyAlignment="1">
      <alignment horizontal="center" wrapText="1"/>
      <protection/>
    </xf>
    <xf numFmtId="0" fontId="6" fillId="34" borderId="23" xfId="49" applyFont="1" applyFill="1" applyBorder="1" applyAlignment="1">
      <alignment horizontal="center" wrapText="1"/>
      <protection/>
    </xf>
    <xf numFmtId="0" fontId="6" fillId="34" borderId="22" xfId="51" applyFont="1" applyFill="1" applyBorder="1" applyAlignment="1">
      <alignment horizontal="center" vertical="center" wrapText="1"/>
      <protection/>
    </xf>
    <xf numFmtId="0" fontId="6" fillId="34" borderId="21" xfId="51" applyFont="1" applyFill="1" applyBorder="1" applyAlignment="1">
      <alignment horizontal="center" vertical="center" wrapText="1"/>
      <protection/>
    </xf>
    <xf numFmtId="0" fontId="6" fillId="34" borderId="14" xfId="51" applyFont="1" applyFill="1" applyBorder="1" applyAlignment="1">
      <alignment horizontal="center" wrapText="1"/>
      <protection/>
    </xf>
    <xf numFmtId="0" fontId="6" fillId="34" borderId="0" xfId="51" applyFont="1" applyFill="1" applyBorder="1" applyAlignment="1">
      <alignment horizontal="center" wrapText="1"/>
      <protection/>
    </xf>
    <xf numFmtId="0" fontId="6" fillId="34" borderId="20" xfId="51" applyFont="1" applyFill="1" applyBorder="1" applyAlignment="1">
      <alignment horizontal="center"/>
      <protection/>
    </xf>
    <xf numFmtId="0" fontId="6" fillId="34" borderId="10" xfId="51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6" fillId="34" borderId="14" xfId="51" applyFont="1" applyFill="1" applyBorder="1" applyAlignment="1">
      <alignment horizontal="center" vertical="center" wrapText="1"/>
      <protection/>
    </xf>
    <xf numFmtId="0" fontId="6" fillId="34" borderId="0" xfId="51" applyFont="1" applyFill="1" applyAlignment="1">
      <alignment horizontal="center" vertical="center" wrapText="1"/>
      <protection/>
    </xf>
    <xf numFmtId="0" fontId="6" fillId="34" borderId="23" xfId="49" applyFont="1" applyFill="1" applyBorder="1" applyAlignment="1">
      <alignment horizontal="center" vertical="center"/>
      <protection/>
    </xf>
    <xf numFmtId="0" fontId="6" fillId="34" borderId="15" xfId="49" applyFont="1" applyFill="1" applyBorder="1" applyAlignment="1">
      <alignment horizontal="center" vertical="center"/>
      <protection/>
    </xf>
    <xf numFmtId="43" fontId="8" fillId="0" borderId="22" xfId="74" applyFont="1" applyBorder="1" applyAlignment="1">
      <alignment horizontal="center" vertical="center"/>
    </xf>
    <xf numFmtId="0" fontId="3" fillId="0" borderId="0" xfId="51" applyFont="1" applyAlignment="1">
      <alignment horizontal="center" vertical="center"/>
      <protection/>
    </xf>
    <xf numFmtId="0" fontId="3" fillId="0" borderId="0" xfId="49" applyFont="1" applyAlignment="1">
      <alignment horizontal="center" vertical="center" wrapText="1"/>
      <protection/>
    </xf>
    <xf numFmtId="0" fontId="6" fillId="34" borderId="24" xfId="49" applyFont="1" applyFill="1" applyBorder="1" applyAlignment="1">
      <alignment horizontal="center" vertical="top"/>
      <protection/>
    </xf>
    <xf numFmtId="0" fontId="6" fillId="34" borderId="0" xfId="49" applyFont="1" applyFill="1" applyAlignment="1">
      <alignment horizontal="center" vertical="center" wrapText="1"/>
      <protection/>
    </xf>
    <xf numFmtId="0" fontId="6" fillId="34" borderId="20" xfId="49" applyFont="1" applyFill="1" applyBorder="1" applyAlignment="1">
      <alignment horizontal="center" vertical="center"/>
      <protection/>
    </xf>
    <xf numFmtId="0" fontId="6" fillId="34" borderId="10" xfId="49" applyFont="1" applyFill="1" applyBorder="1" applyAlignment="1">
      <alignment horizontal="center" vertical="center"/>
      <protection/>
    </xf>
    <xf numFmtId="0" fontId="6" fillId="34" borderId="20" xfId="49" applyFont="1" applyFill="1" applyBorder="1" applyAlignment="1">
      <alignment horizontal="center" vertical="center" wrapText="1"/>
      <protection/>
    </xf>
    <xf numFmtId="0" fontId="6" fillId="34" borderId="10" xfId="49" applyFont="1" applyFill="1" applyBorder="1" applyAlignment="1">
      <alignment horizontal="center" vertical="center" wrapText="1"/>
      <protection/>
    </xf>
    <xf numFmtId="0" fontId="6" fillId="34" borderId="0" xfId="49" applyFont="1" applyFill="1" applyBorder="1" applyAlignment="1">
      <alignment horizontal="center" vertical="center"/>
      <protection/>
    </xf>
    <xf numFmtId="0" fontId="6" fillId="34" borderId="11" xfId="49" applyFont="1" applyFill="1" applyBorder="1" applyAlignment="1">
      <alignment horizontal="center" vertical="center"/>
      <protection/>
    </xf>
    <xf numFmtId="0" fontId="6" fillId="34" borderId="14" xfId="49" applyFont="1" applyFill="1" applyBorder="1" applyAlignment="1">
      <alignment horizontal="center" vertical="center" wrapText="1"/>
      <protection/>
    </xf>
    <xf numFmtId="0" fontId="6" fillId="34" borderId="0" xfId="49" applyFont="1" applyFill="1" applyBorder="1" applyAlignment="1">
      <alignment horizontal="center" vertical="center" wrapText="1"/>
      <protection/>
    </xf>
    <xf numFmtId="43" fontId="8" fillId="0" borderId="22" xfId="74" applyFont="1" applyBorder="1" applyAlignment="1">
      <alignment horizontal="center" vertical="center" wrapText="1"/>
    </xf>
    <xf numFmtId="43" fontId="8" fillId="0" borderId="22" xfId="49" applyNumberFormat="1" applyFont="1" applyBorder="1" applyAlignment="1">
      <alignment horizontal="center" vertical="center" wrapText="1"/>
      <protection/>
    </xf>
    <xf numFmtId="0" fontId="8" fillId="0" borderId="21" xfId="49" applyFont="1" applyBorder="1" applyAlignment="1">
      <alignment horizontal="center" vertical="center" wrapText="1"/>
      <protection/>
    </xf>
    <xf numFmtId="0" fontId="8" fillId="0" borderId="23" xfId="49" applyFont="1" applyBorder="1" applyAlignment="1">
      <alignment horizontal="center" vertical="center" wrapText="1"/>
      <protection/>
    </xf>
    <xf numFmtId="43" fontId="8" fillId="0" borderId="0" xfId="49" applyNumberFormat="1" applyFont="1" applyAlignment="1">
      <alignment horizontal="center" vertical="center" wrapText="1"/>
      <protection/>
    </xf>
    <xf numFmtId="0" fontId="8" fillId="0" borderId="0" xfId="49" applyFont="1" applyAlignment="1">
      <alignment horizontal="center" vertical="center" wrapText="1"/>
      <protection/>
    </xf>
    <xf numFmtId="43" fontId="8" fillId="0" borderId="14" xfId="74" applyFont="1" applyBorder="1" applyAlignment="1">
      <alignment horizontal="center" vertical="center" wrapText="1"/>
    </xf>
    <xf numFmtId="43" fontId="6" fillId="0" borderId="22" xfId="74" applyFont="1" applyBorder="1" applyAlignment="1">
      <alignment horizontal="center" vertical="center"/>
    </xf>
    <xf numFmtId="43" fontId="6" fillId="0" borderId="23" xfId="74" applyFont="1" applyBorder="1" applyAlignment="1">
      <alignment horizontal="center" vertical="center"/>
    </xf>
    <xf numFmtId="43" fontId="6" fillId="0" borderId="22" xfId="74" applyFont="1" applyBorder="1" applyAlignment="1">
      <alignment horizontal="center" vertical="center" wrapText="1"/>
    </xf>
    <xf numFmtId="43" fontId="6" fillId="0" borderId="23" xfId="74" applyFont="1" applyBorder="1" applyAlignment="1">
      <alignment horizontal="center" vertical="center" wrapText="1"/>
    </xf>
    <xf numFmtId="0" fontId="11" fillId="34" borderId="24" xfId="49" applyFont="1" applyFill="1" applyBorder="1" applyAlignment="1">
      <alignment horizontal="center" vertical="center"/>
      <protection/>
    </xf>
    <xf numFmtId="43" fontId="8" fillId="0" borderId="20" xfId="74" applyFont="1" applyBorder="1" applyAlignment="1">
      <alignment horizontal="center" vertical="center"/>
    </xf>
    <xf numFmtId="43" fontId="8" fillId="0" borderId="0" xfId="74" applyFont="1" applyAlignment="1">
      <alignment horizontal="center" vertical="center"/>
    </xf>
    <xf numFmtId="0" fontId="6" fillId="34" borderId="21" xfId="49" applyFont="1" applyFill="1" applyBorder="1" applyAlignment="1">
      <alignment horizontal="center" vertical="center"/>
      <protection/>
    </xf>
    <xf numFmtId="43" fontId="8" fillId="0" borderId="14" xfId="74" applyFont="1" applyBorder="1" applyAlignment="1">
      <alignment horizontal="center" vertical="center"/>
    </xf>
    <xf numFmtId="43" fontId="8" fillId="0" borderId="22" xfId="74" applyFont="1" applyBorder="1" applyAlignment="1">
      <alignment horizontal="center" vertical="top" wrapText="1"/>
    </xf>
    <xf numFmtId="43" fontId="8" fillId="0" borderId="23" xfId="74" applyFont="1" applyBorder="1" applyAlignment="1">
      <alignment horizontal="center" vertical="top" wrapText="1"/>
    </xf>
    <xf numFmtId="0" fontId="8" fillId="0" borderId="0" xfId="49" applyFont="1" applyAlignment="1">
      <alignment horizontal="left" wrapText="1"/>
      <protection/>
    </xf>
    <xf numFmtId="0" fontId="8" fillId="0" borderId="11" xfId="49" applyFont="1" applyBorder="1" applyAlignment="1">
      <alignment horizontal="left" wrapText="1"/>
      <protection/>
    </xf>
    <xf numFmtId="0" fontId="8" fillId="0" borderId="10" xfId="49" applyFont="1" applyBorder="1" applyAlignment="1">
      <alignment horizontal="left" wrapText="1"/>
      <protection/>
    </xf>
    <xf numFmtId="0" fontId="8" fillId="0" borderId="15" xfId="49" applyFont="1" applyBorder="1" applyAlignment="1">
      <alignment horizontal="left" wrapText="1"/>
      <protection/>
    </xf>
    <xf numFmtId="0" fontId="6" fillId="34" borderId="22" xfId="49" applyFont="1" applyFill="1" applyBorder="1" applyAlignment="1">
      <alignment horizontal="center" vertical="center"/>
      <protection/>
    </xf>
    <xf numFmtId="43" fontId="6" fillId="0" borderId="24" xfId="74" applyFont="1" applyBorder="1" applyAlignment="1">
      <alignment horizontal="center" vertical="top" wrapText="1"/>
    </xf>
    <xf numFmtId="0" fontId="6" fillId="34" borderId="14" xfId="49" applyFont="1" applyFill="1" applyBorder="1" applyAlignment="1">
      <alignment horizontal="center" vertical="center"/>
      <protection/>
    </xf>
    <xf numFmtId="0" fontId="6" fillId="34" borderId="0" xfId="49" applyFont="1" applyFill="1" applyAlignment="1">
      <alignment horizontal="center" vertical="center"/>
      <protection/>
    </xf>
    <xf numFmtId="43" fontId="6" fillId="0" borderId="18" xfId="74" applyFont="1" applyBorder="1" applyAlignment="1">
      <alignment horizontal="center" vertical="center"/>
    </xf>
    <xf numFmtId="43" fontId="6" fillId="0" borderId="24" xfId="74" applyFont="1" applyBorder="1" applyAlignment="1">
      <alignment horizontal="center" vertical="center"/>
    </xf>
    <xf numFmtId="43" fontId="6" fillId="0" borderId="17" xfId="74" applyFont="1" applyBorder="1" applyAlignment="1">
      <alignment horizontal="center" vertical="center"/>
    </xf>
    <xf numFmtId="43" fontId="6" fillId="0" borderId="18" xfId="74" applyFont="1" applyBorder="1" applyAlignment="1">
      <alignment horizontal="center" vertical="top" wrapText="1"/>
    </xf>
    <xf numFmtId="43" fontId="8" fillId="0" borderId="14" xfId="74" applyFont="1" applyBorder="1" applyAlignment="1">
      <alignment horizontal="center"/>
    </xf>
    <xf numFmtId="43" fontId="8" fillId="0" borderId="20" xfId="74" applyFont="1" applyBorder="1" applyAlignment="1">
      <alignment horizontal="center"/>
    </xf>
    <xf numFmtId="43" fontId="8" fillId="0" borderId="15" xfId="74" applyFont="1" applyBorder="1" applyAlignment="1">
      <alignment horizontal="center"/>
    </xf>
    <xf numFmtId="43" fontId="6" fillId="0" borderId="22" xfId="74" applyFont="1" applyBorder="1" applyAlignment="1">
      <alignment horizontal="center"/>
    </xf>
    <xf numFmtId="0" fontId="3" fillId="0" borderId="0" xfId="49" applyFont="1" applyAlignment="1">
      <alignment horizontal="left" vertical="top" wrapText="1"/>
      <protection/>
    </xf>
    <xf numFmtId="0" fontId="9" fillId="0" borderId="0" xfId="49" applyFont="1" applyAlignment="1">
      <alignment horizontal="left" vertical="top" wrapText="1"/>
      <protection/>
    </xf>
    <xf numFmtId="0" fontId="3" fillId="0" borderId="0" xfId="49" applyFont="1" applyAlignment="1">
      <alignment horizontal="left" vertical="center" wrapText="1"/>
      <protection/>
    </xf>
    <xf numFmtId="0" fontId="6" fillId="34" borderId="24" xfId="49" applyFont="1" applyFill="1" applyBorder="1" applyAlignment="1">
      <alignment horizontal="center" vertical="center" wrapText="1"/>
      <protection/>
    </xf>
    <xf numFmtId="0" fontId="6" fillId="34" borderId="23" xfId="51" applyFont="1" applyFill="1" applyBorder="1" applyAlignment="1">
      <alignment horizontal="center" vertical="center" wrapText="1"/>
      <protection/>
    </xf>
    <xf numFmtId="43" fontId="6" fillId="0" borderId="17" xfId="74" applyFont="1" applyBorder="1" applyAlignment="1">
      <alignment horizontal="center" vertical="top" wrapText="1"/>
    </xf>
    <xf numFmtId="0" fontId="6" fillId="34" borderId="0" xfId="51" applyFont="1" applyFill="1" applyBorder="1" applyAlignment="1">
      <alignment horizontal="center" vertical="center" wrapText="1"/>
      <protection/>
    </xf>
    <xf numFmtId="0" fontId="6" fillId="34" borderId="11" xfId="51" applyFont="1" applyFill="1" applyBorder="1" applyAlignment="1">
      <alignment horizontal="center" vertical="center" wrapText="1"/>
      <protection/>
    </xf>
    <xf numFmtId="0" fontId="8" fillId="0" borderId="21" xfId="49" applyFont="1" applyBorder="1" applyAlignment="1">
      <alignment horizontal="left"/>
      <protection/>
    </xf>
    <xf numFmtId="0" fontId="8" fillId="0" borderId="23" xfId="49" applyFont="1" applyBorder="1" applyAlignment="1">
      <alignment horizontal="left"/>
      <protection/>
    </xf>
    <xf numFmtId="0" fontId="6" fillId="0" borderId="24" xfId="49" applyFont="1" applyBorder="1" applyAlignment="1">
      <alignment horizontal="left" wrapText="1"/>
      <protection/>
    </xf>
    <xf numFmtId="0" fontId="6" fillId="0" borderId="17" xfId="49" applyFont="1" applyBorder="1" applyAlignment="1">
      <alignment horizontal="left" wrapText="1"/>
      <protection/>
    </xf>
    <xf numFmtId="43" fontId="8" fillId="0" borderId="21" xfId="74" applyFont="1" applyBorder="1" applyAlignment="1">
      <alignment horizontal="center" vertical="top" wrapText="1"/>
    </xf>
    <xf numFmtId="43" fontId="8" fillId="0" borderId="21" xfId="74" applyFont="1" applyBorder="1" applyAlignment="1">
      <alignment horizontal="center"/>
    </xf>
    <xf numFmtId="165" fontId="8" fillId="0" borderId="0" xfId="65" applyFont="1" applyFill="1" applyBorder="1" applyAlignment="1">
      <alignment horizontal="center"/>
    </xf>
    <xf numFmtId="43" fontId="8" fillId="0" borderId="23" xfId="74" applyFont="1" applyBorder="1" applyAlignment="1">
      <alignment horizontal="center"/>
    </xf>
    <xf numFmtId="43" fontId="8" fillId="0" borderId="22" xfId="74" applyFont="1" applyBorder="1" applyAlignment="1">
      <alignment horizontal="center"/>
    </xf>
    <xf numFmtId="43" fontId="6" fillId="0" borderId="18" xfId="74" applyFont="1" applyBorder="1" applyAlignment="1">
      <alignment horizontal="center"/>
    </xf>
    <xf numFmtId="43" fontId="6" fillId="0" borderId="14" xfId="74" applyFont="1" applyBorder="1" applyAlignment="1">
      <alignment horizontal="center"/>
    </xf>
    <xf numFmtId="0" fontId="3" fillId="0" borderId="0" xfId="0" applyFont="1" applyAlignment="1">
      <alignment horizontal="justify" wrapText="1"/>
    </xf>
    <xf numFmtId="0" fontId="3" fillId="0" borderId="0" xfId="49" applyFont="1" applyFill="1" applyAlignment="1">
      <alignment horizontal="center"/>
      <protection/>
    </xf>
    <xf numFmtId="43" fontId="3" fillId="0" borderId="0" xfId="74" applyFont="1" applyFill="1" applyAlignment="1">
      <alignment/>
    </xf>
    <xf numFmtId="0" fontId="57" fillId="0" borderId="0" xfId="0" applyFont="1" applyFill="1" applyAlignment="1">
      <alignment/>
    </xf>
    <xf numFmtId="0" fontId="58" fillId="0" borderId="0" xfId="49" applyFont="1" applyFill="1">
      <alignment/>
      <protection/>
    </xf>
    <xf numFmtId="43" fontId="3" fillId="0" borderId="0" xfId="49" applyNumberFormat="1" applyFont="1" applyFill="1">
      <alignment/>
      <protection/>
    </xf>
    <xf numFmtId="43" fontId="3" fillId="0" borderId="0" xfId="74" applyFont="1" applyFill="1" applyAlignment="1">
      <alignment horizontal="center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rmal 4" xfId="52"/>
    <cellStyle name="Normal 4 2" xfId="53"/>
    <cellStyle name="Normal 4 2 2" xfId="54"/>
    <cellStyle name="Normal 4 2 3" xfId="55"/>
    <cellStyle name="Normal 5" xfId="56"/>
    <cellStyle name="Normal 6" xfId="57"/>
    <cellStyle name="Normal 7" xfId="58"/>
    <cellStyle name="Normal 7 2" xfId="59"/>
    <cellStyle name="Nota" xfId="60"/>
    <cellStyle name="Percent" xfId="61"/>
    <cellStyle name="Ruim" xfId="62"/>
    <cellStyle name="Saída" xfId="63"/>
    <cellStyle name="Comma [0]" xfId="64"/>
    <cellStyle name="Separador de milhares 2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  <cellStyle name="Vírgula 2" xfId="75"/>
    <cellStyle name="Vírgula 3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195</xdr:row>
      <xdr:rowOff>142875</xdr:rowOff>
    </xdr:from>
    <xdr:to>
      <xdr:col>2</xdr:col>
      <xdr:colOff>895350</xdr:colOff>
      <xdr:row>198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538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124</xdr:row>
      <xdr:rowOff>152400</xdr:rowOff>
    </xdr:from>
    <xdr:to>
      <xdr:col>2</xdr:col>
      <xdr:colOff>895350</xdr:colOff>
      <xdr:row>127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62794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64</xdr:row>
      <xdr:rowOff>133350</xdr:rowOff>
    </xdr:from>
    <xdr:to>
      <xdr:col>2</xdr:col>
      <xdr:colOff>847725</xdr:colOff>
      <xdr:row>67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2753975"/>
          <a:ext cx="657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0</xdr:row>
      <xdr:rowOff>123825</xdr:rowOff>
    </xdr:from>
    <xdr:to>
      <xdr:col>2</xdr:col>
      <xdr:colOff>933450</xdr:colOff>
      <xdr:row>3</xdr:row>
      <xdr:rowOff>180975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12382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241</xdr:row>
      <xdr:rowOff>57150</xdr:rowOff>
    </xdr:from>
    <xdr:to>
      <xdr:col>10</xdr:col>
      <xdr:colOff>657225</xdr:colOff>
      <xdr:row>266</xdr:row>
      <xdr:rowOff>28575</xdr:rowOff>
    </xdr:to>
    <xdr:pic>
      <xdr:nvPicPr>
        <xdr:cNvPr id="5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49472850"/>
          <a:ext cx="16278225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zoomScalePageLayoutView="0" workbookViewId="0" topLeftCell="A1">
      <selection activeCell="B33" sqref="B33"/>
    </sheetView>
  </sheetViews>
  <sheetFormatPr defaultColWidth="9.140625" defaultRowHeight="11.25" customHeight="1"/>
  <cols>
    <col min="1" max="1" width="59.28125" style="112" customWidth="1"/>
    <col min="2" max="2" width="10.7109375" style="112" customWidth="1"/>
    <col min="3" max="3" width="12.7109375" style="112" customWidth="1"/>
    <col min="4" max="5" width="11.7109375" style="112" customWidth="1"/>
    <col min="6" max="6" width="10.7109375" style="112" customWidth="1"/>
    <col min="7" max="8" width="11.7109375" style="112" customWidth="1"/>
    <col min="9" max="9" width="10.7109375" style="112" customWidth="1"/>
    <col min="10" max="11" width="11.7109375" style="112" customWidth="1"/>
    <col min="12" max="12" width="10.7109375" style="112" customWidth="1"/>
    <col min="13" max="13" width="13.8515625" style="112" customWidth="1"/>
    <col min="14" max="14" width="18.57421875" style="112" customWidth="1"/>
    <col min="15" max="15" width="6.57421875" style="112" customWidth="1"/>
    <col min="16" max="17" width="15.421875" style="112" customWidth="1"/>
    <col min="18" max="18" width="22.00390625" style="112" customWidth="1"/>
    <col min="19" max="19" width="13.421875" style="112" customWidth="1"/>
    <col min="20" max="16384" width="9.140625" style="112" customWidth="1"/>
  </cols>
  <sheetData>
    <row r="1" ht="15">
      <c r="A1" s="117" t="s">
        <v>0</v>
      </c>
    </row>
    <row r="2" ht="11.25" customHeight="1">
      <c r="A2" s="114"/>
    </row>
    <row r="3" spans="1:11" ht="11.25" customHeight="1">
      <c r="A3" s="328" t="s">
        <v>1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11.25" customHeight="1">
      <c r="A4" s="329" t="s">
        <v>2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</row>
    <row r="5" spans="1:11" ht="11.25" customHeight="1">
      <c r="A5" s="330" t="s">
        <v>3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</row>
    <row r="6" spans="1:11" ht="11.25" customHeight="1">
      <c r="A6" s="328" t="s">
        <v>4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</row>
    <row r="7" spans="1:11" ht="11.25" customHeight="1">
      <c r="A7" s="329" t="s">
        <v>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</row>
    <row r="8" spans="1:11" ht="11.25" customHeight="1">
      <c r="A8" s="27"/>
      <c r="B8" s="27"/>
      <c r="C8" s="27"/>
      <c r="D8" s="27"/>
      <c r="E8" s="27"/>
      <c r="F8" s="27"/>
      <c r="G8" s="27"/>
      <c r="H8" s="27"/>
      <c r="I8" s="131"/>
      <c r="J8" s="131"/>
      <c r="K8" s="131"/>
    </row>
    <row r="9" spans="1:12" ht="11.25" customHeight="1">
      <c r="A9" s="113" t="s">
        <v>6</v>
      </c>
      <c r="E9" s="28"/>
      <c r="H9" s="29"/>
      <c r="I9" s="131"/>
      <c r="J9" s="2"/>
      <c r="L9" s="2" t="s">
        <v>7</v>
      </c>
    </row>
    <row r="10" spans="1:12" ht="11.25" customHeight="1">
      <c r="A10" s="30"/>
      <c r="B10" s="286" t="s">
        <v>8</v>
      </c>
      <c r="C10" s="287"/>
      <c r="D10" s="286" t="s">
        <v>9</v>
      </c>
      <c r="E10" s="287"/>
      <c r="F10" s="290" t="s">
        <v>10</v>
      </c>
      <c r="G10" s="291"/>
      <c r="H10" s="291"/>
      <c r="I10" s="291"/>
      <c r="J10" s="291"/>
      <c r="K10" s="292"/>
      <c r="L10" s="31" t="s">
        <v>11</v>
      </c>
    </row>
    <row r="11" spans="1:12" ht="12.75" customHeight="1">
      <c r="A11" s="32" t="s">
        <v>12</v>
      </c>
      <c r="B11" s="288"/>
      <c r="C11" s="289"/>
      <c r="D11" s="288"/>
      <c r="E11" s="289"/>
      <c r="F11" s="293" t="s">
        <v>13</v>
      </c>
      <c r="G11" s="294"/>
      <c r="H11" s="33" t="s">
        <v>14</v>
      </c>
      <c r="I11" s="295" t="s">
        <v>15</v>
      </c>
      <c r="J11" s="296"/>
      <c r="K11" s="118" t="s">
        <v>14</v>
      </c>
      <c r="L11" s="34"/>
    </row>
    <row r="12" spans="1:12" ht="11.25" customHeight="1">
      <c r="A12" s="35"/>
      <c r="B12" s="36"/>
      <c r="C12" s="37"/>
      <c r="D12" s="308" t="s">
        <v>16</v>
      </c>
      <c r="E12" s="309"/>
      <c r="F12" s="308" t="s">
        <v>17</v>
      </c>
      <c r="G12" s="309"/>
      <c r="H12" s="38" t="s">
        <v>18</v>
      </c>
      <c r="I12" s="308" t="s">
        <v>19</v>
      </c>
      <c r="J12" s="309"/>
      <c r="K12" s="119" t="s">
        <v>20</v>
      </c>
      <c r="L12" s="39" t="s">
        <v>21</v>
      </c>
    </row>
    <row r="13" spans="1:12" ht="12.75">
      <c r="A13" s="49" t="s">
        <v>132</v>
      </c>
      <c r="B13" s="22"/>
      <c r="C13" s="45"/>
      <c r="F13" s="22"/>
      <c r="G13" s="46"/>
      <c r="H13" s="21"/>
      <c r="I13" s="47"/>
      <c r="J13" s="45"/>
      <c r="K13" s="44"/>
      <c r="L13" s="44"/>
    </row>
    <row r="14" spans="1:12" ht="12.75">
      <c r="A14" s="50" t="s">
        <v>74</v>
      </c>
      <c r="B14" s="51"/>
      <c r="C14" s="52"/>
      <c r="D14" s="313"/>
      <c r="E14" s="314"/>
      <c r="F14" s="51"/>
      <c r="G14" s="53"/>
      <c r="H14" s="54"/>
      <c r="I14" s="55"/>
      <c r="J14" s="52"/>
      <c r="K14" s="56"/>
      <c r="L14" s="56"/>
    </row>
    <row r="15" spans="1:12" ht="12.75">
      <c r="A15" s="57" t="s">
        <v>75</v>
      </c>
      <c r="B15" s="41"/>
      <c r="C15" s="58"/>
      <c r="D15" s="16"/>
      <c r="F15" s="41"/>
      <c r="G15" s="42"/>
      <c r="H15" s="41"/>
      <c r="I15" s="43"/>
      <c r="J15" s="40"/>
      <c r="K15" s="133"/>
      <c r="L15" s="59"/>
    </row>
    <row r="16" spans="1:12" ht="12.75">
      <c r="A16" s="20" t="s">
        <v>76</v>
      </c>
      <c r="B16" s="22"/>
      <c r="C16" s="60"/>
      <c r="D16" s="8"/>
      <c r="F16" s="22"/>
      <c r="G16" s="46"/>
      <c r="H16" s="22"/>
      <c r="I16" s="47"/>
      <c r="J16" s="45"/>
      <c r="K16" s="134"/>
      <c r="L16" s="61"/>
    </row>
    <row r="17" spans="1:12" ht="12.75">
      <c r="A17" s="20" t="s">
        <v>77</v>
      </c>
      <c r="B17" s="22"/>
      <c r="C17" s="60"/>
      <c r="D17" s="8"/>
      <c r="F17" s="22"/>
      <c r="G17" s="46"/>
      <c r="H17" s="22"/>
      <c r="I17" s="47"/>
      <c r="J17" s="45"/>
      <c r="K17" s="134"/>
      <c r="L17" s="61"/>
    </row>
    <row r="18" spans="1:12" ht="12.75">
      <c r="A18" s="107" t="s">
        <v>78</v>
      </c>
      <c r="B18" s="22"/>
      <c r="C18" s="60"/>
      <c r="D18" s="8"/>
      <c r="F18" s="22"/>
      <c r="G18" s="46"/>
      <c r="H18" s="22"/>
      <c r="I18" s="47"/>
      <c r="J18" s="45"/>
      <c r="K18" s="134"/>
      <c r="L18" s="61"/>
    </row>
    <row r="19" spans="1:12" ht="12.75">
      <c r="A19" s="20" t="s">
        <v>79</v>
      </c>
      <c r="B19" s="22"/>
      <c r="C19" s="60"/>
      <c r="D19" s="8"/>
      <c r="F19" s="22"/>
      <c r="G19" s="46"/>
      <c r="H19" s="22"/>
      <c r="I19" s="47"/>
      <c r="J19" s="45"/>
      <c r="K19" s="134"/>
      <c r="L19" s="61"/>
    </row>
    <row r="20" spans="1:12" ht="12.75">
      <c r="A20" s="20" t="s">
        <v>77</v>
      </c>
      <c r="B20" s="22"/>
      <c r="C20" s="60"/>
      <c r="D20" s="8"/>
      <c r="F20" s="22"/>
      <c r="G20" s="46"/>
      <c r="H20" s="22"/>
      <c r="I20" s="47"/>
      <c r="J20" s="45"/>
      <c r="K20" s="134"/>
      <c r="L20" s="61"/>
    </row>
    <row r="21" spans="1:12" ht="12.75">
      <c r="A21" s="107" t="s">
        <v>78</v>
      </c>
      <c r="B21" s="62"/>
      <c r="C21" s="63"/>
      <c r="D21" s="14"/>
      <c r="F21" s="62"/>
      <c r="G21" s="64"/>
      <c r="H21" s="62"/>
      <c r="I21" s="65"/>
      <c r="J21" s="66"/>
      <c r="K21" s="127"/>
      <c r="L21" s="67"/>
    </row>
    <row r="22" spans="1:12" ht="12.75">
      <c r="A22" s="50" t="s">
        <v>80</v>
      </c>
      <c r="B22" s="315"/>
      <c r="C22" s="316"/>
      <c r="D22" s="325"/>
      <c r="E22" s="325"/>
      <c r="F22" s="315"/>
      <c r="G22" s="316"/>
      <c r="H22" s="103"/>
      <c r="I22" s="326" t="s">
        <v>133</v>
      </c>
      <c r="J22" s="327"/>
      <c r="K22" s="68"/>
      <c r="L22" s="68"/>
    </row>
    <row r="23" spans="1:12" ht="15" customHeight="1">
      <c r="A23" s="50" t="s">
        <v>81</v>
      </c>
      <c r="B23" s="320"/>
      <c r="C23" s="322"/>
      <c r="D23" s="320"/>
      <c r="E23" s="322"/>
      <c r="F23" s="320"/>
      <c r="G23" s="322"/>
      <c r="H23" s="69"/>
      <c r="I23" s="315" t="s">
        <v>134</v>
      </c>
      <c r="J23" s="316"/>
      <c r="K23" s="69"/>
      <c r="L23" s="69"/>
    </row>
    <row r="24" spans="1:12" ht="12.75">
      <c r="A24" s="70" t="s">
        <v>82</v>
      </c>
      <c r="B24" s="122"/>
      <c r="C24" s="71"/>
      <c r="D24" s="323"/>
      <c r="E24" s="324"/>
      <c r="F24" s="323"/>
      <c r="G24" s="324"/>
      <c r="H24" s="122"/>
      <c r="I24" s="135"/>
      <c r="J24" s="71"/>
      <c r="K24" s="122"/>
      <c r="L24" s="72"/>
    </row>
    <row r="25" spans="1:12" ht="12.75">
      <c r="A25" s="73" t="s">
        <v>83</v>
      </c>
      <c r="B25" s="315"/>
      <c r="C25" s="316"/>
      <c r="D25" s="12"/>
      <c r="E25" s="11"/>
      <c r="F25" s="310"/>
      <c r="G25" s="311"/>
      <c r="H25" s="74"/>
      <c r="I25" s="75"/>
      <c r="J25" s="128"/>
      <c r="K25" s="74"/>
      <c r="L25" s="74"/>
    </row>
    <row r="26" spans="1:12" ht="12.75">
      <c r="A26" s="76" t="s">
        <v>84</v>
      </c>
      <c r="B26" s="313"/>
      <c r="C26" s="314"/>
      <c r="D26" s="315"/>
      <c r="E26" s="316"/>
      <c r="F26" s="123"/>
      <c r="G26" s="124"/>
      <c r="H26" s="74"/>
      <c r="I26" s="310"/>
      <c r="J26" s="319"/>
      <c r="K26" s="74"/>
      <c r="L26" s="74"/>
    </row>
    <row r="27" spans="1:12" ht="12.75">
      <c r="A27" s="77" t="s">
        <v>85</v>
      </c>
      <c r="B27" s="320"/>
      <c r="C27" s="321"/>
      <c r="D27" s="313"/>
      <c r="E27" s="314"/>
      <c r="F27" s="320"/>
      <c r="G27" s="322"/>
      <c r="H27" s="74"/>
      <c r="I27" s="75"/>
      <c r="J27" s="128"/>
      <c r="K27" s="74"/>
      <c r="L27" s="74"/>
    </row>
    <row r="28" spans="1:12" ht="12.75">
      <c r="A28" s="8"/>
      <c r="L28" s="4"/>
    </row>
    <row r="29" spans="1:12" ht="14.25" customHeight="1">
      <c r="A29" s="78"/>
      <c r="B29" s="79" t="s">
        <v>86</v>
      </c>
      <c r="C29" s="79" t="s">
        <v>86</v>
      </c>
      <c r="D29" s="290" t="s">
        <v>87</v>
      </c>
      <c r="E29" s="291"/>
      <c r="F29" s="23" t="s">
        <v>11</v>
      </c>
      <c r="G29" s="290" t="s">
        <v>88</v>
      </c>
      <c r="H29" s="292"/>
      <c r="I29" s="23" t="s">
        <v>11</v>
      </c>
      <c r="J29" s="300" t="s">
        <v>89</v>
      </c>
      <c r="K29" s="302" t="s">
        <v>90</v>
      </c>
      <c r="L29" s="303"/>
    </row>
    <row r="30" spans="1:12" ht="14.25" customHeight="1">
      <c r="A30" s="80" t="s">
        <v>91</v>
      </c>
      <c r="B30" s="19" t="s">
        <v>92</v>
      </c>
      <c r="C30" s="19" t="s">
        <v>93</v>
      </c>
      <c r="D30" s="81" t="s">
        <v>94</v>
      </c>
      <c r="E30" s="81" t="s">
        <v>95</v>
      </c>
      <c r="F30" s="25"/>
      <c r="G30" s="81" t="s">
        <v>94</v>
      </c>
      <c r="H30" s="25" t="s">
        <v>95</v>
      </c>
      <c r="I30" s="25"/>
      <c r="J30" s="301"/>
      <c r="K30" s="304"/>
      <c r="L30" s="305"/>
    </row>
    <row r="31" spans="1:12" ht="14.25" customHeight="1">
      <c r="A31" s="25"/>
      <c r="B31" s="19"/>
      <c r="C31" s="19"/>
      <c r="D31" s="25" t="s">
        <v>96</v>
      </c>
      <c r="E31" s="25" t="s">
        <v>96</v>
      </c>
      <c r="F31" s="25"/>
      <c r="G31" s="25" t="s">
        <v>96</v>
      </c>
      <c r="H31" s="25" t="s">
        <v>96</v>
      </c>
      <c r="I31" s="25"/>
      <c r="J31" s="301"/>
      <c r="K31" s="304"/>
      <c r="L31" s="305"/>
    </row>
    <row r="32" spans="1:12" ht="12.75" customHeight="1">
      <c r="A32" s="82"/>
      <c r="B32" s="24" t="s">
        <v>97</v>
      </c>
      <c r="C32" s="24" t="s">
        <v>98</v>
      </c>
      <c r="D32" s="83"/>
      <c r="E32" s="24" t="s">
        <v>99</v>
      </c>
      <c r="F32" s="26" t="s">
        <v>100</v>
      </c>
      <c r="G32" s="83"/>
      <c r="H32" s="24" t="s">
        <v>101</v>
      </c>
      <c r="I32" s="24" t="s">
        <v>102</v>
      </c>
      <c r="J32" s="24" t="s">
        <v>103</v>
      </c>
      <c r="K32" s="306"/>
      <c r="L32" s="307"/>
    </row>
    <row r="33" spans="1:12" ht="12.75">
      <c r="A33" s="84" t="s">
        <v>132</v>
      </c>
      <c r="B33" s="62"/>
      <c r="C33" s="62"/>
      <c r="D33" s="85"/>
      <c r="E33" s="62"/>
      <c r="F33" s="86"/>
      <c r="G33" s="127"/>
      <c r="H33" s="127"/>
      <c r="I33" s="127"/>
      <c r="J33" s="5"/>
      <c r="K33" s="8"/>
      <c r="L33" s="4"/>
    </row>
    <row r="34" spans="1:12" ht="12.75">
      <c r="A34" s="10" t="s">
        <v>113</v>
      </c>
      <c r="B34" s="10"/>
      <c r="C34" s="10"/>
      <c r="D34" s="10"/>
      <c r="E34" s="120" t="s">
        <v>135</v>
      </c>
      <c r="F34" s="10"/>
      <c r="G34" s="10"/>
      <c r="H34" s="120" t="s">
        <v>136</v>
      </c>
      <c r="I34" s="104"/>
      <c r="J34" s="120" t="s">
        <v>137</v>
      </c>
      <c r="K34" s="313"/>
      <c r="L34" s="314"/>
    </row>
    <row r="35" spans="1:12" ht="12.75">
      <c r="A35" s="10" t="s">
        <v>114</v>
      </c>
      <c r="B35" s="121"/>
      <c r="C35" s="121"/>
      <c r="D35" s="121"/>
      <c r="E35" s="104" t="s">
        <v>138</v>
      </c>
      <c r="F35" s="121"/>
      <c r="G35" s="121"/>
      <c r="H35" s="104" t="s">
        <v>139</v>
      </c>
      <c r="I35" s="121"/>
      <c r="J35" s="120" t="s">
        <v>140</v>
      </c>
      <c r="K35" s="299"/>
      <c r="L35" s="299"/>
    </row>
    <row r="36" spans="1:12" ht="12.75">
      <c r="A36" s="102" t="s">
        <v>115</v>
      </c>
      <c r="B36" s="102"/>
      <c r="C36" s="102"/>
      <c r="D36" s="102"/>
      <c r="E36" s="102"/>
      <c r="F36" s="105"/>
      <c r="G36" s="72"/>
      <c r="H36" s="72"/>
      <c r="I36" s="106"/>
      <c r="J36" s="102"/>
      <c r="K36" s="317"/>
      <c r="L36" s="318"/>
    </row>
    <row r="37" spans="1:12" ht="12.75">
      <c r="A37" s="10" t="s">
        <v>116</v>
      </c>
      <c r="B37" s="10"/>
      <c r="C37" s="10"/>
      <c r="D37" s="126"/>
      <c r="E37" s="126"/>
      <c r="F37" s="120"/>
      <c r="G37" s="126"/>
      <c r="H37" s="126"/>
      <c r="I37" s="120"/>
      <c r="J37" s="126"/>
      <c r="K37" s="297"/>
      <c r="L37" s="297"/>
    </row>
    <row r="38" spans="1:11" ht="12.75" customHeight="1">
      <c r="A38" s="312" t="s">
        <v>117</v>
      </c>
      <c r="B38" s="312"/>
      <c r="C38" s="312"/>
      <c r="D38" s="312"/>
      <c r="E38" s="312"/>
      <c r="F38" s="312"/>
      <c r="G38" s="312"/>
      <c r="H38" s="312"/>
      <c r="I38" s="312"/>
      <c r="J38" s="312"/>
      <c r="K38" s="298"/>
    </row>
    <row r="39" spans="1:11" ht="13.5" customHeight="1">
      <c r="A39" s="298" t="s">
        <v>118</v>
      </c>
      <c r="B39" s="298"/>
      <c r="C39" s="298"/>
      <c r="D39" s="298"/>
      <c r="E39" s="298"/>
      <c r="F39" s="298"/>
      <c r="G39" s="298"/>
      <c r="H39" s="298"/>
      <c r="I39" s="125"/>
      <c r="J39" s="125"/>
      <c r="K39" s="125"/>
    </row>
    <row r="40" spans="1:11" ht="12.75" customHeight="1">
      <c r="A40" s="298" t="s">
        <v>119</v>
      </c>
      <c r="B40" s="298"/>
      <c r="C40" s="298"/>
      <c r="D40" s="125"/>
      <c r="E40" s="125"/>
      <c r="F40" s="125"/>
      <c r="G40" s="125"/>
      <c r="H40" s="125"/>
      <c r="I40" s="125"/>
      <c r="J40" s="125"/>
      <c r="K40" s="125"/>
    </row>
    <row r="41" spans="1:11" ht="12.75" customHeight="1">
      <c r="A41" s="125" t="s">
        <v>120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</row>
    <row r="42" spans="1:11" ht="12.7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</row>
    <row r="43" spans="1:12" ht="11.25" customHeight="1">
      <c r="A43" s="87"/>
      <c r="B43" s="286" t="s">
        <v>8</v>
      </c>
      <c r="C43" s="287"/>
      <c r="D43" s="286" t="s">
        <v>9</v>
      </c>
      <c r="E43" s="287"/>
      <c r="F43" s="290" t="s">
        <v>10</v>
      </c>
      <c r="G43" s="291"/>
      <c r="H43" s="291"/>
      <c r="I43" s="291"/>
      <c r="J43" s="291"/>
      <c r="K43" s="292"/>
      <c r="L43" s="31" t="s">
        <v>11</v>
      </c>
    </row>
    <row r="44" spans="1:12" ht="11.25" customHeight="1">
      <c r="A44" s="88" t="s">
        <v>121</v>
      </c>
      <c r="B44" s="288"/>
      <c r="C44" s="289"/>
      <c r="D44" s="288"/>
      <c r="E44" s="289"/>
      <c r="F44" s="293" t="s">
        <v>13</v>
      </c>
      <c r="G44" s="294"/>
      <c r="H44" s="33" t="s">
        <v>14</v>
      </c>
      <c r="I44" s="295" t="s">
        <v>15</v>
      </c>
      <c r="J44" s="296"/>
      <c r="K44" s="118" t="s">
        <v>14</v>
      </c>
      <c r="L44" s="34"/>
    </row>
    <row r="45" spans="1:12" ht="11.25" customHeight="1">
      <c r="A45" s="89"/>
      <c r="B45" s="36"/>
      <c r="C45" s="37"/>
      <c r="D45" s="308" t="s">
        <v>16</v>
      </c>
      <c r="E45" s="309"/>
      <c r="F45" s="308" t="s">
        <v>17</v>
      </c>
      <c r="G45" s="309"/>
      <c r="H45" s="38" t="s">
        <v>18</v>
      </c>
      <c r="I45" s="308" t="s">
        <v>19</v>
      </c>
      <c r="J45" s="309"/>
      <c r="K45" s="119" t="s">
        <v>20</v>
      </c>
      <c r="L45" s="39" t="s">
        <v>21</v>
      </c>
    </row>
    <row r="46" spans="1:12" ht="11.25" customHeight="1">
      <c r="A46" s="57" t="s">
        <v>73</v>
      </c>
      <c r="B46" s="58"/>
      <c r="C46" s="40"/>
      <c r="D46" s="58"/>
      <c r="E46" s="90"/>
      <c r="F46" s="41"/>
      <c r="G46" s="42"/>
      <c r="H46" s="58"/>
      <c r="I46" s="43"/>
      <c r="J46" s="40"/>
      <c r="K46" s="7"/>
      <c r="L46" s="4"/>
    </row>
    <row r="47" spans="1:12" ht="11.25" customHeight="1">
      <c r="A47" s="20" t="s">
        <v>22</v>
      </c>
      <c r="B47" s="125"/>
      <c r="C47" s="91"/>
      <c r="D47" s="125"/>
      <c r="E47" s="125"/>
      <c r="F47" s="132"/>
      <c r="G47" s="91"/>
      <c r="H47" s="125"/>
      <c r="I47" s="132"/>
      <c r="J47" s="91"/>
      <c r="K47" s="5"/>
      <c r="L47" s="4"/>
    </row>
    <row r="48" spans="1:12" ht="11.25" customHeight="1">
      <c r="A48" s="92" t="s">
        <v>122</v>
      </c>
      <c r="B48" s="125"/>
      <c r="C48" s="91"/>
      <c r="D48" s="125"/>
      <c r="E48" s="125"/>
      <c r="F48" s="132"/>
      <c r="G48" s="91"/>
      <c r="H48" s="125"/>
      <c r="I48" s="132"/>
      <c r="J48" s="91"/>
      <c r="K48" s="5"/>
      <c r="L48" s="4"/>
    </row>
    <row r="49" spans="1:12" ht="11.25" customHeight="1">
      <c r="A49" s="20" t="s">
        <v>23</v>
      </c>
      <c r="B49" s="125"/>
      <c r="C49" s="91"/>
      <c r="D49" s="125"/>
      <c r="E49" s="125"/>
      <c r="F49" s="132"/>
      <c r="G49" s="91"/>
      <c r="H49" s="125"/>
      <c r="I49" s="132"/>
      <c r="J49" s="91"/>
      <c r="K49" s="5"/>
      <c r="L49" s="4"/>
    </row>
    <row r="50" spans="1:12" ht="11.25" customHeight="1">
      <c r="A50" s="20" t="s">
        <v>24</v>
      </c>
      <c r="B50" s="125"/>
      <c r="C50" s="91"/>
      <c r="D50" s="125"/>
      <c r="E50" s="125"/>
      <c r="F50" s="132"/>
      <c r="G50" s="91"/>
      <c r="H50" s="125"/>
      <c r="I50" s="132"/>
      <c r="J50" s="91"/>
      <c r="K50" s="5"/>
      <c r="L50" s="4"/>
    </row>
    <row r="51" spans="1:12" ht="11.25" customHeight="1">
      <c r="A51" s="20" t="s">
        <v>25</v>
      </c>
      <c r="B51" s="125"/>
      <c r="C51" s="91"/>
      <c r="D51" s="125"/>
      <c r="E51" s="125"/>
      <c r="F51" s="132"/>
      <c r="G51" s="91"/>
      <c r="H51" s="125"/>
      <c r="I51" s="132"/>
      <c r="J51" s="91"/>
      <c r="K51" s="5"/>
      <c r="L51" s="4"/>
    </row>
    <row r="52" spans="1:12" ht="11.25" customHeight="1">
      <c r="A52" s="92" t="s">
        <v>26</v>
      </c>
      <c r="B52" s="125"/>
      <c r="C52" s="91"/>
      <c r="D52" s="125"/>
      <c r="E52" s="125"/>
      <c r="F52" s="132"/>
      <c r="G52" s="91"/>
      <c r="H52" s="125"/>
      <c r="I52" s="132"/>
      <c r="J52" s="91"/>
      <c r="K52" s="5"/>
      <c r="L52" s="4"/>
    </row>
    <row r="53" spans="1:12" ht="11.25" customHeight="1">
      <c r="A53" s="20" t="s">
        <v>27</v>
      </c>
      <c r="B53" s="125"/>
      <c r="C53" s="91"/>
      <c r="D53" s="125"/>
      <c r="E53" s="125"/>
      <c r="F53" s="132"/>
      <c r="G53" s="91"/>
      <c r="H53" s="125"/>
      <c r="I53" s="132"/>
      <c r="J53" s="91"/>
      <c r="K53" s="5"/>
      <c r="L53" s="4"/>
    </row>
    <row r="54" spans="1:12" ht="11.25" customHeight="1">
      <c r="A54" s="20" t="s">
        <v>28</v>
      </c>
      <c r="B54" s="125"/>
      <c r="C54" s="91"/>
      <c r="D54" s="125"/>
      <c r="E54" s="125"/>
      <c r="F54" s="132"/>
      <c r="G54" s="91"/>
      <c r="H54" s="125"/>
      <c r="I54" s="132"/>
      <c r="J54" s="91"/>
      <c r="K54" s="5"/>
      <c r="L54" s="4"/>
    </row>
    <row r="55" spans="1:12" ht="26.25">
      <c r="A55" s="93" t="s">
        <v>29</v>
      </c>
      <c r="B55" s="125"/>
      <c r="C55" s="91"/>
      <c r="D55" s="125"/>
      <c r="E55" s="125"/>
      <c r="F55" s="132"/>
      <c r="G55" s="91"/>
      <c r="H55" s="125"/>
      <c r="I55" s="132"/>
      <c r="J55" s="91"/>
      <c r="K55" s="5"/>
      <c r="L55" s="4"/>
    </row>
    <row r="56" spans="1:12" ht="12.75">
      <c r="A56" s="48" t="s">
        <v>30</v>
      </c>
      <c r="B56" s="125"/>
      <c r="C56" s="91"/>
      <c r="D56" s="125"/>
      <c r="E56" s="125"/>
      <c r="F56" s="132"/>
      <c r="G56" s="91"/>
      <c r="H56" s="125"/>
      <c r="I56" s="132"/>
      <c r="J56" s="91"/>
      <c r="K56" s="5"/>
      <c r="L56" s="4"/>
    </row>
    <row r="57" spans="1:12" ht="11.25" customHeight="1">
      <c r="A57" s="20" t="s">
        <v>31</v>
      </c>
      <c r="B57" s="125"/>
      <c r="C57" s="91"/>
      <c r="D57" s="125"/>
      <c r="E57" s="125"/>
      <c r="F57" s="132"/>
      <c r="G57" s="91"/>
      <c r="H57" s="125"/>
      <c r="I57" s="132"/>
      <c r="J57" s="91"/>
      <c r="K57" s="5"/>
      <c r="L57" s="4"/>
    </row>
    <row r="58" spans="1:12" ht="11.25" customHeight="1">
      <c r="A58" s="20" t="s">
        <v>32</v>
      </c>
      <c r="B58" s="125"/>
      <c r="C58" s="91"/>
      <c r="D58" s="125"/>
      <c r="E58" s="125"/>
      <c r="F58" s="132"/>
      <c r="G58" s="91"/>
      <c r="H58" s="125"/>
      <c r="I58" s="132"/>
      <c r="J58" s="91"/>
      <c r="K58" s="5"/>
      <c r="L58" s="4"/>
    </row>
    <row r="59" spans="1:12" ht="11.25" customHeight="1">
      <c r="A59" s="20" t="s">
        <v>33</v>
      </c>
      <c r="B59" s="125"/>
      <c r="C59" s="91"/>
      <c r="D59" s="125"/>
      <c r="E59" s="125"/>
      <c r="F59" s="132"/>
      <c r="G59" s="91"/>
      <c r="H59" s="125"/>
      <c r="I59" s="132"/>
      <c r="J59" s="91"/>
      <c r="K59" s="5"/>
      <c r="L59" s="4"/>
    </row>
    <row r="60" spans="1:12" ht="26.25">
      <c r="A60" s="48" t="s">
        <v>123</v>
      </c>
      <c r="B60" s="125"/>
      <c r="C60" s="91"/>
      <c r="D60" s="125"/>
      <c r="E60" s="125"/>
      <c r="F60" s="132"/>
      <c r="G60" s="91"/>
      <c r="H60" s="125"/>
      <c r="I60" s="132"/>
      <c r="J60" s="91"/>
      <c r="K60" s="5"/>
      <c r="L60" s="4"/>
    </row>
    <row r="61" spans="1:12" ht="11.25" customHeight="1">
      <c r="A61" s="20" t="s">
        <v>34</v>
      </c>
      <c r="B61" s="125"/>
      <c r="C61" s="91"/>
      <c r="D61" s="125"/>
      <c r="E61" s="125"/>
      <c r="F61" s="132"/>
      <c r="G61" s="91"/>
      <c r="H61" s="125"/>
      <c r="I61" s="132"/>
      <c r="J61" s="91"/>
      <c r="K61" s="5"/>
      <c r="L61" s="4"/>
    </row>
    <row r="62" spans="1:12" ht="11.25" customHeight="1">
      <c r="A62" s="20" t="s">
        <v>35</v>
      </c>
      <c r="B62" s="125"/>
      <c r="C62" s="91"/>
      <c r="D62" s="125"/>
      <c r="E62" s="125"/>
      <c r="F62" s="132"/>
      <c r="G62" s="91"/>
      <c r="H62" s="125"/>
      <c r="I62" s="132"/>
      <c r="J62" s="91"/>
      <c r="K62" s="5"/>
      <c r="L62" s="4"/>
    </row>
    <row r="63" spans="1:12" ht="11.25" customHeight="1">
      <c r="A63" s="20" t="s">
        <v>124</v>
      </c>
      <c r="B63" s="125"/>
      <c r="C63" s="91"/>
      <c r="D63" s="125"/>
      <c r="E63" s="125"/>
      <c r="F63" s="132"/>
      <c r="G63" s="91"/>
      <c r="H63" s="125"/>
      <c r="I63" s="132"/>
      <c r="J63" s="91"/>
      <c r="K63" s="5"/>
      <c r="L63" s="4"/>
    </row>
    <row r="64" spans="1:12" ht="11.25" customHeight="1">
      <c r="A64" s="20" t="s">
        <v>125</v>
      </c>
      <c r="B64" s="125"/>
      <c r="C64" s="91"/>
      <c r="D64" s="125"/>
      <c r="E64" s="125"/>
      <c r="F64" s="132"/>
      <c r="G64" s="91"/>
      <c r="H64" s="125"/>
      <c r="I64" s="132"/>
      <c r="J64" s="91"/>
      <c r="K64" s="5"/>
      <c r="L64" s="4"/>
    </row>
    <row r="65" spans="1:12" ht="11.25" customHeight="1">
      <c r="A65" s="20" t="s">
        <v>36</v>
      </c>
      <c r="B65" s="125"/>
      <c r="C65" s="91"/>
      <c r="D65" s="125"/>
      <c r="E65" s="125"/>
      <c r="F65" s="132"/>
      <c r="G65" s="91"/>
      <c r="H65" s="125"/>
      <c r="I65" s="132"/>
      <c r="J65" s="91"/>
      <c r="K65" s="5"/>
      <c r="L65" s="4"/>
    </row>
    <row r="66" spans="1:12" ht="11.25" customHeight="1">
      <c r="A66" s="20" t="s">
        <v>37</v>
      </c>
      <c r="B66" s="125"/>
      <c r="C66" s="91"/>
      <c r="D66" s="125"/>
      <c r="E66" s="125"/>
      <c r="F66" s="132"/>
      <c r="G66" s="91"/>
      <c r="H66" s="125"/>
      <c r="I66" s="132"/>
      <c r="J66" s="91"/>
      <c r="K66" s="5"/>
      <c r="L66" s="4"/>
    </row>
    <row r="67" spans="1:12" ht="11.25" customHeight="1">
      <c r="A67" s="20" t="s">
        <v>38</v>
      </c>
      <c r="B67" s="125"/>
      <c r="C67" s="91"/>
      <c r="D67" s="125"/>
      <c r="E67" s="125"/>
      <c r="F67" s="132"/>
      <c r="G67" s="91"/>
      <c r="H67" s="125"/>
      <c r="I67" s="132"/>
      <c r="J67" s="91"/>
      <c r="K67" s="5"/>
      <c r="L67" s="4"/>
    </row>
    <row r="68" spans="1:12" ht="11.25" customHeight="1">
      <c r="A68" s="20" t="s">
        <v>39</v>
      </c>
      <c r="B68" s="125"/>
      <c r="C68" s="91"/>
      <c r="D68" s="125"/>
      <c r="E68" s="125"/>
      <c r="F68" s="132"/>
      <c r="G68" s="91"/>
      <c r="H68" s="125"/>
      <c r="I68" s="132"/>
      <c r="J68" s="91"/>
      <c r="K68" s="5"/>
      <c r="L68" s="4"/>
    </row>
    <row r="69" spans="1:12" ht="11.25" customHeight="1">
      <c r="A69" s="20" t="s">
        <v>40</v>
      </c>
      <c r="B69" s="125"/>
      <c r="C69" s="91"/>
      <c r="D69" s="125"/>
      <c r="E69" s="125"/>
      <c r="F69" s="132"/>
      <c r="G69" s="91"/>
      <c r="H69" s="125"/>
      <c r="I69" s="132"/>
      <c r="J69" s="91"/>
      <c r="K69" s="5"/>
      <c r="L69" s="4"/>
    </row>
    <row r="70" spans="1:12" ht="11.25" customHeight="1">
      <c r="A70" s="20" t="s">
        <v>41</v>
      </c>
      <c r="B70" s="125"/>
      <c r="C70" s="91"/>
      <c r="D70" s="125"/>
      <c r="E70" s="125"/>
      <c r="F70" s="132"/>
      <c r="G70" s="91"/>
      <c r="H70" s="125"/>
      <c r="I70" s="132"/>
      <c r="J70" s="91"/>
      <c r="K70" s="5"/>
      <c r="L70" s="4"/>
    </row>
    <row r="71" spans="1:12" ht="11.25" customHeight="1">
      <c r="A71" s="20" t="s">
        <v>42</v>
      </c>
      <c r="B71" s="125"/>
      <c r="C71" s="91"/>
      <c r="D71" s="125"/>
      <c r="E71" s="125"/>
      <c r="F71" s="132"/>
      <c r="G71" s="91"/>
      <c r="H71" s="125"/>
      <c r="I71" s="132"/>
      <c r="J71" s="91"/>
      <c r="K71" s="5"/>
      <c r="L71" s="4"/>
    </row>
    <row r="72" spans="1:12" ht="11.25" customHeight="1">
      <c r="A72" s="20" t="s">
        <v>43</v>
      </c>
      <c r="B72" s="125"/>
      <c r="C72" s="91"/>
      <c r="D72" s="125"/>
      <c r="E72" s="125"/>
      <c r="F72" s="132"/>
      <c r="G72" s="91"/>
      <c r="H72" s="125"/>
      <c r="I72" s="132"/>
      <c r="J72" s="91"/>
      <c r="K72" s="5"/>
      <c r="L72" s="4"/>
    </row>
    <row r="73" spans="1:12" ht="11.25" customHeight="1">
      <c r="A73" s="20" t="s">
        <v>44</v>
      </c>
      <c r="B73" s="125"/>
      <c r="C73" s="91"/>
      <c r="D73" s="125"/>
      <c r="E73" s="125"/>
      <c r="F73" s="132"/>
      <c r="G73" s="91"/>
      <c r="H73" s="125"/>
      <c r="I73" s="132"/>
      <c r="J73" s="91"/>
      <c r="K73" s="5"/>
      <c r="L73" s="4"/>
    </row>
    <row r="74" spans="1:12" ht="11.25" customHeight="1">
      <c r="A74" s="20" t="s">
        <v>45</v>
      </c>
      <c r="B74" s="125"/>
      <c r="C74" s="91"/>
      <c r="D74" s="125"/>
      <c r="E74" s="125"/>
      <c r="F74" s="132"/>
      <c r="G74" s="91"/>
      <c r="H74" s="125"/>
      <c r="I74" s="132"/>
      <c r="J74" s="91"/>
      <c r="K74" s="5"/>
      <c r="L74" s="4"/>
    </row>
    <row r="75" spans="1:12" ht="11.25" customHeight="1">
      <c r="A75" s="20" t="s">
        <v>46</v>
      </c>
      <c r="B75" s="125"/>
      <c r="C75" s="91"/>
      <c r="D75" s="125"/>
      <c r="E75" s="125"/>
      <c r="F75" s="132"/>
      <c r="G75" s="91"/>
      <c r="H75" s="125"/>
      <c r="I75" s="132"/>
      <c r="J75" s="91"/>
      <c r="K75" s="5"/>
      <c r="L75" s="4"/>
    </row>
    <row r="76" spans="1:12" ht="11.25" customHeight="1">
      <c r="A76" s="20" t="s">
        <v>47</v>
      </c>
      <c r="B76" s="125"/>
      <c r="C76" s="91"/>
      <c r="D76" s="125"/>
      <c r="E76" s="125"/>
      <c r="F76" s="132"/>
      <c r="G76" s="91"/>
      <c r="H76" s="125"/>
      <c r="I76" s="132"/>
      <c r="J76" s="91"/>
      <c r="K76" s="5"/>
      <c r="L76" s="4"/>
    </row>
    <row r="77" spans="1:12" ht="11.25" customHeight="1">
      <c r="A77" s="20" t="s">
        <v>48</v>
      </c>
      <c r="B77" s="125"/>
      <c r="C77" s="91"/>
      <c r="D77" s="125"/>
      <c r="E77" s="125"/>
      <c r="F77" s="132"/>
      <c r="G77" s="91"/>
      <c r="H77" s="125"/>
      <c r="I77" s="132"/>
      <c r="J77" s="91"/>
      <c r="K77" s="5"/>
      <c r="L77" s="4"/>
    </row>
    <row r="78" spans="1:12" ht="11.25" customHeight="1">
      <c r="A78" s="20" t="s">
        <v>49</v>
      </c>
      <c r="B78" s="125"/>
      <c r="C78" s="91"/>
      <c r="D78" s="125"/>
      <c r="E78" s="125"/>
      <c r="F78" s="132"/>
      <c r="G78" s="91"/>
      <c r="H78" s="125"/>
      <c r="I78" s="132"/>
      <c r="J78" s="91"/>
      <c r="K78" s="5"/>
      <c r="L78" s="4"/>
    </row>
    <row r="79" spans="1:12" ht="11.25" customHeight="1">
      <c r="A79" s="20" t="s">
        <v>50</v>
      </c>
      <c r="B79" s="125"/>
      <c r="C79" s="91"/>
      <c r="D79" s="125"/>
      <c r="E79" s="125"/>
      <c r="F79" s="132"/>
      <c r="G79" s="91"/>
      <c r="H79" s="125"/>
      <c r="I79" s="132"/>
      <c r="J79" s="91"/>
      <c r="K79" s="5"/>
      <c r="L79" s="4"/>
    </row>
    <row r="80" spans="1:12" ht="11.25" customHeight="1">
      <c r="A80" s="20" t="s">
        <v>51</v>
      </c>
      <c r="B80" s="125"/>
      <c r="C80" s="91"/>
      <c r="D80" s="125"/>
      <c r="E80" s="125"/>
      <c r="F80" s="132"/>
      <c r="G80" s="91"/>
      <c r="H80" s="125"/>
      <c r="I80" s="132"/>
      <c r="J80" s="91"/>
      <c r="K80" s="5"/>
      <c r="L80" s="4"/>
    </row>
    <row r="81" spans="1:12" ht="11.25" customHeight="1">
      <c r="A81" s="94" t="s">
        <v>52</v>
      </c>
      <c r="B81" s="125"/>
      <c r="C81" s="91"/>
      <c r="D81" s="125"/>
      <c r="E81" s="125"/>
      <c r="F81" s="132"/>
      <c r="G81" s="91"/>
      <c r="H81" s="125"/>
      <c r="I81" s="132"/>
      <c r="J81" s="91"/>
      <c r="K81" s="5"/>
      <c r="L81" s="4"/>
    </row>
    <row r="82" spans="1:12" ht="11.25" customHeight="1">
      <c r="A82" s="20" t="s">
        <v>53</v>
      </c>
      <c r="B82" s="125"/>
      <c r="C82" s="91"/>
      <c r="D82" s="125"/>
      <c r="E82" s="125"/>
      <c r="F82" s="132"/>
      <c r="G82" s="91"/>
      <c r="H82" s="125"/>
      <c r="I82" s="132"/>
      <c r="J82" s="91"/>
      <c r="K82" s="5"/>
      <c r="L82" s="4"/>
    </row>
    <row r="83" spans="1:12" ht="11.25" customHeight="1">
      <c r="A83" s="20" t="s">
        <v>54</v>
      </c>
      <c r="B83" s="125"/>
      <c r="C83" s="91"/>
      <c r="D83" s="125"/>
      <c r="E83" s="125"/>
      <c r="F83" s="132"/>
      <c r="G83" s="91"/>
      <c r="H83" s="125"/>
      <c r="I83" s="132"/>
      <c r="J83" s="91"/>
      <c r="K83" s="5"/>
      <c r="L83" s="4"/>
    </row>
    <row r="84" spans="1:12" ht="11.25" customHeight="1">
      <c r="A84" s="20" t="s">
        <v>55</v>
      </c>
      <c r="B84" s="125"/>
      <c r="C84" s="91"/>
      <c r="D84" s="125"/>
      <c r="E84" s="125"/>
      <c r="F84" s="132"/>
      <c r="G84" s="91"/>
      <c r="H84" s="125"/>
      <c r="I84" s="132"/>
      <c r="J84" s="91"/>
      <c r="K84" s="5"/>
      <c r="L84" s="4"/>
    </row>
    <row r="85" spans="1:12" ht="11.25" customHeight="1">
      <c r="A85" s="20" t="s">
        <v>56</v>
      </c>
      <c r="B85" s="125"/>
      <c r="C85" s="91"/>
      <c r="D85" s="125"/>
      <c r="E85" s="125"/>
      <c r="F85" s="132"/>
      <c r="G85" s="91"/>
      <c r="H85" s="125"/>
      <c r="I85" s="132"/>
      <c r="J85" s="91"/>
      <c r="K85" s="5"/>
      <c r="L85" s="4"/>
    </row>
    <row r="86" spans="1:12" ht="11.25" customHeight="1">
      <c r="A86" s="48" t="s">
        <v>57</v>
      </c>
      <c r="B86" s="125"/>
      <c r="C86" s="91"/>
      <c r="D86" s="125"/>
      <c r="E86" s="125"/>
      <c r="F86" s="132"/>
      <c r="G86" s="91"/>
      <c r="H86" s="125"/>
      <c r="I86" s="132"/>
      <c r="J86" s="91"/>
      <c r="K86" s="5"/>
      <c r="L86" s="4"/>
    </row>
    <row r="87" spans="1:12" ht="11.25" customHeight="1">
      <c r="A87" s="20" t="s">
        <v>58</v>
      </c>
      <c r="B87" s="125"/>
      <c r="C87" s="91"/>
      <c r="D87" s="125"/>
      <c r="E87" s="125"/>
      <c r="F87" s="132"/>
      <c r="G87" s="91"/>
      <c r="H87" s="125"/>
      <c r="I87" s="132"/>
      <c r="J87" s="91"/>
      <c r="K87" s="5"/>
      <c r="L87" s="4"/>
    </row>
    <row r="88" spans="1:12" ht="11.25" customHeight="1">
      <c r="A88" s="20" t="s">
        <v>59</v>
      </c>
      <c r="B88" s="125"/>
      <c r="C88" s="91"/>
      <c r="D88" s="125"/>
      <c r="E88" s="125"/>
      <c r="F88" s="132"/>
      <c r="G88" s="91"/>
      <c r="H88" s="125"/>
      <c r="I88" s="132"/>
      <c r="J88" s="91"/>
      <c r="K88" s="5"/>
      <c r="L88" s="4"/>
    </row>
    <row r="89" spans="1:12" ht="11.25" customHeight="1">
      <c r="A89" s="20" t="s">
        <v>60</v>
      </c>
      <c r="B89" s="125"/>
      <c r="C89" s="91"/>
      <c r="D89" s="125"/>
      <c r="E89" s="125"/>
      <c r="F89" s="132"/>
      <c r="G89" s="91"/>
      <c r="H89" s="125"/>
      <c r="I89" s="132"/>
      <c r="J89" s="91"/>
      <c r="K89" s="5"/>
      <c r="L89" s="4"/>
    </row>
    <row r="90" spans="1:12" ht="11.25" customHeight="1">
      <c r="A90" s="20" t="s">
        <v>61</v>
      </c>
      <c r="B90" s="125"/>
      <c r="C90" s="91"/>
      <c r="D90" s="125"/>
      <c r="E90" s="125"/>
      <c r="F90" s="132"/>
      <c r="G90" s="91"/>
      <c r="H90" s="125"/>
      <c r="I90" s="132"/>
      <c r="J90" s="91"/>
      <c r="K90" s="5"/>
      <c r="L90" s="4"/>
    </row>
    <row r="91" spans="1:12" ht="11.25" customHeight="1">
      <c r="A91" s="20" t="s">
        <v>62</v>
      </c>
      <c r="B91" s="125"/>
      <c r="C91" s="91"/>
      <c r="D91" s="125"/>
      <c r="E91" s="125"/>
      <c r="F91" s="132"/>
      <c r="G91" s="91"/>
      <c r="H91" s="125"/>
      <c r="I91" s="132"/>
      <c r="J91" s="91"/>
      <c r="K91" s="5"/>
      <c r="L91" s="4"/>
    </row>
    <row r="92" spans="1:12" ht="11.25" customHeight="1">
      <c r="A92" s="20" t="s">
        <v>63</v>
      </c>
      <c r="B92" s="125"/>
      <c r="C92" s="91"/>
      <c r="D92" s="125"/>
      <c r="E92" s="125"/>
      <c r="F92" s="132"/>
      <c r="G92" s="91"/>
      <c r="H92" s="125"/>
      <c r="I92" s="132"/>
      <c r="J92" s="91"/>
      <c r="K92" s="5"/>
      <c r="L92" s="4"/>
    </row>
    <row r="93" spans="1:12" ht="11.25" customHeight="1">
      <c r="A93" s="20" t="s">
        <v>64</v>
      </c>
      <c r="B93" s="125"/>
      <c r="C93" s="91"/>
      <c r="D93" s="125"/>
      <c r="E93" s="125"/>
      <c r="F93" s="132"/>
      <c r="G93" s="91"/>
      <c r="H93" s="125"/>
      <c r="I93" s="132"/>
      <c r="J93" s="91"/>
      <c r="K93" s="5"/>
      <c r="L93" s="4"/>
    </row>
    <row r="94" spans="1:12" ht="11.25" customHeight="1">
      <c r="A94" s="20" t="s">
        <v>65</v>
      </c>
      <c r="B94" s="125"/>
      <c r="C94" s="91"/>
      <c r="D94" s="125"/>
      <c r="E94" s="125"/>
      <c r="F94" s="132"/>
      <c r="G94" s="91"/>
      <c r="H94" s="125"/>
      <c r="I94" s="132"/>
      <c r="J94" s="91"/>
      <c r="K94" s="5"/>
      <c r="L94" s="4"/>
    </row>
    <row r="95" spans="1:12" ht="11.25" customHeight="1">
      <c r="A95" s="20" t="s">
        <v>66</v>
      </c>
      <c r="B95" s="125"/>
      <c r="C95" s="91"/>
      <c r="D95" s="125"/>
      <c r="E95" s="125"/>
      <c r="F95" s="132"/>
      <c r="G95" s="91"/>
      <c r="H95" s="125"/>
      <c r="I95" s="132"/>
      <c r="J95" s="91"/>
      <c r="K95" s="5"/>
      <c r="L95" s="4"/>
    </row>
    <row r="96" spans="1:12" ht="11.25" customHeight="1">
      <c r="A96" s="20" t="s">
        <v>67</v>
      </c>
      <c r="B96" s="125"/>
      <c r="C96" s="91"/>
      <c r="D96" s="125"/>
      <c r="E96" s="125"/>
      <c r="F96" s="132"/>
      <c r="G96" s="91"/>
      <c r="H96" s="125"/>
      <c r="I96" s="132"/>
      <c r="J96" s="91"/>
      <c r="K96" s="5"/>
      <c r="L96" s="4"/>
    </row>
    <row r="97" spans="1:12" ht="11.25" customHeight="1">
      <c r="A97" s="20" t="s">
        <v>68</v>
      </c>
      <c r="B97" s="125"/>
      <c r="C97" s="91"/>
      <c r="D97" s="125"/>
      <c r="E97" s="125"/>
      <c r="F97" s="132"/>
      <c r="G97" s="91"/>
      <c r="H97" s="125"/>
      <c r="I97" s="132"/>
      <c r="J97" s="91"/>
      <c r="K97" s="5"/>
      <c r="L97" s="4"/>
    </row>
    <row r="98" spans="1:12" ht="11.25" customHeight="1">
      <c r="A98" s="20" t="s">
        <v>46</v>
      </c>
      <c r="B98" s="125"/>
      <c r="C98" s="91"/>
      <c r="D98" s="125"/>
      <c r="E98" s="125"/>
      <c r="F98" s="132"/>
      <c r="G98" s="91"/>
      <c r="H98" s="125"/>
      <c r="I98" s="132"/>
      <c r="J98" s="91"/>
      <c r="K98" s="5"/>
      <c r="L98" s="4"/>
    </row>
    <row r="99" spans="1:12" ht="11.25" customHeight="1">
      <c r="A99" s="20" t="s">
        <v>47</v>
      </c>
      <c r="B99" s="125"/>
      <c r="C99" s="91"/>
      <c r="D99" s="125"/>
      <c r="E99" s="125"/>
      <c r="F99" s="132"/>
      <c r="G99" s="91"/>
      <c r="H99" s="125"/>
      <c r="I99" s="132"/>
      <c r="J99" s="91"/>
      <c r="K99" s="5"/>
      <c r="L99" s="4"/>
    </row>
    <row r="100" spans="1:12" ht="11.25" customHeight="1">
      <c r="A100" s="20" t="s">
        <v>48</v>
      </c>
      <c r="B100" s="125"/>
      <c r="C100" s="91"/>
      <c r="D100" s="125"/>
      <c r="E100" s="125"/>
      <c r="F100" s="132"/>
      <c r="G100" s="91"/>
      <c r="H100" s="125"/>
      <c r="I100" s="132"/>
      <c r="J100" s="91"/>
      <c r="K100" s="5"/>
      <c r="L100" s="4"/>
    </row>
    <row r="101" spans="1:12" ht="11.25" customHeight="1">
      <c r="A101" s="49" t="s">
        <v>49</v>
      </c>
      <c r="B101" s="125"/>
      <c r="C101" s="91"/>
      <c r="D101" s="125"/>
      <c r="E101" s="125"/>
      <c r="F101" s="132"/>
      <c r="G101" s="91"/>
      <c r="H101" s="125"/>
      <c r="I101" s="132"/>
      <c r="J101" s="91"/>
      <c r="K101" s="5"/>
      <c r="L101" s="4"/>
    </row>
    <row r="102" spans="1:12" ht="12.75" customHeight="1">
      <c r="A102" s="49" t="s">
        <v>50</v>
      </c>
      <c r="B102" s="125"/>
      <c r="C102" s="91"/>
      <c r="D102" s="125"/>
      <c r="E102" s="125"/>
      <c r="F102" s="132"/>
      <c r="G102" s="91"/>
      <c r="H102" s="125"/>
      <c r="I102" s="132"/>
      <c r="J102" s="91"/>
      <c r="K102" s="5"/>
      <c r="L102" s="4"/>
    </row>
    <row r="103" spans="1:12" ht="11.25" customHeight="1">
      <c r="A103" s="20" t="s">
        <v>51</v>
      </c>
      <c r="B103" s="125"/>
      <c r="C103" s="91"/>
      <c r="D103" s="125"/>
      <c r="E103" s="125"/>
      <c r="F103" s="132"/>
      <c r="G103" s="91"/>
      <c r="H103" s="125"/>
      <c r="I103" s="132"/>
      <c r="J103" s="91"/>
      <c r="K103" s="5"/>
      <c r="L103" s="4"/>
    </row>
    <row r="104" spans="1:12" ht="14.25" customHeight="1">
      <c r="A104" s="49" t="s">
        <v>69</v>
      </c>
      <c r="B104" s="125"/>
      <c r="C104" s="91"/>
      <c r="D104" s="125"/>
      <c r="E104" s="125"/>
      <c r="F104" s="132"/>
      <c r="G104" s="91"/>
      <c r="H104" s="125"/>
      <c r="I104" s="132"/>
      <c r="J104" s="91"/>
      <c r="K104" s="5"/>
      <c r="L104" s="4"/>
    </row>
    <row r="105" spans="1:12" ht="11.25" customHeight="1">
      <c r="A105" s="92" t="s">
        <v>70</v>
      </c>
      <c r="B105" s="125"/>
      <c r="C105" s="91"/>
      <c r="D105" s="125"/>
      <c r="E105" s="125"/>
      <c r="F105" s="132"/>
      <c r="G105" s="91"/>
      <c r="H105" s="125"/>
      <c r="I105" s="132"/>
      <c r="J105" s="91"/>
      <c r="K105" s="5"/>
      <c r="L105" s="4"/>
    </row>
    <row r="106" spans="1:12" ht="11.25" customHeight="1">
      <c r="A106" s="92" t="s">
        <v>71</v>
      </c>
      <c r="B106" s="125"/>
      <c r="C106" s="91"/>
      <c r="D106" s="125"/>
      <c r="E106" s="125"/>
      <c r="F106" s="132"/>
      <c r="G106" s="91"/>
      <c r="H106" s="125"/>
      <c r="I106" s="132"/>
      <c r="J106" s="91"/>
      <c r="K106" s="5"/>
      <c r="L106" s="4"/>
    </row>
    <row r="107" spans="1:12" ht="12.75">
      <c r="A107" s="93" t="s">
        <v>72</v>
      </c>
      <c r="B107" s="125"/>
      <c r="C107" s="91"/>
      <c r="D107" s="125"/>
      <c r="E107" s="125"/>
      <c r="F107" s="132"/>
      <c r="G107" s="91"/>
      <c r="H107" s="125"/>
      <c r="I107" s="132"/>
      <c r="J107" s="91"/>
      <c r="K107" s="5"/>
      <c r="L107" s="4"/>
    </row>
    <row r="108" spans="1:12" ht="12.75">
      <c r="A108" s="93" t="s">
        <v>126</v>
      </c>
      <c r="B108" s="125"/>
      <c r="C108" s="91"/>
      <c r="D108" s="125"/>
      <c r="E108" s="125"/>
      <c r="F108" s="132"/>
      <c r="G108" s="91"/>
      <c r="H108" s="125"/>
      <c r="I108" s="132"/>
      <c r="J108" s="91"/>
      <c r="K108" s="5"/>
      <c r="L108" s="4"/>
    </row>
    <row r="109" spans="1:12" ht="12.75">
      <c r="A109" s="95" t="s">
        <v>127</v>
      </c>
      <c r="B109" s="96"/>
      <c r="C109" s="97"/>
      <c r="D109" s="96"/>
      <c r="E109" s="96"/>
      <c r="F109" s="98"/>
      <c r="G109" s="97"/>
      <c r="H109" s="96"/>
      <c r="I109" s="98"/>
      <c r="J109" s="97"/>
      <c r="K109" s="13"/>
      <c r="L109" s="9"/>
    </row>
    <row r="111" spans="1:12" ht="11.25" customHeight="1">
      <c r="A111" s="99"/>
      <c r="B111" s="79" t="s">
        <v>86</v>
      </c>
      <c r="C111" s="79" t="s">
        <v>86</v>
      </c>
      <c r="D111" s="290" t="s">
        <v>87</v>
      </c>
      <c r="E111" s="291"/>
      <c r="F111" s="23" t="s">
        <v>11</v>
      </c>
      <c r="G111" s="290" t="s">
        <v>88</v>
      </c>
      <c r="H111" s="292"/>
      <c r="I111" s="23" t="s">
        <v>11</v>
      </c>
      <c r="J111" s="300" t="s">
        <v>89</v>
      </c>
      <c r="K111" s="302" t="s">
        <v>128</v>
      </c>
      <c r="L111" s="303"/>
    </row>
    <row r="112" spans="1:12" ht="26.25" customHeight="1">
      <c r="A112" s="100" t="s">
        <v>129</v>
      </c>
      <c r="B112" s="19" t="s">
        <v>92</v>
      </c>
      <c r="C112" s="19" t="s">
        <v>93</v>
      </c>
      <c r="D112" s="25" t="s">
        <v>13</v>
      </c>
      <c r="E112" s="81" t="s">
        <v>130</v>
      </c>
      <c r="F112" s="25"/>
      <c r="G112" s="25" t="s">
        <v>13</v>
      </c>
      <c r="H112" s="81" t="s">
        <v>130</v>
      </c>
      <c r="I112" s="25"/>
      <c r="J112" s="301"/>
      <c r="K112" s="304"/>
      <c r="L112" s="305"/>
    </row>
    <row r="113" spans="1:12" ht="11.25" customHeight="1">
      <c r="A113" s="101"/>
      <c r="B113" s="130" t="s">
        <v>97</v>
      </c>
      <c r="C113" s="130" t="s">
        <v>98</v>
      </c>
      <c r="D113" s="130"/>
      <c r="E113" s="130" t="s">
        <v>99</v>
      </c>
      <c r="F113" s="129" t="s">
        <v>100</v>
      </c>
      <c r="G113" s="24"/>
      <c r="H113" s="24" t="s">
        <v>101</v>
      </c>
      <c r="I113" s="129" t="s">
        <v>102</v>
      </c>
      <c r="J113" s="24" t="s">
        <v>103</v>
      </c>
      <c r="K113" s="306"/>
      <c r="L113" s="307"/>
    </row>
    <row r="114" spans="1:12" ht="11.25" customHeight="1">
      <c r="A114" s="57" t="s">
        <v>112</v>
      </c>
      <c r="B114" s="15"/>
      <c r="C114" s="7"/>
      <c r="D114" s="15"/>
      <c r="E114" s="7"/>
      <c r="F114" s="15"/>
      <c r="G114" s="7"/>
      <c r="H114" s="15"/>
      <c r="I114" s="7"/>
      <c r="J114" s="7"/>
      <c r="K114" s="8"/>
      <c r="L114" s="4"/>
    </row>
    <row r="115" spans="1:12" ht="11.25" customHeight="1">
      <c r="A115" s="5" t="s">
        <v>104</v>
      </c>
      <c r="C115" s="5"/>
      <c r="E115" s="5"/>
      <c r="G115" s="5"/>
      <c r="I115" s="5"/>
      <c r="J115" s="5"/>
      <c r="K115" s="8"/>
      <c r="L115" s="4"/>
    </row>
    <row r="116" spans="1:12" ht="11.25" customHeight="1">
      <c r="A116" s="5" t="s">
        <v>105</v>
      </c>
      <c r="C116" s="5"/>
      <c r="E116" s="5"/>
      <c r="G116" s="5"/>
      <c r="I116" s="5"/>
      <c r="J116" s="5"/>
      <c r="K116" s="8"/>
      <c r="L116" s="4"/>
    </row>
    <row r="117" spans="1:12" ht="11.25" customHeight="1">
      <c r="A117" s="5" t="s">
        <v>106</v>
      </c>
      <c r="C117" s="5"/>
      <c r="E117" s="5"/>
      <c r="G117" s="5"/>
      <c r="I117" s="5"/>
      <c r="J117" s="5"/>
      <c r="K117" s="8"/>
      <c r="L117" s="4"/>
    </row>
    <row r="118" spans="1:12" ht="11.25" customHeight="1">
      <c r="A118" s="5" t="s">
        <v>107</v>
      </c>
      <c r="C118" s="5"/>
      <c r="E118" s="5"/>
      <c r="G118" s="5"/>
      <c r="I118" s="5"/>
      <c r="J118" s="5"/>
      <c r="K118" s="8"/>
      <c r="L118" s="4"/>
    </row>
    <row r="119" spans="1:12" ht="11.25" customHeight="1">
      <c r="A119" s="5" t="s">
        <v>108</v>
      </c>
      <c r="C119" s="5"/>
      <c r="E119" s="5"/>
      <c r="G119" s="5"/>
      <c r="I119" s="5"/>
      <c r="J119" s="5"/>
      <c r="K119" s="8"/>
      <c r="L119" s="4"/>
    </row>
    <row r="120" spans="1:12" ht="11.25" customHeight="1">
      <c r="A120" s="5" t="s">
        <v>109</v>
      </c>
      <c r="C120" s="5"/>
      <c r="E120" s="5"/>
      <c r="G120" s="5"/>
      <c r="I120" s="5"/>
      <c r="J120" s="5"/>
      <c r="K120" s="8"/>
      <c r="L120" s="4"/>
    </row>
    <row r="121" spans="1:12" ht="11.25" customHeight="1">
      <c r="A121" s="5" t="s">
        <v>110</v>
      </c>
      <c r="C121" s="5"/>
      <c r="E121" s="5"/>
      <c r="G121" s="5"/>
      <c r="I121" s="5"/>
      <c r="J121" s="5"/>
      <c r="K121" s="8"/>
      <c r="L121" s="4"/>
    </row>
    <row r="122" spans="1:12" ht="11.25" customHeight="1">
      <c r="A122" s="5" t="s">
        <v>111</v>
      </c>
      <c r="C122" s="5"/>
      <c r="E122" s="5"/>
      <c r="G122" s="5"/>
      <c r="I122" s="5"/>
      <c r="J122" s="5"/>
      <c r="K122" s="8"/>
      <c r="L122" s="4"/>
    </row>
    <row r="123" spans="1:12" ht="11.25" customHeight="1">
      <c r="A123" s="13" t="s">
        <v>131</v>
      </c>
      <c r="B123" s="1"/>
      <c r="C123" s="13"/>
      <c r="D123" s="108"/>
      <c r="E123" s="109"/>
      <c r="F123" s="108"/>
      <c r="G123" s="109"/>
      <c r="H123" s="108"/>
      <c r="I123" s="109"/>
      <c r="J123" s="109"/>
      <c r="K123" s="110"/>
      <c r="L123" s="111"/>
    </row>
  </sheetData>
  <sheetProtection/>
  <mergeCells count="55">
    <mergeCell ref="B22:C22"/>
    <mergeCell ref="D22:E22"/>
    <mergeCell ref="F22:G22"/>
    <mergeCell ref="I22:J22"/>
    <mergeCell ref="A3:K3"/>
    <mergeCell ref="A4:K4"/>
    <mergeCell ref="A5:K5"/>
    <mergeCell ref="A6:K6"/>
    <mergeCell ref="A7:K7"/>
    <mergeCell ref="B10:C11"/>
    <mergeCell ref="D10:E11"/>
    <mergeCell ref="F10:K10"/>
    <mergeCell ref="F11:G11"/>
    <mergeCell ref="I11:J11"/>
    <mergeCell ref="I23:J23"/>
    <mergeCell ref="D24:E24"/>
    <mergeCell ref="F24:G24"/>
    <mergeCell ref="D12:E12"/>
    <mergeCell ref="F12:G12"/>
    <mergeCell ref="I12:J12"/>
    <mergeCell ref="D14:E14"/>
    <mergeCell ref="K36:L36"/>
    <mergeCell ref="I26:J26"/>
    <mergeCell ref="B27:C27"/>
    <mergeCell ref="D27:E27"/>
    <mergeCell ref="F27:G27"/>
    <mergeCell ref="B23:C23"/>
    <mergeCell ref="D23:E23"/>
    <mergeCell ref="F23:G23"/>
    <mergeCell ref="B25:C25"/>
    <mergeCell ref="F25:G25"/>
    <mergeCell ref="D29:E29"/>
    <mergeCell ref="G29:H29"/>
    <mergeCell ref="J29:J31"/>
    <mergeCell ref="A38:K38"/>
    <mergeCell ref="A39:H39"/>
    <mergeCell ref="B26:C26"/>
    <mergeCell ref="D26:E26"/>
    <mergeCell ref="K29:L32"/>
    <mergeCell ref="K34:L34"/>
    <mergeCell ref="K35:L35"/>
    <mergeCell ref="D111:E111"/>
    <mergeCell ref="G111:H111"/>
    <mergeCell ref="J111:J112"/>
    <mergeCell ref="K111:L113"/>
    <mergeCell ref="D45:E45"/>
    <mergeCell ref="F45:G45"/>
    <mergeCell ref="I45:J45"/>
    <mergeCell ref="B43:C44"/>
    <mergeCell ref="D43:E44"/>
    <mergeCell ref="F43:K43"/>
    <mergeCell ref="F44:G44"/>
    <mergeCell ref="I44:J44"/>
    <mergeCell ref="K37:L37"/>
    <mergeCell ref="A40:C40"/>
  </mergeCells>
  <printOptions horizontalCentered="1"/>
  <pageMargins left="0.3937007874015748" right="0.3937007874015748" top="0.984251968503937" bottom="0.984251968503937" header="0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1"/>
  <sheetViews>
    <sheetView showGridLines="0" tabSelected="1" zoomScale="70" zoomScaleNormal="70" zoomScalePageLayoutView="0" workbookViewId="0" topLeftCell="A1">
      <selection activeCell="G220" sqref="G220:K220"/>
    </sheetView>
  </sheetViews>
  <sheetFormatPr defaultColWidth="9.140625" defaultRowHeight="12.75"/>
  <cols>
    <col min="1" max="1" width="106.140625" style="250" customWidth="1"/>
    <col min="2" max="2" width="13.57421875" style="250" customWidth="1"/>
    <col min="3" max="3" width="15.421875" style="250" customWidth="1"/>
    <col min="4" max="4" width="14.421875" style="250" customWidth="1"/>
    <col min="5" max="5" width="15.28125" style="250" customWidth="1"/>
    <col min="6" max="6" width="15.421875" style="250" customWidth="1"/>
    <col min="7" max="7" width="13.8515625" style="250" customWidth="1"/>
    <col min="8" max="8" width="13.7109375" style="250" customWidth="1"/>
    <col min="9" max="9" width="15.57421875" style="250" customWidth="1"/>
    <col min="10" max="10" width="19.28125" style="250" customWidth="1"/>
    <col min="11" max="11" width="18.7109375" style="250" customWidth="1"/>
    <col min="12" max="12" width="15.57421875" style="241" customWidth="1"/>
    <col min="13" max="13" width="18.140625" style="250" customWidth="1"/>
    <col min="14" max="14" width="12.8515625" style="250" bestFit="1" customWidth="1"/>
    <col min="15" max="15" width="17.140625" style="250" customWidth="1"/>
    <col min="16" max="16" width="11.57421875" style="250" bestFit="1" customWidth="1"/>
    <col min="17" max="16384" width="9.140625" style="250" customWidth="1"/>
  </cols>
  <sheetData>
    <row r="1" ht="12.75"/>
    <row r="2" spans="1:12" s="3" customFormat="1" ht="15.75">
      <c r="A2" s="212"/>
      <c r="B2" s="212"/>
      <c r="C2" s="212"/>
      <c r="D2" s="212"/>
      <c r="E2" s="212"/>
      <c r="F2" s="212"/>
      <c r="G2" s="212"/>
      <c r="H2" s="212"/>
      <c r="L2" s="241"/>
    </row>
    <row r="3" spans="1:12" s="3" customFormat="1" ht="15.75">
      <c r="A3" s="136"/>
      <c r="B3" s="136"/>
      <c r="C3" s="136"/>
      <c r="D3" s="136"/>
      <c r="E3" s="136"/>
      <c r="F3" s="136"/>
      <c r="G3" s="136"/>
      <c r="H3" s="136"/>
      <c r="L3" s="241"/>
    </row>
    <row r="4" spans="1:12" s="112" customFormat="1" ht="15.75">
      <c r="A4" s="117"/>
      <c r="B4" s="117"/>
      <c r="C4" s="117"/>
      <c r="D4" s="117"/>
      <c r="E4" s="117"/>
      <c r="F4" s="117"/>
      <c r="G4" s="117"/>
      <c r="H4" s="117"/>
      <c r="I4" s="3"/>
      <c r="J4" s="3"/>
      <c r="K4" s="3"/>
      <c r="L4" s="241"/>
    </row>
    <row r="5" spans="1:12" s="112" customFormat="1" ht="15">
      <c r="A5" s="402" t="s">
        <v>281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241"/>
    </row>
    <row r="6" spans="1:12" s="112" customFormat="1" ht="15">
      <c r="A6" s="331" t="s">
        <v>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241"/>
    </row>
    <row r="7" spans="1:12" s="112" customFormat="1" ht="15">
      <c r="A7" s="403" t="s">
        <v>145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241"/>
    </row>
    <row r="8" spans="1:12" s="112" customFormat="1" ht="15">
      <c r="A8" s="331" t="s">
        <v>4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241"/>
    </row>
    <row r="9" spans="1:12" s="112" customFormat="1" ht="15">
      <c r="A9" s="331" t="s">
        <v>356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241"/>
    </row>
    <row r="10" spans="1:12" s="112" customFormat="1" ht="15">
      <c r="A10" s="138"/>
      <c r="B10" s="138"/>
      <c r="C10" s="138"/>
      <c r="D10" s="138"/>
      <c r="E10" s="138"/>
      <c r="F10" s="138"/>
      <c r="G10" s="138"/>
      <c r="H10" s="138"/>
      <c r="I10" s="3"/>
      <c r="J10" s="3"/>
      <c r="K10" s="282" t="s">
        <v>357</v>
      </c>
      <c r="L10" s="241"/>
    </row>
    <row r="11" spans="1:12" s="112" customFormat="1" ht="15">
      <c r="A11" s="3" t="s">
        <v>147</v>
      </c>
      <c r="B11" s="137"/>
      <c r="C11" s="137"/>
      <c r="D11" s="137"/>
      <c r="E11" s="137"/>
      <c r="F11" s="137"/>
      <c r="G11" s="137"/>
      <c r="H11" s="139"/>
      <c r="I11" s="3"/>
      <c r="J11" s="3"/>
      <c r="K11" s="139">
        <v>1</v>
      </c>
      <c r="L11" s="241"/>
    </row>
    <row r="12" spans="1:12" s="112" customFormat="1" ht="18" customHeight="1">
      <c r="A12" s="404" t="s">
        <v>148</v>
      </c>
      <c r="B12" s="404"/>
      <c r="C12" s="404"/>
      <c r="D12" s="404"/>
      <c r="E12" s="404"/>
      <c r="F12" s="404"/>
      <c r="G12" s="404"/>
      <c r="H12" s="404"/>
      <c r="I12" s="404"/>
      <c r="J12" s="404"/>
      <c r="K12" s="404"/>
      <c r="L12" s="241"/>
    </row>
    <row r="13" spans="1:12" s="112" customFormat="1" ht="15">
      <c r="A13" s="371" t="s">
        <v>149</v>
      </c>
      <c r="B13" s="391" t="s">
        <v>141</v>
      </c>
      <c r="C13" s="389"/>
      <c r="D13" s="389"/>
      <c r="E13" s="389"/>
      <c r="F13" s="390"/>
      <c r="G13" s="391" t="s">
        <v>10</v>
      </c>
      <c r="H13" s="389"/>
      <c r="I13" s="389"/>
      <c r="J13" s="389"/>
      <c r="K13" s="389"/>
      <c r="L13" s="241"/>
    </row>
    <row r="14" spans="1:12" s="112" customFormat="1" ht="15">
      <c r="A14" s="405"/>
      <c r="B14" s="372" t="s">
        <v>93</v>
      </c>
      <c r="C14" s="387"/>
      <c r="D14" s="387"/>
      <c r="E14" s="387"/>
      <c r="F14" s="374"/>
      <c r="G14" s="372" t="s">
        <v>15</v>
      </c>
      <c r="H14" s="387"/>
      <c r="I14" s="387"/>
      <c r="J14" s="387"/>
      <c r="K14" s="387"/>
      <c r="L14" s="241"/>
    </row>
    <row r="15" spans="1:12" s="112" customFormat="1" ht="15">
      <c r="A15" s="406"/>
      <c r="B15" s="398" t="s">
        <v>16</v>
      </c>
      <c r="C15" s="399"/>
      <c r="D15" s="399"/>
      <c r="E15" s="399"/>
      <c r="F15" s="400"/>
      <c r="G15" s="398" t="s">
        <v>17</v>
      </c>
      <c r="H15" s="399"/>
      <c r="I15" s="399"/>
      <c r="J15" s="399"/>
      <c r="K15" s="399"/>
      <c r="L15" s="241"/>
    </row>
    <row r="16" spans="1:12" s="112" customFormat="1" ht="15">
      <c r="A16" s="117" t="s">
        <v>150</v>
      </c>
      <c r="B16" s="195" t="s">
        <v>144</v>
      </c>
      <c r="C16" s="117"/>
      <c r="D16" s="117"/>
      <c r="E16" s="363">
        <f>E17+E20+E21+E22+E23</f>
        <v>51773394556.08</v>
      </c>
      <c r="F16" s="401"/>
      <c r="G16" s="195"/>
      <c r="H16" s="117"/>
      <c r="I16" s="117"/>
      <c r="J16" s="363">
        <f>J17+J20+J21+J22+J23</f>
        <v>30691783760.309998</v>
      </c>
      <c r="K16" s="363"/>
      <c r="L16" s="241"/>
    </row>
    <row r="17" spans="1:12" s="112" customFormat="1" ht="29.25" customHeight="1">
      <c r="A17" s="141" t="s">
        <v>151</v>
      </c>
      <c r="B17" s="140"/>
      <c r="C17" s="3"/>
      <c r="D17" s="3"/>
      <c r="E17" s="375">
        <f>E18+E19</f>
        <v>43530640718.36</v>
      </c>
      <c r="F17" s="394"/>
      <c r="G17" s="140"/>
      <c r="H17" s="3"/>
      <c r="I17" s="3"/>
      <c r="J17" s="375">
        <f>J18+J19</f>
        <v>25240927183.93</v>
      </c>
      <c r="K17" s="375"/>
      <c r="L17" s="241"/>
    </row>
    <row r="18" spans="1:12" s="112" customFormat="1" ht="12.75" customHeight="1">
      <c r="A18" s="141" t="s">
        <v>152</v>
      </c>
      <c r="B18" s="140"/>
      <c r="C18" s="3"/>
      <c r="D18" s="3"/>
      <c r="E18" s="375">
        <v>38832570434.13</v>
      </c>
      <c r="F18" s="394"/>
      <c r="G18" s="140"/>
      <c r="H18" s="3"/>
      <c r="I18" s="3"/>
      <c r="J18" s="375">
        <v>22434786508.36</v>
      </c>
      <c r="K18" s="375"/>
      <c r="L18" s="241"/>
    </row>
    <row r="19" spans="1:12" s="112" customFormat="1" ht="12.75" customHeight="1">
      <c r="A19" s="141" t="s">
        <v>153</v>
      </c>
      <c r="B19" s="140"/>
      <c r="C19" s="3"/>
      <c r="D19" s="3"/>
      <c r="E19" s="375">
        <v>4698070284.23</v>
      </c>
      <c r="F19" s="394"/>
      <c r="G19" s="140"/>
      <c r="H19" s="3"/>
      <c r="I19" s="3"/>
      <c r="J19" s="375">
        <v>2806140675.57</v>
      </c>
      <c r="K19" s="375"/>
      <c r="L19" s="241"/>
    </row>
    <row r="20" spans="1:12" s="112" customFormat="1" ht="15">
      <c r="A20" s="3" t="s">
        <v>154</v>
      </c>
      <c r="B20" s="140"/>
      <c r="C20" s="3"/>
      <c r="D20" s="3"/>
      <c r="E20" s="375">
        <v>1290354016.13</v>
      </c>
      <c r="F20" s="394"/>
      <c r="G20" s="140"/>
      <c r="H20" s="3"/>
      <c r="I20" s="3"/>
      <c r="J20" s="375">
        <v>671114463.94</v>
      </c>
      <c r="K20" s="375"/>
      <c r="L20" s="241"/>
    </row>
    <row r="21" spans="1:12" s="112" customFormat="1" ht="15">
      <c r="A21" s="3" t="s">
        <v>155</v>
      </c>
      <c r="B21" s="140"/>
      <c r="C21" s="3"/>
      <c r="D21" s="3"/>
      <c r="E21" s="375">
        <v>2844407199.68</v>
      </c>
      <c r="F21" s="394"/>
      <c r="G21" s="140"/>
      <c r="H21" s="3"/>
      <c r="I21" s="3"/>
      <c r="J21" s="375">
        <v>2670349111.32</v>
      </c>
      <c r="K21" s="375"/>
      <c r="L21" s="241"/>
    </row>
    <row r="22" spans="1:12" s="112" customFormat="1" ht="15">
      <c r="A22" s="3" t="s">
        <v>156</v>
      </c>
      <c r="B22" s="140" t="s">
        <v>144</v>
      </c>
      <c r="C22" s="3"/>
      <c r="D22" s="3"/>
      <c r="E22" s="375">
        <v>4106526667.16</v>
      </c>
      <c r="F22" s="394"/>
      <c r="G22" s="140"/>
      <c r="H22" s="3"/>
      <c r="I22" s="3"/>
      <c r="J22" s="375">
        <v>2109182235.87</v>
      </c>
      <c r="K22" s="375"/>
      <c r="L22" s="241"/>
    </row>
    <row r="23" spans="1:12" s="112" customFormat="1" ht="15">
      <c r="A23" s="141" t="s">
        <v>282</v>
      </c>
      <c r="B23" s="140"/>
      <c r="C23" s="3"/>
      <c r="D23" s="3"/>
      <c r="E23" s="375">
        <f>E24+E25</f>
        <v>1465954.75</v>
      </c>
      <c r="F23" s="394"/>
      <c r="G23" s="140"/>
      <c r="H23" s="3"/>
      <c r="I23" s="3"/>
      <c r="J23" s="375">
        <f>J24+J25</f>
        <v>210765.25</v>
      </c>
      <c r="K23" s="375"/>
      <c r="L23" s="241"/>
    </row>
    <row r="24" spans="1:12" s="112" customFormat="1" ht="15">
      <c r="A24" s="141" t="s">
        <v>283</v>
      </c>
      <c r="B24" s="140"/>
      <c r="C24" s="3"/>
      <c r="D24" s="3"/>
      <c r="E24" s="375">
        <v>0</v>
      </c>
      <c r="F24" s="394"/>
      <c r="G24" s="140"/>
      <c r="H24" s="3"/>
      <c r="I24" s="3"/>
      <c r="J24" s="375">
        <v>0</v>
      </c>
      <c r="K24" s="375"/>
      <c r="L24" s="241"/>
    </row>
    <row r="25" spans="1:12" s="112" customFormat="1" ht="15">
      <c r="A25" s="141" t="s">
        <v>284</v>
      </c>
      <c r="B25" s="140"/>
      <c r="C25" s="3"/>
      <c r="D25" s="3"/>
      <c r="E25" s="375">
        <v>1465954.75</v>
      </c>
      <c r="F25" s="394"/>
      <c r="G25" s="140"/>
      <c r="H25" s="3"/>
      <c r="I25" s="3"/>
      <c r="J25" s="375">
        <v>210765.25</v>
      </c>
      <c r="K25" s="375"/>
      <c r="L25" s="241"/>
    </row>
    <row r="26" spans="1:12" s="112" customFormat="1" ht="15">
      <c r="A26" s="117" t="s">
        <v>157</v>
      </c>
      <c r="B26" s="195" t="s">
        <v>144</v>
      </c>
      <c r="C26" s="117"/>
      <c r="D26" s="117"/>
      <c r="E26" s="376">
        <f>E27+E28+E29+E30</f>
        <v>2533053831.6800003</v>
      </c>
      <c r="F26" s="393"/>
      <c r="G26" s="195"/>
      <c r="H26" s="117"/>
      <c r="I26" s="117"/>
      <c r="J26" s="376">
        <f>J27+J28+J29+J30</f>
        <v>1644798107.45</v>
      </c>
      <c r="K26" s="376"/>
      <c r="L26" s="241"/>
    </row>
    <row r="27" spans="1:12" s="112" customFormat="1" ht="15">
      <c r="A27" s="3" t="s">
        <v>158</v>
      </c>
      <c r="B27" s="140" t="s">
        <v>144</v>
      </c>
      <c r="C27" s="3"/>
      <c r="D27" s="3"/>
      <c r="E27" s="375">
        <v>1471025723.68</v>
      </c>
      <c r="F27" s="394"/>
      <c r="G27" s="140"/>
      <c r="H27" s="3"/>
      <c r="I27" s="3"/>
      <c r="J27" s="375">
        <v>950362845.21</v>
      </c>
      <c r="K27" s="375"/>
      <c r="L27" s="241"/>
    </row>
    <row r="28" spans="1:12" s="112" customFormat="1" ht="15">
      <c r="A28" s="3" t="s">
        <v>159</v>
      </c>
      <c r="B28" s="140" t="s">
        <v>144</v>
      </c>
      <c r="C28" s="3"/>
      <c r="D28" s="3"/>
      <c r="E28" s="375">
        <v>1061924381</v>
      </c>
      <c r="F28" s="394"/>
      <c r="G28" s="140"/>
      <c r="H28" s="3"/>
      <c r="I28" s="3"/>
      <c r="J28" s="375">
        <v>694434374.15</v>
      </c>
      <c r="K28" s="375"/>
      <c r="L28" s="241"/>
    </row>
    <row r="29" spans="1:12" s="112" customFormat="1" ht="15">
      <c r="A29" s="3" t="s">
        <v>160</v>
      </c>
      <c r="B29" s="140" t="s">
        <v>144</v>
      </c>
      <c r="C29" s="3"/>
      <c r="D29" s="3"/>
      <c r="E29" s="375">
        <v>103727</v>
      </c>
      <c r="F29" s="394"/>
      <c r="G29" s="140"/>
      <c r="H29" s="3"/>
      <c r="I29" s="3"/>
      <c r="J29" s="375">
        <v>888.09</v>
      </c>
      <c r="K29" s="375"/>
      <c r="L29" s="241"/>
    </row>
    <row r="30" spans="1:12" s="112" customFormat="1" ht="15">
      <c r="A30" s="3" t="s">
        <v>161</v>
      </c>
      <c r="B30" s="140"/>
      <c r="C30" s="3"/>
      <c r="D30" s="3"/>
      <c r="E30" s="375">
        <v>0</v>
      </c>
      <c r="F30" s="394"/>
      <c r="G30" s="140"/>
      <c r="H30" s="3"/>
      <c r="I30" s="3"/>
      <c r="J30" s="375">
        <v>0</v>
      </c>
      <c r="K30" s="375"/>
      <c r="L30" s="241"/>
    </row>
    <row r="31" spans="1:12" s="6" customFormat="1" ht="15">
      <c r="A31" s="196" t="s">
        <v>162</v>
      </c>
      <c r="B31" s="197"/>
      <c r="C31" s="196"/>
      <c r="D31" s="196"/>
      <c r="E31" s="392">
        <f>E32+E33+E34</f>
        <v>11357644011.07</v>
      </c>
      <c r="F31" s="397"/>
      <c r="G31" s="197"/>
      <c r="H31" s="196"/>
      <c r="I31" s="196"/>
      <c r="J31" s="392">
        <f>J32+J33+J34</f>
        <v>7065119380.309999</v>
      </c>
      <c r="K31" s="392"/>
      <c r="L31" s="241"/>
    </row>
    <row r="32" spans="1:12" s="112" customFormat="1" ht="15">
      <c r="A32" s="143" t="s">
        <v>163</v>
      </c>
      <c r="B32" s="242"/>
      <c r="C32" s="170"/>
      <c r="D32" s="170"/>
      <c r="E32" s="395">
        <v>9670327147.98</v>
      </c>
      <c r="F32" s="396"/>
      <c r="G32" s="140"/>
      <c r="H32" s="3"/>
      <c r="I32" s="3"/>
      <c r="J32" s="375">
        <v>5556420913.95</v>
      </c>
      <c r="K32" s="375"/>
      <c r="L32" s="241"/>
    </row>
    <row r="33" spans="1:12" s="112" customFormat="1" ht="15">
      <c r="A33" s="143" t="s">
        <v>164</v>
      </c>
      <c r="B33" s="242"/>
      <c r="C33" s="170"/>
      <c r="D33" s="170"/>
      <c r="E33" s="395">
        <v>1421835767.84</v>
      </c>
      <c r="F33" s="396"/>
      <c r="G33" s="140"/>
      <c r="H33" s="3"/>
      <c r="I33" s="3"/>
      <c r="J33" s="375">
        <v>1335089872.82</v>
      </c>
      <c r="K33" s="375"/>
      <c r="L33" s="241"/>
    </row>
    <row r="34" spans="1:14" s="112" customFormat="1" ht="12.75" customHeight="1">
      <c r="A34" s="143" t="s">
        <v>165</v>
      </c>
      <c r="B34" s="242"/>
      <c r="C34" s="170"/>
      <c r="D34" s="170"/>
      <c r="E34" s="344">
        <v>265481095.25</v>
      </c>
      <c r="F34" s="388"/>
      <c r="G34" s="140"/>
      <c r="H34" s="3"/>
      <c r="I34" s="3"/>
      <c r="J34" s="348">
        <v>173608593.54</v>
      </c>
      <c r="K34" s="348"/>
      <c r="L34" s="241"/>
      <c r="M34" s="487"/>
      <c r="N34" s="487"/>
    </row>
    <row r="35" spans="1:15" s="112" customFormat="1" ht="13.5" customHeight="1">
      <c r="A35" s="144" t="s">
        <v>166</v>
      </c>
      <c r="B35" s="198" t="s">
        <v>144</v>
      </c>
      <c r="C35" s="199"/>
      <c r="D35" s="199"/>
      <c r="E35" s="383">
        <f>E16+E26-E31</f>
        <v>42948804376.69</v>
      </c>
      <c r="F35" s="384"/>
      <c r="G35" s="198"/>
      <c r="H35" s="199"/>
      <c r="I35" s="199"/>
      <c r="J35" s="383">
        <f>J16+J26-J31</f>
        <v>25271462487.449997</v>
      </c>
      <c r="K35" s="383"/>
      <c r="L35" s="275"/>
      <c r="M35" s="488"/>
      <c r="N35" s="488"/>
      <c r="O35" s="276"/>
    </row>
    <row r="36" spans="1:15" s="112" customFormat="1" ht="13.5" customHeight="1">
      <c r="A36" s="144"/>
      <c r="B36" s="146"/>
      <c r="C36" s="147"/>
      <c r="D36" s="147"/>
      <c r="E36" s="147"/>
      <c r="F36" s="147"/>
      <c r="G36" s="146"/>
      <c r="H36" s="145"/>
      <c r="I36" s="145"/>
      <c r="J36" s="239"/>
      <c r="K36" s="239"/>
      <c r="L36" s="275"/>
      <c r="M36" s="276"/>
      <c r="N36" s="276"/>
      <c r="O36" s="276"/>
    </row>
    <row r="37" spans="1:15" s="112" customFormat="1" ht="16.5" customHeight="1">
      <c r="A37" s="148" t="s">
        <v>167</v>
      </c>
      <c r="B37" s="243"/>
      <c r="C37" s="244"/>
      <c r="D37" s="244"/>
      <c r="E37" s="385">
        <v>6793999430.28</v>
      </c>
      <c r="F37" s="386"/>
      <c r="G37" s="200"/>
      <c r="H37" s="199"/>
      <c r="I37" s="199"/>
      <c r="J37" s="345">
        <v>4587389699.76</v>
      </c>
      <c r="K37" s="345"/>
      <c r="L37" s="275"/>
      <c r="M37" s="276"/>
      <c r="N37" s="276"/>
      <c r="O37" s="276"/>
    </row>
    <row r="38" spans="1:15" s="112" customFormat="1" ht="13.5" customHeight="1">
      <c r="A38" s="144"/>
      <c r="B38" s="146"/>
      <c r="C38" s="147"/>
      <c r="D38" s="147"/>
      <c r="E38" s="147"/>
      <c r="F38" s="147"/>
      <c r="G38" s="146"/>
      <c r="H38" s="145"/>
      <c r="I38" s="145"/>
      <c r="J38" s="239"/>
      <c r="K38" s="239"/>
      <c r="L38" s="275"/>
      <c r="M38" s="276"/>
      <c r="N38" s="276"/>
      <c r="O38" s="276"/>
    </row>
    <row r="39" spans="1:15" s="112" customFormat="1" ht="33.75" customHeight="1">
      <c r="A39" s="144" t="s">
        <v>168</v>
      </c>
      <c r="B39" s="200"/>
      <c r="C39" s="201"/>
      <c r="D39" s="201"/>
      <c r="E39" s="383">
        <f>(0.05*((E17-E32)+(E20)+(E21-E33)+(E27)+(E28-E34)))+(0.25*(E22+E29+E30))</f>
        <v>2968692999.929</v>
      </c>
      <c r="F39" s="384"/>
      <c r="G39" s="200"/>
      <c r="H39" s="199"/>
      <c r="I39" s="199"/>
      <c r="J39" s="383">
        <f>(0.05*((J17-J32)+(J20)+(J21-J33)+(J27)+(J28-J34)))+(0.25*(J22+J29+J30))</f>
        <v>1685399210.902</v>
      </c>
      <c r="K39" s="383"/>
      <c r="L39" s="275"/>
      <c r="M39" s="276"/>
      <c r="N39" s="276"/>
      <c r="O39" s="276"/>
    </row>
    <row r="40" spans="1:15" s="112" customFormat="1" ht="13.5" customHeight="1">
      <c r="A40" s="149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275"/>
      <c r="M40" s="276"/>
      <c r="N40" s="276"/>
      <c r="O40" s="276"/>
    </row>
    <row r="41" spans="1:12" s="112" customFormat="1" ht="18.75" customHeight="1">
      <c r="A41" s="404" t="s">
        <v>169</v>
      </c>
      <c r="B41" s="444"/>
      <c r="C41" s="444"/>
      <c r="D41" s="444"/>
      <c r="E41" s="444"/>
      <c r="F41" s="444"/>
      <c r="G41" s="444"/>
      <c r="H41" s="444"/>
      <c r="I41" s="444"/>
      <c r="J41" s="444"/>
      <c r="K41" s="237"/>
      <c r="L41" s="241"/>
    </row>
    <row r="42" spans="1:12" s="112" customFormat="1" ht="15" customHeight="1">
      <c r="A42" s="418" t="s">
        <v>170</v>
      </c>
      <c r="B42" s="389" t="s">
        <v>141</v>
      </c>
      <c r="C42" s="389"/>
      <c r="D42" s="389"/>
      <c r="E42" s="389"/>
      <c r="F42" s="390"/>
      <c r="G42" s="391" t="s">
        <v>10</v>
      </c>
      <c r="H42" s="389"/>
      <c r="I42" s="389"/>
      <c r="J42" s="389"/>
      <c r="K42" s="389"/>
      <c r="L42" s="241"/>
    </row>
    <row r="43" spans="1:12" s="112" customFormat="1" ht="15">
      <c r="A43" s="430"/>
      <c r="B43" s="387" t="s">
        <v>93</v>
      </c>
      <c r="C43" s="387"/>
      <c r="D43" s="387"/>
      <c r="E43" s="387"/>
      <c r="F43" s="374"/>
      <c r="G43" s="372" t="s">
        <v>15</v>
      </c>
      <c r="H43" s="387"/>
      <c r="I43" s="387"/>
      <c r="J43" s="387"/>
      <c r="K43" s="387"/>
      <c r="L43" s="241"/>
    </row>
    <row r="44" spans="1:12" s="112" customFormat="1" ht="15">
      <c r="A44" s="419"/>
      <c r="B44" s="399" t="s">
        <v>16</v>
      </c>
      <c r="C44" s="399"/>
      <c r="D44" s="399"/>
      <c r="E44" s="399"/>
      <c r="F44" s="400"/>
      <c r="G44" s="398" t="s">
        <v>17</v>
      </c>
      <c r="H44" s="399"/>
      <c r="I44" s="399"/>
      <c r="J44" s="399"/>
      <c r="K44" s="399"/>
      <c r="L44" s="241"/>
    </row>
    <row r="45" spans="1:12" s="112" customFormat="1" ht="15">
      <c r="A45" s="202" t="s">
        <v>171</v>
      </c>
      <c r="B45" s="203"/>
      <c r="C45" s="203"/>
      <c r="D45" s="203"/>
      <c r="E45" s="368">
        <f>E46+E49+E52+E54</f>
        <v>2920151986</v>
      </c>
      <c r="F45" s="361"/>
      <c r="G45" s="203"/>
      <c r="H45" s="203"/>
      <c r="I45" s="117"/>
      <c r="J45" s="363">
        <f>J46+J49+J52+J54</f>
        <v>2061712349.46</v>
      </c>
      <c r="K45" s="363"/>
      <c r="L45" s="241"/>
    </row>
    <row r="46" spans="1:13" s="112" customFormat="1" ht="15">
      <c r="A46" s="202" t="s">
        <v>172</v>
      </c>
      <c r="B46" s="203"/>
      <c r="C46" s="203"/>
      <c r="D46" s="203"/>
      <c r="E46" s="382">
        <f>E47+E48</f>
        <v>2920151986</v>
      </c>
      <c r="F46" s="354"/>
      <c r="G46" s="203"/>
      <c r="H46" s="203"/>
      <c r="I46" s="117"/>
      <c r="J46" s="376">
        <f>J47+J48</f>
        <v>2018010995.1200001</v>
      </c>
      <c r="K46" s="376"/>
      <c r="L46" s="241"/>
      <c r="M46" s="285"/>
    </row>
    <row r="47" spans="1:12" s="112" customFormat="1" ht="15">
      <c r="A47" s="150" t="s">
        <v>173</v>
      </c>
      <c r="B47" s="151"/>
      <c r="C47" s="151"/>
      <c r="D47" s="151"/>
      <c r="E47" s="365">
        <v>2920151986</v>
      </c>
      <c r="F47" s="352"/>
      <c r="G47" s="151"/>
      <c r="H47" s="151"/>
      <c r="I47" s="3"/>
      <c r="J47" s="375">
        <v>2010749082.89</v>
      </c>
      <c r="K47" s="375"/>
      <c r="L47" s="241"/>
    </row>
    <row r="48" spans="1:12" s="112" customFormat="1" ht="15">
      <c r="A48" s="150" t="s">
        <v>174</v>
      </c>
      <c r="B48" s="151"/>
      <c r="C48" s="151"/>
      <c r="D48" s="151"/>
      <c r="E48" s="365">
        <v>0</v>
      </c>
      <c r="F48" s="352"/>
      <c r="G48" s="151"/>
      <c r="H48" s="151"/>
      <c r="I48" s="3"/>
      <c r="J48" s="375">
        <f>7194224.55+67687.68</f>
        <v>7261912.2299999995</v>
      </c>
      <c r="K48" s="375"/>
      <c r="L48" s="241"/>
    </row>
    <row r="49" spans="1:12" s="112" customFormat="1" ht="15">
      <c r="A49" s="202" t="s">
        <v>175</v>
      </c>
      <c r="B49" s="203"/>
      <c r="C49" s="203"/>
      <c r="D49" s="203"/>
      <c r="E49" s="382">
        <f>E50+E51</f>
        <v>0</v>
      </c>
      <c r="F49" s="354"/>
      <c r="G49" s="203"/>
      <c r="H49" s="203"/>
      <c r="I49" s="117"/>
      <c r="J49" s="376">
        <f>J50+J51</f>
        <v>43701354.339999996</v>
      </c>
      <c r="K49" s="376"/>
      <c r="L49" s="241"/>
    </row>
    <row r="50" spans="1:12" s="112" customFormat="1" ht="15">
      <c r="A50" s="150" t="s">
        <v>176</v>
      </c>
      <c r="B50" s="151"/>
      <c r="C50" s="151"/>
      <c r="D50" s="151"/>
      <c r="E50" s="365">
        <v>0</v>
      </c>
      <c r="F50" s="352"/>
      <c r="G50" s="151"/>
      <c r="H50" s="151"/>
      <c r="I50" s="3"/>
      <c r="J50" s="375">
        <f>43603893.54</f>
        <v>43603893.54</v>
      </c>
      <c r="K50" s="375"/>
      <c r="L50" s="241"/>
    </row>
    <row r="51" spans="1:12" s="112" customFormat="1" ht="15">
      <c r="A51" s="150" t="s">
        <v>177</v>
      </c>
      <c r="B51" s="151"/>
      <c r="C51" s="151"/>
      <c r="D51" s="151"/>
      <c r="E51" s="365">
        <v>0</v>
      </c>
      <c r="F51" s="352"/>
      <c r="G51" s="151"/>
      <c r="H51" s="151"/>
      <c r="I51" s="3"/>
      <c r="J51" s="375">
        <f>97460.8</f>
        <v>97460.8</v>
      </c>
      <c r="K51" s="375"/>
      <c r="L51" s="241"/>
    </row>
    <row r="52" spans="1:12" s="112" customFormat="1" ht="15">
      <c r="A52" s="202" t="s">
        <v>178</v>
      </c>
      <c r="B52" s="203"/>
      <c r="C52" s="203"/>
      <c r="D52" s="203"/>
      <c r="E52" s="382">
        <f>E53+E54</f>
        <v>0</v>
      </c>
      <c r="F52" s="354"/>
      <c r="G52" s="203"/>
      <c r="H52" s="203"/>
      <c r="I52" s="117"/>
      <c r="J52" s="376">
        <f>J53+J54</f>
        <v>0</v>
      </c>
      <c r="K52" s="376"/>
      <c r="L52" s="241"/>
    </row>
    <row r="53" spans="1:12" s="112" customFormat="1" ht="15">
      <c r="A53" s="150" t="s">
        <v>179</v>
      </c>
      <c r="B53" s="151"/>
      <c r="C53" s="151"/>
      <c r="D53" s="151"/>
      <c r="E53" s="365">
        <v>0</v>
      </c>
      <c r="F53" s="352"/>
      <c r="G53" s="151"/>
      <c r="H53" s="151"/>
      <c r="I53" s="3"/>
      <c r="J53" s="375">
        <v>0</v>
      </c>
      <c r="K53" s="375"/>
      <c r="L53" s="241"/>
    </row>
    <row r="54" spans="1:14" s="112" customFormat="1" ht="15">
      <c r="A54" s="150" t="s">
        <v>180</v>
      </c>
      <c r="B54" s="151"/>
      <c r="C54" s="151"/>
      <c r="D54" s="151"/>
      <c r="E54" s="365">
        <v>0</v>
      </c>
      <c r="F54" s="352"/>
      <c r="G54" s="151"/>
      <c r="H54" s="151"/>
      <c r="I54" s="3"/>
      <c r="J54" s="375">
        <v>0</v>
      </c>
      <c r="K54" s="375"/>
      <c r="L54" s="241"/>
      <c r="M54" s="487"/>
      <c r="N54" s="487"/>
    </row>
    <row r="55" spans="1:14" s="112" customFormat="1" ht="18">
      <c r="A55" s="204" t="s">
        <v>285</v>
      </c>
      <c r="B55" s="205"/>
      <c r="C55" s="205"/>
      <c r="D55" s="205"/>
      <c r="E55" s="366">
        <f>E47-E37</f>
        <v>-3873847444.2799997</v>
      </c>
      <c r="F55" s="367"/>
      <c r="G55" s="205"/>
      <c r="H55" s="205"/>
      <c r="I55" s="206"/>
      <c r="J55" s="366">
        <f>J47-J37</f>
        <v>-2576640616.87</v>
      </c>
      <c r="K55" s="366"/>
      <c r="L55" s="241"/>
      <c r="M55" s="488"/>
      <c r="N55" s="488"/>
    </row>
    <row r="56" spans="1:16" s="6" customFormat="1" ht="19.5" customHeight="1">
      <c r="A56" s="234" t="s">
        <v>181</v>
      </c>
      <c r="B56" s="470" t="s">
        <v>142</v>
      </c>
      <c r="C56" s="470"/>
      <c r="D56" s="470"/>
      <c r="E56" s="428"/>
      <c r="F56" s="428"/>
      <c r="G56" s="470"/>
      <c r="H56" s="470"/>
      <c r="I56" s="470"/>
      <c r="J56" s="428"/>
      <c r="K56" s="270"/>
      <c r="L56" s="241"/>
      <c r="M56" s="116"/>
      <c r="N56" s="116"/>
      <c r="O56" s="116"/>
      <c r="P56" s="116"/>
    </row>
    <row r="57" spans="1:16" s="6" customFormat="1" ht="15">
      <c r="A57" s="207" t="s">
        <v>182</v>
      </c>
      <c r="B57" s="208"/>
      <c r="C57" s="208"/>
      <c r="D57" s="208"/>
      <c r="E57" s="208"/>
      <c r="F57" s="208"/>
      <c r="G57" s="208"/>
      <c r="H57" s="208"/>
      <c r="I57" s="196"/>
      <c r="J57" s="377">
        <f>J58+J59</f>
        <v>108479316.370001</v>
      </c>
      <c r="K57" s="377"/>
      <c r="L57" s="241"/>
      <c r="M57" s="116"/>
      <c r="N57" s="116"/>
      <c r="O57" s="116"/>
      <c r="P57" s="116"/>
    </row>
    <row r="58" spans="1:16" s="6" customFormat="1" ht="12.75" customHeight="1">
      <c r="A58" s="155" t="s">
        <v>183</v>
      </c>
      <c r="B58" s="154"/>
      <c r="C58" s="154"/>
      <c r="D58" s="154"/>
      <c r="E58" s="154"/>
      <c r="F58" s="154"/>
      <c r="G58" s="154"/>
      <c r="H58" s="154"/>
      <c r="I58" s="142"/>
      <c r="J58" s="364">
        <v>108479316.370001</v>
      </c>
      <c r="K58" s="364"/>
      <c r="L58" s="489"/>
      <c r="M58" s="490"/>
      <c r="N58" s="490"/>
      <c r="O58" s="490"/>
      <c r="P58" s="490"/>
    </row>
    <row r="59" spans="1:16" s="6" customFormat="1" ht="15">
      <c r="A59" s="156" t="s">
        <v>184</v>
      </c>
      <c r="B59" s="154"/>
      <c r="C59" s="154"/>
      <c r="D59" s="154"/>
      <c r="E59" s="154"/>
      <c r="F59" s="154"/>
      <c r="G59" s="154"/>
      <c r="H59" s="154"/>
      <c r="I59" s="142"/>
      <c r="J59" s="332">
        <v>0</v>
      </c>
      <c r="K59" s="332"/>
      <c r="L59" s="241"/>
      <c r="M59" s="116"/>
      <c r="N59" s="116"/>
      <c r="O59" s="116"/>
      <c r="P59" s="116"/>
    </row>
    <row r="60" spans="1:16" s="6" customFormat="1" ht="15">
      <c r="A60" s="157"/>
      <c r="B60" s="158"/>
      <c r="C60" s="158"/>
      <c r="D60" s="158"/>
      <c r="E60" s="158"/>
      <c r="F60" s="158"/>
      <c r="G60" s="158"/>
      <c r="H60" s="158"/>
      <c r="I60" s="159"/>
      <c r="J60" s="159"/>
      <c r="K60" s="159"/>
      <c r="L60" s="241"/>
      <c r="M60" s="116"/>
      <c r="N60" s="116"/>
      <c r="O60" s="116"/>
      <c r="P60" s="116"/>
    </row>
    <row r="61" spans="1:16" s="6" customFormat="1" ht="15">
      <c r="A61" s="280" t="s">
        <v>185</v>
      </c>
      <c r="B61" s="277"/>
      <c r="C61" s="277"/>
      <c r="D61" s="277"/>
      <c r="E61" s="277"/>
      <c r="F61" s="277"/>
      <c r="G61" s="277"/>
      <c r="H61" s="277"/>
      <c r="I61" s="279"/>
      <c r="J61" s="345">
        <f>J45+J57</f>
        <v>2170191665.830001</v>
      </c>
      <c r="K61" s="345"/>
      <c r="L61" s="241"/>
      <c r="M61" s="116"/>
      <c r="N61" s="116"/>
      <c r="O61" s="116"/>
      <c r="P61" s="116"/>
    </row>
    <row r="62" spans="1:16" s="6" customFormat="1" ht="15">
      <c r="A62" s="226"/>
      <c r="B62" s="226"/>
      <c r="C62" s="226"/>
      <c r="D62" s="226"/>
      <c r="E62" s="226"/>
      <c r="F62" s="226"/>
      <c r="G62" s="226"/>
      <c r="H62" s="226"/>
      <c r="I62" s="227"/>
      <c r="J62" s="227"/>
      <c r="K62" s="229" t="s">
        <v>292</v>
      </c>
      <c r="L62" s="241"/>
      <c r="M62" s="116"/>
      <c r="N62" s="116"/>
      <c r="O62" s="116"/>
      <c r="P62" s="116"/>
    </row>
    <row r="63" spans="1:16" s="6" customFormat="1" ht="15">
      <c r="A63" s="226"/>
      <c r="B63" s="226"/>
      <c r="C63" s="226"/>
      <c r="D63" s="226"/>
      <c r="E63" s="226"/>
      <c r="F63" s="226"/>
      <c r="G63" s="226"/>
      <c r="H63" s="226"/>
      <c r="I63" s="227"/>
      <c r="J63" s="227"/>
      <c r="K63" s="227"/>
      <c r="L63" s="241"/>
      <c r="M63" s="116"/>
      <c r="N63" s="116"/>
      <c r="O63" s="116"/>
      <c r="P63" s="116"/>
    </row>
    <row r="64" spans="1:11" s="241" customFormat="1" ht="15">
      <c r="A64" s="245"/>
      <c r="B64" s="245"/>
      <c r="C64" s="245"/>
      <c r="D64" s="245"/>
      <c r="E64" s="245"/>
      <c r="F64" s="245"/>
      <c r="G64" s="245"/>
      <c r="H64" s="245"/>
      <c r="I64" s="245"/>
      <c r="J64" s="245"/>
      <c r="K64" s="228"/>
    </row>
    <row r="65" spans="1:11" s="241" customFormat="1" ht="15.75">
      <c r="A65" s="210"/>
      <c r="B65" s="210"/>
      <c r="C65" s="210"/>
      <c r="D65" s="210"/>
      <c r="E65" s="210"/>
      <c r="F65" s="210"/>
      <c r="G65" s="210"/>
      <c r="H65" s="210"/>
      <c r="I65" s="210"/>
      <c r="J65" s="210"/>
      <c r="K65" s="210"/>
    </row>
    <row r="66" spans="1:11" s="241" customFormat="1" ht="15.75">
      <c r="A66" s="210"/>
      <c r="B66" s="210"/>
      <c r="C66" s="210"/>
      <c r="D66" s="210"/>
      <c r="E66" s="210"/>
      <c r="F66" s="210"/>
      <c r="G66" s="210"/>
      <c r="H66" s="210"/>
      <c r="I66" s="210"/>
      <c r="J66" s="210"/>
      <c r="K66" s="209" t="s">
        <v>287</v>
      </c>
    </row>
    <row r="67" spans="1:11" s="241" customFormat="1" ht="15.75">
      <c r="A67" s="210"/>
      <c r="B67" s="210"/>
      <c r="C67" s="210"/>
      <c r="D67" s="210"/>
      <c r="E67" s="210"/>
      <c r="F67" s="210"/>
      <c r="G67" s="210"/>
      <c r="H67" s="210"/>
      <c r="I67" s="210"/>
      <c r="J67" s="210"/>
      <c r="K67" s="210"/>
    </row>
    <row r="68" spans="1:11" s="241" customFormat="1" ht="15.75">
      <c r="A68" s="210"/>
      <c r="B68" s="210"/>
      <c r="C68" s="210"/>
      <c r="D68" s="210"/>
      <c r="E68" s="210"/>
      <c r="F68" s="210"/>
      <c r="G68" s="210"/>
      <c r="H68" s="210"/>
      <c r="I68" s="210"/>
      <c r="J68" s="210"/>
      <c r="K68" s="210"/>
    </row>
    <row r="69" spans="1:11" s="241" customFormat="1" ht="15">
      <c r="A69" s="415" t="str">
        <f>A5</f>
        <v>GOVERNO DO ESTADO DO RIO DE JANEIRO</v>
      </c>
      <c r="B69" s="415"/>
      <c r="C69" s="415"/>
      <c r="D69" s="415"/>
      <c r="E69" s="415"/>
      <c r="F69" s="415"/>
      <c r="G69" s="415"/>
      <c r="H69" s="415"/>
      <c r="I69" s="415"/>
      <c r="J69" s="415"/>
      <c r="K69" s="415"/>
    </row>
    <row r="70" spans="1:11" s="241" customFormat="1" ht="15">
      <c r="A70" s="415" t="str">
        <f>A6</f>
        <v>RELATÓRIO RESUMIDO DA EXECUÇÃO ORÇAMENTÁRIA</v>
      </c>
      <c r="B70" s="415"/>
      <c r="C70" s="415"/>
      <c r="D70" s="415"/>
      <c r="E70" s="415"/>
      <c r="F70" s="415"/>
      <c r="G70" s="415"/>
      <c r="H70" s="415"/>
      <c r="I70" s="415"/>
      <c r="J70" s="415"/>
      <c r="K70" s="415"/>
    </row>
    <row r="71" spans="1:11" s="241" customFormat="1" ht="15">
      <c r="A71" s="335" t="str">
        <f>A7</f>
        <v>DEMONSTRATIVO DAS RECEITAS E DESPESAS COM MANUTENÇÃO E DESENVOLVIMENTO DO ENSINO - MDE</v>
      </c>
      <c r="B71" s="335"/>
      <c r="C71" s="335"/>
      <c r="D71" s="335"/>
      <c r="E71" s="335"/>
      <c r="F71" s="335"/>
      <c r="G71" s="335"/>
      <c r="H71" s="335"/>
      <c r="I71" s="335"/>
      <c r="J71" s="335"/>
      <c r="K71" s="335"/>
    </row>
    <row r="72" spans="1:11" s="241" customFormat="1" ht="15">
      <c r="A72" s="415" t="str">
        <f>A8</f>
        <v>ORÇAMENTOS FISCAL E DA SEGURIDADE SOCIAL</v>
      </c>
      <c r="B72" s="415"/>
      <c r="C72" s="415"/>
      <c r="D72" s="415"/>
      <c r="E72" s="415"/>
      <c r="F72" s="415"/>
      <c r="G72" s="415"/>
      <c r="H72" s="415"/>
      <c r="I72" s="415"/>
      <c r="J72" s="415"/>
      <c r="K72" s="415"/>
    </row>
    <row r="73" spans="1:11" s="241" customFormat="1" ht="15">
      <c r="A73" s="415" t="str">
        <f>A9</f>
        <v>JANEIRO A JUNHO 2021/BIMESTRE MAIO - JUNHO</v>
      </c>
      <c r="B73" s="415"/>
      <c r="C73" s="415"/>
      <c r="D73" s="415"/>
      <c r="E73" s="415"/>
      <c r="F73" s="415"/>
      <c r="G73" s="415"/>
      <c r="H73" s="415"/>
      <c r="I73" s="415"/>
      <c r="J73" s="415"/>
      <c r="K73" s="415"/>
    </row>
    <row r="74" spans="1:11" s="241" customFormat="1" ht="15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09" t="str">
        <f>K10</f>
        <v>Emissão: 19/07/2021</v>
      </c>
    </row>
    <row r="75" spans="1:16" s="6" customFormat="1" ht="15">
      <c r="A75" s="3" t="s">
        <v>147</v>
      </c>
      <c r="B75" s="210"/>
      <c r="C75" s="210"/>
      <c r="D75" s="210"/>
      <c r="E75" s="210"/>
      <c r="F75" s="210"/>
      <c r="G75" s="210"/>
      <c r="H75" s="210"/>
      <c r="I75" s="210"/>
      <c r="J75" s="210"/>
      <c r="K75" s="211">
        <f>K11</f>
        <v>1</v>
      </c>
      <c r="L75" s="241"/>
      <c r="M75" s="116"/>
      <c r="N75" s="116"/>
      <c r="O75" s="116"/>
      <c r="P75" s="116"/>
    </row>
    <row r="76" spans="1:16" s="112" customFormat="1" ht="29.25" customHeight="1">
      <c r="A76" s="371" t="s">
        <v>286</v>
      </c>
      <c r="B76" s="407" t="s">
        <v>186</v>
      </c>
      <c r="C76" s="408"/>
      <c r="D76" s="369" t="s">
        <v>87</v>
      </c>
      <c r="E76" s="371"/>
      <c r="F76" s="369" t="s">
        <v>88</v>
      </c>
      <c r="G76" s="370"/>
      <c r="H76" s="371"/>
      <c r="I76" s="409" t="s">
        <v>143</v>
      </c>
      <c r="J76" s="410"/>
      <c r="K76" s="410"/>
      <c r="L76" s="241"/>
      <c r="M76" s="421"/>
      <c r="N76" s="421"/>
      <c r="O76" s="18"/>
      <c r="P76" s="17"/>
    </row>
    <row r="77" spans="1:15" s="112" customFormat="1" ht="15">
      <c r="A77" s="405"/>
      <c r="B77" s="387"/>
      <c r="C77" s="374"/>
      <c r="D77" s="372" t="s">
        <v>15</v>
      </c>
      <c r="E77" s="374"/>
      <c r="F77" s="372" t="s">
        <v>15</v>
      </c>
      <c r="G77" s="373"/>
      <c r="H77" s="374"/>
      <c r="I77" s="411" t="s">
        <v>15</v>
      </c>
      <c r="J77" s="412"/>
      <c r="K77" s="412"/>
      <c r="L77" s="241"/>
      <c r="M77" s="17"/>
      <c r="N77" s="17"/>
      <c r="O77" s="17"/>
    </row>
    <row r="78" spans="1:16" s="112" customFormat="1" ht="15">
      <c r="A78" s="405"/>
      <c r="B78" s="399" t="s">
        <v>19</v>
      </c>
      <c r="C78" s="400"/>
      <c r="D78" s="398" t="s">
        <v>97</v>
      </c>
      <c r="E78" s="400"/>
      <c r="F78" s="372" t="s">
        <v>98</v>
      </c>
      <c r="G78" s="373"/>
      <c r="H78" s="374"/>
      <c r="I78" s="413" t="s">
        <v>99</v>
      </c>
      <c r="J78" s="414"/>
      <c r="K78" s="414"/>
      <c r="L78" s="241"/>
      <c r="M78" s="17"/>
      <c r="N78" s="17"/>
      <c r="O78" s="17"/>
      <c r="P78" s="17"/>
    </row>
    <row r="79" spans="1:14" s="112" customFormat="1" ht="12.75" customHeight="1">
      <c r="A79" s="207" t="s">
        <v>187</v>
      </c>
      <c r="B79" s="360">
        <f>B80+B81</f>
        <v>2658776656.6099997</v>
      </c>
      <c r="C79" s="361"/>
      <c r="D79" s="360">
        <f>D80+D81</f>
        <v>1214401785.6</v>
      </c>
      <c r="E79" s="361"/>
      <c r="F79" s="214"/>
      <c r="G79" s="368">
        <f>G80+G81</f>
        <v>1214401785.6</v>
      </c>
      <c r="H79" s="361"/>
      <c r="I79" s="218"/>
      <c r="J79" s="363">
        <f>J80+J81</f>
        <v>1093272137.6299999</v>
      </c>
      <c r="K79" s="363"/>
      <c r="L79" s="241"/>
      <c r="M79" s="422"/>
      <c r="N79" s="422"/>
    </row>
    <row r="80" spans="1:14" s="112" customFormat="1" ht="15">
      <c r="A80" s="150" t="s">
        <v>188</v>
      </c>
      <c r="B80" s="357">
        <f>869773513.3-19784633.77</f>
        <v>849988879.53</v>
      </c>
      <c r="C80" s="358"/>
      <c r="D80" s="362">
        <f>356737678.06</f>
        <v>356737678.06</v>
      </c>
      <c r="E80" s="352"/>
      <c r="F80" s="176"/>
      <c r="G80" s="351">
        <f>356737678.06</f>
        <v>356737678.06</v>
      </c>
      <c r="H80" s="352"/>
      <c r="I80" s="217"/>
      <c r="J80" s="346">
        <f>308781227.95</f>
        <v>308781227.95</v>
      </c>
      <c r="K80" s="346"/>
      <c r="L80" s="241"/>
      <c r="M80" s="422"/>
      <c r="N80" s="422"/>
    </row>
    <row r="81" spans="1:14" s="112" customFormat="1" ht="15">
      <c r="A81" s="150" t="s">
        <v>189</v>
      </c>
      <c r="B81" s="357">
        <f>1863880147.02-55092369.94</f>
        <v>1808787777.08</v>
      </c>
      <c r="C81" s="358"/>
      <c r="D81" s="362">
        <f>857664107.54</f>
        <v>857664107.54</v>
      </c>
      <c r="E81" s="352"/>
      <c r="F81" s="176"/>
      <c r="G81" s="351">
        <f>857664107.54</f>
        <v>857664107.54</v>
      </c>
      <c r="H81" s="352"/>
      <c r="I81" s="217"/>
      <c r="J81" s="346">
        <f>784490909.68</f>
        <v>784490909.68</v>
      </c>
      <c r="K81" s="346"/>
      <c r="L81" s="241"/>
      <c r="M81" s="422"/>
      <c r="N81" s="422"/>
    </row>
    <row r="82" spans="1:14" s="112" customFormat="1" ht="15" customHeight="1">
      <c r="A82" s="202" t="s">
        <v>190</v>
      </c>
      <c r="B82" s="359">
        <f>B83+B84</f>
        <v>369877003.71</v>
      </c>
      <c r="C82" s="354"/>
      <c r="D82" s="359">
        <f>D83+D84</f>
        <v>369877003.71</v>
      </c>
      <c r="E82" s="354"/>
      <c r="F82" s="215"/>
      <c r="G82" s="353">
        <f>G83+G84</f>
        <v>369877003.71</v>
      </c>
      <c r="H82" s="354"/>
      <c r="I82" s="218"/>
      <c r="J82" s="347">
        <f>J83+J84</f>
        <v>326326242.78999996</v>
      </c>
      <c r="K82" s="347"/>
      <c r="L82" s="241"/>
      <c r="M82" s="422"/>
      <c r="N82" s="422"/>
    </row>
    <row r="83" spans="1:15" s="112" customFormat="1" ht="15">
      <c r="A83" s="150" t="s">
        <v>191</v>
      </c>
      <c r="B83" s="357">
        <f>90000000+19784633.77</f>
        <v>109784633.77</v>
      </c>
      <c r="C83" s="358"/>
      <c r="D83" s="362">
        <f>109784633.77</f>
        <v>109784633.77</v>
      </c>
      <c r="E83" s="352"/>
      <c r="F83" s="176"/>
      <c r="G83" s="351">
        <f>109784633.77</f>
        <v>109784633.77</v>
      </c>
      <c r="H83" s="352"/>
      <c r="I83" s="217"/>
      <c r="J83" s="346">
        <f>94848310.85</f>
        <v>94848310.85</v>
      </c>
      <c r="K83" s="346"/>
      <c r="L83" s="241"/>
      <c r="M83" s="422"/>
      <c r="N83" s="422"/>
      <c r="O83" s="491"/>
    </row>
    <row r="84" spans="1:15" s="112" customFormat="1" ht="15">
      <c r="A84" s="150" t="s">
        <v>192</v>
      </c>
      <c r="B84" s="378">
        <f>205000000+55092369.94</f>
        <v>260092369.94</v>
      </c>
      <c r="C84" s="379"/>
      <c r="D84" s="381">
        <f>260092369.94</f>
        <v>260092369.94</v>
      </c>
      <c r="E84" s="356"/>
      <c r="F84" s="216"/>
      <c r="G84" s="355">
        <f>260092369.94</f>
        <v>260092369.94</v>
      </c>
      <c r="H84" s="356"/>
      <c r="I84" s="217"/>
      <c r="J84" s="348">
        <f>231477931.94</f>
        <v>231477931.94</v>
      </c>
      <c r="K84" s="348"/>
      <c r="L84" s="241"/>
      <c r="M84" s="422"/>
      <c r="N84" s="422"/>
      <c r="O84" s="491"/>
    </row>
    <row r="85" spans="1:14" s="112" customFormat="1" ht="15">
      <c r="A85" s="277" t="s">
        <v>193</v>
      </c>
      <c r="B85" s="380">
        <f>B79+B82</f>
        <v>3028653660.3199997</v>
      </c>
      <c r="C85" s="350"/>
      <c r="D85" s="380">
        <f>D79+D82</f>
        <v>1584278789.31</v>
      </c>
      <c r="E85" s="350"/>
      <c r="F85" s="278"/>
      <c r="G85" s="349">
        <f>G79+G82</f>
        <v>1584278789.31</v>
      </c>
      <c r="H85" s="350"/>
      <c r="I85" s="279"/>
      <c r="J85" s="345">
        <f>J79+J82</f>
        <v>1419598380.4199998</v>
      </c>
      <c r="K85" s="345"/>
      <c r="L85" s="241"/>
      <c r="M85" s="422"/>
      <c r="N85" s="422"/>
    </row>
    <row r="86" spans="1:14" s="112" customFormat="1" ht="12.75">
      <c r="A86" s="241"/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6"/>
      <c r="N86" s="246"/>
    </row>
    <row r="87" spans="1:12" s="112" customFormat="1" ht="15">
      <c r="A87" s="423" t="s">
        <v>194</v>
      </c>
      <c r="B87" s="423"/>
      <c r="C87" s="423"/>
      <c r="D87" s="423"/>
      <c r="E87" s="423"/>
      <c r="F87" s="423"/>
      <c r="G87" s="423"/>
      <c r="H87" s="423"/>
      <c r="I87" s="423"/>
      <c r="J87" s="423"/>
      <c r="K87" s="238"/>
      <c r="L87" s="241"/>
    </row>
    <row r="88" spans="1:12" s="112" customFormat="1" ht="29.25" customHeight="1">
      <c r="A88" s="370" t="s">
        <v>195</v>
      </c>
      <c r="B88" s="369" t="s">
        <v>87</v>
      </c>
      <c r="C88" s="370"/>
      <c r="D88" s="370"/>
      <c r="E88" s="371"/>
      <c r="F88" s="409" t="s">
        <v>88</v>
      </c>
      <c r="G88" s="410"/>
      <c r="H88" s="471"/>
      <c r="I88" s="409" t="s">
        <v>143</v>
      </c>
      <c r="J88" s="410"/>
      <c r="K88" s="410"/>
      <c r="L88" s="241"/>
    </row>
    <row r="89" spans="1:12" s="112" customFormat="1" ht="19.5" customHeight="1">
      <c r="A89" s="424"/>
      <c r="B89" s="457" t="s">
        <v>15</v>
      </c>
      <c r="C89" s="429"/>
      <c r="D89" s="429"/>
      <c r="E89" s="430"/>
      <c r="F89" s="416" t="s">
        <v>15</v>
      </c>
      <c r="G89" s="473"/>
      <c r="H89" s="474"/>
      <c r="I89" s="416" t="s">
        <v>15</v>
      </c>
      <c r="J89" s="417"/>
      <c r="K89" s="417"/>
      <c r="L89" s="241"/>
    </row>
    <row r="90" spans="1:12" s="112" customFormat="1" ht="16.5" customHeight="1">
      <c r="A90" s="424"/>
      <c r="B90" s="372" t="s">
        <v>97</v>
      </c>
      <c r="C90" s="373"/>
      <c r="D90" s="373"/>
      <c r="E90" s="374"/>
      <c r="F90" s="457" t="s">
        <v>98</v>
      </c>
      <c r="G90" s="429"/>
      <c r="H90" s="430"/>
      <c r="I90" s="413" t="s">
        <v>99</v>
      </c>
      <c r="J90" s="414"/>
      <c r="K90" s="414"/>
      <c r="L90" s="241"/>
    </row>
    <row r="91" spans="1:12" s="112" customFormat="1" ht="15">
      <c r="A91" s="162" t="s">
        <v>196</v>
      </c>
      <c r="B91" s="163"/>
      <c r="C91" s="164"/>
      <c r="D91" s="336">
        <f>D79-H106</f>
        <v>1105922469.2299988</v>
      </c>
      <c r="E91" s="337"/>
      <c r="F91" s="163"/>
      <c r="G91" s="336">
        <f>G79-H106</f>
        <v>1105922469.2299988</v>
      </c>
      <c r="H91" s="337"/>
      <c r="I91" s="220"/>
      <c r="J91" s="342">
        <f>J79-H106</f>
        <v>984792821.2599989</v>
      </c>
      <c r="K91" s="342"/>
      <c r="L91" s="241"/>
    </row>
    <row r="92" spans="1:12" s="112" customFormat="1" ht="15">
      <c r="A92" s="165" t="s">
        <v>197</v>
      </c>
      <c r="B92" s="166"/>
      <c r="C92" s="220"/>
      <c r="D92" s="338">
        <f>D85-H106</f>
        <v>1475799472.9399989</v>
      </c>
      <c r="E92" s="339"/>
      <c r="F92" s="166"/>
      <c r="G92" s="338">
        <f>G85-H106</f>
        <v>1475799472.9399989</v>
      </c>
      <c r="H92" s="339"/>
      <c r="I92" s="220"/>
      <c r="J92" s="343">
        <f>J85-H106</f>
        <v>1311119064.0499988</v>
      </c>
      <c r="K92" s="343"/>
      <c r="L92" s="241"/>
    </row>
    <row r="93" spans="1:12" s="112" customFormat="1" ht="15">
      <c r="A93" s="165" t="s">
        <v>198</v>
      </c>
      <c r="B93" s="166"/>
      <c r="C93" s="220"/>
      <c r="D93" s="338">
        <v>0</v>
      </c>
      <c r="E93" s="339"/>
      <c r="F93" s="166"/>
      <c r="G93" s="338">
        <v>0</v>
      </c>
      <c r="H93" s="339"/>
      <c r="I93" s="220"/>
      <c r="J93" s="343">
        <v>0</v>
      </c>
      <c r="K93" s="343"/>
      <c r="L93" s="241"/>
    </row>
    <row r="94" spans="1:12" s="112" customFormat="1" ht="15">
      <c r="A94" s="165" t="s">
        <v>199</v>
      </c>
      <c r="B94" s="166"/>
      <c r="C94" s="220"/>
      <c r="D94" s="338">
        <v>0</v>
      </c>
      <c r="E94" s="339"/>
      <c r="F94" s="166"/>
      <c r="G94" s="338">
        <v>0</v>
      </c>
      <c r="H94" s="339"/>
      <c r="I94" s="220"/>
      <c r="J94" s="343">
        <v>0</v>
      </c>
      <c r="K94" s="343"/>
      <c r="L94" s="241"/>
    </row>
    <row r="95" spans="1:12" s="112" customFormat="1" ht="30.75">
      <c r="A95" s="165" t="s">
        <v>200</v>
      </c>
      <c r="B95" s="167"/>
      <c r="C95" s="168"/>
      <c r="D95" s="340">
        <v>0</v>
      </c>
      <c r="E95" s="341"/>
      <c r="F95" s="167"/>
      <c r="G95" s="340">
        <v>0</v>
      </c>
      <c r="H95" s="341"/>
      <c r="I95" s="167"/>
      <c r="J95" s="344">
        <v>0</v>
      </c>
      <c r="K95" s="344"/>
      <c r="L95" s="241"/>
    </row>
    <row r="96" spans="1:12" s="112" customFormat="1" ht="27" customHeight="1">
      <c r="A96" s="418" t="s">
        <v>288</v>
      </c>
      <c r="B96" s="429" t="s">
        <v>201</v>
      </c>
      <c r="C96" s="429"/>
      <c r="D96" s="430"/>
      <c r="E96" s="431" t="s">
        <v>202</v>
      </c>
      <c r="F96" s="432"/>
      <c r="G96" s="405"/>
      <c r="H96" s="431" t="s">
        <v>203</v>
      </c>
      <c r="I96" s="405"/>
      <c r="J96" s="369" t="s">
        <v>204</v>
      </c>
      <c r="K96" s="370"/>
      <c r="L96" s="241"/>
    </row>
    <row r="97" spans="1:12" s="112" customFormat="1" ht="13.5" customHeight="1">
      <c r="A97" s="419"/>
      <c r="B97" s="425" t="s">
        <v>205</v>
      </c>
      <c r="C97" s="426"/>
      <c r="D97" s="419"/>
      <c r="E97" s="425" t="s">
        <v>103</v>
      </c>
      <c r="F97" s="426"/>
      <c r="G97" s="419"/>
      <c r="H97" s="425" t="s">
        <v>206</v>
      </c>
      <c r="I97" s="419"/>
      <c r="J97" s="427" t="s">
        <v>207</v>
      </c>
      <c r="K97" s="428"/>
      <c r="L97" s="241"/>
    </row>
    <row r="98" spans="1:12" s="112" customFormat="1" ht="17.25" customHeight="1">
      <c r="A98" s="169" t="s">
        <v>208</v>
      </c>
      <c r="B98" s="420">
        <f>J45*0.7</f>
        <v>1443198644.622</v>
      </c>
      <c r="C98" s="336"/>
      <c r="D98" s="337"/>
      <c r="E98" s="420">
        <f>G91</f>
        <v>1105922469.2299988</v>
      </c>
      <c r="F98" s="336"/>
      <c r="G98" s="337"/>
      <c r="H98" s="336">
        <f>G91</f>
        <v>1105922469.2299988</v>
      </c>
      <c r="I98" s="336"/>
      <c r="J98" s="433">
        <f>H98/J45*100</f>
        <v>53.64096836882507</v>
      </c>
      <c r="K98" s="342"/>
      <c r="L98" s="241"/>
    </row>
    <row r="99" spans="1:12" s="112" customFormat="1" ht="16.5" customHeight="1">
      <c r="A99" s="169" t="s">
        <v>209</v>
      </c>
      <c r="B99" s="445">
        <f>J52*0.15</f>
        <v>0</v>
      </c>
      <c r="C99" s="340"/>
      <c r="D99" s="341"/>
      <c r="E99" s="445">
        <f>G95</f>
        <v>0</v>
      </c>
      <c r="F99" s="340"/>
      <c r="G99" s="341"/>
      <c r="H99" s="446">
        <f>G95</f>
        <v>0</v>
      </c>
      <c r="I99" s="446"/>
      <c r="J99" s="439">
        <v>0</v>
      </c>
      <c r="K99" s="395"/>
      <c r="L99" s="241"/>
    </row>
    <row r="100" spans="1:12" s="112" customFormat="1" ht="25.5" customHeight="1">
      <c r="A100" s="418" t="s">
        <v>289</v>
      </c>
      <c r="B100" s="447" t="s">
        <v>210</v>
      </c>
      <c r="C100" s="447"/>
      <c r="D100" s="418"/>
      <c r="E100" s="369" t="s">
        <v>211</v>
      </c>
      <c r="F100" s="370"/>
      <c r="G100" s="371"/>
      <c r="H100" s="369" t="s">
        <v>212</v>
      </c>
      <c r="I100" s="371"/>
      <c r="J100" s="369" t="s">
        <v>213</v>
      </c>
      <c r="K100" s="370"/>
      <c r="L100" s="241"/>
    </row>
    <row r="101" spans="1:12" s="112" customFormat="1" ht="16.5" customHeight="1">
      <c r="A101" s="419"/>
      <c r="B101" s="425" t="s">
        <v>146</v>
      </c>
      <c r="C101" s="426"/>
      <c r="D101" s="419"/>
      <c r="E101" s="425" t="s">
        <v>214</v>
      </c>
      <c r="F101" s="426"/>
      <c r="G101" s="419"/>
      <c r="H101" s="425" t="s">
        <v>215</v>
      </c>
      <c r="I101" s="419"/>
      <c r="J101" s="427" t="s">
        <v>216</v>
      </c>
      <c r="K101" s="428"/>
      <c r="L101" s="271"/>
    </row>
    <row r="102" spans="1:12" s="112" customFormat="1" ht="19.5" customHeight="1">
      <c r="A102" s="170" t="s">
        <v>217</v>
      </c>
      <c r="B102" s="434">
        <f>J45*0.1</f>
        <v>206171234.946</v>
      </c>
      <c r="C102" s="435"/>
      <c r="D102" s="435"/>
      <c r="E102" s="434">
        <f>J45-(G92+G93+G94)</f>
        <v>585912876.5200012</v>
      </c>
      <c r="F102" s="435"/>
      <c r="G102" s="436"/>
      <c r="H102" s="437">
        <f>E102</f>
        <v>585912876.5200012</v>
      </c>
      <c r="I102" s="438"/>
      <c r="J102" s="439">
        <f>H102/J45*100</f>
        <v>28.41874991307407</v>
      </c>
      <c r="K102" s="395"/>
      <c r="L102" s="271"/>
    </row>
    <row r="103" spans="1:12" s="112" customFormat="1" ht="84" customHeight="1">
      <c r="A103" s="371" t="s">
        <v>290</v>
      </c>
      <c r="B103" s="369" t="s">
        <v>218</v>
      </c>
      <c r="C103" s="371"/>
      <c r="D103" s="369" t="s">
        <v>219</v>
      </c>
      <c r="E103" s="371"/>
      <c r="F103" s="369" t="s">
        <v>220</v>
      </c>
      <c r="G103" s="370"/>
      <c r="H103" s="369" t="s">
        <v>221</v>
      </c>
      <c r="I103" s="371"/>
      <c r="J103" s="233" t="s">
        <v>222</v>
      </c>
      <c r="K103" s="233" t="s">
        <v>211</v>
      </c>
      <c r="L103" s="241"/>
    </row>
    <row r="104" spans="1:12" s="112" customFormat="1" ht="16.5" customHeight="1">
      <c r="A104" s="405"/>
      <c r="B104" s="425" t="s">
        <v>223</v>
      </c>
      <c r="C104" s="419"/>
      <c r="D104" s="425" t="s">
        <v>224</v>
      </c>
      <c r="E104" s="419"/>
      <c r="F104" s="425" t="s">
        <v>225</v>
      </c>
      <c r="G104" s="426"/>
      <c r="H104" s="425" t="s">
        <v>226</v>
      </c>
      <c r="I104" s="419"/>
      <c r="J104" s="235" t="s">
        <v>227</v>
      </c>
      <c r="K104" s="236" t="s">
        <v>306</v>
      </c>
      <c r="L104" s="241"/>
    </row>
    <row r="105" spans="1:12" s="112" customFormat="1" ht="14.25" customHeight="1">
      <c r="A105" s="231" t="s">
        <v>228</v>
      </c>
      <c r="B105" s="440">
        <f>B106+B107</f>
        <v>143006630.5665</v>
      </c>
      <c r="C105" s="441"/>
      <c r="D105" s="442">
        <f>D106+D107</f>
        <v>108479316.370001</v>
      </c>
      <c r="E105" s="443"/>
      <c r="F105" s="360">
        <f>F106+F107</f>
        <v>108479316.370001</v>
      </c>
      <c r="G105" s="361"/>
      <c r="H105" s="440">
        <f>H106+H107</f>
        <v>108479316.370001</v>
      </c>
      <c r="I105" s="441"/>
      <c r="J105" s="247">
        <f>J106+J107</f>
        <v>0</v>
      </c>
      <c r="K105" s="247">
        <f>D105-F105-J105</f>
        <v>0</v>
      </c>
      <c r="L105" s="241"/>
    </row>
    <row r="106" spans="1:16" s="112" customFormat="1" ht="15">
      <c r="A106" s="165" t="s">
        <v>229</v>
      </c>
      <c r="B106" s="448">
        <f>143006630.5665</f>
        <v>143006630.5665</v>
      </c>
      <c r="C106" s="339"/>
      <c r="D106" s="448">
        <f>J58</f>
        <v>108479316.370001</v>
      </c>
      <c r="E106" s="339"/>
      <c r="F106" s="357">
        <f>65951172.02+27550502.3+5000000+10000000-22357.9499990046</f>
        <v>108479316.370001</v>
      </c>
      <c r="G106" s="358"/>
      <c r="H106" s="448">
        <f>D106</f>
        <v>108479316.370001</v>
      </c>
      <c r="I106" s="339"/>
      <c r="J106" s="248">
        <v>0</v>
      </c>
      <c r="K106" s="248">
        <f>D106-F106-J106</f>
        <v>0</v>
      </c>
      <c r="L106" s="489"/>
      <c r="M106" s="490"/>
      <c r="N106" s="490"/>
      <c r="O106" s="490"/>
      <c r="P106" s="490"/>
    </row>
    <row r="107" spans="1:12" s="112" customFormat="1" ht="15">
      <c r="A107" s="165" t="s">
        <v>230</v>
      </c>
      <c r="B107" s="445">
        <v>0</v>
      </c>
      <c r="C107" s="341"/>
      <c r="D107" s="445">
        <v>0</v>
      </c>
      <c r="E107" s="341"/>
      <c r="F107" s="381">
        <v>0</v>
      </c>
      <c r="G107" s="356"/>
      <c r="H107" s="445">
        <v>0</v>
      </c>
      <c r="I107" s="341"/>
      <c r="J107" s="249">
        <v>0</v>
      </c>
      <c r="K107" s="249">
        <f>D107-F107-J107</f>
        <v>0</v>
      </c>
      <c r="L107" s="241"/>
    </row>
    <row r="108" spans="1:12" s="112" customFormat="1" ht="12" customHeight="1">
      <c r="A108" s="171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241"/>
    </row>
    <row r="109" spans="1:12" s="112" customFormat="1" ht="15.75" customHeight="1">
      <c r="A109" s="444" t="s">
        <v>231</v>
      </c>
      <c r="B109" s="444"/>
      <c r="C109" s="444"/>
      <c r="D109" s="444"/>
      <c r="E109" s="444"/>
      <c r="F109" s="444"/>
      <c r="G109" s="444"/>
      <c r="H109" s="444"/>
      <c r="I109" s="444"/>
      <c r="J109" s="444"/>
      <c r="K109" s="237"/>
      <c r="L109" s="241"/>
    </row>
    <row r="110" spans="1:12" s="112" customFormat="1" ht="31.5" customHeight="1">
      <c r="A110" s="371" t="s">
        <v>291</v>
      </c>
      <c r="B110" s="407" t="s">
        <v>186</v>
      </c>
      <c r="C110" s="408"/>
      <c r="D110" s="369" t="s">
        <v>87</v>
      </c>
      <c r="E110" s="371"/>
      <c r="F110" s="369" t="s">
        <v>88</v>
      </c>
      <c r="G110" s="370"/>
      <c r="H110" s="371"/>
      <c r="I110" s="409" t="s">
        <v>143</v>
      </c>
      <c r="J110" s="410"/>
      <c r="K110" s="410"/>
      <c r="L110" s="241"/>
    </row>
    <row r="111" spans="1:12" s="112" customFormat="1" ht="15">
      <c r="A111" s="405"/>
      <c r="B111" s="387"/>
      <c r="C111" s="374"/>
      <c r="D111" s="372" t="s">
        <v>15</v>
      </c>
      <c r="E111" s="374"/>
      <c r="F111" s="372" t="s">
        <v>15</v>
      </c>
      <c r="G111" s="373"/>
      <c r="H111" s="374"/>
      <c r="I111" s="411" t="s">
        <v>15</v>
      </c>
      <c r="J111" s="412"/>
      <c r="K111" s="412"/>
      <c r="L111" s="241"/>
    </row>
    <row r="112" spans="1:12" s="112" customFormat="1" ht="15">
      <c r="A112" s="406"/>
      <c r="B112" s="399" t="s">
        <v>19</v>
      </c>
      <c r="C112" s="400"/>
      <c r="D112" s="398" t="s">
        <v>97</v>
      </c>
      <c r="E112" s="400"/>
      <c r="F112" s="372" t="s">
        <v>98</v>
      </c>
      <c r="G112" s="373"/>
      <c r="H112" s="374"/>
      <c r="I112" s="413" t="s">
        <v>99</v>
      </c>
      <c r="J112" s="414"/>
      <c r="K112" s="414"/>
      <c r="L112" s="241"/>
    </row>
    <row r="113" spans="1:14" s="112" customFormat="1" ht="15">
      <c r="A113" s="153" t="s">
        <v>232</v>
      </c>
      <c r="B113" s="449">
        <f>B114+B115</f>
        <v>0</v>
      </c>
      <c r="C113" s="450"/>
      <c r="D113" s="449">
        <f>D114+D115</f>
        <v>0</v>
      </c>
      <c r="E113" s="450"/>
      <c r="F113" s="251"/>
      <c r="G113" s="479">
        <f>G114+G115</f>
        <v>0</v>
      </c>
      <c r="H113" s="450"/>
      <c r="I113" s="252"/>
      <c r="J113" s="480">
        <f>J114+J115</f>
        <v>0</v>
      </c>
      <c r="K113" s="480"/>
      <c r="L113" s="241"/>
      <c r="M113" s="422"/>
      <c r="N113" s="422"/>
    </row>
    <row r="114" spans="1:14" s="112" customFormat="1" ht="15">
      <c r="A114" s="150" t="s">
        <v>233</v>
      </c>
      <c r="B114" s="362">
        <v>0</v>
      </c>
      <c r="C114" s="352"/>
      <c r="D114" s="362">
        <v>0</v>
      </c>
      <c r="E114" s="352"/>
      <c r="F114" s="253"/>
      <c r="G114" s="351">
        <v>0</v>
      </c>
      <c r="H114" s="352"/>
      <c r="I114" s="252"/>
      <c r="J114" s="346">
        <v>0</v>
      </c>
      <c r="K114" s="346"/>
      <c r="L114" s="241"/>
      <c r="M114" s="422"/>
      <c r="N114" s="422"/>
    </row>
    <row r="115" spans="1:14" s="112" customFormat="1" ht="15">
      <c r="A115" s="150" t="s">
        <v>234</v>
      </c>
      <c r="B115" s="362">
        <v>0</v>
      </c>
      <c r="C115" s="352"/>
      <c r="D115" s="362">
        <v>0</v>
      </c>
      <c r="E115" s="352"/>
      <c r="F115" s="253"/>
      <c r="G115" s="351">
        <v>0</v>
      </c>
      <c r="H115" s="352"/>
      <c r="I115" s="252"/>
      <c r="J115" s="346">
        <v>0</v>
      </c>
      <c r="K115" s="346"/>
      <c r="L115" s="241"/>
      <c r="M115" s="422"/>
      <c r="N115" s="422"/>
    </row>
    <row r="116" spans="1:14" s="112" customFormat="1" ht="15">
      <c r="A116" s="150" t="s">
        <v>235</v>
      </c>
      <c r="B116" s="362">
        <f>253814951</f>
        <v>253814951</v>
      </c>
      <c r="C116" s="352"/>
      <c r="D116" s="362">
        <f>41273162.35</f>
        <v>41273162.35</v>
      </c>
      <c r="E116" s="352"/>
      <c r="F116" s="253"/>
      <c r="G116" s="351">
        <f>41273162.35</f>
        <v>41273162.35</v>
      </c>
      <c r="H116" s="352"/>
      <c r="I116" s="252"/>
      <c r="J116" s="346">
        <f>35940455.06</f>
        <v>35940455.06</v>
      </c>
      <c r="K116" s="346"/>
      <c r="L116" s="241"/>
      <c r="M116" s="422"/>
      <c r="N116" s="422"/>
    </row>
    <row r="117" spans="1:14" s="112" customFormat="1" ht="15">
      <c r="A117" s="150" t="s">
        <v>236</v>
      </c>
      <c r="B117" s="362">
        <f>377279305</f>
        <v>377279305</v>
      </c>
      <c r="C117" s="352"/>
      <c r="D117" s="362">
        <f>22511184.71</f>
        <v>22511184.71</v>
      </c>
      <c r="E117" s="352"/>
      <c r="F117" s="253"/>
      <c r="G117" s="351">
        <f>22442628.71</f>
        <v>22442628.71</v>
      </c>
      <c r="H117" s="352"/>
      <c r="I117" s="252"/>
      <c r="J117" s="346">
        <f>22175765.46</f>
        <v>22175765.46</v>
      </c>
      <c r="K117" s="346"/>
      <c r="L117" s="241"/>
      <c r="M117" s="422"/>
      <c r="N117" s="422"/>
    </row>
    <row r="118" spans="1:14" s="112" customFormat="1" ht="15">
      <c r="A118" s="150" t="s">
        <v>237</v>
      </c>
      <c r="B118" s="362">
        <f>285826164.95</f>
        <v>285826164.95</v>
      </c>
      <c r="C118" s="352"/>
      <c r="D118" s="362">
        <f>93891503.01</f>
        <v>93891503.01</v>
      </c>
      <c r="E118" s="352"/>
      <c r="F118" s="253"/>
      <c r="G118" s="351">
        <f>73517923.68</f>
        <v>73517923.68</v>
      </c>
      <c r="H118" s="352"/>
      <c r="I118" s="252"/>
      <c r="J118" s="346">
        <f>63061077</f>
        <v>63061077</v>
      </c>
      <c r="K118" s="346"/>
      <c r="L118" s="241"/>
      <c r="M118" s="422"/>
      <c r="N118" s="422"/>
    </row>
    <row r="119" spans="1:14" s="112" customFormat="1" ht="15">
      <c r="A119" s="173" t="s">
        <v>238</v>
      </c>
      <c r="B119" s="362">
        <f>73993242</f>
        <v>73993242</v>
      </c>
      <c r="C119" s="352"/>
      <c r="D119" s="362">
        <f>2420174.65</f>
        <v>2420174.65</v>
      </c>
      <c r="E119" s="352"/>
      <c r="F119" s="253"/>
      <c r="G119" s="351">
        <f>400900.88</f>
        <v>400900.88</v>
      </c>
      <c r="H119" s="352"/>
      <c r="I119" s="248"/>
      <c r="J119" s="346">
        <f>400900.88</f>
        <v>400900.88</v>
      </c>
      <c r="K119" s="346"/>
      <c r="L119" s="241"/>
      <c r="M119" s="422"/>
      <c r="N119" s="422"/>
    </row>
    <row r="120" spans="1:12" s="112" customFormat="1" ht="15">
      <c r="A120" s="272" t="s">
        <v>310</v>
      </c>
      <c r="B120" s="362">
        <f>3406171157.12</f>
        <v>3406171157.12</v>
      </c>
      <c r="C120" s="352"/>
      <c r="D120" s="362">
        <f>1312281571</f>
        <v>1312281571</v>
      </c>
      <c r="E120" s="352"/>
      <c r="F120" s="273"/>
      <c r="G120" s="351">
        <f>1160949477.77</f>
        <v>1160949477.77</v>
      </c>
      <c r="H120" s="352"/>
      <c r="I120" s="273"/>
      <c r="J120" s="346">
        <f>1027545164.31</f>
        <v>1027545164.31</v>
      </c>
      <c r="K120" s="346"/>
      <c r="L120" s="241"/>
    </row>
    <row r="121" spans="1:12" s="112" customFormat="1" ht="15">
      <c r="A121" s="174" t="s">
        <v>311</v>
      </c>
      <c r="B121" s="462">
        <f>B113+B116+B117+B118+B119+B120</f>
        <v>4397084820.07</v>
      </c>
      <c r="C121" s="472"/>
      <c r="D121" s="462">
        <f>D113+D116+D117+D118+D119+D120</f>
        <v>1472377595.72</v>
      </c>
      <c r="E121" s="472"/>
      <c r="F121" s="254"/>
      <c r="G121" s="456">
        <f>G113+G116+G117+G118+G119+G120</f>
        <v>1298584093.3899999</v>
      </c>
      <c r="H121" s="472"/>
      <c r="I121" s="259"/>
      <c r="J121" s="383">
        <f>J113+J116+J117+J118+J119+J120</f>
        <v>1149123362.71</v>
      </c>
      <c r="K121" s="383"/>
      <c r="L121" s="241"/>
    </row>
    <row r="122" spans="1:12" s="112" customFormat="1" ht="15">
      <c r="A122" s="213"/>
      <c r="B122" s="213"/>
      <c r="C122" s="213"/>
      <c r="D122" s="213"/>
      <c r="E122" s="213"/>
      <c r="F122" s="213"/>
      <c r="G122" s="213"/>
      <c r="H122" s="213"/>
      <c r="I122" s="219"/>
      <c r="J122" s="219"/>
      <c r="K122" s="230" t="s">
        <v>293</v>
      </c>
      <c r="L122" s="241"/>
    </row>
    <row r="123" spans="1:12" s="112" customFormat="1" ht="15">
      <c r="A123" s="213"/>
      <c r="B123" s="213"/>
      <c r="C123" s="213"/>
      <c r="D123" s="213"/>
      <c r="E123" s="213"/>
      <c r="F123" s="213"/>
      <c r="G123" s="213"/>
      <c r="H123" s="213"/>
      <c r="I123" s="219"/>
      <c r="J123" s="219"/>
      <c r="K123" s="219"/>
      <c r="L123" s="241"/>
    </row>
    <row r="124" s="241" customFormat="1" ht="15">
      <c r="K124" s="209"/>
    </row>
    <row r="125" spans="1:11" s="241" customFormat="1" ht="15.75">
      <c r="A125" s="210"/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</row>
    <row r="126" spans="1:11" s="241" customFormat="1" ht="15.75">
      <c r="A126" s="210"/>
      <c r="B126" s="210"/>
      <c r="C126" s="210"/>
      <c r="D126" s="210"/>
      <c r="E126" s="210"/>
      <c r="F126" s="210"/>
      <c r="G126" s="210"/>
      <c r="H126" s="210"/>
      <c r="I126" s="210"/>
      <c r="J126" s="210"/>
      <c r="K126" s="209" t="s">
        <v>287</v>
      </c>
    </row>
    <row r="127" spans="1:11" s="241" customFormat="1" ht="15.75">
      <c r="A127" s="210"/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</row>
    <row r="128" spans="1:11" s="241" customFormat="1" ht="15.75">
      <c r="A128" s="210"/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</row>
    <row r="129" spans="1:11" s="241" customFormat="1" ht="15">
      <c r="A129" s="415" t="str">
        <f>A69</f>
        <v>GOVERNO DO ESTADO DO RIO DE JANEIRO</v>
      </c>
      <c r="B129" s="415"/>
      <c r="C129" s="415"/>
      <c r="D129" s="415"/>
      <c r="E129" s="415"/>
      <c r="F129" s="415"/>
      <c r="G129" s="415"/>
      <c r="H129" s="415"/>
      <c r="I129" s="415"/>
      <c r="J129" s="415"/>
      <c r="K129" s="415"/>
    </row>
    <row r="130" spans="1:11" s="241" customFormat="1" ht="15">
      <c r="A130" s="415" t="str">
        <f>A70</f>
        <v>RELATÓRIO RESUMIDO DA EXECUÇÃO ORÇAMENTÁRIA</v>
      </c>
      <c r="B130" s="415"/>
      <c r="C130" s="415"/>
      <c r="D130" s="415"/>
      <c r="E130" s="415"/>
      <c r="F130" s="415"/>
      <c r="G130" s="415"/>
      <c r="H130" s="415"/>
      <c r="I130" s="415"/>
      <c r="J130" s="415"/>
      <c r="K130" s="415"/>
    </row>
    <row r="131" spans="1:11" s="241" customFormat="1" ht="15">
      <c r="A131" s="335" t="str">
        <f>A71</f>
        <v>DEMONSTRATIVO DAS RECEITAS E DESPESAS COM MANUTENÇÃO E DESENVOLVIMENTO DO ENSINO - MDE</v>
      </c>
      <c r="B131" s="335"/>
      <c r="C131" s="335"/>
      <c r="D131" s="335"/>
      <c r="E131" s="335"/>
      <c r="F131" s="335"/>
      <c r="G131" s="335"/>
      <c r="H131" s="335"/>
      <c r="I131" s="335"/>
      <c r="J131" s="335"/>
      <c r="K131" s="335"/>
    </row>
    <row r="132" spans="1:11" s="241" customFormat="1" ht="15">
      <c r="A132" s="415" t="str">
        <f>A72</f>
        <v>ORÇAMENTOS FISCAL E DA SEGURIDADE SOCIAL</v>
      </c>
      <c r="B132" s="415"/>
      <c r="C132" s="415"/>
      <c r="D132" s="415"/>
      <c r="E132" s="415"/>
      <c r="F132" s="415"/>
      <c r="G132" s="415"/>
      <c r="H132" s="415"/>
      <c r="I132" s="415"/>
      <c r="J132" s="415"/>
      <c r="K132" s="415"/>
    </row>
    <row r="133" spans="1:11" s="241" customFormat="1" ht="15">
      <c r="A133" s="415" t="str">
        <f>A73</f>
        <v>JANEIRO A JUNHO 2021/BIMESTRE MAIO - JUNHO</v>
      </c>
      <c r="B133" s="415"/>
      <c r="C133" s="415"/>
      <c r="D133" s="415"/>
      <c r="E133" s="415"/>
      <c r="F133" s="415"/>
      <c r="G133" s="415"/>
      <c r="H133" s="415"/>
      <c r="I133" s="415"/>
      <c r="J133" s="415"/>
      <c r="K133" s="415"/>
    </row>
    <row r="134" spans="1:11" s="241" customFormat="1" ht="15">
      <c r="A134" s="210"/>
      <c r="B134" s="210"/>
      <c r="C134" s="210"/>
      <c r="D134" s="210"/>
      <c r="E134" s="210"/>
      <c r="F134" s="210"/>
      <c r="G134" s="210"/>
      <c r="H134" s="210"/>
      <c r="I134" s="210"/>
      <c r="J134" s="210"/>
      <c r="K134" s="209" t="str">
        <f>K74</f>
        <v>Emissão: 19/07/2021</v>
      </c>
    </row>
    <row r="135" spans="1:11" s="241" customFormat="1" ht="15">
      <c r="A135" s="3" t="s">
        <v>147</v>
      </c>
      <c r="B135" s="210"/>
      <c r="C135" s="210"/>
      <c r="D135" s="210"/>
      <c r="E135" s="210"/>
      <c r="F135" s="210"/>
      <c r="G135" s="210"/>
      <c r="H135" s="210"/>
      <c r="I135" s="210"/>
      <c r="J135" s="210"/>
      <c r="K135" s="211">
        <f>K75</f>
        <v>1</v>
      </c>
    </row>
    <row r="136" spans="1:16" s="112" customFormat="1" ht="12.75">
      <c r="A136" s="370" t="s">
        <v>239</v>
      </c>
      <c r="B136" s="370"/>
      <c r="C136" s="370"/>
      <c r="D136" s="370"/>
      <c r="E136" s="370"/>
      <c r="F136" s="370"/>
      <c r="G136" s="370"/>
      <c r="H136" s="371"/>
      <c r="I136" s="369" t="s">
        <v>142</v>
      </c>
      <c r="J136" s="370"/>
      <c r="K136" s="370"/>
      <c r="L136" s="275"/>
      <c r="M136" s="276"/>
      <c r="N136" s="276"/>
      <c r="O136" s="276"/>
      <c r="P136" s="276"/>
    </row>
    <row r="137" spans="1:16" s="112" customFormat="1" ht="12.75">
      <c r="A137" s="428"/>
      <c r="B137" s="428"/>
      <c r="C137" s="428"/>
      <c r="D137" s="428"/>
      <c r="E137" s="428"/>
      <c r="F137" s="428"/>
      <c r="G137" s="428"/>
      <c r="H137" s="406"/>
      <c r="I137" s="427"/>
      <c r="J137" s="428"/>
      <c r="K137" s="428"/>
      <c r="L137" s="275"/>
      <c r="M137" s="276"/>
      <c r="N137" s="276"/>
      <c r="O137" s="276"/>
      <c r="P137" s="276"/>
    </row>
    <row r="138" spans="1:16" s="112" customFormat="1" ht="18" customHeight="1">
      <c r="A138" s="475" t="s">
        <v>320</v>
      </c>
      <c r="B138" s="475"/>
      <c r="C138" s="475"/>
      <c r="D138" s="475"/>
      <c r="E138" s="475"/>
      <c r="F138" s="475"/>
      <c r="G138" s="475"/>
      <c r="H138" s="476"/>
      <c r="I138" s="176"/>
      <c r="J138" s="479">
        <f>G92+G121+H106</f>
        <v>2882862882.7</v>
      </c>
      <c r="K138" s="479"/>
      <c r="L138" s="275"/>
      <c r="M138" s="492"/>
      <c r="N138" s="492"/>
      <c r="O138" s="276"/>
      <c r="P138" s="276"/>
    </row>
    <row r="139" spans="1:16" s="112" customFormat="1" ht="18" customHeight="1">
      <c r="A139" s="451" t="s">
        <v>312</v>
      </c>
      <c r="B139" s="451"/>
      <c r="C139" s="451"/>
      <c r="D139" s="451"/>
      <c r="E139" s="451"/>
      <c r="F139" s="451"/>
      <c r="G139" s="451"/>
      <c r="H139" s="452"/>
      <c r="I139" s="176"/>
      <c r="J139" s="481">
        <f>J55</f>
        <v>-2576640616.87</v>
      </c>
      <c r="K139" s="481"/>
      <c r="L139" s="275"/>
      <c r="M139" s="488"/>
      <c r="N139" s="488"/>
      <c r="O139" s="276"/>
      <c r="P139" s="276"/>
    </row>
    <row r="140" spans="1:16" s="112" customFormat="1" ht="18" customHeight="1">
      <c r="A140" s="451" t="s">
        <v>313</v>
      </c>
      <c r="B140" s="451"/>
      <c r="C140" s="451"/>
      <c r="D140" s="451"/>
      <c r="E140" s="451"/>
      <c r="F140" s="451"/>
      <c r="G140" s="451"/>
      <c r="H140" s="452"/>
      <c r="I140" s="176"/>
      <c r="J140" s="365">
        <v>0</v>
      </c>
      <c r="K140" s="365"/>
      <c r="L140" s="275"/>
      <c r="M140" s="488"/>
      <c r="N140" s="488"/>
      <c r="O140" s="276"/>
      <c r="P140" s="276"/>
    </row>
    <row r="141" spans="1:16" s="112" customFormat="1" ht="18" customHeight="1">
      <c r="A141" s="451" t="s">
        <v>314</v>
      </c>
      <c r="B141" s="451"/>
      <c r="C141" s="451"/>
      <c r="D141" s="451"/>
      <c r="E141" s="451"/>
      <c r="F141" s="451"/>
      <c r="G141" s="451"/>
      <c r="H141" s="452"/>
      <c r="I141" s="176"/>
      <c r="J141" s="365">
        <v>0</v>
      </c>
      <c r="K141" s="365"/>
      <c r="L141" s="275"/>
      <c r="M141" s="488"/>
      <c r="N141" s="488"/>
      <c r="O141" s="276"/>
      <c r="P141" s="276"/>
    </row>
    <row r="142" spans="1:16" s="112" customFormat="1" ht="18" customHeight="1">
      <c r="A142" s="453" t="s">
        <v>315</v>
      </c>
      <c r="B142" s="453"/>
      <c r="C142" s="453"/>
      <c r="D142" s="453"/>
      <c r="E142" s="453"/>
      <c r="F142" s="453"/>
      <c r="G142" s="453"/>
      <c r="H142" s="454"/>
      <c r="I142" s="176"/>
      <c r="J142" s="355">
        <f>2307767.25</f>
        <v>2307767.25</v>
      </c>
      <c r="K142" s="355"/>
      <c r="L142" s="275">
        <f>J142-H160-H158-H157</f>
        <v>0</v>
      </c>
      <c r="M142" s="492"/>
      <c r="N142" s="492"/>
      <c r="O142" s="276"/>
      <c r="P142" s="276"/>
    </row>
    <row r="143" spans="1:16" s="112" customFormat="1" ht="18" customHeight="1">
      <c r="A143" s="477" t="s">
        <v>316</v>
      </c>
      <c r="B143" s="477"/>
      <c r="C143" s="477"/>
      <c r="D143" s="477"/>
      <c r="E143" s="477"/>
      <c r="F143" s="477"/>
      <c r="G143" s="477"/>
      <c r="H143" s="478"/>
      <c r="I143" s="221"/>
      <c r="J143" s="456">
        <f>(J138-(J139+J140+J141+J142))</f>
        <v>5457195732.32</v>
      </c>
      <c r="K143" s="456"/>
      <c r="L143" s="275"/>
      <c r="M143" s="488"/>
      <c r="N143" s="488"/>
      <c r="O143" s="276"/>
      <c r="P143" s="276"/>
    </row>
    <row r="144" spans="1:16" s="112" customFormat="1" ht="9.75" customHeight="1">
      <c r="A144" s="179"/>
      <c r="B144" s="180"/>
      <c r="C144" s="180"/>
      <c r="D144" s="180"/>
      <c r="E144" s="180"/>
      <c r="F144" s="180"/>
      <c r="G144" s="175"/>
      <c r="H144" s="175"/>
      <c r="I144" s="175"/>
      <c r="J144" s="175"/>
      <c r="K144" s="175"/>
      <c r="L144" s="275"/>
      <c r="M144" s="276"/>
      <c r="N144" s="276"/>
      <c r="O144" s="276"/>
      <c r="P144" s="276"/>
    </row>
    <row r="145" spans="1:16" s="112" customFormat="1" ht="15" customHeight="1">
      <c r="A145" s="370" t="s">
        <v>296</v>
      </c>
      <c r="B145" s="370"/>
      <c r="C145" s="371"/>
      <c r="D145" s="455" t="s">
        <v>201</v>
      </c>
      <c r="E145" s="447"/>
      <c r="F145" s="447"/>
      <c r="G145" s="418"/>
      <c r="H145" s="369" t="s">
        <v>202</v>
      </c>
      <c r="I145" s="371"/>
      <c r="J145" s="369" t="s">
        <v>204</v>
      </c>
      <c r="K145" s="370"/>
      <c r="L145" s="275"/>
      <c r="M145" s="276"/>
      <c r="N145" s="276"/>
      <c r="O145" s="276"/>
      <c r="P145" s="276"/>
    </row>
    <row r="146" spans="1:16" s="112" customFormat="1" ht="15" customHeight="1">
      <c r="A146" s="428"/>
      <c r="B146" s="428"/>
      <c r="C146" s="406"/>
      <c r="D146" s="425" t="s">
        <v>240</v>
      </c>
      <c r="E146" s="426"/>
      <c r="F146" s="426"/>
      <c r="G146" s="419"/>
      <c r="H146" s="425" t="s">
        <v>241</v>
      </c>
      <c r="I146" s="419"/>
      <c r="J146" s="427" t="s">
        <v>242</v>
      </c>
      <c r="K146" s="428"/>
      <c r="L146" s="275"/>
      <c r="M146" s="276"/>
      <c r="N146" s="276"/>
      <c r="O146" s="276"/>
      <c r="P146" s="276"/>
    </row>
    <row r="147" spans="1:16" s="112" customFormat="1" ht="15" customHeight="1">
      <c r="A147" s="222" t="s">
        <v>243</v>
      </c>
      <c r="B147" s="182"/>
      <c r="C147" s="182"/>
      <c r="D147" s="459">
        <f>0.25*(J35)</f>
        <v>6317865621.862499</v>
      </c>
      <c r="E147" s="460"/>
      <c r="F147" s="460"/>
      <c r="G147" s="461"/>
      <c r="H147" s="459">
        <f>J143</f>
        <v>5457195732.32</v>
      </c>
      <c r="I147" s="461"/>
      <c r="J147" s="462">
        <f>(J143/J35)*100</f>
        <v>21.5943012203195</v>
      </c>
      <c r="K147" s="456"/>
      <c r="L147" s="275"/>
      <c r="M147" s="488"/>
      <c r="N147" s="488"/>
      <c r="O147" s="276"/>
      <c r="P147" s="276"/>
    </row>
    <row r="148" spans="1:16" s="112" customFormat="1" ht="15" customHeight="1">
      <c r="A148" s="181"/>
      <c r="B148" s="182"/>
      <c r="C148" s="182"/>
      <c r="D148" s="183"/>
      <c r="E148" s="168"/>
      <c r="F148" s="168"/>
      <c r="G148" s="168"/>
      <c r="H148" s="168"/>
      <c r="I148" s="168"/>
      <c r="J148" s="184"/>
      <c r="K148" s="184"/>
      <c r="L148" s="275"/>
      <c r="M148" s="276"/>
      <c r="N148" s="276"/>
      <c r="O148" s="276"/>
      <c r="P148" s="276"/>
    </row>
    <row r="149" spans="1:16" s="112" customFormat="1" ht="15" customHeight="1">
      <c r="A149" s="371" t="s">
        <v>297</v>
      </c>
      <c r="B149" s="455" t="s">
        <v>244</v>
      </c>
      <c r="C149" s="447"/>
      <c r="D149" s="455" t="s">
        <v>245</v>
      </c>
      <c r="E149" s="418"/>
      <c r="F149" s="447" t="s">
        <v>246</v>
      </c>
      <c r="G149" s="447"/>
      <c r="H149" s="369" t="s">
        <v>247</v>
      </c>
      <c r="I149" s="371"/>
      <c r="J149" s="369" t="s">
        <v>248</v>
      </c>
      <c r="K149" s="370"/>
      <c r="L149" s="275"/>
      <c r="M149" s="276"/>
      <c r="N149" s="276"/>
      <c r="O149" s="276"/>
      <c r="P149" s="276"/>
    </row>
    <row r="150" spans="1:16" s="112" customFormat="1" ht="15.75" customHeight="1">
      <c r="A150" s="405"/>
      <c r="B150" s="457"/>
      <c r="C150" s="458"/>
      <c r="D150" s="457"/>
      <c r="E150" s="430"/>
      <c r="F150" s="458"/>
      <c r="G150" s="458"/>
      <c r="H150" s="431"/>
      <c r="I150" s="405"/>
      <c r="J150" s="431"/>
      <c r="K150" s="424"/>
      <c r="L150" s="275"/>
      <c r="M150" s="276"/>
      <c r="N150" s="276"/>
      <c r="O150" s="276"/>
      <c r="P150" s="276"/>
    </row>
    <row r="151" spans="1:16" s="112" customFormat="1" ht="15" customHeight="1">
      <c r="A151" s="406"/>
      <c r="B151" s="425" t="s">
        <v>249</v>
      </c>
      <c r="C151" s="419"/>
      <c r="D151" s="425" t="s">
        <v>250</v>
      </c>
      <c r="E151" s="419"/>
      <c r="F151" s="427" t="s">
        <v>251</v>
      </c>
      <c r="G151" s="428"/>
      <c r="H151" s="427" t="s">
        <v>252</v>
      </c>
      <c r="I151" s="406"/>
      <c r="J151" s="427" t="s">
        <v>308</v>
      </c>
      <c r="K151" s="428"/>
      <c r="L151" s="275"/>
      <c r="M151" s="276"/>
      <c r="N151" s="276"/>
      <c r="O151" s="276"/>
      <c r="P151" s="276"/>
    </row>
    <row r="152" spans="1:16" s="112" customFormat="1" ht="15" customHeight="1">
      <c r="A152" s="232" t="s">
        <v>253</v>
      </c>
      <c r="B152" s="466">
        <f>B153+B161+B163</f>
        <v>2144854190.6799998</v>
      </c>
      <c r="C152" s="401"/>
      <c r="D152" s="466">
        <f>D153+D161+D163</f>
        <v>0</v>
      </c>
      <c r="E152" s="401"/>
      <c r="F152" s="466">
        <f>F153+F161+F163</f>
        <v>389333948.39</v>
      </c>
      <c r="G152" s="401"/>
      <c r="H152" s="466">
        <f>H153+H161+H163</f>
        <v>2539662.96</v>
      </c>
      <c r="I152" s="401"/>
      <c r="J152" s="466">
        <f>J153+J161+J163</f>
        <v>1752980579.33</v>
      </c>
      <c r="K152" s="363"/>
      <c r="L152" s="275"/>
      <c r="M152" s="276"/>
      <c r="N152" s="276"/>
      <c r="O152" s="276"/>
      <c r="P152" s="276"/>
    </row>
    <row r="153" spans="1:16" s="112" customFormat="1" ht="15" customHeight="1">
      <c r="A153" s="185" t="s">
        <v>254</v>
      </c>
      <c r="B153" s="463">
        <f>SUM(B154:B160)</f>
        <v>1913826975.5299997</v>
      </c>
      <c r="C153" s="394"/>
      <c r="D153" s="463">
        <f>SUM(D154:D160)</f>
        <v>0</v>
      </c>
      <c r="E153" s="394"/>
      <c r="F153" s="463">
        <f>SUM(F154:F160)</f>
        <v>158306733.24</v>
      </c>
      <c r="G153" s="394"/>
      <c r="H153" s="463">
        <f>SUM(H154:H160)</f>
        <v>2539662.96</v>
      </c>
      <c r="I153" s="394"/>
      <c r="J153" s="463">
        <f>SUM(J154:J160)</f>
        <v>1752980579.33</v>
      </c>
      <c r="K153" s="375"/>
      <c r="L153" s="275"/>
      <c r="M153" s="276"/>
      <c r="N153" s="276"/>
      <c r="O153" s="276"/>
      <c r="P153" s="276"/>
    </row>
    <row r="154" spans="1:16" s="112" customFormat="1" ht="15" customHeight="1">
      <c r="A154" s="185" t="s">
        <v>321</v>
      </c>
      <c r="B154" s="463">
        <f>614034.73</f>
        <v>614034.73</v>
      </c>
      <c r="C154" s="394"/>
      <c r="D154" s="463">
        <v>0</v>
      </c>
      <c r="E154" s="394"/>
      <c r="F154" s="463">
        <v>0</v>
      </c>
      <c r="G154" s="394"/>
      <c r="H154" s="463">
        <v>0</v>
      </c>
      <c r="I154" s="394"/>
      <c r="J154" s="463">
        <f>B154-F154-H154</f>
        <v>614034.73</v>
      </c>
      <c r="K154" s="346"/>
      <c r="L154" s="275"/>
      <c r="M154" s="276"/>
      <c r="N154" s="276"/>
      <c r="O154" s="276"/>
      <c r="P154" s="276"/>
    </row>
    <row r="155" spans="1:16" s="112" customFormat="1" ht="15" customHeight="1">
      <c r="A155" s="185" t="s">
        <v>322</v>
      </c>
      <c r="B155" s="463">
        <f>3907985.46</f>
        <v>3907985.46</v>
      </c>
      <c r="C155" s="394"/>
      <c r="D155" s="463">
        <v>0</v>
      </c>
      <c r="E155" s="394"/>
      <c r="F155" s="463">
        <v>0</v>
      </c>
      <c r="G155" s="394"/>
      <c r="H155" s="463">
        <v>0</v>
      </c>
      <c r="I155" s="394"/>
      <c r="J155" s="463">
        <f aca="true" t="shared" si="0" ref="J155:J160">B155-F155-H155</f>
        <v>3907985.46</v>
      </c>
      <c r="K155" s="346"/>
      <c r="L155" s="275"/>
      <c r="M155" s="276"/>
      <c r="N155" s="276"/>
      <c r="O155" s="276"/>
      <c r="P155" s="276"/>
    </row>
    <row r="156" spans="1:16" s="112" customFormat="1" ht="15" customHeight="1">
      <c r="A156" s="185" t="s">
        <v>323</v>
      </c>
      <c r="B156" s="463">
        <f>232703448.3</f>
        <v>232703448.3</v>
      </c>
      <c r="C156" s="394"/>
      <c r="D156" s="463">
        <v>0</v>
      </c>
      <c r="E156" s="394"/>
      <c r="F156" s="463">
        <f>476562.42</f>
        <v>476562.42</v>
      </c>
      <c r="G156" s="394"/>
      <c r="H156" s="463">
        <f>47455.96</f>
        <v>47455.96</v>
      </c>
      <c r="I156" s="394"/>
      <c r="J156" s="463">
        <f t="shared" si="0"/>
        <v>232179429.92000002</v>
      </c>
      <c r="K156" s="346"/>
      <c r="L156" s="275"/>
      <c r="M156" s="276"/>
      <c r="N156" s="276"/>
      <c r="O156" s="276"/>
      <c r="P156" s="276"/>
    </row>
    <row r="157" spans="1:16" s="112" customFormat="1" ht="15" customHeight="1">
      <c r="A157" s="185" t="s">
        <v>324</v>
      </c>
      <c r="B157" s="463">
        <f>439383109.33</f>
        <v>439383109.33</v>
      </c>
      <c r="C157" s="394"/>
      <c r="D157" s="463">
        <v>0</v>
      </c>
      <c r="E157" s="394"/>
      <c r="F157" s="463">
        <f>277316.3</f>
        <v>277316.3</v>
      </c>
      <c r="G157" s="394"/>
      <c r="H157" s="463">
        <f>625124.66</f>
        <v>625124.66</v>
      </c>
      <c r="I157" s="394"/>
      <c r="J157" s="463">
        <f t="shared" si="0"/>
        <v>438480668.36999995</v>
      </c>
      <c r="K157" s="346"/>
      <c r="L157" s="275"/>
      <c r="M157" s="276"/>
      <c r="N157" s="276"/>
      <c r="O157" s="276"/>
      <c r="P157" s="276"/>
    </row>
    <row r="158" spans="1:16" s="112" customFormat="1" ht="15" customHeight="1">
      <c r="A158" s="185" t="s">
        <v>325</v>
      </c>
      <c r="B158" s="463">
        <f>779122781.06</f>
        <v>779122781.06</v>
      </c>
      <c r="C158" s="394"/>
      <c r="D158" s="463">
        <v>0</v>
      </c>
      <c r="E158" s="394"/>
      <c r="F158" s="463">
        <f>48864.33</f>
        <v>48864.33</v>
      </c>
      <c r="G158" s="394"/>
      <c r="H158" s="463">
        <f>154700.85</f>
        <v>154700.85</v>
      </c>
      <c r="I158" s="394"/>
      <c r="J158" s="463">
        <f t="shared" si="0"/>
        <v>778919215.8799999</v>
      </c>
      <c r="K158" s="346"/>
      <c r="L158" s="275"/>
      <c r="M158" s="276"/>
      <c r="N158" s="276"/>
      <c r="O158" s="276"/>
      <c r="P158" s="276"/>
    </row>
    <row r="159" spans="1:16" s="112" customFormat="1" ht="15" customHeight="1">
      <c r="A159" s="185" t="s">
        <v>326</v>
      </c>
      <c r="B159" s="463">
        <f>305291734.65</f>
        <v>305291734.65</v>
      </c>
      <c r="C159" s="394"/>
      <c r="D159" s="463">
        <v>0</v>
      </c>
      <c r="E159" s="394"/>
      <c r="F159" s="463">
        <f>12835356.69</f>
        <v>12835356.69</v>
      </c>
      <c r="G159" s="394"/>
      <c r="H159" s="463">
        <f>184439.75</f>
        <v>184439.75</v>
      </c>
      <c r="I159" s="394"/>
      <c r="J159" s="463">
        <f t="shared" si="0"/>
        <v>292271938.21</v>
      </c>
      <c r="K159" s="346"/>
      <c r="L159" s="275"/>
      <c r="M159" s="276"/>
      <c r="N159" s="276"/>
      <c r="O159" s="276"/>
      <c r="P159" s="276"/>
    </row>
    <row r="160" spans="1:16" s="112" customFormat="1" ht="15" customHeight="1">
      <c r="A160" s="185" t="s">
        <v>327</v>
      </c>
      <c r="B160" s="463">
        <f>152803882</f>
        <v>152803882</v>
      </c>
      <c r="C160" s="394"/>
      <c r="D160" s="463">
        <v>0</v>
      </c>
      <c r="E160" s="394"/>
      <c r="F160" s="463">
        <f>144668633.5</f>
        <v>144668633.5</v>
      </c>
      <c r="G160" s="394"/>
      <c r="H160" s="463">
        <f>1527941.74</f>
        <v>1527941.74</v>
      </c>
      <c r="I160" s="394"/>
      <c r="J160" s="463">
        <f t="shared" si="0"/>
        <v>6607306.76</v>
      </c>
      <c r="K160" s="346"/>
      <c r="L160" s="275"/>
      <c r="M160" s="276"/>
      <c r="N160" s="276"/>
      <c r="O160" s="276"/>
      <c r="P160" s="276"/>
    </row>
    <row r="161" spans="1:12" s="112" customFormat="1" ht="15">
      <c r="A161" s="185" t="s">
        <v>255</v>
      </c>
      <c r="B161" s="463">
        <f>B162</f>
        <v>231027215.15</v>
      </c>
      <c r="C161" s="394"/>
      <c r="D161" s="463">
        <f>D162</f>
        <v>0</v>
      </c>
      <c r="E161" s="394"/>
      <c r="F161" s="463">
        <f>F162</f>
        <v>231027215.15</v>
      </c>
      <c r="G161" s="394"/>
      <c r="H161" s="463">
        <f>H162</f>
        <v>0</v>
      </c>
      <c r="I161" s="394"/>
      <c r="J161" s="463">
        <f>J162</f>
        <v>0</v>
      </c>
      <c r="K161" s="375"/>
      <c r="L161" s="241"/>
    </row>
    <row r="162" spans="1:12" s="112" customFormat="1" ht="15">
      <c r="A162" s="185" t="s">
        <v>327</v>
      </c>
      <c r="B162" s="463">
        <f>231027215.15</f>
        <v>231027215.15</v>
      </c>
      <c r="C162" s="394"/>
      <c r="D162" s="463">
        <v>0</v>
      </c>
      <c r="E162" s="394"/>
      <c r="F162" s="463">
        <f>231027215.15</f>
        <v>231027215.15</v>
      </c>
      <c r="G162" s="394"/>
      <c r="H162" s="463">
        <v>0</v>
      </c>
      <c r="I162" s="394"/>
      <c r="J162" s="463">
        <f>B162-F162-H162</f>
        <v>0</v>
      </c>
      <c r="K162" s="346"/>
      <c r="L162" s="241"/>
    </row>
    <row r="163" spans="1:12" s="112" customFormat="1" ht="15">
      <c r="A163" s="185" t="s">
        <v>256</v>
      </c>
      <c r="B163" s="464">
        <v>0</v>
      </c>
      <c r="C163" s="465"/>
      <c r="D163" s="464">
        <v>0</v>
      </c>
      <c r="E163" s="465"/>
      <c r="F163" s="464">
        <v>0</v>
      </c>
      <c r="G163" s="465"/>
      <c r="H163" s="464">
        <v>0</v>
      </c>
      <c r="I163" s="465"/>
      <c r="J163" s="464">
        <f>B163-F163-H163</f>
        <v>0</v>
      </c>
      <c r="K163" s="348"/>
      <c r="L163" s="241"/>
    </row>
    <row r="164" spans="1:12" s="112" customFormat="1" ht="15" customHeight="1">
      <c r="A164" s="149"/>
      <c r="B164" s="149"/>
      <c r="C164" s="149"/>
      <c r="D164" s="149"/>
      <c r="E164" s="187"/>
      <c r="F164" s="187"/>
      <c r="G164" s="157"/>
      <c r="H164" s="157"/>
      <c r="I164" s="157"/>
      <c r="J164" s="157"/>
      <c r="K164" s="175"/>
      <c r="L164" s="241"/>
    </row>
    <row r="165" spans="1:12" s="112" customFormat="1" ht="15" customHeight="1">
      <c r="A165" s="444" t="s">
        <v>257</v>
      </c>
      <c r="B165" s="444"/>
      <c r="C165" s="444"/>
      <c r="D165" s="444"/>
      <c r="E165" s="444"/>
      <c r="F165" s="444"/>
      <c r="G165" s="444"/>
      <c r="H165" s="444"/>
      <c r="I165" s="444"/>
      <c r="J165" s="444"/>
      <c r="K165" s="444"/>
      <c r="L165" s="241"/>
    </row>
    <row r="166" spans="1:12" s="112" customFormat="1" ht="15" customHeight="1">
      <c r="A166" s="371" t="s">
        <v>307</v>
      </c>
      <c r="B166" s="391" t="s">
        <v>141</v>
      </c>
      <c r="C166" s="389"/>
      <c r="D166" s="389"/>
      <c r="E166" s="389"/>
      <c r="F166" s="390"/>
      <c r="G166" s="391" t="s">
        <v>10</v>
      </c>
      <c r="H166" s="389"/>
      <c r="I166" s="389"/>
      <c r="J166" s="389"/>
      <c r="K166" s="389"/>
      <c r="L166" s="241"/>
    </row>
    <row r="167" spans="1:12" s="112" customFormat="1" ht="15" customHeight="1">
      <c r="A167" s="405"/>
      <c r="B167" s="372" t="s">
        <v>93</v>
      </c>
      <c r="C167" s="387"/>
      <c r="D167" s="387"/>
      <c r="E167" s="387"/>
      <c r="F167" s="374"/>
      <c r="G167" s="372" t="s">
        <v>15</v>
      </c>
      <c r="H167" s="387"/>
      <c r="I167" s="387"/>
      <c r="J167" s="387"/>
      <c r="K167" s="387"/>
      <c r="L167" s="241"/>
    </row>
    <row r="168" spans="1:12" s="112" customFormat="1" ht="15" customHeight="1">
      <c r="A168" s="406"/>
      <c r="B168" s="398" t="s">
        <v>16</v>
      </c>
      <c r="C168" s="399"/>
      <c r="D168" s="399"/>
      <c r="E168" s="399"/>
      <c r="F168" s="400"/>
      <c r="G168" s="398" t="s">
        <v>17</v>
      </c>
      <c r="H168" s="399"/>
      <c r="I168" s="399"/>
      <c r="J168" s="399"/>
      <c r="K168" s="399"/>
      <c r="L168" s="241"/>
    </row>
    <row r="169" spans="1:12" s="112" customFormat="1" ht="31.5" customHeight="1">
      <c r="A169" s="177" t="s">
        <v>258</v>
      </c>
      <c r="B169" s="3"/>
      <c r="C169" s="137"/>
      <c r="D169" s="3"/>
      <c r="E169" s="480">
        <f>E170+E171+E172+E173+E174</f>
        <v>669553110</v>
      </c>
      <c r="F169" s="482"/>
      <c r="G169" s="188"/>
      <c r="H169" s="137"/>
      <c r="I169" s="3"/>
      <c r="J169" s="480">
        <f>J170+J171+J172+J173+J174</f>
        <v>303080360.65</v>
      </c>
      <c r="K169" s="480"/>
      <c r="L169" s="241"/>
    </row>
    <row r="170" spans="1:12" s="112" customFormat="1" ht="15">
      <c r="A170" s="177" t="s">
        <v>259</v>
      </c>
      <c r="B170" s="3"/>
      <c r="C170" s="137"/>
      <c r="D170" s="3"/>
      <c r="E170" s="375">
        <f>399454192</f>
        <v>399454192</v>
      </c>
      <c r="F170" s="394"/>
      <c r="G170" s="188"/>
      <c r="H170" s="137"/>
      <c r="I170" s="3"/>
      <c r="J170" s="375">
        <f>262918453.81</f>
        <v>262918453.81</v>
      </c>
      <c r="K170" s="375"/>
      <c r="L170" s="241"/>
    </row>
    <row r="171" spans="1:12" s="112" customFormat="1" ht="15">
      <c r="A171" s="177" t="s">
        <v>260</v>
      </c>
      <c r="B171" s="3"/>
      <c r="C171" s="137"/>
      <c r="D171" s="3"/>
      <c r="E171" s="375">
        <f>33844900</f>
        <v>33844900</v>
      </c>
      <c r="F171" s="394"/>
      <c r="G171" s="188"/>
      <c r="H171" s="137"/>
      <c r="I171" s="3"/>
      <c r="J171" s="375">
        <f>13560</f>
        <v>13560</v>
      </c>
      <c r="K171" s="375"/>
      <c r="L171" s="241"/>
    </row>
    <row r="172" spans="1:12" s="112" customFormat="1" ht="15">
      <c r="A172" s="177" t="s">
        <v>261</v>
      </c>
      <c r="B172" s="3"/>
      <c r="C172" s="137"/>
      <c r="D172" s="3"/>
      <c r="E172" s="375">
        <f>68215620</f>
        <v>68215620</v>
      </c>
      <c r="F172" s="394"/>
      <c r="G172" s="188"/>
      <c r="H172" s="137"/>
      <c r="I172" s="3"/>
      <c r="J172" s="375">
        <f>32334158.2</f>
        <v>32334158.2</v>
      </c>
      <c r="K172" s="375"/>
      <c r="L172" s="241"/>
    </row>
    <row r="173" spans="1:12" s="112" customFormat="1" ht="15">
      <c r="A173" s="177" t="s">
        <v>262</v>
      </c>
      <c r="B173" s="143"/>
      <c r="C173" s="137"/>
      <c r="D173" s="3"/>
      <c r="E173" s="375">
        <v>0</v>
      </c>
      <c r="F173" s="394"/>
      <c r="G173" s="188"/>
      <c r="H173" s="137"/>
      <c r="I173" s="3"/>
      <c r="J173" s="375">
        <v>0</v>
      </c>
      <c r="K173" s="375"/>
      <c r="L173" s="241"/>
    </row>
    <row r="174" spans="1:12" s="112" customFormat="1" ht="15">
      <c r="A174" s="177" t="s">
        <v>263</v>
      </c>
      <c r="B174" s="143"/>
      <c r="C174" s="137"/>
      <c r="D174" s="3"/>
      <c r="E174" s="375">
        <f>168038398</f>
        <v>168038398</v>
      </c>
      <c r="F174" s="394"/>
      <c r="G174" s="188"/>
      <c r="H174" s="137"/>
      <c r="I174" s="3"/>
      <c r="J174" s="375">
        <f>7814188.64</f>
        <v>7814188.64</v>
      </c>
      <c r="K174" s="375"/>
      <c r="L174" s="241"/>
    </row>
    <row r="175" spans="1:12" s="112" customFormat="1" ht="15">
      <c r="A175" s="177" t="s">
        <v>264</v>
      </c>
      <c r="B175" s="143"/>
      <c r="C175" s="137"/>
      <c r="D175" s="3"/>
      <c r="E175" s="375">
        <f>14313197</f>
        <v>14313197</v>
      </c>
      <c r="F175" s="394"/>
      <c r="G175" s="140"/>
      <c r="H175" s="3"/>
      <c r="I175" s="3"/>
      <c r="J175" s="375">
        <f>1290517</f>
        <v>1290517</v>
      </c>
      <c r="K175" s="375"/>
      <c r="L175" s="241"/>
    </row>
    <row r="176" spans="1:12" s="112" customFormat="1" ht="15">
      <c r="A176" s="177" t="s">
        <v>265</v>
      </c>
      <c r="B176" s="143"/>
      <c r="C176" s="137"/>
      <c r="D176" s="3"/>
      <c r="E176" s="375">
        <v>0</v>
      </c>
      <c r="F176" s="394"/>
      <c r="G176" s="140"/>
      <c r="H176" s="3"/>
      <c r="I176" s="3"/>
      <c r="J176" s="375">
        <v>0</v>
      </c>
      <c r="K176" s="375"/>
      <c r="L176" s="241"/>
    </row>
    <row r="177" spans="1:12" s="112" customFormat="1" ht="15">
      <c r="A177" s="177" t="s">
        <v>266</v>
      </c>
      <c r="B177" s="143"/>
      <c r="C177" s="137"/>
      <c r="D177" s="3"/>
      <c r="E177" s="375">
        <v>0</v>
      </c>
      <c r="F177" s="394"/>
      <c r="G177" s="140"/>
      <c r="H177" s="3"/>
      <c r="I177" s="3"/>
      <c r="J177" s="375">
        <v>0</v>
      </c>
      <c r="K177" s="375"/>
      <c r="L177" s="241"/>
    </row>
    <row r="178" spans="1:12" s="112" customFormat="1" ht="15" customHeight="1">
      <c r="A178" s="177" t="s">
        <v>267</v>
      </c>
      <c r="B178" s="152"/>
      <c r="C178" s="189"/>
      <c r="D178" s="152"/>
      <c r="E178" s="348">
        <v>0</v>
      </c>
      <c r="F178" s="465"/>
      <c r="G178" s="186"/>
      <c r="H178" s="3"/>
      <c r="I178" s="3"/>
      <c r="J178" s="348">
        <v>0</v>
      </c>
      <c r="K178" s="348"/>
      <c r="L178" s="241"/>
    </row>
    <row r="179" spans="1:12" s="112" customFormat="1" ht="33" customHeight="1">
      <c r="A179" s="144" t="s">
        <v>268</v>
      </c>
      <c r="B179" s="198"/>
      <c r="C179" s="223"/>
      <c r="D179" s="199"/>
      <c r="E179" s="383">
        <f>E169+E175+E176+E177+E178</f>
        <v>683866307</v>
      </c>
      <c r="F179" s="384"/>
      <c r="G179" s="198"/>
      <c r="H179" s="199"/>
      <c r="I179" s="199"/>
      <c r="J179" s="383">
        <f>J169+J175+J176+J177+J178</f>
        <v>304370877.65</v>
      </c>
      <c r="K179" s="383"/>
      <c r="L179" s="241"/>
    </row>
    <row r="180" spans="1:12" s="112" customFormat="1" ht="12" customHeight="1">
      <c r="A180" s="190"/>
      <c r="B180" s="190"/>
      <c r="C180" s="190"/>
      <c r="D180" s="190"/>
      <c r="E180" s="190"/>
      <c r="F180" s="190"/>
      <c r="G180" s="190"/>
      <c r="H180" s="190"/>
      <c r="I180" s="190"/>
      <c r="J180" s="190"/>
      <c r="K180" s="191"/>
      <c r="L180" s="241"/>
    </row>
    <row r="181" spans="1:12" s="112" customFormat="1" ht="31.5" customHeight="1">
      <c r="A181" s="371" t="s">
        <v>309</v>
      </c>
      <c r="B181" s="407" t="s">
        <v>186</v>
      </c>
      <c r="C181" s="408"/>
      <c r="D181" s="369" t="s">
        <v>87</v>
      </c>
      <c r="E181" s="371"/>
      <c r="F181" s="369" t="s">
        <v>88</v>
      </c>
      <c r="G181" s="370"/>
      <c r="H181" s="371"/>
      <c r="I181" s="409" t="s">
        <v>143</v>
      </c>
      <c r="J181" s="410"/>
      <c r="K181" s="410"/>
      <c r="L181" s="241"/>
    </row>
    <row r="182" spans="1:12" s="112" customFormat="1" ht="15">
      <c r="A182" s="405"/>
      <c r="B182" s="387"/>
      <c r="C182" s="374"/>
      <c r="D182" s="372" t="s">
        <v>15</v>
      </c>
      <c r="E182" s="374"/>
      <c r="F182" s="372" t="s">
        <v>15</v>
      </c>
      <c r="G182" s="373"/>
      <c r="H182" s="374"/>
      <c r="I182" s="411" t="s">
        <v>15</v>
      </c>
      <c r="J182" s="412"/>
      <c r="K182" s="412"/>
      <c r="L182" s="241"/>
    </row>
    <row r="183" spans="1:12" s="112" customFormat="1" ht="15.75" customHeight="1">
      <c r="A183" s="405"/>
      <c r="B183" s="399" t="s">
        <v>19</v>
      </c>
      <c r="C183" s="400"/>
      <c r="D183" s="398" t="s">
        <v>97</v>
      </c>
      <c r="E183" s="400"/>
      <c r="F183" s="372" t="s">
        <v>98</v>
      </c>
      <c r="G183" s="373"/>
      <c r="H183" s="374"/>
      <c r="I183" s="413" t="s">
        <v>99</v>
      </c>
      <c r="J183" s="414"/>
      <c r="K183" s="414"/>
      <c r="L183" s="241"/>
    </row>
    <row r="184" spans="1:14" s="112" customFormat="1" ht="12.75" customHeight="1">
      <c r="A184" s="153" t="s">
        <v>269</v>
      </c>
      <c r="B184" s="483">
        <f>B185+B186</f>
        <v>0</v>
      </c>
      <c r="C184" s="482"/>
      <c r="D184" s="483">
        <f>D185+D186</f>
        <v>0</v>
      </c>
      <c r="E184" s="482"/>
      <c r="F184" s="256"/>
      <c r="G184" s="480">
        <f>G185+G186</f>
        <v>0</v>
      </c>
      <c r="H184" s="482"/>
      <c r="I184" s="240"/>
      <c r="J184" s="480">
        <f>J185+J186</f>
        <v>0</v>
      </c>
      <c r="K184" s="480"/>
      <c r="L184" s="241"/>
      <c r="M184" s="422"/>
      <c r="N184" s="422"/>
    </row>
    <row r="185" spans="1:14" s="112" customFormat="1" ht="15">
      <c r="A185" s="150" t="s">
        <v>270</v>
      </c>
      <c r="B185" s="463">
        <v>0</v>
      </c>
      <c r="C185" s="394"/>
      <c r="D185" s="463">
        <v>0</v>
      </c>
      <c r="E185" s="394"/>
      <c r="F185" s="255"/>
      <c r="G185" s="346">
        <v>0</v>
      </c>
      <c r="H185" s="394"/>
      <c r="I185" s="240"/>
      <c r="J185" s="346">
        <v>0</v>
      </c>
      <c r="K185" s="346"/>
      <c r="L185" s="241"/>
      <c r="M185" s="422"/>
      <c r="N185" s="422"/>
    </row>
    <row r="186" spans="1:14" s="112" customFormat="1" ht="15">
      <c r="A186" s="150" t="s">
        <v>271</v>
      </c>
      <c r="B186" s="463">
        <v>0</v>
      </c>
      <c r="C186" s="394"/>
      <c r="D186" s="463">
        <v>0</v>
      </c>
      <c r="E186" s="394"/>
      <c r="F186" s="255"/>
      <c r="G186" s="346">
        <v>0</v>
      </c>
      <c r="H186" s="394"/>
      <c r="I186" s="240"/>
      <c r="J186" s="346">
        <v>0</v>
      </c>
      <c r="K186" s="346"/>
      <c r="L186" s="241"/>
      <c r="M186" s="422"/>
      <c r="N186" s="422"/>
    </row>
    <row r="187" spans="1:14" s="112" customFormat="1" ht="15">
      <c r="A187" s="150" t="s">
        <v>272</v>
      </c>
      <c r="B187" s="463">
        <v>0</v>
      </c>
      <c r="C187" s="394"/>
      <c r="D187" s="463">
        <v>0</v>
      </c>
      <c r="E187" s="394"/>
      <c r="F187" s="255"/>
      <c r="G187" s="346">
        <v>0</v>
      </c>
      <c r="H187" s="394"/>
      <c r="I187" s="240"/>
      <c r="J187" s="346">
        <v>0</v>
      </c>
      <c r="K187" s="346"/>
      <c r="L187" s="241"/>
      <c r="M187" s="422"/>
      <c r="N187" s="422"/>
    </row>
    <row r="188" spans="1:14" s="112" customFormat="1" ht="15">
      <c r="A188" s="150" t="s">
        <v>273</v>
      </c>
      <c r="B188" s="463">
        <f>120000</f>
        <v>120000</v>
      </c>
      <c r="C188" s="394"/>
      <c r="D188" s="463">
        <v>0</v>
      </c>
      <c r="E188" s="394"/>
      <c r="F188" s="255"/>
      <c r="G188" s="346">
        <v>0</v>
      </c>
      <c r="H188" s="394"/>
      <c r="I188" s="240"/>
      <c r="J188" s="346">
        <v>0</v>
      </c>
      <c r="K188" s="346"/>
      <c r="L188" s="241"/>
      <c r="M188" s="422"/>
      <c r="N188" s="422"/>
    </row>
    <row r="189" spans="1:14" s="112" customFormat="1" ht="15">
      <c r="A189" s="150" t="s">
        <v>274</v>
      </c>
      <c r="B189" s="463">
        <f>89463066.06</f>
        <v>89463066.06</v>
      </c>
      <c r="C189" s="394"/>
      <c r="D189" s="463">
        <f>11229768.39</f>
        <v>11229768.39</v>
      </c>
      <c r="E189" s="394"/>
      <c r="F189" s="255"/>
      <c r="G189" s="346">
        <f>10281688.06</f>
        <v>10281688.06</v>
      </c>
      <c r="H189" s="394"/>
      <c r="I189" s="240"/>
      <c r="J189" s="346">
        <f>7852483.48</f>
        <v>7852483.48</v>
      </c>
      <c r="K189" s="346"/>
      <c r="L189" s="241"/>
      <c r="M189" s="422"/>
      <c r="N189" s="422"/>
    </row>
    <row r="190" spans="1:14" s="112" customFormat="1" ht="15">
      <c r="A190" s="173" t="s">
        <v>275</v>
      </c>
      <c r="B190" s="346">
        <f>27550531.01</f>
        <v>27550531.01</v>
      </c>
      <c r="C190" s="394"/>
      <c r="D190" s="346">
        <f>22439.29</f>
        <v>22439.29</v>
      </c>
      <c r="E190" s="394"/>
      <c r="F190" s="258"/>
      <c r="G190" s="346">
        <f>685.99</f>
        <v>685.99</v>
      </c>
      <c r="H190" s="394"/>
      <c r="I190" s="258"/>
      <c r="J190" s="346">
        <f>685.99</f>
        <v>685.99</v>
      </c>
      <c r="K190" s="346"/>
      <c r="L190" s="241"/>
      <c r="M190" s="422"/>
      <c r="N190" s="422"/>
    </row>
    <row r="191" spans="1:12" s="112" customFormat="1" ht="15">
      <c r="A191" s="173" t="s">
        <v>328</v>
      </c>
      <c r="B191" s="332">
        <f>1479549588.76</f>
        <v>1479549588.76</v>
      </c>
      <c r="C191" s="333"/>
      <c r="D191" s="332">
        <f>313599311.22</f>
        <v>313599311.22</v>
      </c>
      <c r="E191" s="333"/>
      <c r="F191" s="283"/>
      <c r="G191" s="332">
        <f>233459822.18</f>
        <v>233459822.18</v>
      </c>
      <c r="H191" s="333"/>
      <c r="I191" s="283"/>
      <c r="J191" s="332">
        <f>209803738.07</f>
        <v>209803738.07</v>
      </c>
      <c r="K191" s="332"/>
      <c r="L191" s="241"/>
    </row>
    <row r="192" spans="1:12" s="112" customFormat="1" ht="15">
      <c r="A192" s="144" t="s">
        <v>329</v>
      </c>
      <c r="B192" s="484">
        <f>B184+B187+B188+B189+B190+B191</f>
        <v>1596683185.83</v>
      </c>
      <c r="C192" s="384"/>
      <c r="D192" s="484">
        <f>D184+D187+D188+D189+D190+D191</f>
        <v>324851518.90000004</v>
      </c>
      <c r="E192" s="384"/>
      <c r="F192" s="259"/>
      <c r="G192" s="383">
        <f>G184+G187+G188+G189+G190+G191</f>
        <v>243742196.23000002</v>
      </c>
      <c r="H192" s="384"/>
      <c r="I192" s="259"/>
      <c r="J192" s="383">
        <f>J184+J187+J188+J189+J190+J191</f>
        <v>217656907.54</v>
      </c>
      <c r="K192" s="383"/>
      <c r="L192" s="241"/>
    </row>
    <row r="193" spans="1:12" s="112" customFormat="1" ht="15">
      <c r="A193" s="241"/>
      <c r="B193" s="241"/>
      <c r="C193" s="241"/>
      <c r="D193" s="241"/>
      <c r="E193" s="241"/>
      <c r="F193" s="241"/>
      <c r="G193" s="241"/>
      <c r="H193" s="241"/>
      <c r="I193" s="241"/>
      <c r="J193" s="241"/>
      <c r="K193" s="209" t="s">
        <v>294</v>
      </c>
      <c r="L193" s="241"/>
    </row>
    <row r="194" spans="1:12" s="112" customFormat="1" ht="15">
      <c r="A194" s="241"/>
      <c r="B194" s="241"/>
      <c r="C194" s="241"/>
      <c r="D194" s="241"/>
      <c r="E194" s="241"/>
      <c r="F194" s="241"/>
      <c r="G194" s="241"/>
      <c r="H194" s="241"/>
      <c r="I194" s="241"/>
      <c r="J194" s="241"/>
      <c r="K194" s="209"/>
      <c r="L194" s="241"/>
    </row>
    <row r="195" spans="1:12" s="112" customFormat="1" ht="15">
      <c r="A195" s="241"/>
      <c r="B195" s="241"/>
      <c r="C195" s="241"/>
      <c r="D195" s="241"/>
      <c r="E195" s="241"/>
      <c r="F195" s="241"/>
      <c r="G195" s="241"/>
      <c r="H195" s="241"/>
      <c r="I195" s="241"/>
      <c r="J195" s="241"/>
      <c r="K195" s="209"/>
      <c r="L195" s="241"/>
    </row>
    <row r="196" spans="1:12" s="112" customFormat="1" ht="15.75">
      <c r="A196" s="210"/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241"/>
    </row>
    <row r="197" spans="1:12" s="112" customFormat="1" ht="15.75">
      <c r="A197" s="210"/>
      <c r="B197" s="210"/>
      <c r="C197" s="210"/>
      <c r="D197" s="210"/>
      <c r="E197" s="210"/>
      <c r="F197" s="210"/>
      <c r="G197" s="210"/>
      <c r="H197" s="210"/>
      <c r="I197" s="210"/>
      <c r="J197" s="210"/>
      <c r="K197" s="209" t="s">
        <v>287</v>
      </c>
      <c r="L197" s="241"/>
    </row>
    <row r="198" spans="1:12" s="112" customFormat="1" ht="15.75">
      <c r="A198" s="210"/>
      <c r="B198" s="210"/>
      <c r="C198" s="210"/>
      <c r="D198" s="210"/>
      <c r="E198" s="210"/>
      <c r="F198" s="210"/>
      <c r="G198" s="210"/>
      <c r="H198" s="210"/>
      <c r="I198" s="210"/>
      <c r="J198" s="210"/>
      <c r="K198" s="210"/>
      <c r="L198" s="241"/>
    </row>
    <row r="199" spans="1:12" s="112" customFormat="1" ht="15.75">
      <c r="A199" s="210"/>
      <c r="B199" s="210"/>
      <c r="C199" s="210"/>
      <c r="D199" s="210"/>
      <c r="E199" s="210"/>
      <c r="F199" s="210"/>
      <c r="G199" s="210"/>
      <c r="H199" s="210"/>
      <c r="I199" s="210"/>
      <c r="J199" s="210"/>
      <c r="K199" s="210"/>
      <c r="L199" s="241"/>
    </row>
    <row r="200" spans="1:12" s="112" customFormat="1" ht="15">
      <c r="A200" s="415" t="str">
        <f>A129</f>
        <v>GOVERNO DO ESTADO DO RIO DE JANEIRO</v>
      </c>
      <c r="B200" s="415"/>
      <c r="C200" s="415"/>
      <c r="D200" s="415"/>
      <c r="E200" s="415"/>
      <c r="F200" s="415"/>
      <c r="G200" s="415"/>
      <c r="H200" s="415"/>
      <c r="I200" s="415"/>
      <c r="J200" s="415"/>
      <c r="K200" s="415"/>
      <c r="L200" s="241"/>
    </row>
    <row r="201" spans="1:12" s="112" customFormat="1" ht="15">
      <c r="A201" s="415" t="str">
        <f>A130</f>
        <v>RELATÓRIO RESUMIDO DA EXECUÇÃO ORÇAMENTÁRIA</v>
      </c>
      <c r="B201" s="415"/>
      <c r="C201" s="415"/>
      <c r="D201" s="415"/>
      <c r="E201" s="415"/>
      <c r="F201" s="415"/>
      <c r="G201" s="415"/>
      <c r="H201" s="415"/>
      <c r="I201" s="415"/>
      <c r="J201" s="415"/>
      <c r="K201" s="415"/>
      <c r="L201" s="241"/>
    </row>
    <row r="202" spans="1:12" s="112" customFormat="1" ht="15">
      <c r="A202" s="335" t="str">
        <f>A131</f>
        <v>DEMONSTRATIVO DAS RECEITAS E DESPESAS COM MANUTENÇÃO E DESENVOLVIMENTO DO ENSINO - MDE</v>
      </c>
      <c r="B202" s="335"/>
      <c r="C202" s="335"/>
      <c r="D202" s="335"/>
      <c r="E202" s="335"/>
      <c r="F202" s="335"/>
      <c r="G202" s="335"/>
      <c r="H202" s="335"/>
      <c r="I202" s="335"/>
      <c r="J202" s="335"/>
      <c r="K202" s="335"/>
      <c r="L202" s="241"/>
    </row>
    <row r="203" spans="1:12" s="112" customFormat="1" ht="15">
      <c r="A203" s="415" t="str">
        <f>A132</f>
        <v>ORÇAMENTOS FISCAL E DA SEGURIDADE SOCIAL</v>
      </c>
      <c r="B203" s="415"/>
      <c r="C203" s="415"/>
      <c r="D203" s="415"/>
      <c r="E203" s="415"/>
      <c r="F203" s="415"/>
      <c r="G203" s="415"/>
      <c r="H203" s="415"/>
      <c r="I203" s="415"/>
      <c r="J203" s="415"/>
      <c r="K203" s="415"/>
      <c r="L203" s="241"/>
    </row>
    <row r="204" spans="1:12" s="112" customFormat="1" ht="15">
      <c r="A204" s="415" t="str">
        <f>A133</f>
        <v>JANEIRO A JUNHO 2021/BIMESTRE MAIO - JUNHO</v>
      </c>
      <c r="B204" s="415"/>
      <c r="C204" s="415"/>
      <c r="D204" s="415"/>
      <c r="E204" s="415"/>
      <c r="F204" s="415"/>
      <c r="G204" s="415"/>
      <c r="H204" s="415"/>
      <c r="I204" s="415"/>
      <c r="J204" s="415"/>
      <c r="K204" s="415"/>
      <c r="L204" s="241"/>
    </row>
    <row r="205" spans="1:12" s="112" customFormat="1" ht="15">
      <c r="A205" s="210"/>
      <c r="B205" s="210"/>
      <c r="C205" s="210"/>
      <c r="D205" s="210"/>
      <c r="E205" s="210"/>
      <c r="F205" s="210"/>
      <c r="G205" s="210"/>
      <c r="H205" s="210"/>
      <c r="I205" s="210"/>
      <c r="J205" s="210"/>
      <c r="K205" s="209" t="str">
        <f>K134</f>
        <v>Emissão: 19/07/2021</v>
      </c>
      <c r="L205" s="241"/>
    </row>
    <row r="206" spans="1:12" s="112" customFormat="1" ht="15">
      <c r="A206" s="3" t="s">
        <v>147</v>
      </c>
      <c r="B206" s="210"/>
      <c r="C206" s="210"/>
      <c r="D206" s="210"/>
      <c r="E206" s="210"/>
      <c r="F206" s="210"/>
      <c r="G206" s="210"/>
      <c r="H206" s="210"/>
      <c r="I206" s="210"/>
      <c r="J206" s="210"/>
      <c r="K206" s="211">
        <f>K135</f>
        <v>1</v>
      </c>
      <c r="L206" s="241"/>
    </row>
    <row r="207" spans="1:12" s="112" customFormat="1" ht="15.75" customHeight="1">
      <c r="A207" s="371" t="s">
        <v>276</v>
      </c>
      <c r="B207" s="407" t="s">
        <v>186</v>
      </c>
      <c r="C207" s="408"/>
      <c r="D207" s="369" t="s">
        <v>87</v>
      </c>
      <c r="E207" s="371"/>
      <c r="F207" s="369" t="s">
        <v>88</v>
      </c>
      <c r="G207" s="370"/>
      <c r="H207" s="371"/>
      <c r="I207" s="409" t="s">
        <v>143</v>
      </c>
      <c r="J207" s="410"/>
      <c r="K207" s="410"/>
      <c r="L207" s="241"/>
    </row>
    <row r="208" spans="1:12" s="112" customFormat="1" ht="15">
      <c r="A208" s="405"/>
      <c r="B208" s="387"/>
      <c r="C208" s="374"/>
      <c r="D208" s="372" t="s">
        <v>15</v>
      </c>
      <c r="E208" s="374"/>
      <c r="F208" s="372" t="s">
        <v>15</v>
      </c>
      <c r="G208" s="373"/>
      <c r="H208" s="374"/>
      <c r="I208" s="411" t="s">
        <v>15</v>
      </c>
      <c r="J208" s="412"/>
      <c r="K208" s="412"/>
      <c r="L208" s="241"/>
    </row>
    <row r="209" spans="1:12" s="112" customFormat="1" ht="15">
      <c r="A209" s="405"/>
      <c r="B209" s="399" t="s">
        <v>19</v>
      </c>
      <c r="C209" s="400"/>
      <c r="D209" s="398" t="s">
        <v>97</v>
      </c>
      <c r="E209" s="400"/>
      <c r="F209" s="398" t="s">
        <v>98</v>
      </c>
      <c r="G209" s="399"/>
      <c r="H209" s="400"/>
      <c r="I209" s="413" t="s">
        <v>99</v>
      </c>
      <c r="J209" s="414"/>
      <c r="K209" s="414"/>
      <c r="L209" s="241"/>
    </row>
    <row r="210" spans="1:12" s="112" customFormat="1" ht="15">
      <c r="A210" s="224" t="s">
        <v>331</v>
      </c>
      <c r="B210" s="466">
        <f>B85+B121+B192</f>
        <v>9022421666.22</v>
      </c>
      <c r="C210" s="401"/>
      <c r="D210" s="466">
        <f>D85+D121+D192</f>
        <v>3381507903.93</v>
      </c>
      <c r="E210" s="401"/>
      <c r="F210" s="260"/>
      <c r="G210" s="363">
        <f>G85+G121+G192</f>
        <v>3126605078.93</v>
      </c>
      <c r="H210" s="401"/>
      <c r="I210" s="261"/>
      <c r="J210" s="363">
        <f>J85+J121+J192</f>
        <v>2786378650.67</v>
      </c>
      <c r="K210" s="363"/>
      <c r="L210" s="241"/>
    </row>
    <row r="211" spans="1:16" s="112" customFormat="1" ht="15">
      <c r="A211" s="225" t="s">
        <v>332</v>
      </c>
      <c r="B211" s="485">
        <f>B212+B213+B214+B215</f>
        <v>8078264190.34</v>
      </c>
      <c r="C211" s="393"/>
      <c r="D211" s="485">
        <f>D212+D213+D214+D215</f>
        <v>3329010469.9300003</v>
      </c>
      <c r="E211" s="393"/>
      <c r="F211" s="262"/>
      <c r="G211" s="347">
        <f>G212+G213+G214+G215</f>
        <v>3098338952.2799997</v>
      </c>
      <c r="H211" s="393"/>
      <c r="I211" s="261"/>
      <c r="J211" s="347">
        <f>J212+J213+J214+J215</f>
        <v>2763566536.21</v>
      </c>
      <c r="K211" s="347"/>
      <c r="L211" s="241"/>
      <c r="M211" s="285"/>
      <c r="N211" s="285"/>
      <c r="O211" s="285"/>
      <c r="P211" s="285"/>
    </row>
    <row r="212" spans="1:14" s="112" customFormat="1" ht="15">
      <c r="A212" s="177" t="s">
        <v>333</v>
      </c>
      <c r="B212" s="463">
        <f>5022107403.44</f>
        <v>5022107403.44</v>
      </c>
      <c r="C212" s="394"/>
      <c r="D212" s="463">
        <f>2271285084.82</f>
        <v>2271285084.82</v>
      </c>
      <c r="E212" s="394"/>
      <c r="F212" s="263"/>
      <c r="G212" s="346">
        <f>2267843029.41</f>
        <v>2267843029.41</v>
      </c>
      <c r="H212" s="394"/>
      <c r="I212" s="258"/>
      <c r="J212" s="346">
        <f>2019656136.47</f>
        <v>2019656136.47</v>
      </c>
      <c r="K212" s="346"/>
      <c r="L212" s="241"/>
      <c r="M212" s="285"/>
      <c r="N212" s="285"/>
    </row>
    <row r="213" spans="1:12" s="112" customFormat="1" ht="15">
      <c r="A213" s="177" t="s">
        <v>334</v>
      </c>
      <c r="B213" s="463">
        <f>830422</f>
        <v>830422</v>
      </c>
      <c r="C213" s="394"/>
      <c r="D213" s="463">
        <f>160600</f>
        <v>160600</v>
      </c>
      <c r="E213" s="394"/>
      <c r="F213" s="263"/>
      <c r="G213" s="346">
        <f>160600</f>
        <v>160600</v>
      </c>
      <c r="H213" s="394"/>
      <c r="I213" s="258"/>
      <c r="J213" s="346">
        <f>134200</f>
        <v>134200</v>
      </c>
      <c r="K213" s="346"/>
      <c r="L213" s="241"/>
    </row>
    <row r="214" spans="1:12" s="112" customFormat="1" ht="15">
      <c r="A214" s="177" t="s">
        <v>335</v>
      </c>
      <c r="B214" s="463">
        <v>0</v>
      </c>
      <c r="C214" s="394"/>
      <c r="D214" s="463">
        <v>0</v>
      </c>
      <c r="E214" s="394"/>
      <c r="F214" s="263"/>
      <c r="G214" s="346">
        <v>0</v>
      </c>
      <c r="H214" s="394"/>
      <c r="I214" s="258"/>
      <c r="J214" s="346">
        <v>0</v>
      </c>
      <c r="K214" s="346"/>
      <c r="L214" s="241"/>
    </row>
    <row r="215" spans="1:12" s="112" customFormat="1" ht="15">
      <c r="A215" s="177" t="s">
        <v>336</v>
      </c>
      <c r="B215" s="463">
        <f>3055326364.9</f>
        <v>3055326364.9</v>
      </c>
      <c r="C215" s="394"/>
      <c r="D215" s="463">
        <f>1057564785.11</f>
        <v>1057564785.11</v>
      </c>
      <c r="E215" s="394"/>
      <c r="F215" s="263"/>
      <c r="G215" s="346">
        <f>830335322.87</f>
        <v>830335322.87</v>
      </c>
      <c r="H215" s="394"/>
      <c r="I215" s="258"/>
      <c r="J215" s="346">
        <f>743776199.74</f>
        <v>743776199.74</v>
      </c>
      <c r="K215" s="346"/>
      <c r="L215" s="241"/>
    </row>
    <row r="216" spans="1:12" s="112" customFormat="1" ht="15">
      <c r="A216" s="225" t="s">
        <v>337</v>
      </c>
      <c r="B216" s="485">
        <f>B217+B218</f>
        <v>944157475.88</v>
      </c>
      <c r="C216" s="393"/>
      <c r="D216" s="485">
        <f>D217+D218</f>
        <v>52497434</v>
      </c>
      <c r="E216" s="393"/>
      <c r="F216" s="262"/>
      <c r="G216" s="347">
        <f>G217+G218</f>
        <v>28266126.65</v>
      </c>
      <c r="H216" s="393"/>
      <c r="I216" s="261"/>
      <c r="J216" s="347">
        <f>J217+J218</f>
        <v>22812114.46</v>
      </c>
      <c r="K216" s="347"/>
      <c r="L216" s="271"/>
    </row>
    <row r="217" spans="1:12" s="112" customFormat="1" ht="15">
      <c r="A217" s="177" t="s">
        <v>338</v>
      </c>
      <c r="B217" s="463">
        <v>0</v>
      </c>
      <c r="C217" s="394"/>
      <c r="D217" s="463">
        <v>0</v>
      </c>
      <c r="E217" s="394"/>
      <c r="F217" s="263"/>
      <c r="G217" s="346">
        <v>0</v>
      </c>
      <c r="H217" s="394"/>
      <c r="I217" s="258"/>
      <c r="J217" s="346">
        <v>0</v>
      </c>
      <c r="K217" s="346"/>
      <c r="L217" s="241"/>
    </row>
    <row r="218" spans="1:12" s="112" customFormat="1" ht="15">
      <c r="A218" s="178" t="s">
        <v>339</v>
      </c>
      <c r="B218" s="464">
        <f>944157475.88</f>
        <v>944157475.88</v>
      </c>
      <c r="C218" s="465"/>
      <c r="D218" s="464">
        <f>52497434</f>
        <v>52497434</v>
      </c>
      <c r="E218" s="465"/>
      <c r="F218" s="257"/>
      <c r="G218" s="348">
        <f>28266126.65</f>
        <v>28266126.65</v>
      </c>
      <c r="H218" s="465"/>
      <c r="I218" s="257"/>
      <c r="J218" s="348">
        <f>22812114.46</f>
        <v>22812114.46</v>
      </c>
      <c r="K218" s="348"/>
      <c r="L218" s="241"/>
    </row>
    <row r="219" spans="1:12" s="112" customFormat="1" ht="15">
      <c r="A219" s="192"/>
      <c r="B219" s="152"/>
      <c r="C219" s="284"/>
      <c r="D219" s="152"/>
      <c r="E219" s="284"/>
      <c r="F219" s="3"/>
      <c r="G219" s="3"/>
      <c r="H219" s="284"/>
      <c r="I219" s="3"/>
      <c r="J219" s="152"/>
      <c r="K219" s="284"/>
      <c r="L219" s="241"/>
    </row>
    <row r="220" spans="1:12" s="112" customFormat="1" ht="15">
      <c r="A220" s="371" t="s">
        <v>277</v>
      </c>
      <c r="B220" s="455" t="s">
        <v>169</v>
      </c>
      <c r="C220" s="447"/>
      <c r="D220" s="447"/>
      <c r="E220" s="447"/>
      <c r="F220" s="418"/>
      <c r="G220" s="455" t="s">
        <v>278</v>
      </c>
      <c r="H220" s="447"/>
      <c r="I220" s="447"/>
      <c r="J220" s="447"/>
      <c r="K220" s="447"/>
      <c r="L220" s="241"/>
    </row>
    <row r="221" spans="1:12" s="112" customFormat="1" ht="15">
      <c r="A221" s="405"/>
      <c r="B221" s="425" t="s">
        <v>279</v>
      </c>
      <c r="C221" s="426"/>
      <c r="D221" s="426"/>
      <c r="E221" s="426"/>
      <c r="F221" s="419"/>
      <c r="G221" s="425" t="s">
        <v>280</v>
      </c>
      <c r="H221" s="426"/>
      <c r="I221" s="426"/>
      <c r="J221" s="426"/>
      <c r="K221" s="426"/>
      <c r="L221" s="241"/>
    </row>
    <row r="222" spans="1:12" s="112" customFormat="1" ht="15.75" customHeight="1">
      <c r="A222" s="160" t="s">
        <v>340</v>
      </c>
      <c r="B222" s="264"/>
      <c r="C222" s="265"/>
      <c r="D222" s="265"/>
      <c r="E222" s="480">
        <v>360179403.82</v>
      </c>
      <c r="F222" s="482"/>
      <c r="G222" s="264"/>
      <c r="H222" s="265"/>
      <c r="I222" s="265"/>
      <c r="J222" s="480">
        <v>424307583.25</v>
      </c>
      <c r="K222" s="480"/>
      <c r="L222" s="241"/>
    </row>
    <row r="223" spans="1:12" s="112" customFormat="1" ht="15.75" customHeight="1">
      <c r="A223" s="161" t="s">
        <v>341</v>
      </c>
      <c r="B223" s="266"/>
      <c r="C223" s="267"/>
      <c r="D223" s="267"/>
      <c r="E223" s="375">
        <v>2061712349.46</v>
      </c>
      <c r="F223" s="394"/>
      <c r="G223" s="266"/>
      <c r="H223" s="267"/>
      <c r="I223" s="267"/>
      <c r="J223" s="375">
        <v>268395227.29</v>
      </c>
      <c r="K223" s="375"/>
      <c r="L223" s="241"/>
    </row>
    <row r="224" spans="1:12" s="112" customFormat="1" ht="15.75" customHeight="1">
      <c r="A224" s="161" t="s">
        <v>342</v>
      </c>
      <c r="B224" s="188"/>
      <c r="C224" s="137"/>
      <c r="D224" s="137"/>
      <c r="E224" s="375">
        <v>1692980877.0000002</v>
      </c>
      <c r="F224" s="394"/>
      <c r="G224" s="188"/>
      <c r="H224" s="137"/>
      <c r="I224" s="137"/>
      <c r="J224" s="375">
        <v>94459156.51</v>
      </c>
      <c r="K224" s="375"/>
      <c r="L224" s="241"/>
    </row>
    <row r="225" spans="1:12" s="112" customFormat="1" ht="15.75" customHeight="1">
      <c r="A225" s="161" t="s">
        <v>343</v>
      </c>
      <c r="B225" s="266"/>
      <c r="C225" s="267"/>
      <c r="D225" s="267"/>
      <c r="E225" s="375">
        <v>728910876.28</v>
      </c>
      <c r="F225" s="394"/>
      <c r="G225" s="266"/>
      <c r="H225" s="267"/>
      <c r="I225" s="267"/>
      <c r="J225" s="375">
        <v>598243654.03</v>
      </c>
      <c r="K225" s="375"/>
      <c r="L225" s="241"/>
    </row>
    <row r="226" spans="1:12" s="112" customFormat="1" ht="15.75" customHeight="1">
      <c r="A226" s="161" t="s">
        <v>344</v>
      </c>
      <c r="B226" s="266"/>
      <c r="C226" s="267"/>
      <c r="D226" s="267"/>
      <c r="E226" s="375">
        <v>0</v>
      </c>
      <c r="F226" s="394"/>
      <c r="G226" s="266"/>
      <c r="H226" s="267"/>
      <c r="I226" s="267"/>
      <c r="J226" s="375">
        <v>0</v>
      </c>
      <c r="K226" s="375"/>
      <c r="L226" s="241"/>
    </row>
    <row r="227" spans="1:12" s="112" customFormat="1" ht="15.75" customHeight="1">
      <c r="A227" s="161" t="s">
        <v>345</v>
      </c>
      <c r="B227" s="188"/>
      <c r="C227" s="137"/>
      <c r="D227" s="137"/>
      <c r="E227" s="375">
        <v>21333.3</v>
      </c>
      <c r="F227" s="394"/>
      <c r="G227" s="188"/>
      <c r="H227" s="137"/>
      <c r="I227" s="137"/>
      <c r="J227" s="375">
        <v>0</v>
      </c>
      <c r="K227" s="375"/>
      <c r="L227" s="241"/>
    </row>
    <row r="228" spans="1:12" s="112" customFormat="1" ht="15.75" customHeight="1">
      <c r="A228" s="157" t="s">
        <v>346</v>
      </c>
      <c r="B228" s="268"/>
      <c r="C228" s="269"/>
      <c r="D228" s="269"/>
      <c r="E228" s="348">
        <v>728889542.98</v>
      </c>
      <c r="F228" s="465"/>
      <c r="G228" s="268"/>
      <c r="H228" s="269"/>
      <c r="I228" s="269"/>
      <c r="J228" s="348">
        <v>598243654.03</v>
      </c>
      <c r="K228" s="348"/>
      <c r="L228" s="241"/>
    </row>
    <row r="229" spans="1:12" s="112" customFormat="1" ht="15">
      <c r="A229" s="193" t="s">
        <v>317</v>
      </c>
      <c r="B229" s="115"/>
      <c r="C229" s="115"/>
      <c r="D229" s="115"/>
      <c r="E229" s="115"/>
      <c r="F229" s="281"/>
      <c r="G229" s="115"/>
      <c r="H229" s="115"/>
      <c r="K229" s="194" t="s">
        <v>295</v>
      </c>
      <c r="L229" s="241"/>
    </row>
    <row r="230" spans="1:12" s="112" customFormat="1" ht="15">
      <c r="A230" s="274" t="s">
        <v>318</v>
      </c>
      <c r="B230" s="115"/>
      <c r="C230" s="115"/>
      <c r="D230" s="115"/>
      <c r="E230" s="115"/>
      <c r="F230" s="115"/>
      <c r="G230" s="115"/>
      <c r="H230" s="115"/>
      <c r="K230" s="194"/>
      <c r="L230" s="241"/>
    </row>
    <row r="231" spans="1:12" s="112" customFormat="1" ht="15">
      <c r="A231" s="486" t="s">
        <v>319</v>
      </c>
      <c r="B231" s="486"/>
      <c r="C231" s="486"/>
      <c r="D231" s="486"/>
      <c r="E231" s="486"/>
      <c r="F231" s="486"/>
      <c r="G231" s="486"/>
      <c r="H231" s="115"/>
      <c r="K231" s="194"/>
      <c r="L231" s="241"/>
    </row>
    <row r="232" spans="1:12" s="112" customFormat="1" ht="13.5" customHeight="1">
      <c r="A232" s="469" t="s">
        <v>298</v>
      </c>
      <c r="B232" s="469"/>
      <c r="C232" s="469"/>
      <c r="D232" s="469"/>
      <c r="E232" s="469"/>
      <c r="F232" s="469"/>
      <c r="G232" s="469"/>
      <c r="H232" s="469"/>
      <c r="I232" s="469"/>
      <c r="J232" s="469"/>
      <c r="K232" s="469"/>
      <c r="L232" s="241"/>
    </row>
    <row r="233" spans="1:12" s="112" customFormat="1" ht="13.5" customHeight="1">
      <c r="A233" s="467" t="s">
        <v>299</v>
      </c>
      <c r="B233" s="467"/>
      <c r="C233" s="467"/>
      <c r="D233" s="467"/>
      <c r="E233" s="467"/>
      <c r="F233" s="467"/>
      <c r="G233" s="467"/>
      <c r="H233" s="467"/>
      <c r="I233" s="467"/>
      <c r="J233" s="467"/>
      <c r="K233" s="467"/>
      <c r="L233" s="241"/>
    </row>
    <row r="234" spans="1:11" ht="13.5" customHeight="1">
      <c r="A234" s="468" t="s">
        <v>300</v>
      </c>
      <c r="B234" s="468"/>
      <c r="C234" s="468"/>
      <c r="D234" s="468"/>
      <c r="E234" s="468"/>
      <c r="F234" s="468"/>
      <c r="G234" s="468"/>
      <c r="H234" s="468"/>
      <c r="I234" s="468"/>
      <c r="J234" s="468"/>
      <c r="K234" s="468"/>
    </row>
    <row r="235" spans="1:11" ht="13.5" customHeight="1">
      <c r="A235" s="467" t="s">
        <v>301</v>
      </c>
      <c r="B235" s="467"/>
      <c r="C235" s="467"/>
      <c r="D235" s="467"/>
      <c r="E235" s="467"/>
      <c r="F235" s="467"/>
      <c r="G235" s="467"/>
      <c r="H235" s="467"/>
      <c r="I235" s="467"/>
      <c r="J235" s="467"/>
      <c r="K235" s="467"/>
    </row>
    <row r="236" spans="1:11" ht="13.5" customHeight="1">
      <c r="A236" s="469" t="s">
        <v>302</v>
      </c>
      <c r="B236" s="469"/>
      <c r="C236" s="469"/>
      <c r="D236" s="469"/>
      <c r="E236" s="469"/>
      <c r="F236" s="469"/>
      <c r="G236" s="469"/>
      <c r="H236" s="469"/>
      <c r="I236" s="469"/>
      <c r="J236" s="469"/>
      <c r="K236" s="469"/>
    </row>
    <row r="237" spans="1:11" ht="13.5" customHeight="1">
      <c r="A237" s="469" t="s">
        <v>303</v>
      </c>
      <c r="B237" s="469"/>
      <c r="C237" s="469"/>
      <c r="D237" s="469"/>
      <c r="E237" s="469"/>
      <c r="F237" s="469"/>
      <c r="G237" s="469"/>
      <c r="H237" s="469"/>
      <c r="I237" s="469"/>
      <c r="J237" s="469"/>
      <c r="K237" s="469"/>
    </row>
    <row r="238" spans="1:11" ht="13.5" customHeight="1">
      <c r="A238" s="469" t="s">
        <v>304</v>
      </c>
      <c r="B238" s="469"/>
      <c r="C238" s="469"/>
      <c r="D238" s="469"/>
      <c r="E238" s="469"/>
      <c r="F238" s="469"/>
      <c r="G238" s="469"/>
      <c r="H238" s="469"/>
      <c r="I238" s="469"/>
      <c r="J238" s="469"/>
      <c r="K238" s="469"/>
    </row>
    <row r="239" spans="1:11" ht="13.5" customHeight="1">
      <c r="A239" s="469" t="s">
        <v>305</v>
      </c>
      <c r="B239" s="469"/>
      <c r="C239" s="469"/>
      <c r="D239" s="469"/>
      <c r="E239" s="469"/>
      <c r="F239" s="469"/>
      <c r="G239" s="469"/>
      <c r="H239" s="469"/>
      <c r="I239" s="469"/>
      <c r="J239" s="469"/>
      <c r="K239" s="469"/>
    </row>
    <row r="240" spans="1:11" ht="12.75">
      <c r="A240" s="334" t="s">
        <v>330</v>
      </c>
      <c r="B240" s="334"/>
      <c r="C240" s="334"/>
      <c r="D240" s="334"/>
      <c r="E240" s="334"/>
      <c r="F240" s="334"/>
      <c r="G240" s="334"/>
      <c r="H240" s="334"/>
      <c r="I240" s="334"/>
      <c r="J240" s="334"/>
      <c r="K240" s="334"/>
    </row>
    <row r="241" spans="1:11" ht="40.5" customHeight="1">
      <c r="A241" s="334" t="s">
        <v>358</v>
      </c>
      <c r="B241" s="334"/>
      <c r="C241" s="334"/>
      <c r="D241" s="334"/>
      <c r="E241" s="334"/>
      <c r="F241" s="334"/>
      <c r="G241" s="334"/>
      <c r="H241" s="334"/>
      <c r="I241" s="334"/>
      <c r="J241" s="334"/>
      <c r="K241" s="334"/>
    </row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9" spans="1:11" ht="15">
      <c r="A269" s="137" t="s">
        <v>347</v>
      </c>
      <c r="B269" s="331" t="s">
        <v>350</v>
      </c>
      <c r="C269" s="331"/>
      <c r="D269" s="331"/>
      <c r="E269" s="331"/>
      <c r="F269" s="331"/>
      <c r="G269" s="331" t="s">
        <v>353</v>
      </c>
      <c r="H269" s="331"/>
      <c r="I269" s="331"/>
      <c r="J269" s="331"/>
      <c r="K269" s="331"/>
    </row>
    <row r="270" spans="1:11" ht="15">
      <c r="A270" s="137" t="s">
        <v>348</v>
      </c>
      <c r="B270" s="331" t="s">
        <v>351</v>
      </c>
      <c r="C270" s="331"/>
      <c r="D270" s="331"/>
      <c r="E270" s="331"/>
      <c r="F270" s="331"/>
      <c r="G270" s="331" t="s">
        <v>354</v>
      </c>
      <c r="H270" s="331"/>
      <c r="I270" s="331"/>
      <c r="J270" s="331"/>
      <c r="K270" s="331"/>
    </row>
    <row r="271" spans="1:11" ht="15">
      <c r="A271" s="137" t="s">
        <v>349</v>
      </c>
      <c r="B271" s="331" t="s">
        <v>352</v>
      </c>
      <c r="C271" s="331"/>
      <c r="D271" s="331"/>
      <c r="E271" s="331"/>
      <c r="F271" s="331"/>
      <c r="G271" s="331" t="s">
        <v>355</v>
      </c>
      <c r="H271" s="331"/>
      <c r="I271" s="331"/>
      <c r="J271" s="331"/>
      <c r="K271" s="331"/>
    </row>
  </sheetData>
  <sheetProtection/>
  <mergeCells count="538">
    <mergeCell ref="H157:I157"/>
    <mergeCell ref="H158:I158"/>
    <mergeCell ref="H159:I159"/>
    <mergeCell ref="H160:I160"/>
    <mergeCell ref="H162:I162"/>
    <mergeCell ref="J162:K162"/>
    <mergeCell ref="J160:K160"/>
    <mergeCell ref="J159:K159"/>
    <mergeCell ref="J158:K158"/>
    <mergeCell ref="F156:G156"/>
    <mergeCell ref="F155:G155"/>
    <mergeCell ref="F154:G154"/>
    <mergeCell ref="H154:I154"/>
    <mergeCell ref="H155:I155"/>
    <mergeCell ref="H156:I156"/>
    <mergeCell ref="D157:E157"/>
    <mergeCell ref="D158:E158"/>
    <mergeCell ref="D159:E159"/>
    <mergeCell ref="D160:E160"/>
    <mergeCell ref="D162:E162"/>
    <mergeCell ref="F159:G159"/>
    <mergeCell ref="F158:G158"/>
    <mergeCell ref="F157:G157"/>
    <mergeCell ref="B120:C120"/>
    <mergeCell ref="D120:E120"/>
    <mergeCell ref="G120:H120"/>
    <mergeCell ref="J120:K120"/>
    <mergeCell ref="A231:G231"/>
    <mergeCell ref="A240:K240"/>
    <mergeCell ref="B154:C154"/>
    <mergeCell ref="B155:C155"/>
    <mergeCell ref="B156:C156"/>
    <mergeCell ref="B157:C157"/>
    <mergeCell ref="J227:K227"/>
    <mergeCell ref="J228:K228"/>
    <mergeCell ref="E224:F224"/>
    <mergeCell ref="E225:F225"/>
    <mergeCell ref="E226:F226"/>
    <mergeCell ref="E227:F227"/>
    <mergeCell ref="E228:F228"/>
    <mergeCell ref="J222:K222"/>
    <mergeCell ref="J223:K223"/>
    <mergeCell ref="J224:K224"/>
    <mergeCell ref="J225:K225"/>
    <mergeCell ref="J226:K226"/>
    <mergeCell ref="J213:K213"/>
    <mergeCell ref="J218:K218"/>
    <mergeCell ref="J217:K217"/>
    <mergeCell ref="J216:K216"/>
    <mergeCell ref="J215:K215"/>
    <mergeCell ref="E222:F222"/>
    <mergeCell ref="E223:F223"/>
    <mergeCell ref="G214:H214"/>
    <mergeCell ref="G215:H215"/>
    <mergeCell ref="G216:H216"/>
    <mergeCell ref="G217:H217"/>
    <mergeCell ref="G218:H218"/>
    <mergeCell ref="J214:K214"/>
    <mergeCell ref="D213:E213"/>
    <mergeCell ref="D212:E212"/>
    <mergeCell ref="D211:E211"/>
    <mergeCell ref="D210:E210"/>
    <mergeCell ref="G210:H210"/>
    <mergeCell ref="G211:H211"/>
    <mergeCell ref="G212:H212"/>
    <mergeCell ref="G213:H213"/>
    <mergeCell ref="J212:K212"/>
    <mergeCell ref="B214:C214"/>
    <mergeCell ref="B215:C215"/>
    <mergeCell ref="B216:C216"/>
    <mergeCell ref="B217:C217"/>
    <mergeCell ref="B218:C218"/>
    <mergeCell ref="D218:E218"/>
    <mergeCell ref="D217:E217"/>
    <mergeCell ref="D216:E216"/>
    <mergeCell ref="D215:E215"/>
    <mergeCell ref="D214:E214"/>
    <mergeCell ref="J185:K185"/>
    <mergeCell ref="J184:K184"/>
    <mergeCell ref="B210:C210"/>
    <mergeCell ref="B211:C211"/>
    <mergeCell ref="G190:H190"/>
    <mergeCell ref="G192:H192"/>
    <mergeCell ref="J192:K192"/>
    <mergeCell ref="J190:K190"/>
    <mergeCell ref="J211:K211"/>
    <mergeCell ref="J210:K210"/>
    <mergeCell ref="J189:K189"/>
    <mergeCell ref="J188:K188"/>
    <mergeCell ref="G184:H184"/>
    <mergeCell ref="G185:H185"/>
    <mergeCell ref="G186:H186"/>
    <mergeCell ref="G187:H187"/>
    <mergeCell ref="G188:H188"/>
    <mergeCell ref="G189:H189"/>
    <mergeCell ref="J187:K187"/>
    <mergeCell ref="J186:K186"/>
    <mergeCell ref="B190:C190"/>
    <mergeCell ref="B192:C192"/>
    <mergeCell ref="D192:E192"/>
    <mergeCell ref="D190:E190"/>
    <mergeCell ref="D189:E189"/>
    <mergeCell ref="D188:E188"/>
    <mergeCell ref="B191:C191"/>
    <mergeCell ref="D191:E191"/>
    <mergeCell ref="E170:F170"/>
    <mergeCell ref="E169:F169"/>
    <mergeCell ref="B184:C184"/>
    <mergeCell ref="B185:C185"/>
    <mergeCell ref="B186:C186"/>
    <mergeCell ref="B187:C187"/>
    <mergeCell ref="D187:E187"/>
    <mergeCell ref="D186:E186"/>
    <mergeCell ref="D185:E185"/>
    <mergeCell ref="D184:E184"/>
    <mergeCell ref="E176:F176"/>
    <mergeCell ref="E175:F175"/>
    <mergeCell ref="E174:F174"/>
    <mergeCell ref="E173:F173"/>
    <mergeCell ref="E172:F172"/>
    <mergeCell ref="E171:F171"/>
    <mergeCell ref="J177:K177"/>
    <mergeCell ref="J178:K178"/>
    <mergeCell ref="J179:K179"/>
    <mergeCell ref="E179:F179"/>
    <mergeCell ref="E178:F178"/>
    <mergeCell ref="E177:F177"/>
    <mergeCell ref="J171:K171"/>
    <mergeCell ref="J172:K172"/>
    <mergeCell ref="J173:K173"/>
    <mergeCell ref="J174:K174"/>
    <mergeCell ref="J175:K175"/>
    <mergeCell ref="J176:K176"/>
    <mergeCell ref="J152:K152"/>
    <mergeCell ref="J153:K153"/>
    <mergeCell ref="J161:K161"/>
    <mergeCell ref="J163:K163"/>
    <mergeCell ref="J169:K169"/>
    <mergeCell ref="J170:K170"/>
    <mergeCell ref="J157:K157"/>
    <mergeCell ref="J156:K156"/>
    <mergeCell ref="J155:K155"/>
    <mergeCell ref="J154:K154"/>
    <mergeCell ref="F152:G152"/>
    <mergeCell ref="F153:G153"/>
    <mergeCell ref="F161:G161"/>
    <mergeCell ref="F163:G163"/>
    <mergeCell ref="H152:I152"/>
    <mergeCell ref="H153:I153"/>
    <mergeCell ref="H161:I161"/>
    <mergeCell ref="H163:I163"/>
    <mergeCell ref="F162:G162"/>
    <mergeCell ref="F160:G160"/>
    <mergeCell ref="D153:E153"/>
    <mergeCell ref="D161:E161"/>
    <mergeCell ref="D163:E163"/>
    <mergeCell ref="B158:C158"/>
    <mergeCell ref="B159:C159"/>
    <mergeCell ref="B160:C160"/>
    <mergeCell ref="B162:C162"/>
    <mergeCell ref="D154:E154"/>
    <mergeCell ref="D155:E155"/>
    <mergeCell ref="D156:E156"/>
    <mergeCell ref="J114:K114"/>
    <mergeCell ref="J113:K113"/>
    <mergeCell ref="J138:K138"/>
    <mergeCell ref="J139:K139"/>
    <mergeCell ref="J140:K140"/>
    <mergeCell ref="J141:K141"/>
    <mergeCell ref="J121:K121"/>
    <mergeCell ref="J119:K119"/>
    <mergeCell ref="J118:K118"/>
    <mergeCell ref="J117:K117"/>
    <mergeCell ref="D121:E121"/>
    <mergeCell ref="G113:H113"/>
    <mergeCell ref="G114:H114"/>
    <mergeCell ref="G115:H115"/>
    <mergeCell ref="G116:H116"/>
    <mergeCell ref="G117:H117"/>
    <mergeCell ref="G118:H118"/>
    <mergeCell ref="G119:H119"/>
    <mergeCell ref="D115:E115"/>
    <mergeCell ref="D116:E116"/>
    <mergeCell ref="D117:E117"/>
    <mergeCell ref="D118:E118"/>
    <mergeCell ref="J116:K116"/>
    <mergeCell ref="J115:K115"/>
    <mergeCell ref="I209:K209"/>
    <mergeCell ref="F105:G105"/>
    <mergeCell ref="F106:G106"/>
    <mergeCell ref="F107:G107"/>
    <mergeCell ref="A204:K204"/>
    <mergeCell ref="I181:K181"/>
    <mergeCell ref="B106:C106"/>
    <mergeCell ref="B107:C107"/>
    <mergeCell ref="D106:E106"/>
    <mergeCell ref="D107:E107"/>
    <mergeCell ref="F182:H182"/>
    <mergeCell ref="G121:H121"/>
    <mergeCell ref="A138:H138"/>
    <mergeCell ref="A143:H143"/>
    <mergeCell ref="A139:H139"/>
    <mergeCell ref="F181:H181"/>
    <mergeCell ref="A238:K238"/>
    <mergeCell ref="A239:K239"/>
    <mergeCell ref="F207:H207"/>
    <mergeCell ref="I207:K207"/>
    <mergeCell ref="F208:H208"/>
    <mergeCell ref="I208:K208"/>
    <mergeCell ref="F209:H209"/>
    <mergeCell ref="A232:K232"/>
    <mergeCell ref="B212:C212"/>
    <mergeCell ref="B213:C213"/>
    <mergeCell ref="I182:K182"/>
    <mergeCell ref="F183:H183"/>
    <mergeCell ref="B152:C152"/>
    <mergeCell ref="B153:C153"/>
    <mergeCell ref="B89:E89"/>
    <mergeCell ref="B90:E90"/>
    <mergeCell ref="F90:H90"/>
    <mergeCell ref="F89:H89"/>
    <mergeCell ref="D181:E181"/>
    <mergeCell ref="B182:C182"/>
    <mergeCell ref="F88:H88"/>
    <mergeCell ref="A203:K203"/>
    <mergeCell ref="D119:E119"/>
    <mergeCell ref="B118:C118"/>
    <mergeCell ref="B119:C119"/>
    <mergeCell ref="B121:C121"/>
    <mergeCell ref="B168:F168"/>
    <mergeCell ref="G168:K168"/>
    <mergeCell ref="A181:A183"/>
    <mergeCell ref="B181:C181"/>
    <mergeCell ref="A70:K70"/>
    <mergeCell ref="A71:K71"/>
    <mergeCell ref="A72:K72"/>
    <mergeCell ref="A73:K73"/>
    <mergeCell ref="A41:J41"/>
    <mergeCell ref="A42:A44"/>
    <mergeCell ref="B44:F44"/>
    <mergeCell ref="G44:K44"/>
    <mergeCell ref="B56:J56"/>
    <mergeCell ref="E46:F46"/>
    <mergeCell ref="A233:K233"/>
    <mergeCell ref="A234:K234"/>
    <mergeCell ref="A235:K235"/>
    <mergeCell ref="A236:K236"/>
    <mergeCell ref="A237:K237"/>
    <mergeCell ref="A220:A221"/>
    <mergeCell ref="B220:F220"/>
    <mergeCell ref="G220:K220"/>
    <mergeCell ref="B221:F221"/>
    <mergeCell ref="G221:K221"/>
    <mergeCell ref="M184:N190"/>
    <mergeCell ref="A207:A209"/>
    <mergeCell ref="B207:C207"/>
    <mergeCell ref="D207:E207"/>
    <mergeCell ref="B208:C208"/>
    <mergeCell ref="D208:E208"/>
    <mergeCell ref="B209:C209"/>
    <mergeCell ref="D209:E209"/>
    <mergeCell ref="B188:C188"/>
    <mergeCell ref="B189:C189"/>
    <mergeCell ref="D182:E182"/>
    <mergeCell ref="B183:C183"/>
    <mergeCell ref="D183:E183"/>
    <mergeCell ref="I183:K183"/>
    <mergeCell ref="D151:E151"/>
    <mergeCell ref="F151:G151"/>
    <mergeCell ref="H151:I151"/>
    <mergeCell ref="J151:K151"/>
    <mergeCell ref="A165:K165"/>
    <mergeCell ref="A166:A168"/>
    <mergeCell ref="B166:F166"/>
    <mergeCell ref="G166:K166"/>
    <mergeCell ref="B167:F167"/>
    <mergeCell ref="G167:K167"/>
    <mergeCell ref="D147:G147"/>
    <mergeCell ref="H147:I147"/>
    <mergeCell ref="J147:K147"/>
    <mergeCell ref="B161:C161"/>
    <mergeCell ref="B163:C163"/>
    <mergeCell ref="D152:E152"/>
    <mergeCell ref="A149:A151"/>
    <mergeCell ref="B149:C150"/>
    <mergeCell ref="D149:E150"/>
    <mergeCell ref="F149:G150"/>
    <mergeCell ref="H149:I150"/>
    <mergeCell ref="J149:K150"/>
    <mergeCell ref="B151:C151"/>
    <mergeCell ref="A142:H142"/>
    <mergeCell ref="A145:C146"/>
    <mergeCell ref="D145:G145"/>
    <mergeCell ref="H145:I145"/>
    <mergeCell ref="J145:K145"/>
    <mergeCell ref="D146:G146"/>
    <mergeCell ref="H146:I146"/>
    <mergeCell ref="J146:K146"/>
    <mergeCell ref="J142:K142"/>
    <mergeCell ref="J143:K143"/>
    <mergeCell ref="A141:H141"/>
    <mergeCell ref="B112:C112"/>
    <mergeCell ref="D112:E112"/>
    <mergeCell ref="F112:H112"/>
    <mergeCell ref="I112:K112"/>
    <mergeCell ref="A129:K129"/>
    <mergeCell ref="A130:K130"/>
    <mergeCell ref="A136:H137"/>
    <mergeCell ref="I136:K137"/>
    <mergeCell ref="A140:H140"/>
    <mergeCell ref="A132:K132"/>
    <mergeCell ref="M113:N119"/>
    <mergeCell ref="A110:A112"/>
    <mergeCell ref="B110:C110"/>
    <mergeCell ref="D110:E110"/>
    <mergeCell ref="B111:C111"/>
    <mergeCell ref="D111:E111"/>
    <mergeCell ref="B113:C113"/>
    <mergeCell ref="B114:C114"/>
    <mergeCell ref="B115:C115"/>
    <mergeCell ref="H104:I104"/>
    <mergeCell ref="F111:H111"/>
    <mergeCell ref="I111:K111"/>
    <mergeCell ref="A131:K131"/>
    <mergeCell ref="H106:I106"/>
    <mergeCell ref="H107:I107"/>
    <mergeCell ref="B116:C116"/>
    <mergeCell ref="B117:C117"/>
    <mergeCell ref="D113:E113"/>
    <mergeCell ref="D114:E114"/>
    <mergeCell ref="A109:J109"/>
    <mergeCell ref="B99:D99"/>
    <mergeCell ref="E99:G99"/>
    <mergeCell ref="H99:I99"/>
    <mergeCell ref="J99:K99"/>
    <mergeCell ref="B100:D100"/>
    <mergeCell ref="E100:G100"/>
    <mergeCell ref="A103:A104"/>
    <mergeCell ref="B103:C103"/>
    <mergeCell ref="D103:E103"/>
    <mergeCell ref="H101:I101"/>
    <mergeCell ref="J101:K101"/>
    <mergeCell ref="B105:C105"/>
    <mergeCell ref="D105:E105"/>
    <mergeCell ref="H105:I105"/>
    <mergeCell ref="F103:G103"/>
    <mergeCell ref="H103:I103"/>
    <mergeCell ref="B104:C104"/>
    <mergeCell ref="D104:E104"/>
    <mergeCell ref="F104:G104"/>
    <mergeCell ref="H98:I98"/>
    <mergeCell ref="J98:K98"/>
    <mergeCell ref="B102:D102"/>
    <mergeCell ref="E102:G102"/>
    <mergeCell ref="H102:I102"/>
    <mergeCell ref="J102:K102"/>
    <mergeCell ref="H100:I100"/>
    <mergeCell ref="J100:K100"/>
    <mergeCell ref="B101:D101"/>
    <mergeCell ref="E101:G101"/>
    <mergeCell ref="G81:H81"/>
    <mergeCell ref="B97:D97"/>
    <mergeCell ref="E97:G97"/>
    <mergeCell ref="H97:I97"/>
    <mergeCell ref="J97:K97"/>
    <mergeCell ref="B96:D96"/>
    <mergeCell ref="E96:G96"/>
    <mergeCell ref="H96:I96"/>
    <mergeCell ref="J96:K96"/>
    <mergeCell ref="B88:E88"/>
    <mergeCell ref="M76:N76"/>
    <mergeCell ref="B77:C77"/>
    <mergeCell ref="D77:E77"/>
    <mergeCell ref="B78:C78"/>
    <mergeCell ref="D78:E78"/>
    <mergeCell ref="A100:A101"/>
    <mergeCell ref="M79:N85"/>
    <mergeCell ref="A87:J87"/>
    <mergeCell ref="A88:A90"/>
    <mergeCell ref="I88:K88"/>
    <mergeCell ref="A133:K133"/>
    <mergeCell ref="A200:K200"/>
    <mergeCell ref="A201:K201"/>
    <mergeCell ref="I89:K89"/>
    <mergeCell ref="F110:H110"/>
    <mergeCell ref="I110:K110"/>
    <mergeCell ref="I90:K90"/>
    <mergeCell ref="A96:A97"/>
    <mergeCell ref="B98:D98"/>
    <mergeCell ref="E98:G98"/>
    <mergeCell ref="B13:F13"/>
    <mergeCell ref="G13:K13"/>
    <mergeCell ref="A76:A78"/>
    <mergeCell ref="B76:C76"/>
    <mergeCell ref="D76:E76"/>
    <mergeCell ref="I76:K76"/>
    <mergeCell ref="I77:K77"/>
    <mergeCell ref="I78:K78"/>
    <mergeCell ref="F78:H78"/>
    <mergeCell ref="A69:K69"/>
    <mergeCell ref="E29:F29"/>
    <mergeCell ref="J16:K16"/>
    <mergeCell ref="J17:K17"/>
    <mergeCell ref="A5:K5"/>
    <mergeCell ref="A6:K6"/>
    <mergeCell ref="A7:K7"/>
    <mergeCell ref="A8:K8"/>
    <mergeCell ref="A9:K9"/>
    <mergeCell ref="A12:K12"/>
    <mergeCell ref="A13:A15"/>
    <mergeCell ref="B14:F14"/>
    <mergeCell ref="G14:K14"/>
    <mergeCell ref="B15:F15"/>
    <mergeCell ref="G15:K15"/>
    <mergeCell ref="E16:F16"/>
    <mergeCell ref="E17:F17"/>
    <mergeCell ref="E30:F30"/>
    <mergeCell ref="E31:F31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32:F32"/>
    <mergeCell ref="E33:F33"/>
    <mergeCell ref="J25:K25"/>
    <mergeCell ref="J26:K26"/>
    <mergeCell ref="J27:K27"/>
    <mergeCell ref="J28:K28"/>
    <mergeCell ref="J29:K29"/>
    <mergeCell ref="J30:K30"/>
    <mergeCell ref="J31:K31"/>
    <mergeCell ref="J32:K32"/>
    <mergeCell ref="J18:K18"/>
    <mergeCell ref="J19:K19"/>
    <mergeCell ref="J20:K20"/>
    <mergeCell ref="J21:K21"/>
    <mergeCell ref="J23:K23"/>
    <mergeCell ref="J24:K24"/>
    <mergeCell ref="J22:K22"/>
    <mergeCell ref="J33:K33"/>
    <mergeCell ref="J34:K34"/>
    <mergeCell ref="J35:K35"/>
    <mergeCell ref="J37:K37"/>
    <mergeCell ref="J39:K39"/>
    <mergeCell ref="E45:F45"/>
    <mergeCell ref="E34:F34"/>
    <mergeCell ref="B42:F42"/>
    <mergeCell ref="G42:K42"/>
    <mergeCell ref="B43:F43"/>
    <mergeCell ref="E47:F47"/>
    <mergeCell ref="E35:F35"/>
    <mergeCell ref="E37:F37"/>
    <mergeCell ref="E39:F39"/>
    <mergeCell ref="G43:K43"/>
    <mergeCell ref="J45:K45"/>
    <mergeCell ref="J46:K46"/>
    <mergeCell ref="J47:K47"/>
    <mergeCell ref="E48:F48"/>
    <mergeCell ref="E49:F49"/>
    <mergeCell ref="E50:F50"/>
    <mergeCell ref="E51:F51"/>
    <mergeCell ref="E52:F52"/>
    <mergeCell ref="E53:F53"/>
    <mergeCell ref="B83:C83"/>
    <mergeCell ref="B84:C84"/>
    <mergeCell ref="B85:C85"/>
    <mergeCell ref="D83:E83"/>
    <mergeCell ref="D84:E84"/>
    <mergeCell ref="D85:E85"/>
    <mergeCell ref="J48:K48"/>
    <mergeCell ref="J49:K49"/>
    <mergeCell ref="J50:K50"/>
    <mergeCell ref="J54:K54"/>
    <mergeCell ref="J55:K55"/>
    <mergeCell ref="J57:K57"/>
    <mergeCell ref="J51:K51"/>
    <mergeCell ref="J52:K52"/>
    <mergeCell ref="J53:K53"/>
    <mergeCell ref="J59:K59"/>
    <mergeCell ref="J61:K61"/>
    <mergeCell ref="B79:C79"/>
    <mergeCell ref="J79:K79"/>
    <mergeCell ref="J58:K58"/>
    <mergeCell ref="E54:F54"/>
    <mergeCell ref="E55:F55"/>
    <mergeCell ref="G79:H79"/>
    <mergeCell ref="F76:H76"/>
    <mergeCell ref="F77:H77"/>
    <mergeCell ref="B80:C80"/>
    <mergeCell ref="B81:C81"/>
    <mergeCell ref="B82:C82"/>
    <mergeCell ref="D79:E79"/>
    <mergeCell ref="D80:E80"/>
    <mergeCell ref="D81:E81"/>
    <mergeCell ref="D82:E82"/>
    <mergeCell ref="J80:K80"/>
    <mergeCell ref="J81:K81"/>
    <mergeCell ref="J82:K82"/>
    <mergeCell ref="J83:K83"/>
    <mergeCell ref="J84:K84"/>
    <mergeCell ref="G85:H85"/>
    <mergeCell ref="G80:H80"/>
    <mergeCell ref="G82:H82"/>
    <mergeCell ref="G83:H83"/>
    <mergeCell ref="G84:H84"/>
    <mergeCell ref="J91:K91"/>
    <mergeCell ref="J92:K92"/>
    <mergeCell ref="J93:K93"/>
    <mergeCell ref="J94:K94"/>
    <mergeCell ref="J95:K95"/>
    <mergeCell ref="J85:K85"/>
    <mergeCell ref="D91:E91"/>
    <mergeCell ref="D92:E92"/>
    <mergeCell ref="D93:E93"/>
    <mergeCell ref="D94:E94"/>
    <mergeCell ref="D95:E95"/>
    <mergeCell ref="G93:H93"/>
    <mergeCell ref="G94:H94"/>
    <mergeCell ref="G95:H95"/>
    <mergeCell ref="G91:H91"/>
    <mergeCell ref="G92:H92"/>
    <mergeCell ref="B270:F270"/>
    <mergeCell ref="G269:K269"/>
    <mergeCell ref="G270:K270"/>
    <mergeCell ref="G271:K271"/>
    <mergeCell ref="B271:F271"/>
    <mergeCell ref="G191:H191"/>
    <mergeCell ref="J191:K191"/>
    <mergeCell ref="A241:K241"/>
    <mergeCell ref="B269:F269"/>
    <mergeCell ref="A202:K202"/>
  </mergeCells>
  <printOptions horizontalCentered="1" verticalCentered="1"/>
  <pageMargins left="0.5118110236220472" right="0.5118110236220472" top="0" bottom="0" header="0" footer="0"/>
  <pageSetup fitToHeight="0" fitToWidth="1" horizontalDpi="600" verticalDpi="600" orientation="landscape" paperSize="9" scale="53" r:id="rId2"/>
  <rowBreaks count="2" manualBreakCount="2">
    <brk id="64" max="10" man="1"/>
    <brk id="124" max="10" man="1"/>
  </rowBreaks>
  <ignoredErrors>
    <ignoredError sqref="J16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Yago Barros Barbosa</cp:lastModifiedBy>
  <cp:lastPrinted>2021-07-16T21:08:37Z</cp:lastPrinted>
  <dcterms:created xsi:type="dcterms:W3CDTF">2004-08-09T19:29:24Z</dcterms:created>
  <dcterms:modified xsi:type="dcterms:W3CDTF">2021-07-27T23:47:31Z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0x010100546B60B162FBE646A6D2F86599B998A0</vt:lpwstr>
  </property>
</Properties>
</file>