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6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Estados-Novo'!$A$1:$K$272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<sst xmlns="http://schemas.openxmlformats.org/spreadsheetml/2006/main" count="500" uniqueCount="360">
  <si>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</si>
  <si>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</si>
  <si>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</si>
  <si>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</si>
  <si>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</si>
  <si>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</si>
  <si>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</si>
  <si>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</si>
  <si>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</si>
  <si>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</si>
  <si>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</si>
  <si>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</si>
  <si>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</si>
  <si>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</si>
  <si>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</si>
  <si>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</si>
  <si>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</si>
  <si>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</si>
  <si>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</si>
  <si>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</si>
  <si>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</si>
  <si>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</si>
  <si>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</si>
  <si>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</si>
  <si>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</si>
  <si>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</si>
  <si>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</si>
  <si>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</si>
  <si>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</si>
  <si>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</si>
  <si>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</si>
  <si>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</si>
  <si>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</si>
  <si>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</si>
  <si>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</si>
  <si>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</si>
  <si>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</si>
  <si>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</si>
  <si>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</si>
  <si>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</si>
  <si>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</si>
  <si>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</si>
  <si>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</si>
  <si>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</si>
  <si>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</si>
  <si>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</si>
  <si>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</si>
  <si>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</si>
  <si>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</si>
  <si>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</si>
  <si>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</si>
  <si>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</si>
  <si>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</si>
  <si>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</si>
  <si>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</si>
  <si>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</si>
  <si>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</si>
  <si>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</si>
  <si>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</si>
  <si>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</si>
  <si>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</si>
  <si>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</si>
  <si>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</si>
  <si>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</si>
  <si>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</si>
  <si>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</si>
  <si>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</si>
  <si>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</si>
  <si>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</si>
  <si>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</si>
  <si>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</si>
  <si>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</si>
  <si>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</si>
  <si>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</si>
  <si>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</si>
  <si>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</si>
  <si>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</si>
  <si>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</si>
  <si>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</si>
  <si>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</si>
  <si>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</si>
  <si>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</si>
  <si>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</si>
  <si>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</si>
  <si>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</si>
  <si>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</si>
  <si>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</si>
  <si>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</si>
  <si>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</si>
  <si>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</si>
  <si>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</si>
  <si>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</si>
  <si>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</si>
  <si>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</si>
  <si>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</si>
  <si>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</si>
  <si>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</si>
  <si>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</si>
  <si>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</si>
  <si>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</si>
  <si>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</si>
  <si>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</si>
  <si>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</si>
  <si>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</si>
  <si>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</si>
  <si>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</si>
  <si>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</si>
  <si>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</si>
  <si>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</si>
  <si>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</si>
  <si>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</si>
  <si>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</si>
  <si>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</si>
  <si>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</si>
  <si>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</si>
  <si>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</si>
  <si>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</si>
  <si>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</si>
  <si>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</si>
  <si>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</si>
  <si>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</si>
  <si>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</si>
  <si>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</si>
  <si>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</si>
  <si>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</si>
  <si>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</si>
  <si>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</si>
  <si>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</si>
  <si>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</si>
  <si>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</si>
  <si>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</si>
  <si>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</si>
  <si>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</si>
  <si>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</si>
  <si>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</si>
  <si>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</si>
  <si>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</si>
  <si>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</si>
  <si>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</si>
  <si>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</si>
  <si>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</si>
  <si>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</si>
  <si>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</si>
  <si>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</si>
  <si>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</si>
  <si>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</si>
  <si>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</si>
  <si>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</si>
  <si>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</si>
  <si>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</si>
  <si>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</si>
  <si>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</si>
  <si>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</si>
  <si>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</si>
  <si>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</si>
  <si>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</si>
  <si>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</si>
  <si>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</si>
  <si>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</si>
  <si>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</si>
  <si>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</si>
  <si>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</si>
  <si>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</si>
  <si>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</si>
  <si>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</si>
  <si>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</si>
  <si>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</si>
  <si>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</si>
  <si>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</si>
  <si>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</si>
  <si>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</si>
  <si>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</si>
  <si>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</si>
  <si>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</si>
  <si>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</si>
  <si>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</si>
  <si>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</si>
  <si>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</si>
  <si>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</si>
  <si>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</si>
  <si>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</si>
  <si>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</si>
  <si>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</si>
  <si>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</si>
  <si>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</si>
  <si>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</si>
  <si>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</si>
  <si>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</si>
  <si>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</si>
  <si>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</si>
  <si>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</si>
  <si>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</si>
  <si>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</si>
  <si>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</si>
  <si>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</si>
  <si>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</si>
  <si>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</si>
  <si>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</si>
  <si>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</si>
  <si>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</si>
  <si>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</si>
  <si>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</si>
  <si>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</si>
  <si>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</si>
  <si>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</si>
  <si>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</si>
  <si>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</si>
  <si>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</si>
  <si>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</si>
  <si>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</si>
  <si>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</si>
  <si>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</si>
  <si>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</si>
  <si>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</si>
  <si>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</si>
  <si>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</si>
  <si>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</si>
  <si>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</si>
  <si>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</si>
  <si>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</si>
  <si>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</si>
  <si>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</si>
  <si>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</si>
  <si>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</si>
  <si>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</si>
  <si>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</si>
  <si>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</si>
  <si>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</si>
  <si>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</si>
  <si>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</si>
  <si>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</si>
  <si>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</si>
  <si>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</si>
  <si>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</si>
  <si>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</si>
  <si>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</si>
  <si>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</si>
  <si>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</si>
  <si>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</si>
  <si>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</si>
  <si>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</si>
  <si>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</si>
  <si>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</si>
  <si>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</si>
  <si>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</si>
  <si>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</si>
  <si>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</si>
  <si>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</si>
  <si>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</si>
  <si>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</si>
  <si>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</si>
  <si>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</si>
  <si>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</si>
  <si>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</si>
  <si>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</si>
  <si>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</si>
  <si>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</si>
  <si>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</si>
  <si>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</si>
  <si>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</si>
  <si>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</si>
  <si>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</si>
  <si>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</si>
  <si>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</si>
  <si>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</si>
  <si>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</si>
  <si>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</si>
  <si>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</si>
  <si>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</si>
  <si>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</si>
  <si>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</si>
  <si>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</si>
  <si>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</si>
  <si>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</si>
  <si>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</si>
  <si>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</si>
  <si>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</si>
  <si>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</si>
  <si>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</si>
  <si>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</si>
  <si>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</si>
  <si>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</si>
  <si>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</si>
  <si>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</si>
  <si>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</si>
  <si>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</si>
  <si>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</si>
  <si>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</si>
  <si>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</si>
  <si>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</si>
  <si>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</si>
  <si>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</si>
  <si>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</si>
  <si>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</si>
  <si>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</si>
  <si>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</si>
  <si>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</si>
  <si>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</si>
  <si>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</si>
  <si>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</si>
  <si>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</si>
  <si>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</si>
  <si>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</si>
  <si>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</si>
  <si>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</si>
  <si>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</si>
  <si>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</si>
  <si>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</si>
  <si>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</si>
  <si>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</si>
  <si>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</si>
  <si>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</si>
  <si>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</si>
  <si>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</si>
  <si>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</si>
  <si>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</si>
  <si>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</si>
  <si>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</si>
  <si>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</si>
  <si>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</si>
  <si>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</si>
  <si>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</si>
  <si>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</si>
  <si>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</si>
  <si>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</si>
  <si>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</si>
  <si>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</si>
  <si>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</si>
  <si>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</si>
  <si>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</si>
  <si>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</si>
  <si>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</si>
  <si>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</si>
  <si>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</si>
  <si>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</si>
  <si>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</si>
  <si>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</si>
  <si>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</si>
  <si>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</si>
  <si>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</si>
  <si>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</si>
  <si>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</si>
  <si>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</si>
  <si>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</si>
  <si>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</si>
  <si>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</si>
  <si>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</si>
  <si>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</si>
  <si>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</si>
  <si>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</si>
  <si>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</si>
  <si>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</si>
  <si>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>JANEIRO A FEVEREIRO 2022/BIMESTRE JANEIRO - FEVEREIRO</t>
  </si>
  <si>
    <t xml:space="preserve">           Inscritos em 2021</t>
  </si>
  <si>
    <t>Emissão: 25/03/2022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</si>
  <si>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2º Bimestre/2022, o Estado do Rio de Janeiro cancelou R$ 27.941,16 dos Restos a Pagar inscritos em 2016, 2017, 2018, 2020 e 2021. Como o Estado não aplicou o mínimo constitucional nos exercícios de 2017, 2018, 2020 e 2021, e os cancelamentos dos Restos a Pagar que foram inscritos no exercício de 2016 ultrapassaram o Excesso de Aplicação em MDE apurado naquele exercício, faz-se necessário, no exercício de 2022, deduzir os Restos a Pagar Cancelados que foram inscritos nesses exercícios, de forma a compensar o descumprimento do limite de aplicação mínima em MDE dos anos anteriores.</t>
  </si>
  <si>
    <t>Yasmim da Costa Monteiro</t>
  </si>
  <si>
    <t>Subsecretária de Contabilidade Geral - ID: 4.461.243-5</t>
  </si>
  <si>
    <t>Contadora - CRC-RJ-114428/O-0</t>
  </si>
  <si>
    <t>52- DISPONIBILIDADE FINANCEIRA EM 31 DE DEZEMBRO DE 2021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</si>
</sst>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03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7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22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0" xfId="49" applyFont="1" applyAlignment="1">
      <alignment horizontal="justify" vertical="top"/>
      <protection/>
    </xf>
    <xf numFmtId="0" fontId="8" fillId="0" borderId="14" xfId="49" applyFont="1" applyBorder="1" applyAlignment="1">
      <alignment horizontal="center"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22" xfId="49" applyFont="1" applyBorder="1" applyAlignment="1">
      <alignment horizontal="left" vertical="top" wrapText="1"/>
      <protection/>
    </xf>
    <xf numFmtId="0" fontId="6" fillId="0" borderId="14" xfId="49" applyFont="1" applyBorder="1" applyAlignment="1">
      <alignment horizontal="left" vertical="top" wrapText="1"/>
      <protection/>
    </xf>
    <xf numFmtId="0" fontId="8" fillId="0" borderId="20" xfId="49" applyFont="1" applyBorder="1" applyAlignment="1">
      <alignment horizontal="left" vertical="top" wrapText="1"/>
      <protection/>
    </xf>
    <xf numFmtId="0" fontId="8" fillId="0" borderId="0" xfId="49" applyFont="1" applyBorder="1" applyAlignment="1">
      <alignment vertical="top" wrapText="1"/>
      <protection/>
    </xf>
    <xf numFmtId="0" fontId="6" fillId="0" borderId="0" xfId="49" applyFont="1" applyBorder="1" applyAlignment="1">
      <alignment vertical="top" wrapText="1"/>
      <protection/>
    </xf>
    <xf numFmtId="0" fontId="6" fillId="0" borderId="0" xfId="49" applyFont="1" applyBorder="1">
      <alignment/>
      <protection/>
    </xf>
    <xf numFmtId="0" fontId="8" fillId="0" borderId="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0" applyFont="1" applyFill="1" applyAlignment="1">
      <alignment horizontal="right"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43" fontId="8" fillId="0" borderId="0" xfId="74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0" fillId="33" borderId="0" xfId="0" applyFont="1" applyFill="1" applyAlignment="1">
      <alignment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43" fontId="8" fillId="0" borderId="22" xfId="74" applyFont="1" applyBorder="1" applyAlignment="1">
      <alignment horizontal="left" vertical="top" wrapText="1"/>
    </xf>
    <xf numFmtId="43" fontId="8" fillId="0" borderId="0" xfId="74" applyFont="1" applyBorder="1" applyAlignment="1">
      <alignment vertical="top" wrapText="1"/>
    </xf>
    <xf numFmtId="43" fontId="8" fillId="0" borderId="14" xfId="74" applyFont="1" applyBorder="1" applyAlignment="1">
      <alignment horizontal="left" vertical="top" wrapText="1"/>
    </xf>
    <xf numFmtId="43" fontId="6" fillId="0" borderId="18" xfId="74" applyFont="1" applyBorder="1" applyAlignment="1">
      <alignment horizontal="left" vertical="top" wrapText="1"/>
    </xf>
    <xf numFmtId="43" fontId="8" fillId="0" borderId="14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0" xfId="74" applyFont="1" applyBorder="1" applyAlignment="1">
      <alignment/>
    </xf>
    <xf numFmtId="43" fontId="8" fillId="0" borderId="0" xfId="74" applyFont="1" applyBorder="1" applyAlignment="1">
      <alignment/>
    </xf>
    <xf numFmtId="43" fontId="6" fillId="0" borderId="18" xfId="74" applyFont="1" applyBorder="1" applyAlignment="1">
      <alignment/>
    </xf>
    <xf numFmtId="43" fontId="6" fillId="0" borderId="22" xfId="74" applyFont="1" applyBorder="1" applyAlignment="1">
      <alignment/>
    </xf>
    <xf numFmtId="43" fontId="6" fillId="0" borderId="0" xfId="74" applyFont="1" applyBorder="1" applyAlignment="1">
      <alignment/>
    </xf>
    <xf numFmtId="43" fontId="6" fillId="0" borderId="14" xfId="74" applyFont="1" applyBorder="1" applyAlignment="1">
      <alignment/>
    </xf>
    <xf numFmtId="43" fontId="8" fillId="0" borderId="14" xfId="74" applyFont="1" applyBorder="1" applyAlignment="1">
      <alignment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49" applyFont="1" applyBorder="1">
      <alignment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18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3" fontId="2" fillId="0" borderId="0" xfId="49" applyNumberFormat="1" applyFont="1">
      <alignment/>
      <protection/>
    </xf>
    <xf numFmtId="43" fontId="8" fillId="33" borderId="0" xfId="74" applyFont="1" applyFill="1" applyAlignment="1">
      <alignment/>
    </xf>
    <xf numFmtId="43" fontId="8" fillId="0" borderId="10" xfId="49" applyNumberFormat="1" applyFont="1" applyBorder="1">
      <alignment/>
      <protection/>
    </xf>
    <xf numFmtId="43" fontId="3" fillId="0" borderId="0" xfId="49" applyNumberFormat="1" applyFont="1">
      <alignment/>
      <protection/>
    </xf>
    <xf numFmtId="0" fontId="8" fillId="0" borderId="0" xfId="49" applyFont="1" applyBorder="1">
      <alignment/>
      <protection/>
    </xf>
    <xf numFmtId="43" fontId="2" fillId="0" borderId="10" xfId="49" applyNumberFormat="1" applyFont="1" applyBorder="1">
      <alignment/>
      <protection/>
    </xf>
    <xf numFmtId="0" fontId="8" fillId="33" borderId="0" xfId="49" applyFont="1" applyFill="1" applyAlignment="1">
      <alignment horizontal="right"/>
      <protection/>
    </xf>
    <xf numFmtId="43" fontId="3" fillId="33" borderId="0" xfId="51" applyNumberFormat="1" applyFont="1" applyFill="1" applyAlignment="1">
      <alignment horizontal="center"/>
      <protection/>
    </xf>
    <xf numFmtId="43" fontId="8" fillId="33" borderId="14" xfId="74" applyFont="1" applyFill="1" applyBorder="1" applyAlignment="1">
      <alignment vertical="top" wrapText="1"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21" xfId="49" applyFont="1" applyBorder="1" applyAlignment="1">
      <alignment horizontal="left" vertical="center" wrapText="1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3" fontId="8" fillId="0" borderId="14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43" fontId="8" fillId="0" borderId="0" xfId="74" applyFont="1" applyBorder="1" applyAlignment="1">
      <alignment horizontal="center"/>
    </xf>
    <xf numFmtId="0" fontId="8" fillId="0" borderId="0" xfId="49" applyFont="1" applyAlignment="1">
      <alignment horizontal="center"/>
      <protection/>
    </xf>
    <xf numFmtId="43" fontId="8" fillId="33" borderId="10" xfId="74" applyFont="1" applyFill="1" applyBorder="1" applyAlignment="1">
      <alignment horizontal="center"/>
    </xf>
    <xf numFmtId="43" fontId="8" fillId="33" borderId="15" xfId="74" applyFont="1" applyFill="1" applyBorder="1" applyAlignment="1">
      <alignment horizontal="center"/>
    </xf>
    <xf numFmtId="0" fontId="3" fillId="33" borderId="0" xfId="49" applyFont="1" applyFill="1" applyAlignment="1">
      <alignment horizontal="left" wrapText="1"/>
      <protection/>
    </xf>
    <xf numFmtId="0" fontId="6" fillId="0" borderId="0" xfId="0" applyFont="1" applyAlignment="1">
      <alignment horizontal="center"/>
    </xf>
    <xf numFmtId="43" fontId="8" fillId="0" borderId="21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8" fillId="0" borderId="0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1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43" fontId="8" fillId="0" borderId="21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 wrapText="1"/>
    </xf>
    <xf numFmtId="43" fontId="8" fillId="0" borderId="10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8" fillId="0" borderId="10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6" fillId="0" borderId="0" xfId="74" applyFont="1" applyBorder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6" fillId="0" borderId="14" xfId="74" applyFont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top" wrapText="1"/>
    </xf>
    <xf numFmtId="43" fontId="6" fillId="0" borderId="21" xfId="74" applyFont="1" applyBorder="1" applyAlignment="1">
      <alignment horizontal="center"/>
    </xf>
    <xf numFmtId="43" fontId="8" fillId="33" borderId="0" xfId="74" applyFont="1" applyFill="1" applyAlignment="1">
      <alignment horizontal="center"/>
    </xf>
    <xf numFmtId="43" fontId="8" fillId="0" borderId="0" xfId="74" applyFont="1" applyAlignment="1">
      <alignment horizontal="center" vertical="top" wrapText="1"/>
    </xf>
    <xf numFmtId="165" fontId="6" fillId="0" borderId="10" xfId="65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43" fontId="6" fillId="0" borderId="0" xfId="74" applyFont="1" applyAlignment="1">
      <alignment horizontal="center"/>
    </xf>
    <xf numFmtId="43" fontId="8" fillId="0" borderId="0" xfId="74" applyFont="1" applyAlignment="1">
      <alignment horizontal="center"/>
    </xf>
    <xf numFmtId="43" fontId="6" fillId="33" borderId="21" xfId="74" applyFont="1" applyFill="1" applyBorder="1" applyAlignment="1">
      <alignment horizontal="center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8" fillId="0" borderId="20" xfId="74" applyFont="1" applyBorder="1" applyAlignment="1">
      <alignment horizontal="center" vertical="top" wrapText="1"/>
    </xf>
    <xf numFmtId="43" fontId="6" fillId="0" borderId="0" xfId="74" applyFont="1" applyAlignment="1">
      <alignment horizontal="center" vertical="top" wrapText="1"/>
    </xf>
    <xf numFmtId="43" fontId="6" fillId="0" borderId="24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0" fontId="6" fillId="34" borderId="0" xfId="49" applyFont="1" applyFill="1" applyAlignment="1">
      <alignment horizontal="center"/>
      <protection/>
    </xf>
    <xf numFmtId="43" fontId="8" fillId="0" borderId="15" xfId="74" applyFont="1" applyBorder="1" applyAlignment="1">
      <alignment horizontal="center" vertical="center" wrapText="1"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43" fontId="6" fillId="33" borderId="0" xfId="74" applyFont="1" applyFill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0" xfId="74" applyFont="1" applyAlignment="1">
      <alignment horizontal="center" vertical="center" wrapText="1"/>
    </xf>
    <xf numFmtId="43" fontId="8" fillId="0" borderId="11" xfId="74" applyFont="1" applyBorder="1" applyAlignment="1">
      <alignment horizontal="center" vertical="center" wrapText="1"/>
    </xf>
    <xf numFmtId="43" fontId="6" fillId="33" borderId="11" xfId="74" applyFont="1" applyFill="1" applyBorder="1" applyAlignment="1">
      <alignment horizontal="center"/>
    </xf>
    <xf numFmtId="0" fontId="6" fillId="34" borderId="20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43" fontId="6" fillId="0" borderId="23" xfId="74" applyFont="1" applyBorder="1" applyAlignment="1">
      <alignment horizontal="center"/>
    </xf>
    <xf numFmtId="165" fontId="8" fillId="0" borderId="0" xfId="65" applyFont="1" applyFill="1" applyBorder="1" applyAlignment="1">
      <alignment horizontal="center"/>
    </xf>
    <xf numFmtId="165" fontId="8" fillId="0" borderId="11" xfId="65" applyFont="1" applyFill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"/>
      <protection/>
    </xf>
    <xf numFmtId="0" fontId="11" fillId="34" borderId="21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0" xfId="51" applyFont="1" applyFill="1" applyBorder="1" applyAlignment="1">
      <alignment horizontal="center" wrapText="1"/>
      <protection/>
    </xf>
    <xf numFmtId="0" fontId="6" fillId="34" borderId="20" xfId="51" applyFont="1" applyFill="1" applyBorder="1" applyAlignment="1">
      <alignment horizontal="center"/>
      <protection/>
    </xf>
    <xf numFmtId="0" fontId="6" fillId="34" borderId="10" xfId="5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43" fontId="8" fillId="0" borderId="22" xfId="74" applyFont="1" applyBorder="1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0" xfId="49" applyFont="1" applyFill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43" fontId="8" fillId="0" borderId="22" xfId="74" applyFont="1" applyBorder="1" applyAlignment="1">
      <alignment horizontal="center" vertical="center" wrapText="1"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43" fontId="8" fillId="0" borderId="14" xfId="74" applyFont="1" applyBorder="1" applyAlignment="1">
      <alignment horizontal="center" vertical="center" wrapText="1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0" fontId="11" fillId="34" borderId="24" xfId="49" applyFont="1" applyFill="1" applyBorder="1" applyAlignment="1">
      <alignment horizontal="center" vertical="center"/>
      <protection/>
    </xf>
    <xf numFmtId="43" fontId="8" fillId="0" borderId="20" xfId="74" applyFont="1" applyBorder="1" applyAlignment="1">
      <alignment horizontal="center" vertical="center"/>
    </xf>
    <xf numFmtId="43" fontId="8" fillId="0" borderId="0" xfId="74" applyFont="1" applyAlignment="1">
      <alignment horizontal="center" vertical="center"/>
    </xf>
    <xf numFmtId="0" fontId="6" fillId="34" borderId="21" xfId="49" applyFont="1" applyFill="1" applyBorder="1" applyAlignment="1">
      <alignment horizontal="center" vertical="center"/>
      <protection/>
    </xf>
    <xf numFmtId="43" fontId="8" fillId="33" borderId="14" xfId="74" applyFont="1" applyFill="1" applyBorder="1" applyAlignment="1">
      <alignment horizontal="center" vertical="center"/>
    </xf>
    <xf numFmtId="43" fontId="8" fillId="33" borderId="11" xfId="74" applyFont="1" applyFill="1" applyBorder="1" applyAlignment="1">
      <alignment horizontal="center" vertical="center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6" fillId="34" borderId="22" xfId="49" applyFont="1" applyFill="1" applyBorder="1" applyAlignment="1">
      <alignment horizontal="center" vertical="center"/>
      <protection/>
    </xf>
    <xf numFmtId="43" fontId="6" fillId="0" borderId="24" xfId="74" applyFont="1" applyBorder="1" applyAlignment="1">
      <alignment horizontal="center" vertical="top" wrapText="1"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0" xfId="49" applyFont="1" applyFill="1" applyAlignment="1">
      <alignment horizontal="center" vertical="center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18" xfId="74" applyFont="1" applyBorder="1" applyAlignment="1">
      <alignment horizontal="center" vertical="top" wrapText="1"/>
    </xf>
    <xf numFmtId="43" fontId="8" fillId="0" borderId="2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6" fillId="0" borderId="22" xfId="74" applyFont="1" applyBorder="1" applyAlignment="1">
      <alignment horizontal="center"/>
    </xf>
    <xf numFmtId="0" fontId="3" fillId="0" borderId="0" xfId="49" applyFont="1" applyAlignment="1">
      <alignment horizontal="left" vertical="top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24" xfId="49" applyFont="1" applyFill="1" applyBorder="1" applyAlignment="1">
      <alignment horizontal="center" vertical="center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43" fontId="6" fillId="0" borderId="17" xfId="74" applyFont="1" applyBorder="1" applyAlignment="1">
      <alignment horizontal="center" vertical="top" wrapText="1"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43" fontId="8" fillId="0" borderId="21" xfId="74" applyFont="1" applyBorder="1" applyAlignment="1">
      <alignment horizontal="center" vertical="top" wrapText="1"/>
    </xf>
    <xf numFmtId="43" fontId="8" fillId="0" borderId="21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49" applyFont="1" applyAlignment="1">
      <alignment horizontal="left" wrapText="1"/>
      <protection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43" fontId="3" fillId="0" borderId="0" xfId="49" applyNumberFormat="1" applyFont="1" applyFill="1" applyAlignment="1">
      <alignment horizontal="center"/>
      <protection/>
    </xf>
    <xf numFmtId="0" fontId="58" fillId="0" borderId="0" xfId="0" applyFont="1" applyFill="1" applyAlignment="1">
      <alignment/>
    </xf>
    <xf numFmtId="0" fontId="59" fillId="0" borderId="0" xfId="49" applyFont="1" applyFill="1">
      <alignment/>
      <protection/>
    </xf>
    <xf numFmtId="0" fontId="3" fillId="0" borderId="0" xfId="49" applyFont="1" applyFill="1">
      <alignment/>
      <protection/>
    </xf>
    <xf numFmtId="43" fontId="3" fillId="0" borderId="0" xfId="49" applyNumberFormat="1" applyFont="1" applyFill="1">
      <alignment/>
      <protection/>
    </xf>
    <xf numFmtId="43" fontId="3" fillId="0" borderId="0" xfId="74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196</xdr:row>
      <xdr:rowOff>114300</xdr:rowOff>
    </xdr:from>
    <xdr:to>
      <xdr:col>2</xdr:col>
      <xdr:colOff>904875</xdr:colOff>
      <xdr:row>199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407003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124</xdr:row>
      <xdr:rowOff>152400</xdr:rowOff>
    </xdr:from>
    <xdr:to>
      <xdr:col>2</xdr:col>
      <xdr:colOff>895350</xdr:colOff>
      <xdr:row>127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62794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64</xdr:row>
      <xdr:rowOff>152400</xdr:rowOff>
    </xdr:from>
    <xdr:to>
      <xdr:col>2</xdr:col>
      <xdr:colOff>876300</xdr:colOff>
      <xdr:row>67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27730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104775</xdr:rowOff>
    </xdr:from>
    <xdr:to>
      <xdr:col>2</xdr:col>
      <xdr:colOff>828675</xdr:colOff>
      <xdr:row>3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0477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242</xdr:row>
      <xdr:rowOff>57150</xdr:rowOff>
    </xdr:from>
    <xdr:to>
      <xdr:col>10</xdr:col>
      <xdr:colOff>666750</xdr:colOff>
      <xdr:row>267</xdr:row>
      <xdr:rowOff>38100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49825275"/>
          <a:ext cx="16383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">
      <c r="A1" s="117" t="s">
        <v>0</v>
      </c>
    </row>
    <row r="2" ht="11.25" customHeight="1">
      <c r="A2" s="114"/>
    </row>
    <row r="3" spans="1:11" ht="11.25" customHeight="1">
      <c r="A3" s="332" t="s">
        <v>1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1" ht="11.25" customHeight="1">
      <c r="A4" s="333" t="s">
        <v>2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ht="11.25" customHeight="1">
      <c r="A5" s="334" t="s">
        <v>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</row>
    <row r="6" spans="1:11" ht="11.25" customHeight="1">
      <c r="A6" s="332" t="s">
        <v>4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1.25" customHeight="1">
      <c r="A7" s="333" t="s">
        <v>5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90" t="s">
        <v>8</v>
      </c>
      <c r="C10" s="291"/>
      <c r="D10" s="290" t="s">
        <v>9</v>
      </c>
      <c r="E10" s="291"/>
      <c r="F10" s="294" t="s">
        <v>10</v>
      </c>
      <c r="G10" s="295"/>
      <c r="H10" s="295"/>
      <c r="I10" s="295"/>
      <c r="J10" s="295"/>
      <c r="K10" s="296"/>
      <c r="L10" s="31" t="s">
        <v>11</v>
      </c>
    </row>
    <row r="11" spans="1:12" ht="12.75" customHeight="1">
      <c r="A11" s="32" t="s">
        <v>12</v>
      </c>
      <c r="B11" s="292"/>
      <c r="C11" s="293"/>
      <c r="D11" s="292"/>
      <c r="E11" s="293"/>
      <c r="F11" s="297" t="s">
        <v>13</v>
      </c>
      <c r="G11" s="298"/>
      <c r="H11" s="33" t="s">
        <v>14</v>
      </c>
      <c r="I11" s="299" t="s">
        <v>15</v>
      </c>
      <c r="J11" s="300"/>
      <c r="K11" s="118" t="s">
        <v>14</v>
      </c>
      <c r="L11" s="34"/>
    </row>
    <row r="12" spans="1:12" ht="11.25" customHeight="1">
      <c r="A12" s="35"/>
      <c r="B12" s="36"/>
      <c r="C12" s="37"/>
      <c r="D12" s="312" t="s">
        <v>16</v>
      </c>
      <c r="E12" s="313"/>
      <c r="F12" s="312" t="s">
        <v>17</v>
      </c>
      <c r="G12" s="313"/>
      <c r="H12" s="38" t="s">
        <v>18</v>
      </c>
      <c r="I12" s="312" t="s">
        <v>19</v>
      </c>
      <c r="J12" s="313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317"/>
      <c r="E14" s="318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319"/>
      <c r="C22" s="320"/>
      <c r="D22" s="329"/>
      <c r="E22" s="329"/>
      <c r="F22" s="319"/>
      <c r="G22" s="320"/>
      <c r="H22" s="103"/>
      <c r="I22" s="330" t="s">
        <v>133</v>
      </c>
      <c r="J22" s="331"/>
      <c r="K22" s="68"/>
      <c r="L22" s="68"/>
    </row>
    <row r="23" spans="1:12" ht="15" customHeight="1">
      <c r="A23" s="50" t="s">
        <v>81</v>
      </c>
      <c r="B23" s="324"/>
      <c r="C23" s="326"/>
      <c r="D23" s="324"/>
      <c r="E23" s="326"/>
      <c r="F23" s="324"/>
      <c r="G23" s="326"/>
      <c r="H23" s="69"/>
      <c r="I23" s="319" t="s">
        <v>134</v>
      </c>
      <c r="J23" s="320"/>
      <c r="K23" s="69"/>
      <c r="L23" s="69"/>
    </row>
    <row r="24" spans="1:12" ht="12.75">
      <c r="A24" s="70" t="s">
        <v>82</v>
      </c>
      <c r="B24" s="122"/>
      <c r="C24" s="71"/>
      <c r="D24" s="327"/>
      <c r="E24" s="328"/>
      <c r="F24" s="327"/>
      <c r="G24" s="328"/>
      <c r="H24" s="122"/>
      <c r="I24" s="135"/>
      <c r="J24" s="71"/>
      <c r="K24" s="122"/>
      <c r="L24" s="72"/>
    </row>
    <row r="25" spans="1:12" ht="12.75">
      <c r="A25" s="73" t="s">
        <v>83</v>
      </c>
      <c r="B25" s="319"/>
      <c r="C25" s="320"/>
      <c r="D25" s="12"/>
      <c r="E25" s="11"/>
      <c r="F25" s="314"/>
      <c r="G25" s="315"/>
      <c r="H25" s="74"/>
      <c r="I25" s="75"/>
      <c r="J25" s="128"/>
      <c r="K25" s="74"/>
      <c r="L25" s="74"/>
    </row>
    <row r="26" spans="1:12" ht="12.75">
      <c r="A26" s="76" t="s">
        <v>84</v>
      </c>
      <c r="B26" s="317"/>
      <c r="C26" s="318"/>
      <c r="D26" s="319"/>
      <c r="E26" s="320"/>
      <c r="F26" s="123"/>
      <c r="G26" s="124"/>
      <c r="H26" s="74"/>
      <c r="I26" s="314"/>
      <c r="J26" s="323"/>
      <c r="K26" s="74"/>
      <c r="L26" s="74"/>
    </row>
    <row r="27" spans="1:12" ht="12.75">
      <c r="A27" s="77" t="s">
        <v>85</v>
      </c>
      <c r="B27" s="324"/>
      <c r="C27" s="325"/>
      <c r="D27" s="317"/>
      <c r="E27" s="318"/>
      <c r="F27" s="324"/>
      <c r="G27" s="326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294" t="s">
        <v>87</v>
      </c>
      <c r="E29" s="295"/>
      <c r="F29" s="23" t="s">
        <v>11</v>
      </c>
      <c r="G29" s="294" t="s">
        <v>88</v>
      </c>
      <c r="H29" s="296"/>
      <c r="I29" s="23" t="s">
        <v>11</v>
      </c>
      <c r="J29" s="304" t="s">
        <v>89</v>
      </c>
      <c r="K29" s="306" t="s">
        <v>90</v>
      </c>
      <c r="L29" s="307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05"/>
      <c r="K30" s="308"/>
      <c r="L30" s="309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05"/>
      <c r="K31" s="308"/>
      <c r="L31" s="309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10"/>
      <c r="L32" s="311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317"/>
      <c r="L34" s="318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03"/>
      <c r="L35" s="303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321"/>
      <c r="L36" s="322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301"/>
      <c r="L37" s="301"/>
    </row>
    <row r="38" spans="1:11" ht="12.75" customHeight="1">
      <c r="A38" s="316" t="s">
        <v>117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02"/>
    </row>
    <row r="39" spans="1:11" ht="13.5" customHeight="1">
      <c r="A39" s="302" t="s">
        <v>118</v>
      </c>
      <c r="B39" s="302"/>
      <c r="C39" s="302"/>
      <c r="D39" s="302"/>
      <c r="E39" s="302"/>
      <c r="F39" s="302"/>
      <c r="G39" s="302"/>
      <c r="H39" s="302"/>
      <c r="I39" s="125"/>
      <c r="J39" s="125"/>
      <c r="K39" s="125"/>
    </row>
    <row r="40" spans="1:11" ht="12.75" customHeight="1">
      <c r="A40" s="302" t="s">
        <v>119</v>
      </c>
      <c r="B40" s="302"/>
      <c r="C40" s="302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90" t="s">
        <v>8</v>
      </c>
      <c r="C43" s="291"/>
      <c r="D43" s="290" t="s">
        <v>9</v>
      </c>
      <c r="E43" s="291"/>
      <c r="F43" s="294" t="s">
        <v>10</v>
      </c>
      <c r="G43" s="295"/>
      <c r="H43" s="295"/>
      <c r="I43" s="295"/>
      <c r="J43" s="295"/>
      <c r="K43" s="296"/>
      <c r="L43" s="31" t="s">
        <v>11</v>
      </c>
    </row>
    <row r="44" spans="1:12" ht="11.25" customHeight="1">
      <c r="A44" s="88" t="s">
        <v>121</v>
      </c>
      <c r="B44" s="292"/>
      <c r="C44" s="293"/>
      <c r="D44" s="292"/>
      <c r="E44" s="293"/>
      <c r="F44" s="297" t="s">
        <v>13</v>
      </c>
      <c r="G44" s="298"/>
      <c r="H44" s="33" t="s">
        <v>14</v>
      </c>
      <c r="I44" s="299" t="s">
        <v>15</v>
      </c>
      <c r="J44" s="300"/>
      <c r="K44" s="118" t="s">
        <v>14</v>
      </c>
      <c r="L44" s="34"/>
    </row>
    <row r="45" spans="1:12" ht="11.25" customHeight="1">
      <c r="A45" s="89"/>
      <c r="B45" s="36"/>
      <c r="C45" s="37"/>
      <c r="D45" s="312" t="s">
        <v>16</v>
      </c>
      <c r="E45" s="313"/>
      <c r="F45" s="312" t="s">
        <v>17</v>
      </c>
      <c r="G45" s="313"/>
      <c r="H45" s="38" t="s">
        <v>18</v>
      </c>
      <c r="I45" s="312" t="s">
        <v>19</v>
      </c>
      <c r="J45" s="313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6.2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6.2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294" t="s">
        <v>87</v>
      </c>
      <c r="E111" s="295"/>
      <c r="F111" s="23" t="s">
        <v>11</v>
      </c>
      <c r="G111" s="294" t="s">
        <v>88</v>
      </c>
      <c r="H111" s="296"/>
      <c r="I111" s="23" t="s">
        <v>11</v>
      </c>
      <c r="J111" s="304" t="s">
        <v>89</v>
      </c>
      <c r="K111" s="306" t="s">
        <v>128</v>
      </c>
      <c r="L111" s="307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05"/>
      <c r="K112" s="308"/>
      <c r="L112" s="309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10"/>
      <c r="L113" s="311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2"/>
  <sheetViews>
    <sheetView showGridLines="0" tabSelected="1" zoomScale="70" zoomScaleNormal="70" zoomScalePageLayoutView="0" workbookViewId="0" topLeftCell="B209">
      <selection activeCell="J229" sqref="J229:K229"/>
    </sheetView>
  </sheetViews>
  <sheetFormatPr defaultColWidth="9.140625" defaultRowHeight="12.75"/>
  <cols>
    <col min="1" max="1" width="106.140625" style="250" customWidth="1"/>
    <col min="2" max="2" width="13.57421875" style="250" customWidth="1"/>
    <col min="3" max="3" width="15.421875" style="250" customWidth="1"/>
    <col min="4" max="4" width="14.421875" style="250" customWidth="1"/>
    <col min="5" max="5" width="15.28125" style="250" customWidth="1"/>
    <col min="6" max="6" width="15.421875" style="250" customWidth="1"/>
    <col min="7" max="7" width="13.8515625" style="250" customWidth="1"/>
    <col min="8" max="8" width="13.7109375" style="250" customWidth="1"/>
    <col min="9" max="9" width="15.57421875" style="250" customWidth="1"/>
    <col min="10" max="10" width="19.28125" style="250" customWidth="1"/>
    <col min="11" max="11" width="18.7109375" style="250" customWidth="1"/>
    <col min="12" max="12" width="15.57421875" style="241" customWidth="1"/>
    <col min="13" max="13" width="18.140625" style="250" customWidth="1"/>
    <col min="14" max="14" width="17.28125" style="250" customWidth="1"/>
    <col min="15" max="15" width="17.140625" style="250" customWidth="1"/>
    <col min="16" max="16" width="15.8515625" style="250" customWidth="1"/>
    <col min="17" max="17" width="18.28125" style="250" customWidth="1"/>
    <col min="18" max="16384" width="9.140625" style="250" customWidth="1"/>
  </cols>
  <sheetData>
    <row r="1" ht="12.75"/>
    <row r="2" spans="1:12" s="3" customFormat="1" ht="15.75">
      <c r="A2" s="212"/>
      <c r="B2" s="212"/>
      <c r="C2" s="212"/>
      <c r="D2" s="212"/>
      <c r="E2" s="212"/>
      <c r="F2" s="212"/>
      <c r="G2" s="212"/>
      <c r="H2" s="212"/>
      <c r="L2" s="241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41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41"/>
    </row>
    <row r="5" spans="1:12" s="112" customFormat="1" ht="15">
      <c r="A5" s="409" t="s">
        <v>281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241"/>
    </row>
    <row r="6" spans="1:12" s="112" customFormat="1" ht="15">
      <c r="A6" s="338" t="s">
        <v>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241"/>
    </row>
    <row r="7" spans="1:12" s="112" customFormat="1" ht="15">
      <c r="A7" s="410" t="s">
        <v>145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241"/>
    </row>
    <row r="8" spans="1:12" s="112" customFormat="1" ht="15">
      <c r="A8" s="338" t="s">
        <v>4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241"/>
    </row>
    <row r="9" spans="1:12" s="112" customFormat="1" ht="15">
      <c r="A9" s="338" t="s">
        <v>352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241"/>
    </row>
    <row r="10" spans="1:12" s="112" customFormat="1" ht="1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87" t="s">
        <v>354</v>
      </c>
      <c r="L10" s="241"/>
    </row>
    <row r="11" spans="1:12" s="112" customFormat="1" ht="1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41"/>
    </row>
    <row r="12" spans="1:12" s="112" customFormat="1" ht="18" customHeight="1">
      <c r="A12" s="411" t="s">
        <v>148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241"/>
    </row>
    <row r="13" spans="1:12" s="112" customFormat="1" ht="15">
      <c r="A13" s="377" t="s">
        <v>149</v>
      </c>
      <c r="B13" s="397" t="s">
        <v>141</v>
      </c>
      <c r="C13" s="395"/>
      <c r="D13" s="395"/>
      <c r="E13" s="395"/>
      <c r="F13" s="396"/>
      <c r="G13" s="397" t="s">
        <v>10</v>
      </c>
      <c r="H13" s="395"/>
      <c r="I13" s="395"/>
      <c r="J13" s="395"/>
      <c r="K13" s="395"/>
      <c r="L13" s="241"/>
    </row>
    <row r="14" spans="1:12" s="112" customFormat="1" ht="15">
      <c r="A14" s="412"/>
      <c r="B14" s="378" t="s">
        <v>93</v>
      </c>
      <c r="C14" s="393"/>
      <c r="D14" s="393"/>
      <c r="E14" s="393"/>
      <c r="F14" s="380"/>
      <c r="G14" s="378" t="s">
        <v>15</v>
      </c>
      <c r="H14" s="393"/>
      <c r="I14" s="393"/>
      <c r="J14" s="393"/>
      <c r="K14" s="393"/>
      <c r="L14" s="241"/>
    </row>
    <row r="15" spans="1:12" s="112" customFormat="1" ht="15">
      <c r="A15" s="413"/>
      <c r="B15" s="403" t="s">
        <v>16</v>
      </c>
      <c r="C15" s="404"/>
      <c r="D15" s="404"/>
      <c r="E15" s="404"/>
      <c r="F15" s="405"/>
      <c r="G15" s="403" t="s">
        <v>17</v>
      </c>
      <c r="H15" s="404"/>
      <c r="I15" s="404"/>
      <c r="J15" s="404"/>
      <c r="K15" s="404"/>
      <c r="L15" s="241"/>
    </row>
    <row r="16" spans="1:12" s="112" customFormat="1" ht="15">
      <c r="A16" s="117" t="s">
        <v>150</v>
      </c>
      <c r="B16" s="195" t="s">
        <v>144</v>
      </c>
      <c r="C16" s="117"/>
      <c r="D16" s="117"/>
      <c r="E16" s="369">
        <f>E17+E20+E21+E22+E23</f>
        <v>64886881061.53</v>
      </c>
      <c r="F16" s="406"/>
      <c r="G16" s="195"/>
      <c r="H16" s="117"/>
      <c r="I16" s="117"/>
      <c r="J16" s="369">
        <f>J17+J20+J21+J22+J23</f>
        <v>11244063336.53</v>
      </c>
      <c r="K16" s="369"/>
      <c r="L16" s="241"/>
    </row>
    <row r="17" spans="1:12" s="112" customFormat="1" ht="29.25" customHeight="1">
      <c r="A17" s="141" t="s">
        <v>151</v>
      </c>
      <c r="B17" s="140"/>
      <c r="C17" s="3"/>
      <c r="D17" s="3"/>
      <c r="E17" s="382">
        <f>E18+E19</f>
        <v>54696243089.08</v>
      </c>
      <c r="F17" s="336"/>
      <c r="G17" s="140"/>
      <c r="H17" s="3"/>
      <c r="I17" s="3"/>
      <c r="J17" s="382">
        <f>J18+J19</f>
        <v>8830589787.37</v>
      </c>
      <c r="K17" s="382"/>
      <c r="L17" s="241"/>
    </row>
    <row r="18" spans="1:12" s="112" customFormat="1" ht="12.75" customHeight="1">
      <c r="A18" s="141" t="s">
        <v>152</v>
      </c>
      <c r="B18" s="140"/>
      <c r="C18" s="3"/>
      <c r="D18" s="3"/>
      <c r="E18" s="382">
        <f>48316616790.35</f>
        <v>48316616790.35</v>
      </c>
      <c r="F18" s="336"/>
      <c r="G18" s="140"/>
      <c r="H18" s="3"/>
      <c r="I18" s="3"/>
      <c r="J18" s="382">
        <f>7770288154.35</f>
        <v>7770288154.35</v>
      </c>
      <c r="K18" s="382"/>
      <c r="L18" s="241"/>
    </row>
    <row r="19" spans="1:12" s="112" customFormat="1" ht="12.75" customHeight="1">
      <c r="A19" s="141" t="s">
        <v>153</v>
      </c>
      <c r="B19" s="140"/>
      <c r="C19" s="3"/>
      <c r="D19" s="3"/>
      <c r="E19" s="382">
        <f>6379626298.73</f>
        <v>6379626298.73</v>
      </c>
      <c r="F19" s="336"/>
      <c r="G19" s="140"/>
      <c r="H19" s="3"/>
      <c r="I19" s="3"/>
      <c r="J19" s="382">
        <f>1060301633.02</f>
        <v>1060301633.02</v>
      </c>
      <c r="K19" s="382"/>
      <c r="L19" s="241"/>
    </row>
    <row r="20" spans="1:12" s="112" customFormat="1" ht="15">
      <c r="A20" s="3" t="s">
        <v>154</v>
      </c>
      <c r="B20" s="140"/>
      <c r="C20" s="3"/>
      <c r="D20" s="3"/>
      <c r="E20" s="382">
        <f>1690701316.45</f>
        <v>1690701316.45</v>
      </c>
      <c r="F20" s="336"/>
      <c r="G20" s="140"/>
      <c r="H20" s="3"/>
      <c r="I20" s="3"/>
      <c r="J20" s="382">
        <f>188746709.77</f>
        <v>188746709.77</v>
      </c>
      <c r="K20" s="382"/>
      <c r="L20" s="241"/>
    </row>
    <row r="21" spans="1:12" s="112" customFormat="1" ht="15">
      <c r="A21" s="3" t="s">
        <v>155</v>
      </c>
      <c r="B21" s="140"/>
      <c r="C21" s="3"/>
      <c r="D21" s="3"/>
      <c r="E21" s="382">
        <f>3367914786.37</f>
        <v>3367914786.37</v>
      </c>
      <c r="F21" s="336"/>
      <c r="G21" s="140"/>
      <c r="H21" s="3"/>
      <c r="I21" s="3"/>
      <c r="J21" s="382">
        <f>1950178689.94</f>
        <v>1950178689.94</v>
      </c>
      <c r="K21" s="382"/>
      <c r="L21" s="241"/>
    </row>
    <row r="22" spans="1:12" s="112" customFormat="1" ht="15">
      <c r="A22" s="3" t="s">
        <v>156</v>
      </c>
      <c r="B22" s="140" t="s">
        <v>144</v>
      </c>
      <c r="C22" s="3"/>
      <c r="D22" s="3"/>
      <c r="E22" s="382">
        <f>5130709623.38</f>
        <v>5130709623.38</v>
      </c>
      <c r="F22" s="336"/>
      <c r="G22" s="140"/>
      <c r="H22" s="3"/>
      <c r="I22" s="3"/>
      <c r="J22" s="382">
        <f>274533542.22</f>
        <v>274533542.22</v>
      </c>
      <c r="K22" s="382"/>
      <c r="L22" s="241"/>
    </row>
    <row r="23" spans="1:12" s="112" customFormat="1" ht="15">
      <c r="A23" s="141" t="s">
        <v>282</v>
      </c>
      <c r="B23" s="140"/>
      <c r="C23" s="3"/>
      <c r="D23" s="3"/>
      <c r="E23" s="382">
        <f>E24+E25</f>
        <v>1312246.25</v>
      </c>
      <c r="F23" s="336"/>
      <c r="G23" s="140"/>
      <c r="H23" s="3"/>
      <c r="I23" s="3"/>
      <c r="J23" s="382">
        <f>J24+J25</f>
        <v>14607.23</v>
      </c>
      <c r="K23" s="382"/>
      <c r="L23" s="241"/>
    </row>
    <row r="24" spans="1:12" s="112" customFormat="1" ht="15">
      <c r="A24" s="141" t="s">
        <v>283</v>
      </c>
      <c r="B24" s="140"/>
      <c r="C24" s="3"/>
      <c r="D24" s="3"/>
      <c r="E24" s="382">
        <v>0</v>
      </c>
      <c r="F24" s="336"/>
      <c r="G24" s="140"/>
      <c r="H24" s="3"/>
      <c r="I24" s="3"/>
      <c r="J24" s="382">
        <v>0</v>
      </c>
      <c r="K24" s="382"/>
      <c r="L24" s="241"/>
    </row>
    <row r="25" spans="1:12" s="112" customFormat="1" ht="15">
      <c r="A25" s="141" t="s">
        <v>284</v>
      </c>
      <c r="B25" s="140"/>
      <c r="C25" s="3"/>
      <c r="D25" s="3"/>
      <c r="E25" s="382">
        <f>1312246.25</f>
        <v>1312246.25</v>
      </c>
      <c r="F25" s="336"/>
      <c r="G25" s="140"/>
      <c r="H25" s="3"/>
      <c r="I25" s="3"/>
      <c r="J25" s="382">
        <f>14607.23</f>
        <v>14607.23</v>
      </c>
      <c r="K25" s="382"/>
      <c r="L25" s="241"/>
    </row>
    <row r="26" spans="1:12" s="112" customFormat="1" ht="15">
      <c r="A26" s="117" t="s">
        <v>157</v>
      </c>
      <c r="B26" s="195" t="s">
        <v>144</v>
      </c>
      <c r="C26" s="117"/>
      <c r="D26" s="117"/>
      <c r="E26" s="381">
        <f>E27+E28+E29+E30</f>
        <v>3471983506.88</v>
      </c>
      <c r="F26" s="399"/>
      <c r="G26" s="195"/>
      <c r="H26" s="117"/>
      <c r="I26" s="117"/>
      <c r="J26" s="381">
        <f>J27+J28+J29+J30</f>
        <v>703470229.07</v>
      </c>
      <c r="K26" s="381"/>
      <c r="L26" s="241"/>
    </row>
    <row r="27" spans="1:12" s="112" customFormat="1" ht="15">
      <c r="A27" s="3" t="s">
        <v>158</v>
      </c>
      <c r="B27" s="140" t="s">
        <v>144</v>
      </c>
      <c r="C27" s="3"/>
      <c r="D27" s="3"/>
      <c r="E27" s="382">
        <f>1952918336.28</f>
        <v>1952918336.28</v>
      </c>
      <c r="F27" s="336"/>
      <c r="G27" s="140"/>
      <c r="H27" s="3"/>
      <c r="I27" s="3"/>
      <c r="J27" s="382">
        <f>486276286.85</f>
        <v>486276286.85</v>
      </c>
      <c r="K27" s="382"/>
      <c r="L27" s="241"/>
    </row>
    <row r="28" spans="1:12" s="112" customFormat="1" ht="15">
      <c r="A28" s="3" t="s">
        <v>159</v>
      </c>
      <c r="B28" s="140" t="s">
        <v>144</v>
      </c>
      <c r="C28" s="3"/>
      <c r="D28" s="3"/>
      <c r="E28" s="382">
        <f>1518986397.06</f>
        <v>1518986397.06</v>
      </c>
      <c r="F28" s="336"/>
      <c r="G28" s="140"/>
      <c r="H28" s="3"/>
      <c r="I28" s="3"/>
      <c r="J28" s="382">
        <f>217193908.11</f>
        <v>217193908.11</v>
      </c>
      <c r="K28" s="382"/>
      <c r="L28" s="241"/>
    </row>
    <row r="29" spans="1:12" s="112" customFormat="1" ht="15">
      <c r="A29" s="3" t="s">
        <v>160</v>
      </c>
      <c r="B29" s="140" t="s">
        <v>144</v>
      </c>
      <c r="C29" s="3"/>
      <c r="D29" s="3"/>
      <c r="E29" s="407">
        <f>78773.54</f>
        <v>78773.54</v>
      </c>
      <c r="F29" s="408"/>
      <c r="G29" s="285"/>
      <c r="H29" s="3"/>
      <c r="I29" s="3"/>
      <c r="J29" s="382">
        <f>34.11</f>
        <v>34.11</v>
      </c>
      <c r="K29" s="382"/>
      <c r="L29" s="241"/>
    </row>
    <row r="30" spans="1:12" s="112" customFormat="1" ht="15">
      <c r="A30" s="3" t="s">
        <v>161</v>
      </c>
      <c r="B30" s="140"/>
      <c r="C30" s="3"/>
      <c r="D30" s="3"/>
      <c r="E30" s="382">
        <v>0</v>
      </c>
      <c r="F30" s="336"/>
      <c r="G30" s="140"/>
      <c r="H30" s="3"/>
      <c r="I30" s="3"/>
      <c r="J30" s="382">
        <v>0</v>
      </c>
      <c r="K30" s="382"/>
      <c r="L30" s="241"/>
    </row>
    <row r="31" spans="1:12" s="6" customFormat="1" ht="15">
      <c r="A31" s="196" t="s">
        <v>162</v>
      </c>
      <c r="B31" s="197"/>
      <c r="C31" s="196"/>
      <c r="D31" s="196"/>
      <c r="E31" s="398">
        <f>E32+E33+E34</f>
        <v>14060983012.29</v>
      </c>
      <c r="F31" s="402"/>
      <c r="G31" s="197"/>
      <c r="H31" s="196"/>
      <c r="I31" s="196"/>
      <c r="J31" s="398">
        <f>J32+J33+J34</f>
        <v>2965508327.27</v>
      </c>
      <c r="K31" s="398"/>
      <c r="L31" s="241"/>
    </row>
    <row r="32" spans="1:12" s="112" customFormat="1" ht="15">
      <c r="A32" s="143" t="s">
        <v>163</v>
      </c>
      <c r="B32" s="242"/>
      <c r="C32" s="170"/>
      <c r="D32" s="170"/>
      <c r="E32" s="400">
        <f>11997641871.34</f>
        <v>11997641871.34</v>
      </c>
      <c r="F32" s="401"/>
      <c r="G32" s="140"/>
      <c r="H32" s="3"/>
      <c r="I32" s="3"/>
      <c r="J32" s="382">
        <f>1936147133.06</f>
        <v>1936147133.06</v>
      </c>
      <c r="K32" s="382"/>
      <c r="L32" s="241"/>
    </row>
    <row r="33" spans="1:12" s="112" customFormat="1" ht="15">
      <c r="A33" s="143" t="s">
        <v>164</v>
      </c>
      <c r="B33" s="242"/>
      <c r="C33" s="170"/>
      <c r="D33" s="170"/>
      <c r="E33" s="400">
        <f>1683594541.68</f>
        <v>1683594541.68</v>
      </c>
      <c r="F33" s="401"/>
      <c r="G33" s="140"/>
      <c r="H33" s="3"/>
      <c r="I33" s="3"/>
      <c r="J33" s="382">
        <f>975062717.28</f>
        <v>975062717.28</v>
      </c>
      <c r="K33" s="382"/>
      <c r="L33" s="241"/>
    </row>
    <row r="34" spans="1:15" s="112" customFormat="1" ht="12.75" customHeight="1">
      <c r="A34" s="143" t="s">
        <v>165</v>
      </c>
      <c r="B34" s="242"/>
      <c r="C34" s="170"/>
      <c r="D34" s="170"/>
      <c r="E34" s="351">
        <f>379746599.27</f>
        <v>379746599.27</v>
      </c>
      <c r="F34" s="394"/>
      <c r="G34" s="140"/>
      <c r="H34" s="3"/>
      <c r="I34" s="3"/>
      <c r="J34" s="354">
        <f>54298476.93</f>
        <v>54298476.93</v>
      </c>
      <c r="K34" s="354"/>
      <c r="L34" s="241"/>
      <c r="N34" s="494"/>
      <c r="O34" s="494"/>
    </row>
    <row r="35" spans="1:15" s="112" customFormat="1" ht="13.5" customHeight="1">
      <c r="A35" s="144" t="s">
        <v>166</v>
      </c>
      <c r="B35" s="198" t="s">
        <v>144</v>
      </c>
      <c r="C35" s="199"/>
      <c r="D35" s="199"/>
      <c r="E35" s="389">
        <f>E16+E26-E31</f>
        <v>54297881556.119995</v>
      </c>
      <c r="F35" s="390"/>
      <c r="G35" s="198"/>
      <c r="H35" s="199"/>
      <c r="I35" s="199"/>
      <c r="J35" s="389">
        <f>J16+J26-J31</f>
        <v>8982025238.33</v>
      </c>
      <c r="K35" s="389"/>
      <c r="L35" s="275"/>
      <c r="N35" s="495"/>
      <c r="O35" s="495"/>
    </row>
    <row r="36" spans="1:15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39"/>
      <c r="K36" s="239"/>
      <c r="L36" s="275"/>
      <c r="M36" s="284"/>
      <c r="N36" s="495"/>
      <c r="O36" s="495"/>
    </row>
    <row r="37" spans="1:15" s="112" customFormat="1" ht="16.5" customHeight="1">
      <c r="A37" s="148" t="s">
        <v>167</v>
      </c>
      <c r="B37" s="243"/>
      <c r="C37" s="244"/>
      <c r="D37" s="244"/>
      <c r="E37" s="391">
        <f>9774534410.38</f>
        <v>9774534410.38</v>
      </c>
      <c r="F37" s="392"/>
      <c r="G37" s="200"/>
      <c r="H37" s="199"/>
      <c r="I37" s="199"/>
      <c r="J37" s="352">
        <f>1749500849.32</f>
        <v>1749500849.32</v>
      </c>
      <c r="K37" s="352"/>
      <c r="L37" s="275"/>
      <c r="N37" s="495"/>
      <c r="O37" s="495"/>
    </row>
    <row r="38" spans="1:15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39"/>
      <c r="K38" s="239"/>
      <c r="L38" s="275"/>
      <c r="M38" s="276"/>
      <c r="N38" s="276"/>
      <c r="O38" s="276"/>
    </row>
    <row r="39" spans="1:15" s="112" customFormat="1" ht="33.75" customHeight="1">
      <c r="A39" s="144" t="s">
        <v>168</v>
      </c>
      <c r="B39" s="200"/>
      <c r="C39" s="201"/>
      <c r="D39" s="201"/>
      <c r="E39" s="389">
        <f>(0.05*((E17-E32)+(E20)+(E21-E33)+(E27)+(E28-E34)))+(0.25*(E22+E29+E30))</f>
        <v>3740986144.8775005</v>
      </c>
      <c r="F39" s="390"/>
      <c r="G39" s="200"/>
      <c r="H39" s="199"/>
      <c r="I39" s="199"/>
      <c r="J39" s="389">
        <f>(0.05*((J17-J32)+(J20)+(J21-J33)+(J27)+(J28-J34)))+(0.25*(J22+J29+J30))</f>
        <v>504007246.8210001</v>
      </c>
      <c r="K39" s="389"/>
      <c r="L39" s="275"/>
      <c r="M39" s="276"/>
      <c r="N39" s="276"/>
      <c r="O39" s="276"/>
    </row>
    <row r="40" spans="1:15" s="112" customFormat="1" ht="13.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75"/>
      <c r="M40" s="276"/>
      <c r="N40" s="276"/>
      <c r="O40" s="276"/>
    </row>
    <row r="41" spans="1:13" s="112" customFormat="1" ht="18.75" customHeight="1">
      <c r="A41" s="411" t="s">
        <v>169</v>
      </c>
      <c r="B41" s="451"/>
      <c r="C41" s="451"/>
      <c r="D41" s="451"/>
      <c r="E41" s="451"/>
      <c r="F41" s="451"/>
      <c r="G41" s="451"/>
      <c r="H41" s="451"/>
      <c r="I41" s="451"/>
      <c r="J41" s="451"/>
      <c r="K41" s="237"/>
      <c r="L41" s="271"/>
      <c r="M41" s="284"/>
    </row>
    <row r="42" spans="1:12" s="112" customFormat="1" ht="15" customHeight="1">
      <c r="A42" s="425" t="s">
        <v>170</v>
      </c>
      <c r="B42" s="395" t="s">
        <v>141</v>
      </c>
      <c r="C42" s="395"/>
      <c r="D42" s="395"/>
      <c r="E42" s="395"/>
      <c r="F42" s="396"/>
      <c r="G42" s="397" t="s">
        <v>10</v>
      </c>
      <c r="H42" s="395"/>
      <c r="I42" s="395"/>
      <c r="J42" s="395"/>
      <c r="K42" s="395"/>
      <c r="L42" s="241"/>
    </row>
    <row r="43" spans="1:12" s="112" customFormat="1" ht="15">
      <c r="A43" s="437"/>
      <c r="B43" s="393" t="s">
        <v>93</v>
      </c>
      <c r="C43" s="393"/>
      <c r="D43" s="393"/>
      <c r="E43" s="393"/>
      <c r="F43" s="380"/>
      <c r="G43" s="378" t="s">
        <v>15</v>
      </c>
      <c r="H43" s="393"/>
      <c r="I43" s="393"/>
      <c r="J43" s="393"/>
      <c r="K43" s="393"/>
      <c r="L43" s="241"/>
    </row>
    <row r="44" spans="1:12" s="112" customFormat="1" ht="15">
      <c r="A44" s="426"/>
      <c r="B44" s="404" t="s">
        <v>16</v>
      </c>
      <c r="C44" s="404"/>
      <c r="D44" s="404"/>
      <c r="E44" s="404"/>
      <c r="F44" s="405"/>
      <c r="G44" s="403" t="s">
        <v>17</v>
      </c>
      <c r="H44" s="404"/>
      <c r="I44" s="404"/>
      <c r="J44" s="404"/>
      <c r="K44" s="404"/>
      <c r="L44" s="241"/>
    </row>
    <row r="45" spans="1:12" s="112" customFormat="1" ht="15">
      <c r="A45" s="202" t="s">
        <v>171</v>
      </c>
      <c r="B45" s="203"/>
      <c r="C45" s="203"/>
      <c r="D45" s="203"/>
      <c r="E45" s="374">
        <f>E46+E49+E52+E54</f>
        <v>4418448658</v>
      </c>
      <c r="F45" s="367"/>
      <c r="G45" s="203"/>
      <c r="H45" s="203"/>
      <c r="I45" s="117"/>
      <c r="J45" s="369">
        <f>J46+J49+J52+J54</f>
        <v>763910711.42</v>
      </c>
      <c r="K45" s="369"/>
      <c r="L45" s="241"/>
    </row>
    <row r="46" spans="1:13" s="112" customFormat="1" ht="15">
      <c r="A46" s="202" t="s">
        <v>172</v>
      </c>
      <c r="B46" s="203"/>
      <c r="C46" s="203"/>
      <c r="D46" s="203"/>
      <c r="E46" s="388">
        <f>E47+E48</f>
        <v>4418448658</v>
      </c>
      <c r="F46" s="360"/>
      <c r="G46" s="203"/>
      <c r="H46" s="203"/>
      <c r="I46" s="117"/>
      <c r="J46" s="381">
        <f>J47+J48</f>
        <v>763836630.8299999</v>
      </c>
      <c r="K46" s="381"/>
      <c r="L46" s="241"/>
      <c r="M46" s="284"/>
    </row>
    <row r="47" spans="1:12" s="112" customFormat="1" ht="15">
      <c r="A47" s="150" t="s">
        <v>173</v>
      </c>
      <c r="B47" s="151"/>
      <c r="C47" s="151"/>
      <c r="D47" s="151"/>
      <c r="E47" s="371">
        <f>4418448658</f>
        <v>4418448658</v>
      </c>
      <c r="F47" s="358"/>
      <c r="G47" s="151"/>
      <c r="H47" s="151"/>
      <c r="I47" s="3"/>
      <c r="J47" s="382">
        <f>756692675.8</f>
        <v>756692675.8</v>
      </c>
      <c r="K47" s="382"/>
      <c r="L47" s="241"/>
    </row>
    <row r="48" spans="1:12" s="112" customFormat="1" ht="15">
      <c r="A48" s="150" t="s">
        <v>174</v>
      </c>
      <c r="B48" s="151"/>
      <c r="C48" s="151"/>
      <c r="D48" s="151"/>
      <c r="E48" s="371">
        <v>0</v>
      </c>
      <c r="F48" s="358"/>
      <c r="G48" s="151"/>
      <c r="H48" s="151"/>
      <c r="I48" s="3"/>
      <c r="J48" s="370">
        <f>7143955.03</f>
        <v>7143955.03</v>
      </c>
      <c r="K48" s="370"/>
      <c r="L48" s="241"/>
    </row>
    <row r="49" spans="1:12" s="112" customFormat="1" ht="15">
      <c r="A49" s="202" t="s">
        <v>175</v>
      </c>
      <c r="B49" s="203"/>
      <c r="C49" s="203"/>
      <c r="D49" s="203"/>
      <c r="E49" s="388">
        <f>E50+E51</f>
        <v>0</v>
      </c>
      <c r="F49" s="360"/>
      <c r="G49" s="203"/>
      <c r="H49" s="203"/>
      <c r="I49" s="117"/>
      <c r="J49" s="381">
        <f>J50+J51</f>
        <v>74080.59</v>
      </c>
      <c r="K49" s="381"/>
      <c r="L49" s="241"/>
    </row>
    <row r="50" spans="1:12" s="112" customFormat="1" ht="15">
      <c r="A50" s="150" t="s">
        <v>176</v>
      </c>
      <c r="B50" s="151"/>
      <c r="C50" s="151"/>
      <c r="D50" s="151"/>
      <c r="E50" s="371">
        <v>0</v>
      </c>
      <c r="F50" s="358"/>
      <c r="G50" s="151"/>
      <c r="H50" s="151"/>
      <c r="I50" s="3"/>
      <c r="J50" s="382">
        <v>0</v>
      </c>
      <c r="K50" s="382"/>
      <c r="L50" s="241"/>
    </row>
    <row r="51" spans="1:12" s="112" customFormat="1" ht="15">
      <c r="A51" s="150" t="s">
        <v>177</v>
      </c>
      <c r="B51" s="151"/>
      <c r="C51" s="151"/>
      <c r="D51" s="151"/>
      <c r="E51" s="371">
        <v>0</v>
      </c>
      <c r="F51" s="358"/>
      <c r="G51" s="151"/>
      <c r="H51" s="151"/>
      <c r="I51" s="3"/>
      <c r="J51" s="382">
        <f>74080.59</f>
        <v>74080.59</v>
      </c>
      <c r="K51" s="382"/>
      <c r="L51" s="241"/>
    </row>
    <row r="52" spans="1:12" s="112" customFormat="1" ht="15">
      <c r="A52" s="202" t="s">
        <v>178</v>
      </c>
      <c r="B52" s="203"/>
      <c r="C52" s="203"/>
      <c r="D52" s="203"/>
      <c r="E52" s="388">
        <f>E53+E54</f>
        <v>0</v>
      </c>
      <c r="F52" s="360"/>
      <c r="G52" s="203"/>
      <c r="H52" s="203"/>
      <c r="I52" s="117"/>
      <c r="J52" s="381">
        <f>J53+J54</f>
        <v>0</v>
      </c>
      <c r="K52" s="381"/>
      <c r="L52" s="241"/>
    </row>
    <row r="53" spans="1:12" s="112" customFormat="1" ht="15">
      <c r="A53" s="150" t="s">
        <v>179</v>
      </c>
      <c r="B53" s="151"/>
      <c r="C53" s="151"/>
      <c r="D53" s="151"/>
      <c r="E53" s="371">
        <v>0</v>
      </c>
      <c r="F53" s="358"/>
      <c r="G53" s="151"/>
      <c r="H53" s="151"/>
      <c r="I53" s="3"/>
      <c r="J53" s="382">
        <v>0</v>
      </c>
      <c r="K53" s="382"/>
      <c r="L53" s="241"/>
    </row>
    <row r="54" spans="1:15" s="112" customFormat="1" ht="15">
      <c r="A54" s="150" t="s">
        <v>180</v>
      </c>
      <c r="B54" s="151"/>
      <c r="C54" s="151"/>
      <c r="D54" s="151"/>
      <c r="E54" s="371">
        <v>0</v>
      </c>
      <c r="F54" s="358"/>
      <c r="G54" s="151"/>
      <c r="H54" s="151"/>
      <c r="I54" s="3"/>
      <c r="J54" s="382">
        <v>0</v>
      </c>
      <c r="K54" s="382"/>
      <c r="L54" s="241"/>
      <c r="N54" s="496"/>
      <c r="O54" s="494"/>
    </row>
    <row r="55" spans="1:15" s="112" customFormat="1" ht="18">
      <c r="A55" s="204" t="s">
        <v>285</v>
      </c>
      <c r="B55" s="205"/>
      <c r="C55" s="205"/>
      <c r="D55" s="205"/>
      <c r="E55" s="372">
        <f>E47-E37</f>
        <v>-5356085752.379999</v>
      </c>
      <c r="F55" s="373"/>
      <c r="G55" s="205"/>
      <c r="H55" s="205"/>
      <c r="I55" s="206"/>
      <c r="J55" s="372">
        <f>J47-J37</f>
        <v>-992808173.52</v>
      </c>
      <c r="K55" s="372"/>
      <c r="L55" s="241"/>
      <c r="N55" s="495"/>
      <c r="O55" s="495"/>
    </row>
    <row r="56" spans="1:16" s="6" customFormat="1" ht="19.5" customHeight="1">
      <c r="A56" s="234" t="s">
        <v>181</v>
      </c>
      <c r="B56" s="477" t="s">
        <v>142</v>
      </c>
      <c r="C56" s="477"/>
      <c r="D56" s="477"/>
      <c r="E56" s="435"/>
      <c r="F56" s="435"/>
      <c r="G56" s="477"/>
      <c r="H56" s="477"/>
      <c r="I56" s="477"/>
      <c r="J56" s="435"/>
      <c r="K56" s="270"/>
      <c r="L56" s="241"/>
      <c r="M56" s="116"/>
      <c r="N56" s="288"/>
      <c r="O56" s="116"/>
      <c r="P56" s="116"/>
    </row>
    <row r="57" spans="1:16" s="6" customFormat="1" ht="15">
      <c r="A57" s="207" t="s">
        <v>182</v>
      </c>
      <c r="B57" s="208"/>
      <c r="C57" s="208"/>
      <c r="D57" s="208"/>
      <c r="E57" s="208"/>
      <c r="F57" s="208"/>
      <c r="G57" s="208"/>
      <c r="H57" s="208"/>
      <c r="I57" s="196"/>
      <c r="J57" s="383">
        <f>J58+J59</f>
        <v>140796549.170001</v>
      </c>
      <c r="K57" s="383"/>
      <c r="L57" s="241"/>
      <c r="M57" s="116"/>
      <c r="N57" s="116"/>
      <c r="O57" s="116"/>
      <c r="P57" s="116"/>
    </row>
    <row r="58" spans="1:16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370">
        <f>140796549.170001</f>
        <v>140796549.170001</v>
      </c>
      <c r="K58" s="370"/>
      <c r="L58" s="497"/>
      <c r="M58" s="498"/>
      <c r="N58" s="498"/>
      <c r="O58" s="498"/>
      <c r="P58" s="498"/>
    </row>
    <row r="59" spans="1:16" s="6" customFormat="1" ht="1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339">
        <v>0</v>
      </c>
      <c r="K59" s="339"/>
      <c r="L59" s="241"/>
      <c r="M59" s="116"/>
      <c r="N59" s="116"/>
      <c r="O59" s="116"/>
      <c r="P59" s="116"/>
    </row>
    <row r="60" spans="1:16" s="6" customFormat="1" ht="15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41"/>
      <c r="M60" s="116"/>
      <c r="N60" s="116"/>
      <c r="O60" s="116"/>
      <c r="P60" s="116"/>
    </row>
    <row r="61" spans="1:16" s="6" customFormat="1" ht="15">
      <c r="A61" s="280" t="s">
        <v>185</v>
      </c>
      <c r="B61" s="277"/>
      <c r="C61" s="277"/>
      <c r="D61" s="277"/>
      <c r="E61" s="277"/>
      <c r="F61" s="277"/>
      <c r="G61" s="277"/>
      <c r="H61" s="277"/>
      <c r="I61" s="279"/>
      <c r="J61" s="352">
        <f>J45+J57</f>
        <v>904707260.590001</v>
      </c>
      <c r="K61" s="352"/>
      <c r="L61" s="241"/>
      <c r="M61" s="116"/>
      <c r="N61" s="116"/>
      <c r="O61" s="116"/>
      <c r="P61" s="116"/>
    </row>
    <row r="62" spans="1:16" s="6" customFormat="1" ht="15">
      <c r="A62" s="226"/>
      <c r="B62" s="226"/>
      <c r="C62" s="226"/>
      <c r="D62" s="226"/>
      <c r="E62" s="226"/>
      <c r="F62" s="226"/>
      <c r="G62" s="226"/>
      <c r="H62" s="226"/>
      <c r="I62" s="227"/>
      <c r="J62" s="227"/>
      <c r="K62" s="229" t="s">
        <v>292</v>
      </c>
      <c r="L62" s="241"/>
      <c r="M62" s="116"/>
      <c r="N62" s="116"/>
      <c r="O62" s="116"/>
      <c r="P62" s="116"/>
    </row>
    <row r="63" spans="1:16" s="6" customFormat="1" ht="15">
      <c r="A63" s="226"/>
      <c r="B63" s="226"/>
      <c r="C63" s="226"/>
      <c r="D63" s="226"/>
      <c r="E63" s="226"/>
      <c r="F63" s="226"/>
      <c r="G63" s="226"/>
      <c r="H63" s="226"/>
      <c r="I63" s="227"/>
      <c r="J63" s="227"/>
      <c r="K63" s="227"/>
      <c r="L63" s="241"/>
      <c r="M63" s="116"/>
      <c r="N63" s="116"/>
      <c r="O63" s="116"/>
      <c r="P63" s="116"/>
    </row>
    <row r="64" spans="1:11" s="241" customFormat="1" ht="1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28"/>
    </row>
    <row r="65" spans="1:11" s="241" customFormat="1" ht="15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 s="241" customFormat="1" ht="15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09" t="s">
        <v>287</v>
      </c>
    </row>
    <row r="67" spans="1:11" s="241" customFormat="1" ht="15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s="241" customFormat="1" ht="15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s="241" customFormat="1" ht="15">
      <c r="A69" s="422" t="str">
        <f>A5</f>
        <v>GOVERNO DO ESTADO DO RIO DE JANEIRO</v>
      </c>
      <c r="B69" s="422"/>
      <c r="C69" s="422"/>
      <c r="D69" s="422"/>
      <c r="E69" s="422"/>
      <c r="F69" s="422"/>
      <c r="G69" s="422"/>
      <c r="H69" s="422"/>
      <c r="I69" s="422"/>
      <c r="J69" s="422"/>
      <c r="K69" s="422"/>
    </row>
    <row r="70" spans="1:11" s="241" customFormat="1" ht="15">
      <c r="A70" s="422" t="str">
        <f>A6</f>
        <v>RELATÓRIO RESUMIDO DA EXECUÇÃO ORÇAMENTÁRIA</v>
      </c>
      <c r="B70" s="422"/>
      <c r="C70" s="422"/>
      <c r="D70" s="422"/>
      <c r="E70" s="422"/>
      <c r="F70" s="422"/>
      <c r="G70" s="422"/>
      <c r="H70" s="422"/>
      <c r="I70" s="422"/>
      <c r="J70" s="422"/>
      <c r="K70" s="422"/>
    </row>
    <row r="71" spans="1:11" s="241" customFormat="1" ht="15">
      <c r="A71" s="342" t="str">
        <f>A7</f>
        <v>DEMONSTRATIVO DAS RECEITAS E DESPESAS COM MANUTENÇÃO E DESENVOLVIMENTO DO ENSINO - MDE</v>
      </c>
      <c r="B71" s="342"/>
      <c r="C71" s="342"/>
      <c r="D71" s="342"/>
      <c r="E71" s="342"/>
      <c r="F71" s="342"/>
      <c r="G71" s="342"/>
      <c r="H71" s="342"/>
      <c r="I71" s="342"/>
      <c r="J71" s="342"/>
      <c r="K71" s="342"/>
    </row>
    <row r="72" spans="1:11" s="241" customFormat="1" ht="15">
      <c r="A72" s="422" t="str">
        <f>A8</f>
        <v>ORÇAMENTOS FISCAL E DA SEGURIDADE SOCIAL</v>
      </c>
      <c r="B72" s="422"/>
      <c r="C72" s="422"/>
      <c r="D72" s="422"/>
      <c r="E72" s="422"/>
      <c r="F72" s="422"/>
      <c r="G72" s="422"/>
      <c r="H72" s="422"/>
      <c r="I72" s="422"/>
      <c r="J72" s="422"/>
      <c r="K72" s="422"/>
    </row>
    <row r="73" spans="1:11" s="241" customFormat="1" ht="15">
      <c r="A73" s="422" t="str">
        <f>A9</f>
        <v>JANEIRO A FEVEREIRO 2022/BIMESTRE JANEIRO - FEVEREIRO</v>
      </c>
      <c r="B73" s="422"/>
      <c r="C73" s="422"/>
      <c r="D73" s="422"/>
      <c r="E73" s="422"/>
      <c r="F73" s="422"/>
      <c r="G73" s="422"/>
      <c r="H73" s="422"/>
      <c r="I73" s="422"/>
      <c r="J73" s="422"/>
      <c r="K73" s="422"/>
    </row>
    <row r="74" spans="1:11" s="241" customFormat="1" ht="1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09" t="str">
        <f>K10</f>
        <v>Emissão: 25/03/2022</v>
      </c>
    </row>
    <row r="75" spans="1:16" s="6" customFormat="1" ht="15">
      <c r="A75" s="3" t="s">
        <v>147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1">
        <f>K11</f>
        <v>1</v>
      </c>
      <c r="L75" s="241"/>
      <c r="M75" s="116"/>
      <c r="N75" s="116"/>
      <c r="O75" s="116"/>
      <c r="P75" s="116"/>
    </row>
    <row r="76" spans="1:16" s="112" customFormat="1" ht="29.25" customHeight="1">
      <c r="A76" s="377" t="s">
        <v>286</v>
      </c>
      <c r="B76" s="414" t="s">
        <v>186</v>
      </c>
      <c r="C76" s="415"/>
      <c r="D76" s="375" t="s">
        <v>87</v>
      </c>
      <c r="E76" s="377"/>
      <c r="F76" s="375" t="s">
        <v>88</v>
      </c>
      <c r="G76" s="376"/>
      <c r="H76" s="377"/>
      <c r="I76" s="416" t="s">
        <v>143</v>
      </c>
      <c r="J76" s="417"/>
      <c r="K76" s="417"/>
      <c r="L76" s="241"/>
      <c r="M76" s="428"/>
      <c r="N76" s="428"/>
      <c r="O76" s="18"/>
      <c r="P76" s="17"/>
    </row>
    <row r="77" spans="1:15" s="112" customFormat="1" ht="15">
      <c r="A77" s="412"/>
      <c r="B77" s="393"/>
      <c r="C77" s="380"/>
      <c r="D77" s="378" t="s">
        <v>15</v>
      </c>
      <c r="E77" s="380"/>
      <c r="F77" s="378" t="s">
        <v>15</v>
      </c>
      <c r="G77" s="379"/>
      <c r="H77" s="380"/>
      <c r="I77" s="418" t="s">
        <v>15</v>
      </c>
      <c r="J77" s="419"/>
      <c r="K77" s="419"/>
      <c r="L77" s="241"/>
      <c r="M77" s="17"/>
      <c r="N77" s="17"/>
      <c r="O77" s="17"/>
    </row>
    <row r="78" spans="1:16" s="112" customFormat="1" ht="15">
      <c r="A78" s="412"/>
      <c r="B78" s="404" t="s">
        <v>19</v>
      </c>
      <c r="C78" s="405"/>
      <c r="D78" s="403" t="s">
        <v>97</v>
      </c>
      <c r="E78" s="405"/>
      <c r="F78" s="378" t="s">
        <v>98</v>
      </c>
      <c r="G78" s="379"/>
      <c r="H78" s="380"/>
      <c r="I78" s="420" t="s">
        <v>99</v>
      </c>
      <c r="J78" s="421"/>
      <c r="K78" s="421"/>
      <c r="L78" s="241"/>
      <c r="M78" s="17"/>
      <c r="N78" s="17"/>
      <c r="O78" s="17"/>
      <c r="P78" s="17"/>
    </row>
    <row r="79" spans="1:16" s="112" customFormat="1" ht="12.75" customHeight="1">
      <c r="A79" s="207" t="s">
        <v>187</v>
      </c>
      <c r="B79" s="366">
        <f>B80+B81</f>
        <v>3510768184</v>
      </c>
      <c r="C79" s="367"/>
      <c r="D79" s="366">
        <f>D80+D81</f>
        <v>420800335.97</v>
      </c>
      <c r="E79" s="367"/>
      <c r="F79" s="214"/>
      <c r="G79" s="374">
        <f>G80+G81</f>
        <v>420800335.97</v>
      </c>
      <c r="H79" s="367"/>
      <c r="I79" s="218"/>
      <c r="J79" s="369">
        <f>J80+J81</f>
        <v>412467073.25</v>
      </c>
      <c r="K79" s="369"/>
      <c r="L79" s="241"/>
      <c r="O79" s="429"/>
      <c r="P79" s="429"/>
    </row>
    <row r="80" spans="1:16" s="112" customFormat="1" ht="15">
      <c r="A80" s="150" t="s">
        <v>188</v>
      </c>
      <c r="B80" s="363">
        <f>1236189902</f>
        <v>1236189902</v>
      </c>
      <c r="C80" s="364"/>
      <c r="D80" s="368">
        <f>126240100.8</f>
        <v>126240100.8</v>
      </c>
      <c r="E80" s="358"/>
      <c r="F80" s="176"/>
      <c r="G80" s="357">
        <f>126240100.8</f>
        <v>126240100.8</v>
      </c>
      <c r="H80" s="358"/>
      <c r="I80" s="217"/>
      <c r="J80" s="337">
        <f>122807156.49</f>
        <v>122807156.49</v>
      </c>
      <c r="K80" s="337"/>
      <c r="L80" s="241"/>
      <c r="O80" s="429"/>
      <c r="P80" s="429"/>
    </row>
    <row r="81" spans="1:16" s="112" customFormat="1" ht="15">
      <c r="A81" s="150" t="s">
        <v>189</v>
      </c>
      <c r="B81" s="363">
        <f>2274578282</f>
        <v>2274578282</v>
      </c>
      <c r="C81" s="364"/>
      <c r="D81" s="368">
        <f>294560235.17</f>
        <v>294560235.17</v>
      </c>
      <c r="E81" s="358"/>
      <c r="F81" s="176"/>
      <c r="G81" s="357">
        <f>294560235.17</f>
        <v>294560235.17</v>
      </c>
      <c r="H81" s="358"/>
      <c r="I81" s="217"/>
      <c r="J81" s="337">
        <f>289659916.76</f>
        <v>289659916.76</v>
      </c>
      <c r="K81" s="337"/>
      <c r="L81" s="241"/>
      <c r="O81" s="429"/>
      <c r="P81" s="429"/>
    </row>
    <row r="82" spans="1:16" s="112" customFormat="1" ht="15" customHeight="1">
      <c r="A82" s="202" t="s">
        <v>190</v>
      </c>
      <c r="B82" s="365">
        <f>B83+B84</f>
        <v>907680474</v>
      </c>
      <c r="C82" s="360"/>
      <c r="D82" s="365">
        <f>D83+D84</f>
        <v>419982192.88</v>
      </c>
      <c r="E82" s="360"/>
      <c r="F82" s="215"/>
      <c r="G82" s="359">
        <f>G83+G84</f>
        <v>176086814.05</v>
      </c>
      <c r="H82" s="360"/>
      <c r="I82" s="218"/>
      <c r="J82" s="353">
        <f>J83+J84</f>
        <v>162589096.65</v>
      </c>
      <c r="K82" s="353"/>
      <c r="L82" s="241"/>
      <c r="O82" s="429"/>
      <c r="P82" s="429"/>
    </row>
    <row r="83" spans="1:17" s="112" customFormat="1" ht="15">
      <c r="A83" s="150" t="s">
        <v>191</v>
      </c>
      <c r="B83" s="363">
        <f>109903110</f>
        <v>109903110</v>
      </c>
      <c r="C83" s="364"/>
      <c r="D83" s="368">
        <f>32027257.22</f>
        <v>32027257.22</v>
      </c>
      <c r="E83" s="358"/>
      <c r="F83" s="176"/>
      <c r="G83" s="357">
        <f>32027257.22</f>
        <v>32027257.22</v>
      </c>
      <c r="H83" s="358"/>
      <c r="I83" s="217"/>
      <c r="J83" s="337">
        <f>31957151.85</f>
        <v>31957151.85</v>
      </c>
      <c r="K83" s="337"/>
      <c r="L83" s="241"/>
      <c r="O83" s="429"/>
      <c r="P83" s="429"/>
      <c r="Q83" s="500"/>
    </row>
    <row r="84" spans="1:17" s="112" customFormat="1" ht="15">
      <c r="A84" s="150" t="s">
        <v>192</v>
      </c>
      <c r="B84" s="384">
        <f>797777364</f>
        <v>797777364</v>
      </c>
      <c r="C84" s="385"/>
      <c r="D84" s="387">
        <f>387954935.66</f>
        <v>387954935.66</v>
      </c>
      <c r="E84" s="362"/>
      <c r="F84" s="216"/>
      <c r="G84" s="361">
        <f>144059556.83</f>
        <v>144059556.83</v>
      </c>
      <c r="H84" s="362"/>
      <c r="I84" s="217"/>
      <c r="J84" s="354">
        <f>130631944.8</f>
        <v>130631944.8</v>
      </c>
      <c r="K84" s="354"/>
      <c r="L84" s="241"/>
      <c r="O84" s="429"/>
      <c r="P84" s="429"/>
      <c r="Q84" s="500"/>
    </row>
    <row r="85" spans="1:16" s="112" customFormat="1" ht="15">
      <c r="A85" s="277" t="s">
        <v>193</v>
      </c>
      <c r="B85" s="386">
        <f>B79+B82</f>
        <v>4418448658</v>
      </c>
      <c r="C85" s="356"/>
      <c r="D85" s="386">
        <f>D79+D82</f>
        <v>840782528.85</v>
      </c>
      <c r="E85" s="356"/>
      <c r="F85" s="278"/>
      <c r="G85" s="355">
        <f>G79+G82</f>
        <v>596887150.02</v>
      </c>
      <c r="H85" s="356"/>
      <c r="I85" s="279"/>
      <c r="J85" s="352">
        <f>J79+J82</f>
        <v>575056169.9</v>
      </c>
      <c r="K85" s="352"/>
      <c r="L85" s="241"/>
      <c r="O85" s="429"/>
      <c r="P85" s="429"/>
    </row>
    <row r="86" spans="1:16" s="112" customFormat="1" ht="12.75">
      <c r="A86" s="241"/>
      <c r="B86" s="241"/>
      <c r="C86" s="241"/>
      <c r="D86" s="241"/>
      <c r="E86" s="271"/>
      <c r="F86" s="241"/>
      <c r="G86" s="241"/>
      <c r="H86" s="271"/>
      <c r="I86" s="241"/>
      <c r="J86" s="241"/>
      <c r="K86" s="271"/>
      <c r="L86" s="241"/>
      <c r="O86" s="246"/>
      <c r="P86" s="246"/>
    </row>
    <row r="87" spans="1:15" s="112" customFormat="1" ht="15">
      <c r="A87" s="430" t="s">
        <v>194</v>
      </c>
      <c r="B87" s="430"/>
      <c r="C87" s="430"/>
      <c r="D87" s="430"/>
      <c r="E87" s="430"/>
      <c r="F87" s="430"/>
      <c r="G87" s="430"/>
      <c r="H87" s="430"/>
      <c r="I87" s="430"/>
      <c r="J87" s="430"/>
      <c r="K87" s="238"/>
      <c r="L87" s="241"/>
      <c r="O87" s="284">
        <f>4418448658-B85</f>
        <v>0</v>
      </c>
    </row>
    <row r="88" spans="1:12" s="112" customFormat="1" ht="29.25" customHeight="1">
      <c r="A88" s="376" t="s">
        <v>195</v>
      </c>
      <c r="B88" s="375" t="s">
        <v>87</v>
      </c>
      <c r="C88" s="376"/>
      <c r="D88" s="376"/>
      <c r="E88" s="377"/>
      <c r="F88" s="416" t="s">
        <v>88</v>
      </c>
      <c r="G88" s="417"/>
      <c r="H88" s="478"/>
      <c r="I88" s="416" t="s">
        <v>143</v>
      </c>
      <c r="J88" s="417"/>
      <c r="K88" s="417"/>
      <c r="L88" s="241"/>
    </row>
    <row r="89" spans="1:12" s="112" customFormat="1" ht="19.5" customHeight="1">
      <c r="A89" s="431"/>
      <c r="B89" s="465" t="s">
        <v>15</v>
      </c>
      <c r="C89" s="436"/>
      <c r="D89" s="436"/>
      <c r="E89" s="437"/>
      <c r="F89" s="423" t="s">
        <v>15</v>
      </c>
      <c r="G89" s="480"/>
      <c r="H89" s="481"/>
      <c r="I89" s="423" t="s">
        <v>15</v>
      </c>
      <c r="J89" s="424"/>
      <c r="K89" s="424"/>
      <c r="L89" s="241"/>
    </row>
    <row r="90" spans="1:12" s="112" customFormat="1" ht="16.5" customHeight="1">
      <c r="A90" s="431"/>
      <c r="B90" s="378" t="s">
        <v>97</v>
      </c>
      <c r="C90" s="379"/>
      <c r="D90" s="379"/>
      <c r="E90" s="380"/>
      <c r="F90" s="465" t="s">
        <v>98</v>
      </c>
      <c r="G90" s="436"/>
      <c r="H90" s="437"/>
      <c r="I90" s="420" t="s">
        <v>99</v>
      </c>
      <c r="J90" s="421"/>
      <c r="K90" s="421"/>
      <c r="L90" s="241"/>
    </row>
    <row r="91" spans="1:12" s="112" customFormat="1" ht="15">
      <c r="A91" s="162" t="s">
        <v>196</v>
      </c>
      <c r="B91" s="163"/>
      <c r="C91" s="164"/>
      <c r="D91" s="343">
        <f>D79-H106</f>
        <v>420800335.97</v>
      </c>
      <c r="E91" s="344"/>
      <c r="F91" s="163"/>
      <c r="G91" s="343">
        <f>G79-H106</f>
        <v>420800335.97</v>
      </c>
      <c r="H91" s="344"/>
      <c r="I91" s="220"/>
      <c r="J91" s="349">
        <f>J79-H106</f>
        <v>412467073.25</v>
      </c>
      <c r="K91" s="349"/>
      <c r="L91" s="241"/>
    </row>
    <row r="92" spans="1:12" s="112" customFormat="1" ht="15">
      <c r="A92" s="165" t="s">
        <v>197</v>
      </c>
      <c r="B92" s="166"/>
      <c r="C92" s="220"/>
      <c r="D92" s="345">
        <f>D85-H106</f>
        <v>840782528.85</v>
      </c>
      <c r="E92" s="346"/>
      <c r="F92" s="166"/>
      <c r="G92" s="345">
        <f>G85-H106</f>
        <v>596887150.02</v>
      </c>
      <c r="H92" s="346"/>
      <c r="I92" s="220"/>
      <c r="J92" s="350">
        <f>J85-H106</f>
        <v>575056169.9</v>
      </c>
      <c r="K92" s="350"/>
      <c r="L92" s="241"/>
    </row>
    <row r="93" spans="1:12" s="112" customFormat="1" ht="15">
      <c r="A93" s="165" t="s">
        <v>198</v>
      </c>
      <c r="B93" s="166"/>
      <c r="C93" s="220"/>
      <c r="D93" s="345">
        <v>0</v>
      </c>
      <c r="E93" s="346"/>
      <c r="F93" s="166"/>
      <c r="G93" s="345">
        <v>0</v>
      </c>
      <c r="H93" s="346"/>
      <c r="I93" s="220"/>
      <c r="J93" s="350">
        <v>0</v>
      </c>
      <c r="K93" s="350"/>
      <c r="L93" s="241"/>
    </row>
    <row r="94" spans="1:12" s="112" customFormat="1" ht="15">
      <c r="A94" s="165" t="s">
        <v>199</v>
      </c>
      <c r="B94" s="166"/>
      <c r="C94" s="220"/>
      <c r="D94" s="345">
        <v>0</v>
      </c>
      <c r="E94" s="346"/>
      <c r="F94" s="166"/>
      <c r="G94" s="345">
        <v>0</v>
      </c>
      <c r="H94" s="346"/>
      <c r="I94" s="220"/>
      <c r="J94" s="350">
        <v>0</v>
      </c>
      <c r="K94" s="350"/>
      <c r="L94" s="241"/>
    </row>
    <row r="95" spans="1:12" s="112" customFormat="1" ht="30.75">
      <c r="A95" s="165" t="s">
        <v>200</v>
      </c>
      <c r="B95" s="167"/>
      <c r="C95" s="168"/>
      <c r="D95" s="347">
        <v>0</v>
      </c>
      <c r="E95" s="348"/>
      <c r="F95" s="167"/>
      <c r="G95" s="347">
        <v>0</v>
      </c>
      <c r="H95" s="348"/>
      <c r="I95" s="167"/>
      <c r="J95" s="351">
        <v>0</v>
      </c>
      <c r="K95" s="351"/>
      <c r="L95" s="241"/>
    </row>
    <row r="96" spans="1:12" s="112" customFormat="1" ht="27" customHeight="1">
      <c r="A96" s="425" t="s">
        <v>288</v>
      </c>
      <c r="B96" s="436" t="s">
        <v>201</v>
      </c>
      <c r="C96" s="436"/>
      <c r="D96" s="437"/>
      <c r="E96" s="438" t="s">
        <v>202</v>
      </c>
      <c r="F96" s="439"/>
      <c r="G96" s="412"/>
      <c r="H96" s="438" t="s">
        <v>203</v>
      </c>
      <c r="I96" s="412"/>
      <c r="J96" s="375" t="s">
        <v>204</v>
      </c>
      <c r="K96" s="376"/>
      <c r="L96" s="241"/>
    </row>
    <row r="97" spans="1:12" s="112" customFormat="1" ht="13.5" customHeight="1">
      <c r="A97" s="426"/>
      <c r="B97" s="432" t="s">
        <v>205</v>
      </c>
      <c r="C97" s="433"/>
      <c r="D97" s="426"/>
      <c r="E97" s="432" t="s">
        <v>103</v>
      </c>
      <c r="F97" s="433"/>
      <c r="G97" s="426"/>
      <c r="H97" s="432" t="s">
        <v>206</v>
      </c>
      <c r="I97" s="426"/>
      <c r="J97" s="434" t="s">
        <v>207</v>
      </c>
      <c r="K97" s="435"/>
      <c r="L97" s="241"/>
    </row>
    <row r="98" spans="1:12" s="112" customFormat="1" ht="17.25" customHeight="1">
      <c r="A98" s="169" t="s">
        <v>208</v>
      </c>
      <c r="B98" s="427">
        <f>J45*0.7</f>
        <v>534737497.99399996</v>
      </c>
      <c r="C98" s="343"/>
      <c r="D98" s="344"/>
      <c r="E98" s="427">
        <f>G91</f>
        <v>420800335.97</v>
      </c>
      <c r="F98" s="343"/>
      <c r="G98" s="344"/>
      <c r="H98" s="343">
        <f>G91</f>
        <v>420800335.97</v>
      </c>
      <c r="I98" s="343"/>
      <c r="J98" s="440">
        <f>H98/J45*100</f>
        <v>55.08501578512923</v>
      </c>
      <c r="K98" s="349"/>
      <c r="L98" s="241"/>
    </row>
    <row r="99" spans="1:12" s="112" customFormat="1" ht="16.5" customHeight="1">
      <c r="A99" s="169" t="s">
        <v>209</v>
      </c>
      <c r="B99" s="452">
        <f>J52*0.15</f>
        <v>0</v>
      </c>
      <c r="C99" s="347"/>
      <c r="D99" s="348"/>
      <c r="E99" s="452">
        <f>G95</f>
        <v>0</v>
      </c>
      <c r="F99" s="347"/>
      <c r="G99" s="348"/>
      <c r="H99" s="453">
        <f>G95</f>
        <v>0</v>
      </c>
      <c r="I99" s="453"/>
      <c r="J99" s="446">
        <v>0</v>
      </c>
      <c r="K99" s="400"/>
      <c r="L99" s="241"/>
    </row>
    <row r="100" spans="1:12" s="112" customFormat="1" ht="25.5" customHeight="1">
      <c r="A100" s="425" t="s">
        <v>289</v>
      </c>
      <c r="B100" s="454" t="s">
        <v>210</v>
      </c>
      <c r="C100" s="454"/>
      <c r="D100" s="425"/>
      <c r="E100" s="375" t="s">
        <v>211</v>
      </c>
      <c r="F100" s="376"/>
      <c r="G100" s="377"/>
      <c r="H100" s="375" t="s">
        <v>212</v>
      </c>
      <c r="I100" s="377"/>
      <c r="J100" s="375" t="s">
        <v>213</v>
      </c>
      <c r="K100" s="376"/>
      <c r="L100" s="241"/>
    </row>
    <row r="101" spans="1:12" s="112" customFormat="1" ht="16.5" customHeight="1">
      <c r="A101" s="426"/>
      <c r="B101" s="432" t="s">
        <v>146</v>
      </c>
      <c r="C101" s="433"/>
      <c r="D101" s="426"/>
      <c r="E101" s="432" t="s">
        <v>214</v>
      </c>
      <c r="F101" s="433"/>
      <c r="G101" s="426"/>
      <c r="H101" s="432" t="s">
        <v>215</v>
      </c>
      <c r="I101" s="426"/>
      <c r="J101" s="434" t="s">
        <v>216</v>
      </c>
      <c r="K101" s="435"/>
      <c r="L101" s="271"/>
    </row>
    <row r="102" spans="1:12" s="112" customFormat="1" ht="19.5" customHeight="1">
      <c r="A102" s="170" t="s">
        <v>217</v>
      </c>
      <c r="B102" s="441">
        <f>J45*0.1</f>
        <v>76391071.142</v>
      </c>
      <c r="C102" s="442"/>
      <c r="D102" s="442"/>
      <c r="E102" s="441">
        <f>J45-(G92+G93+G94)</f>
        <v>167023561.39999998</v>
      </c>
      <c r="F102" s="442"/>
      <c r="G102" s="443"/>
      <c r="H102" s="444">
        <f>E102</f>
        <v>167023561.39999998</v>
      </c>
      <c r="I102" s="445"/>
      <c r="J102" s="446">
        <f>H102/J45*100</f>
        <v>21.864277971639805</v>
      </c>
      <c r="K102" s="400"/>
      <c r="L102" s="271"/>
    </row>
    <row r="103" spans="1:12" s="112" customFormat="1" ht="84" customHeight="1">
      <c r="A103" s="377" t="s">
        <v>290</v>
      </c>
      <c r="B103" s="375" t="s">
        <v>218</v>
      </c>
      <c r="C103" s="377"/>
      <c r="D103" s="375" t="s">
        <v>219</v>
      </c>
      <c r="E103" s="377"/>
      <c r="F103" s="375" t="s">
        <v>220</v>
      </c>
      <c r="G103" s="376"/>
      <c r="H103" s="375" t="s">
        <v>221</v>
      </c>
      <c r="I103" s="377"/>
      <c r="J103" s="233" t="s">
        <v>222</v>
      </c>
      <c r="K103" s="233" t="s">
        <v>211</v>
      </c>
      <c r="L103" s="241"/>
    </row>
    <row r="104" spans="1:12" s="112" customFormat="1" ht="16.5" customHeight="1">
      <c r="A104" s="412"/>
      <c r="B104" s="432" t="s">
        <v>223</v>
      </c>
      <c r="C104" s="426"/>
      <c r="D104" s="432" t="s">
        <v>224</v>
      </c>
      <c r="E104" s="426"/>
      <c r="F104" s="432" t="s">
        <v>225</v>
      </c>
      <c r="G104" s="433"/>
      <c r="H104" s="432" t="s">
        <v>226</v>
      </c>
      <c r="I104" s="426"/>
      <c r="J104" s="235" t="s">
        <v>227</v>
      </c>
      <c r="K104" s="236" t="s">
        <v>306</v>
      </c>
      <c r="L104" s="241"/>
    </row>
    <row r="105" spans="1:12" s="112" customFormat="1" ht="14.25" customHeight="1">
      <c r="A105" s="231" t="s">
        <v>228</v>
      </c>
      <c r="B105" s="447">
        <f>B106+B107</f>
        <v>410676603.826</v>
      </c>
      <c r="C105" s="448"/>
      <c r="D105" s="449">
        <f>D106+D107</f>
        <v>140796549.170001</v>
      </c>
      <c r="E105" s="450"/>
      <c r="F105" s="366">
        <f>F106+F107</f>
        <v>0</v>
      </c>
      <c r="G105" s="367"/>
      <c r="H105" s="447">
        <f>H106+H107</f>
        <v>0</v>
      </c>
      <c r="I105" s="448"/>
      <c r="J105" s="247">
        <f>J106+J107</f>
        <v>0</v>
      </c>
      <c r="K105" s="247">
        <f>D105-F105-J105</f>
        <v>140796549.170001</v>
      </c>
      <c r="L105" s="241"/>
    </row>
    <row r="106" spans="1:17" s="112" customFormat="1" ht="15">
      <c r="A106" s="165" t="s">
        <v>229</v>
      </c>
      <c r="B106" s="455">
        <f>410676603.826</f>
        <v>410676603.826</v>
      </c>
      <c r="C106" s="456"/>
      <c r="D106" s="455">
        <f>J58</f>
        <v>140796549.170001</v>
      </c>
      <c r="E106" s="456"/>
      <c r="F106" s="363">
        <v>0</v>
      </c>
      <c r="G106" s="364"/>
      <c r="H106" s="455">
        <v>0</v>
      </c>
      <c r="I106" s="456"/>
      <c r="J106" s="289">
        <v>0</v>
      </c>
      <c r="K106" s="289">
        <f>D106-F106-J106</f>
        <v>140796549.170001</v>
      </c>
      <c r="L106" s="497"/>
      <c r="M106" s="498"/>
      <c r="N106" s="498"/>
      <c r="O106" s="498"/>
      <c r="P106" s="498"/>
      <c r="Q106" s="499"/>
    </row>
    <row r="107" spans="1:12" s="112" customFormat="1" ht="15">
      <c r="A107" s="165" t="s">
        <v>230</v>
      </c>
      <c r="B107" s="452">
        <v>0</v>
      </c>
      <c r="C107" s="348"/>
      <c r="D107" s="452">
        <v>0</v>
      </c>
      <c r="E107" s="348"/>
      <c r="F107" s="387">
        <v>0</v>
      </c>
      <c r="G107" s="362"/>
      <c r="H107" s="452">
        <v>0</v>
      </c>
      <c r="I107" s="348"/>
      <c r="J107" s="249">
        <v>0</v>
      </c>
      <c r="K107" s="249">
        <f>D107-F107-J107</f>
        <v>0</v>
      </c>
      <c r="L107" s="241"/>
    </row>
    <row r="108" spans="1:12" s="112" customFormat="1" ht="12" customHeight="1">
      <c r="A108" s="171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241"/>
    </row>
    <row r="109" spans="1:12" s="112" customFormat="1" ht="15.75" customHeight="1">
      <c r="A109" s="451" t="s">
        <v>231</v>
      </c>
      <c r="B109" s="451"/>
      <c r="C109" s="451"/>
      <c r="D109" s="451"/>
      <c r="E109" s="451"/>
      <c r="F109" s="451"/>
      <c r="G109" s="451"/>
      <c r="H109" s="451"/>
      <c r="I109" s="451"/>
      <c r="J109" s="451"/>
      <c r="K109" s="237"/>
      <c r="L109" s="241"/>
    </row>
    <row r="110" spans="1:12" s="112" customFormat="1" ht="31.5" customHeight="1">
      <c r="A110" s="377" t="s">
        <v>291</v>
      </c>
      <c r="B110" s="414" t="s">
        <v>186</v>
      </c>
      <c r="C110" s="415"/>
      <c r="D110" s="375" t="s">
        <v>87</v>
      </c>
      <c r="E110" s="377"/>
      <c r="F110" s="375" t="s">
        <v>88</v>
      </c>
      <c r="G110" s="376"/>
      <c r="H110" s="377"/>
      <c r="I110" s="416" t="s">
        <v>143</v>
      </c>
      <c r="J110" s="417"/>
      <c r="K110" s="417"/>
      <c r="L110" s="241"/>
    </row>
    <row r="111" spans="1:12" s="112" customFormat="1" ht="15">
      <c r="A111" s="412"/>
      <c r="B111" s="393"/>
      <c r="C111" s="380"/>
      <c r="D111" s="378" t="s">
        <v>15</v>
      </c>
      <c r="E111" s="380"/>
      <c r="F111" s="378" t="s">
        <v>15</v>
      </c>
      <c r="G111" s="379"/>
      <c r="H111" s="380"/>
      <c r="I111" s="418" t="s">
        <v>15</v>
      </c>
      <c r="J111" s="419"/>
      <c r="K111" s="419"/>
      <c r="L111" s="241"/>
    </row>
    <row r="112" spans="1:12" s="112" customFormat="1" ht="15">
      <c r="A112" s="413"/>
      <c r="B112" s="404" t="s">
        <v>19</v>
      </c>
      <c r="C112" s="405"/>
      <c r="D112" s="403" t="s">
        <v>97</v>
      </c>
      <c r="E112" s="405"/>
      <c r="F112" s="378" t="s">
        <v>98</v>
      </c>
      <c r="G112" s="379"/>
      <c r="H112" s="380"/>
      <c r="I112" s="420" t="s">
        <v>99</v>
      </c>
      <c r="J112" s="421"/>
      <c r="K112" s="421"/>
      <c r="L112" s="241"/>
    </row>
    <row r="113" spans="1:14" s="112" customFormat="1" ht="15">
      <c r="A113" s="153" t="s">
        <v>232</v>
      </c>
      <c r="B113" s="457">
        <f>B114+B115</f>
        <v>0</v>
      </c>
      <c r="C113" s="458"/>
      <c r="D113" s="457">
        <f>D114+D115</f>
        <v>0</v>
      </c>
      <c r="E113" s="458"/>
      <c r="F113" s="251"/>
      <c r="G113" s="486">
        <f>G114+G115</f>
        <v>0</v>
      </c>
      <c r="H113" s="458"/>
      <c r="I113" s="252"/>
      <c r="J113" s="487">
        <f>J114+J115</f>
        <v>0</v>
      </c>
      <c r="K113" s="487"/>
      <c r="L113" s="241"/>
      <c r="M113" s="429"/>
      <c r="N113" s="429"/>
    </row>
    <row r="114" spans="1:14" s="112" customFormat="1" ht="15">
      <c r="A114" s="150" t="s">
        <v>233</v>
      </c>
      <c r="B114" s="368">
        <v>0</v>
      </c>
      <c r="C114" s="358"/>
      <c r="D114" s="368">
        <v>0</v>
      </c>
      <c r="E114" s="358"/>
      <c r="F114" s="253"/>
      <c r="G114" s="357">
        <v>0</v>
      </c>
      <c r="H114" s="358"/>
      <c r="I114" s="252"/>
      <c r="J114" s="337">
        <v>0</v>
      </c>
      <c r="K114" s="337"/>
      <c r="L114" s="241"/>
      <c r="M114" s="429"/>
      <c r="N114" s="429"/>
    </row>
    <row r="115" spans="1:14" s="112" customFormat="1" ht="15">
      <c r="A115" s="150" t="s">
        <v>234</v>
      </c>
      <c r="B115" s="368">
        <v>0</v>
      </c>
      <c r="C115" s="358"/>
      <c r="D115" s="368">
        <v>0</v>
      </c>
      <c r="E115" s="358"/>
      <c r="F115" s="253"/>
      <c r="G115" s="357">
        <v>0</v>
      </c>
      <c r="H115" s="358"/>
      <c r="I115" s="252"/>
      <c r="J115" s="337">
        <v>0</v>
      </c>
      <c r="K115" s="337"/>
      <c r="L115" s="241"/>
      <c r="M115" s="429"/>
      <c r="N115" s="429"/>
    </row>
    <row r="116" spans="1:14" s="112" customFormat="1" ht="15">
      <c r="A116" s="150" t="s">
        <v>235</v>
      </c>
      <c r="B116" s="368">
        <f>31214640</f>
        <v>31214640</v>
      </c>
      <c r="C116" s="358"/>
      <c r="D116" s="368">
        <f>2018605.46</f>
        <v>2018605.46</v>
      </c>
      <c r="E116" s="358"/>
      <c r="F116" s="253"/>
      <c r="G116" s="357">
        <f>2018605.46</f>
        <v>2018605.46</v>
      </c>
      <c r="H116" s="358"/>
      <c r="I116" s="252"/>
      <c r="J116" s="337">
        <f>2018605.46</f>
        <v>2018605.46</v>
      </c>
      <c r="K116" s="337"/>
      <c r="L116" s="241"/>
      <c r="M116" s="429"/>
      <c r="N116" s="429"/>
    </row>
    <row r="117" spans="1:14" s="112" customFormat="1" ht="15">
      <c r="A117" s="150" t="s">
        <v>236</v>
      </c>
      <c r="B117" s="368">
        <f>214037531.14</f>
        <v>214037531.14</v>
      </c>
      <c r="C117" s="358"/>
      <c r="D117" s="368">
        <f>34244071.22</f>
        <v>34244071.22</v>
      </c>
      <c r="E117" s="358"/>
      <c r="F117" s="253"/>
      <c r="G117" s="357">
        <f>34155066.22</f>
        <v>34155066.22</v>
      </c>
      <c r="H117" s="358"/>
      <c r="I117" s="252"/>
      <c r="J117" s="337">
        <f>33699697.31</f>
        <v>33699697.31</v>
      </c>
      <c r="K117" s="337"/>
      <c r="L117" s="241"/>
      <c r="M117" s="429"/>
      <c r="N117" s="429"/>
    </row>
    <row r="118" spans="1:14" s="112" customFormat="1" ht="15">
      <c r="A118" s="150" t="s">
        <v>237</v>
      </c>
      <c r="B118" s="368">
        <f>358419562.86</f>
        <v>358419562.86</v>
      </c>
      <c r="C118" s="358"/>
      <c r="D118" s="368">
        <f>142422557.93</f>
        <v>142422557.93</v>
      </c>
      <c r="E118" s="358"/>
      <c r="F118" s="253"/>
      <c r="G118" s="357">
        <f>31663147.18</f>
        <v>31663147.18</v>
      </c>
      <c r="H118" s="358"/>
      <c r="I118" s="252"/>
      <c r="J118" s="337">
        <f>30746396.78</f>
        <v>30746396.78</v>
      </c>
      <c r="K118" s="337"/>
      <c r="L118" s="241"/>
      <c r="M118" s="429"/>
      <c r="N118" s="429"/>
    </row>
    <row r="119" spans="1:14" s="112" customFormat="1" ht="15">
      <c r="A119" s="173" t="s">
        <v>238</v>
      </c>
      <c r="B119" s="368">
        <f>108748563</f>
        <v>108748563</v>
      </c>
      <c r="C119" s="358"/>
      <c r="D119" s="368">
        <f>3732920.51</f>
        <v>3732920.51</v>
      </c>
      <c r="E119" s="358"/>
      <c r="F119" s="253"/>
      <c r="G119" s="357">
        <f>715845.64</f>
        <v>715845.64</v>
      </c>
      <c r="H119" s="358"/>
      <c r="I119" s="248"/>
      <c r="J119" s="337">
        <f>49833.18</f>
        <v>49833.18</v>
      </c>
      <c r="K119" s="337"/>
      <c r="L119" s="241"/>
      <c r="M119" s="429"/>
      <c r="N119" s="429"/>
    </row>
    <row r="120" spans="1:12" s="112" customFormat="1" ht="15">
      <c r="A120" s="272" t="s">
        <v>310</v>
      </c>
      <c r="B120" s="368">
        <f>3147897393</f>
        <v>3147897393</v>
      </c>
      <c r="C120" s="358"/>
      <c r="D120" s="368">
        <f>1338537111.79</f>
        <v>1338537111.79</v>
      </c>
      <c r="E120" s="358"/>
      <c r="F120" s="273"/>
      <c r="G120" s="357">
        <f>358509901.25</f>
        <v>358509901.25</v>
      </c>
      <c r="H120" s="358"/>
      <c r="I120" s="273"/>
      <c r="J120" s="337">
        <f>317080345.84</f>
        <v>317080345.84</v>
      </c>
      <c r="K120" s="337"/>
      <c r="L120" s="241"/>
    </row>
    <row r="121" spans="1:12" s="112" customFormat="1" ht="15">
      <c r="A121" s="174" t="s">
        <v>311</v>
      </c>
      <c r="B121" s="470">
        <f>B113+B116+B117+B118+B119+B120</f>
        <v>3860317690</v>
      </c>
      <c r="C121" s="479"/>
      <c r="D121" s="470">
        <f>D113+D116+D117+D118+D119+D120</f>
        <v>1520955266.9099998</v>
      </c>
      <c r="E121" s="479"/>
      <c r="F121" s="254"/>
      <c r="G121" s="464">
        <f>G113+G116+G117+G118+G119+G120</f>
        <v>427062565.75</v>
      </c>
      <c r="H121" s="479"/>
      <c r="I121" s="259"/>
      <c r="J121" s="389">
        <f>J113+J116+J117+J118+J119+J120</f>
        <v>383594878.57</v>
      </c>
      <c r="K121" s="389"/>
      <c r="L121" s="241"/>
    </row>
    <row r="122" spans="1:12" s="112" customFormat="1" ht="15">
      <c r="A122" s="213"/>
      <c r="B122" s="213"/>
      <c r="C122" s="213"/>
      <c r="D122" s="213"/>
      <c r="E122" s="213"/>
      <c r="F122" s="213"/>
      <c r="G122" s="213"/>
      <c r="H122" s="213"/>
      <c r="I122" s="219"/>
      <c r="J122" s="219"/>
      <c r="K122" s="230" t="s">
        <v>293</v>
      </c>
      <c r="L122" s="241"/>
    </row>
    <row r="123" spans="1:12" s="112" customFormat="1" ht="15">
      <c r="A123" s="213"/>
      <c r="B123" s="213"/>
      <c r="C123" s="213"/>
      <c r="D123" s="213"/>
      <c r="E123" s="213"/>
      <c r="F123" s="213"/>
      <c r="G123" s="213"/>
      <c r="H123" s="213"/>
      <c r="I123" s="219"/>
      <c r="J123" s="219"/>
      <c r="K123" s="219"/>
      <c r="L123" s="241"/>
    </row>
    <row r="124" s="241" customFormat="1" ht="15">
      <c r="K124" s="209"/>
    </row>
    <row r="125" spans="1:11" s="241" customFormat="1" ht="15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</row>
    <row r="126" spans="1:11" s="241" customFormat="1" ht="15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09" t="s">
        <v>287</v>
      </c>
    </row>
    <row r="127" spans="1:11" s="241" customFormat="1" ht="15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</row>
    <row r="128" spans="1:11" s="241" customFormat="1" ht="15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</row>
    <row r="129" spans="1:11" s="241" customFormat="1" ht="15">
      <c r="A129" s="422" t="str">
        <f>A69</f>
        <v>GOVERNO DO ESTADO DO RIO DE JANEIRO</v>
      </c>
      <c r="B129" s="422"/>
      <c r="C129" s="422"/>
      <c r="D129" s="422"/>
      <c r="E129" s="422"/>
      <c r="F129" s="422"/>
      <c r="G129" s="422"/>
      <c r="H129" s="422"/>
      <c r="I129" s="422"/>
      <c r="J129" s="422"/>
      <c r="K129" s="422"/>
    </row>
    <row r="130" spans="1:11" s="241" customFormat="1" ht="15">
      <c r="A130" s="422" t="str">
        <f>A70</f>
        <v>RELATÓRIO RESUMIDO DA EXECUÇÃO ORÇAMENTÁRIA</v>
      </c>
      <c r="B130" s="422"/>
      <c r="C130" s="422"/>
      <c r="D130" s="422"/>
      <c r="E130" s="422"/>
      <c r="F130" s="422"/>
      <c r="G130" s="422"/>
      <c r="H130" s="422"/>
      <c r="I130" s="422"/>
      <c r="J130" s="422"/>
      <c r="K130" s="422"/>
    </row>
    <row r="131" spans="1:11" s="241" customFormat="1" ht="15">
      <c r="A131" s="342" t="str">
        <f>A71</f>
        <v>DEMONSTRATIVO DAS RECEITAS E DESPESAS COM MANUTENÇÃO E DESENVOLVIMENTO DO ENSINO - MDE</v>
      </c>
      <c r="B131" s="342"/>
      <c r="C131" s="342"/>
      <c r="D131" s="342"/>
      <c r="E131" s="342"/>
      <c r="F131" s="342"/>
      <c r="G131" s="342"/>
      <c r="H131" s="342"/>
      <c r="I131" s="342"/>
      <c r="J131" s="342"/>
      <c r="K131" s="342"/>
    </row>
    <row r="132" spans="1:11" s="241" customFormat="1" ht="15">
      <c r="A132" s="422" t="str">
        <f>A72</f>
        <v>ORÇAMENTOS FISCAL E DA SEGURIDADE SOCIAL</v>
      </c>
      <c r="B132" s="422"/>
      <c r="C132" s="422"/>
      <c r="D132" s="422"/>
      <c r="E132" s="422"/>
      <c r="F132" s="422"/>
      <c r="G132" s="422"/>
      <c r="H132" s="422"/>
      <c r="I132" s="422"/>
      <c r="J132" s="422"/>
      <c r="K132" s="422"/>
    </row>
    <row r="133" spans="1:11" s="241" customFormat="1" ht="15">
      <c r="A133" s="422" t="str">
        <f>A73</f>
        <v>JANEIRO A FEVEREIRO 2022/BIMESTRE JANEIRO - FEVEREIRO</v>
      </c>
      <c r="B133" s="422"/>
      <c r="C133" s="422"/>
      <c r="D133" s="422"/>
      <c r="E133" s="422"/>
      <c r="F133" s="422"/>
      <c r="G133" s="422"/>
      <c r="H133" s="422"/>
      <c r="I133" s="422"/>
      <c r="J133" s="422"/>
      <c r="K133" s="422"/>
    </row>
    <row r="134" spans="1:11" s="241" customFormat="1" ht="1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09" t="str">
        <f>K74</f>
        <v>Emissão: 25/03/2022</v>
      </c>
    </row>
    <row r="135" spans="1:11" s="241" customFormat="1" ht="15">
      <c r="A135" s="3" t="s">
        <v>147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1">
        <f>K75</f>
        <v>1</v>
      </c>
    </row>
    <row r="136" spans="1:16" s="112" customFormat="1" ht="12.75">
      <c r="A136" s="376" t="s">
        <v>239</v>
      </c>
      <c r="B136" s="376"/>
      <c r="C136" s="376"/>
      <c r="D136" s="376"/>
      <c r="E136" s="376"/>
      <c r="F136" s="376"/>
      <c r="G136" s="376"/>
      <c r="H136" s="377"/>
      <c r="I136" s="375" t="s">
        <v>142</v>
      </c>
      <c r="J136" s="376"/>
      <c r="K136" s="376"/>
      <c r="L136" s="275"/>
      <c r="M136" s="276"/>
      <c r="N136" s="276"/>
      <c r="O136" s="276"/>
      <c r="P136" s="276"/>
    </row>
    <row r="137" spans="1:16" s="112" customFormat="1" ht="12.75">
      <c r="A137" s="435"/>
      <c r="B137" s="435"/>
      <c r="C137" s="435"/>
      <c r="D137" s="435"/>
      <c r="E137" s="435"/>
      <c r="F137" s="435"/>
      <c r="G137" s="435"/>
      <c r="H137" s="413"/>
      <c r="I137" s="434"/>
      <c r="J137" s="435"/>
      <c r="K137" s="435"/>
      <c r="L137" s="275"/>
      <c r="M137" s="276"/>
      <c r="N137" s="276"/>
      <c r="O137" s="276"/>
      <c r="P137" s="276"/>
    </row>
    <row r="138" spans="1:16" s="112" customFormat="1" ht="18" customHeight="1">
      <c r="A138" s="482" t="s">
        <v>320</v>
      </c>
      <c r="B138" s="482"/>
      <c r="C138" s="482"/>
      <c r="D138" s="482"/>
      <c r="E138" s="482"/>
      <c r="F138" s="482"/>
      <c r="G138" s="482"/>
      <c r="H138" s="483"/>
      <c r="I138" s="176"/>
      <c r="J138" s="486">
        <f>G92+G121+H106</f>
        <v>1023949715.77</v>
      </c>
      <c r="K138" s="486"/>
      <c r="L138" s="275"/>
      <c r="M138" s="501"/>
      <c r="N138" s="501"/>
      <c r="O138" s="276"/>
      <c r="P138" s="276"/>
    </row>
    <row r="139" spans="1:16" s="112" customFormat="1" ht="18" customHeight="1">
      <c r="A139" s="459" t="s">
        <v>312</v>
      </c>
      <c r="B139" s="459"/>
      <c r="C139" s="459"/>
      <c r="D139" s="459"/>
      <c r="E139" s="459"/>
      <c r="F139" s="459"/>
      <c r="G139" s="459"/>
      <c r="H139" s="460"/>
      <c r="I139" s="176"/>
      <c r="J139" s="407">
        <f>J55</f>
        <v>-992808173.52</v>
      </c>
      <c r="K139" s="407"/>
      <c r="L139" s="275"/>
      <c r="M139" s="495"/>
      <c r="N139" s="495"/>
      <c r="O139" s="276"/>
      <c r="P139" s="276"/>
    </row>
    <row r="140" spans="1:16" s="112" customFormat="1" ht="18" customHeight="1">
      <c r="A140" s="459" t="s">
        <v>313</v>
      </c>
      <c r="B140" s="459"/>
      <c r="C140" s="459"/>
      <c r="D140" s="459"/>
      <c r="E140" s="459"/>
      <c r="F140" s="459"/>
      <c r="G140" s="459"/>
      <c r="H140" s="460"/>
      <c r="I140" s="176"/>
      <c r="J140" s="371">
        <v>0</v>
      </c>
      <c r="K140" s="371"/>
      <c r="L140" s="275"/>
      <c r="M140" s="495"/>
      <c r="N140" s="495"/>
      <c r="O140" s="276"/>
      <c r="P140" s="276"/>
    </row>
    <row r="141" spans="1:16" s="112" customFormat="1" ht="18" customHeight="1">
      <c r="A141" s="459" t="s">
        <v>314</v>
      </c>
      <c r="B141" s="459"/>
      <c r="C141" s="459"/>
      <c r="D141" s="459"/>
      <c r="E141" s="459"/>
      <c r="F141" s="459"/>
      <c r="G141" s="459"/>
      <c r="H141" s="460"/>
      <c r="I141" s="176"/>
      <c r="J141" s="371">
        <v>0</v>
      </c>
      <c r="K141" s="371"/>
      <c r="L141" s="275"/>
      <c r="M141" s="495"/>
      <c r="N141" s="495"/>
      <c r="O141" s="276"/>
      <c r="P141" s="276"/>
    </row>
    <row r="142" spans="1:16" s="112" customFormat="1" ht="18" customHeight="1">
      <c r="A142" s="461" t="s">
        <v>315</v>
      </c>
      <c r="B142" s="461"/>
      <c r="C142" s="461"/>
      <c r="D142" s="461"/>
      <c r="E142" s="461"/>
      <c r="F142" s="461"/>
      <c r="G142" s="461"/>
      <c r="H142" s="462"/>
      <c r="I142" s="176"/>
      <c r="J142" s="361">
        <f>27941.16</f>
        <v>27941.16</v>
      </c>
      <c r="K142" s="361"/>
      <c r="L142" s="275">
        <f>J142-H160-H158-H157-H156-H161</f>
        <v>0</v>
      </c>
      <c r="M142" s="501"/>
      <c r="N142" s="501"/>
      <c r="O142" s="276"/>
      <c r="P142" s="276"/>
    </row>
    <row r="143" spans="1:16" s="112" customFormat="1" ht="18" customHeight="1">
      <c r="A143" s="484" t="s">
        <v>316</v>
      </c>
      <c r="B143" s="484"/>
      <c r="C143" s="484"/>
      <c r="D143" s="484"/>
      <c r="E143" s="484"/>
      <c r="F143" s="484"/>
      <c r="G143" s="484"/>
      <c r="H143" s="485"/>
      <c r="I143" s="221"/>
      <c r="J143" s="464">
        <f>(J138-(J139+J140+J141+J142))</f>
        <v>2016729948.13</v>
      </c>
      <c r="K143" s="464"/>
      <c r="L143" s="275"/>
      <c r="M143" s="495"/>
      <c r="N143" s="495"/>
      <c r="O143" s="276"/>
      <c r="P143" s="276"/>
    </row>
    <row r="144" spans="1:16" s="112" customFormat="1" ht="9.75" customHeight="1">
      <c r="A144" s="179"/>
      <c r="B144" s="180"/>
      <c r="C144" s="180"/>
      <c r="D144" s="180"/>
      <c r="E144" s="180"/>
      <c r="F144" s="180"/>
      <c r="G144" s="175"/>
      <c r="H144" s="175"/>
      <c r="I144" s="175"/>
      <c r="J144" s="175"/>
      <c r="K144" s="175"/>
      <c r="L144" s="275"/>
      <c r="M144" s="495"/>
      <c r="N144" s="495"/>
      <c r="O144" s="276"/>
      <c r="P144" s="276"/>
    </row>
    <row r="145" spans="1:16" s="112" customFormat="1" ht="15" customHeight="1">
      <c r="A145" s="376" t="s">
        <v>296</v>
      </c>
      <c r="B145" s="376"/>
      <c r="C145" s="377"/>
      <c r="D145" s="463" t="s">
        <v>201</v>
      </c>
      <c r="E145" s="454"/>
      <c r="F145" s="454"/>
      <c r="G145" s="425"/>
      <c r="H145" s="375" t="s">
        <v>202</v>
      </c>
      <c r="I145" s="377"/>
      <c r="J145" s="375" t="s">
        <v>204</v>
      </c>
      <c r="K145" s="376"/>
      <c r="L145" s="275"/>
      <c r="M145" s="495"/>
      <c r="N145" s="495"/>
      <c r="O145" s="276"/>
      <c r="P145" s="276"/>
    </row>
    <row r="146" spans="1:16" s="112" customFormat="1" ht="15" customHeight="1">
      <c r="A146" s="435"/>
      <c r="B146" s="435"/>
      <c r="C146" s="413"/>
      <c r="D146" s="432" t="s">
        <v>240</v>
      </c>
      <c r="E146" s="433"/>
      <c r="F146" s="433"/>
      <c r="G146" s="426"/>
      <c r="H146" s="432" t="s">
        <v>241</v>
      </c>
      <c r="I146" s="426"/>
      <c r="J146" s="434" t="s">
        <v>242</v>
      </c>
      <c r="K146" s="435"/>
      <c r="L146" s="275"/>
      <c r="M146" s="495"/>
      <c r="N146" s="495"/>
      <c r="O146" s="276"/>
      <c r="P146" s="276"/>
    </row>
    <row r="147" spans="1:16" s="112" customFormat="1" ht="15" customHeight="1">
      <c r="A147" s="222" t="s">
        <v>243</v>
      </c>
      <c r="B147" s="182"/>
      <c r="C147" s="182"/>
      <c r="D147" s="467">
        <f>0.25*(J35)</f>
        <v>2245506309.5825</v>
      </c>
      <c r="E147" s="468"/>
      <c r="F147" s="468"/>
      <c r="G147" s="469"/>
      <c r="H147" s="467">
        <f>J143</f>
        <v>2016729948.13</v>
      </c>
      <c r="I147" s="469"/>
      <c r="J147" s="470">
        <f>(J143/J35)*100</f>
        <v>22.452953477839085</v>
      </c>
      <c r="K147" s="464"/>
      <c r="L147" s="275"/>
      <c r="M147" s="495"/>
      <c r="N147" s="495"/>
      <c r="O147" s="276"/>
      <c r="P147" s="276"/>
    </row>
    <row r="148" spans="1:16" s="112" customFormat="1" ht="15" customHeight="1">
      <c r="A148" s="181"/>
      <c r="B148" s="182"/>
      <c r="C148" s="182"/>
      <c r="D148" s="183"/>
      <c r="E148" s="168"/>
      <c r="F148" s="168"/>
      <c r="G148" s="168"/>
      <c r="H148" s="168"/>
      <c r="I148" s="168"/>
      <c r="J148" s="184"/>
      <c r="K148" s="184"/>
      <c r="L148" s="275"/>
      <c r="M148" s="276"/>
      <c r="N148" s="276"/>
      <c r="O148" s="276"/>
      <c r="P148" s="276"/>
    </row>
    <row r="149" spans="1:16" s="112" customFormat="1" ht="15" customHeight="1">
      <c r="A149" s="377" t="s">
        <v>297</v>
      </c>
      <c r="B149" s="463" t="s">
        <v>244</v>
      </c>
      <c r="C149" s="454"/>
      <c r="D149" s="463" t="s">
        <v>245</v>
      </c>
      <c r="E149" s="425"/>
      <c r="F149" s="454" t="s">
        <v>246</v>
      </c>
      <c r="G149" s="454"/>
      <c r="H149" s="375" t="s">
        <v>247</v>
      </c>
      <c r="I149" s="377"/>
      <c r="J149" s="375" t="s">
        <v>248</v>
      </c>
      <c r="K149" s="376"/>
      <c r="L149" s="275"/>
      <c r="M149" s="276"/>
      <c r="N149" s="276"/>
      <c r="O149" s="276"/>
      <c r="P149" s="276"/>
    </row>
    <row r="150" spans="1:16" s="112" customFormat="1" ht="15.75" customHeight="1">
      <c r="A150" s="412"/>
      <c r="B150" s="465"/>
      <c r="C150" s="466"/>
      <c r="D150" s="465"/>
      <c r="E150" s="437"/>
      <c r="F150" s="466"/>
      <c r="G150" s="466"/>
      <c r="H150" s="438"/>
      <c r="I150" s="412"/>
      <c r="J150" s="438"/>
      <c r="K150" s="431"/>
      <c r="L150" s="275"/>
      <c r="M150" s="276"/>
      <c r="N150" s="276"/>
      <c r="O150" s="276"/>
      <c r="P150" s="276"/>
    </row>
    <row r="151" spans="1:16" s="112" customFormat="1" ht="15" customHeight="1">
      <c r="A151" s="413"/>
      <c r="B151" s="432" t="s">
        <v>249</v>
      </c>
      <c r="C151" s="426"/>
      <c r="D151" s="432" t="s">
        <v>250</v>
      </c>
      <c r="E151" s="426"/>
      <c r="F151" s="434" t="s">
        <v>251</v>
      </c>
      <c r="G151" s="435"/>
      <c r="H151" s="434" t="s">
        <v>252</v>
      </c>
      <c r="I151" s="413"/>
      <c r="J151" s="434" t="s">
        <v>308</v>
      </c>
      <c r="K151" s="435"/>
      <c r="L151" s="275"/>
      <c r="M151" s="276"/>
      <c r="N151" s="276"/>
      <c r="O151" s="276"/>
      <c r="P151" s="276"/>
    </row>
    <row r="152" spans="1:16" s="112" customFormat="1" ht="15" customHeight="1">
      <c r="A152" s="232" t="s">
        <v>253</v>
      </c>
      <c r="B152" s="473">
        <f>B153+B162+B164</f>
        <v>1872043323.1899998</v>
      </c>
      <c r="C152" s="406"/>
      <c r="D152" s="473">
        <f>D153+D162+D164</f>
        <v>2215214.85</v>
      </c>
      <c r="E152" s="406"/>
      <c r="F152" s="473">
        <f>F153+F162+F164</f>
        <v>257639104.19</v>
      </c>
      <c r="G152" s="406"/>
      <c r="H152" s="473">
        <f>H153+H162+H164</f>
        <v>27941.16</v>
      </c>
      <c r="I152" s="406"/>
      <c r="J152" s="473">
        <f>J153+J162+J164</f>
        <v>1614376277.84</v>
      </c>
      <c r="K152" s="369"/>
      <c r="L152" s="275"/>
      <c r="M152" s="276"/>
      <c r="N152" s="276"/>
      <c r="O152" s="276"/>
      <c r="P152" s="276"/>
    </row>
    <row r="153" spans="1:16" s="112" customFormat="1" ht="15" customHeight="1">
      <c r="A153" s="185" t="s">
        <v>254</v>
      </c>
      <c r="B153" s="335">
        <f>SUM(B154:B161)</f>
        <v>1646447434.4399998</v>
      </c>
      <c r="C153" s="336"/>
      <c r="D153" s="335">
        <f>SUM(D154:D161)</f>
        <v>2212214.85</v>
      </c>
      <c r="E153" s="336"/>
      <c r="F153" s="335">
        <f>SUM(F154:F161)</f>
        <v>35846043.01</v>
      </c>
      <c r="G153" s="336"/>
      <c r="H153" s="335">
        <f>SUM(H154:H161)</f>
        <v>27941.16</v>
      </c>
      <c r="I153" s="336"/>
      <c r="J153" s="335">
        <f>SUM(J154:J161)</f>
        <v>1610573450.27</v>
      </c>
      <c r="K153" s="382"/>
      <c r="L153" s="275"/>
      <c r="M153" s="276"/>
      <c r="N153" s="276"/>
      <c r="O153" s="276"/>
      <c r="P153" s="276"/>
    </row>
    <row r="154" spans="1:16" s="112" customFormat="1" ht="15" customHeight="1">
      <c r="A154" s="185" t="s">
        <v>321</v>
      </c>
      <c r="B154" s="335">
        <f>1228069.46</f>
        <v>1228069.46</v>
      </c>
      <c r="C154" s="336"/>
      <c r="D154" s="335">
        <v>0</v>
      </c>
      <c r="E154" s="336"/>
      <c r="F154" s="335">
        <v>0</v>
      </c>
      <c r="G154" s="336"/>
      <c r="H154" s="335">
        <v>0</v>
      </c>
      <c r="I154" s="336"/>
      <c r="J154" s="335">
        <f>B154-F154-H154</f>
        <v>1228069.46</v>
      </c>
      <c r="K154" s="337"/>
      <c r="L154" s="275"/>
      <c r="M154" s="276"/>
      <c r="N154" s="276"/>
      <c r="O154" s="276"/>
      <c r="P154" s="276"/>
    </row>
    <row r="155" spans="1:16" s="112" customFormat="1" ht="15" customHeight="1">
      <c r="A155" s="185" t="s">
        <v>322</v>
      </c>
      <c r="B155" s="335">
        <f>7815970.92</f>
        <v>7815970.92</v>
      </c>
      <c r="C155" s="336"/>
      <c r="D155" s="335">
        <v>0</v>
      </c>
      <c r="E155" s="336"/>
      <c r="F155" s="335">
        <v>0</v>
      </c>
      <c r="G155" s="336"/>
      <c r="H155" s="335">
        <v>0</v>
      </c>
      <c r="I155" s="336"/>
      <c r="J155" s="335">
        <f aca="true" t="shared" si="0" ref="J155:J160">B155-F155-H155</f>
        <v>7815970.92</v>
      </c>
      <c r="K155" s="337"/>
      <c r="L155" s="275"/>
      <c r="M155" s="276"/>
      <c r="N155" s="276"/>
      <c r="O155" s="276"/>
      <c r="P155" s="276"/>
    </row>
    <row r="156" spans="1:16" s="112" customFormat="1" ht="15" customHeight="1">
      <c r="A156" s="185" t="s">
        <v>323</v>
      </c>
      <c r="B156" s="335">
        <f>9810659.34</f>
        <v>9810659.34</v>
      </c>
      <c r="C156" s="336"/>
      <c r="D156" s="335">
        <v>0</v>
      </c>
      <c r="E156" s="336"/>
      <c r="F156" s="335">
        <v>0</v>
      </c>
      <c r="G156" s="336"/>
      <c r="H156" s="335">
        <v>0</v>
      </c>
      <c r="I156" s="336"/>
      <c r="J156" s="335">
        <f t="shared" si="0"/>
        <v>9810659.34</v>
      </c>
      <c r="K156" s="337"/>
      <c r="L156" s="275"/>
      <c r="M156" s="276"/>
      <c r="N156" s="276"/>
      <c r="O156" s="276"/>
      <c r="P156" s="276"/>
    </row>
    <row r="157" spans="1:16" s="112" customFormat="1" ht="15" customHeight="1">
      <c r="A157" s="185" t="s">
        <v>324</v>
      </c>
      <c r="B157" s="335">
        <f>452365419.21</f>
        <v>452365419.21</v>
      </c>
      <c r="C157" s="336"/>
      <c r="D157" s="335">
        <v>0</v>
      </c>
      <c r="E157" s="336"/>
      <c r="F157" s="335">
        <v>0</v>
      </c>
      <c r="G157" s="336"/>
      <c r="H157" s="335">
        <v>0</v>
      </c>
      <c r="I157" s="336"/>
      <c r="J157" s="335">
        <f t="shared" si="0"/>
        <v>452365419.21</v>
      </c>
      <c r="K157" s="337"/>
      <c r="L157" s="275"/>
      <c r="M157" s="276"/>
      <c r="N157" s="276"/>
      <c r="O157" s="276"/>
      <c r="P157" s="276"/>
    </row>
    <row r="158" spans="1:16" s="112" customFormat="1" ht="15" customHeight="1">
      <c r="A158" s="185" t="s">
        <v>325</v>
      </c>
      <c r="B158" s="335">
        <f>790077620.29</f>
        <v>790077620.29</v>
      </c>
      <c r="C158" s="336"/>
      <c r="D158" s="335">
        <v>0</v>
      </c>
      <c r="E158" s="336"/>
      <c r="F158" s="335">
        <f>1815650.66</f>
        <v>1815650.66</v>
      </c>
      <c r="G158" s="336"/>
      <c r="H158" s="335">
        <v>0</v>
      </c>
      <c r="I158" s="336"/>
      <c r="J158" s="335">
        <f t="shared" si="0"/>
        <v>788261969.63</v>
      </c>
      <c r="K158" s="337"/>
      <c r="L158" s="275"/>
      <c r="M158" s="276"/>
      <c r="N158" s="276"/>
      <c r="O158" s="276"/>
      <c r="P158" s="276"/>
    </row>
    <row r="159" spans="1:16" s="112" customFormat="1" ht="15" customHeight="1">
      <c r="A159" s="185" t="s">
        <v>326</v>
      </c>
      <c r="B159" s="335">
        <f>291966095.77</f>
        <v>291966095.77</v>
      </c>
      <c r="C159" s="336"/>
      <c r="D159" s="335">
        <v>0</v>
      </c>
      <c r="E159" s="336"/>
      <c r="F159" s="335">
        <f>8000</f>
        <v>8000</v>
      </c>
      <c r="G159" s="336"/>
      <c r="H159" s="335">
        <v>0</v>
      </c>
      <c r="I159" s="336"/>
      <c r="J159" s="335">
        <f t="shared" si="0"/>
        <v>291958095.77</v>
      </c>
      <c r="K159" s="337"/>
      <c r="L159" s="275"/>
      <c r="M159" s="276"/>
      <c r="N159" s="276"/>
      <c r="O159" s="276"/>
      <c r="P159" s="276"/>
    </row>
    <row r="160" spans="1:16" s="112" customFormat="1" ht="15" customHeight="1">
      <c r="A160" s="185" t="s">
        <v>327</v>
      </c>
      <c r="B160" s="335">
        <f>4710362.13</f>
        <v>4710362.13</v>
      </c>
      <c r="C160" s="336"/>
      <c r="D160" s="335">
        <v>0</v>
      </c>
      <c r="E160" s="336"/>
      <c r="F160" s="335">
        <v>0</v>
      </c>
      <c r="G160" s="336"/>
      <c r="H160" s="335">
        <v>0</v>
      </c>
      <c r="I160" s="336"/>
      <c r="J160" s="335">
        <f t="shared" si="0"/>
        <v>4710362.13</v>
      </c>
      <c r="K160" s="337"/>
      <c r="L160" s="275"/>
      <c r="M160" s="276"/>
      <c r="N160" s="276"/>
      <c r="O160" s="276"/>
      <c r="P160" s="276"/>
    </row>
    <row r="161" spans="1:16" s="112" customFormat="1" ht="15" customHeight="1">
      <c r="A161" s="185" t="s">
        <v>353</v>
      </c>
      <c r="B161" s="335">
        <f>88473237.32</f>
        <v>88473237.32</v>
      </c>
      <c r="C161" s="336"/>
      <c r="D161" s="335">
        <f>2212214.85</f>
        <v>2212214.85</v>
      </c>
      <c r="E161" s="336"/>
      <c r="F161" s="335">
        <f>34022392.35</f>
        <v>34022392.35</v>
      </c>
      <c r="G161" s="336"/>
      <c r="H161" s="335">
        <f>27941.16</f>
        <v>27941.16</v>
      </c>
      <c r="I161" s="336"/>
      <c r="J161" s="335">
        <f>B161-F161-H161</f>
        <v>54422903.809999995</v>
      </c>
      <c r="K161" s="337"/>
      <c r="L161" s="275"/>
      <c r="M161" s="276"/>
      <c r="N161" s="276"/>
      <c r="O161" s="276"/>
      <c r="P161" s="276"/>
    </row>
    <row r="162" spans="1:13" s="112" customFormat="1" ht="15">
      <c r="A162" s="185" t="s">
        <v>255</v>
      </c>
      <c r="B162" s="335">
        <f>B163</f>
        <v>225595888.75</v>
      </c>
      <c r="C162" s="336"/>
      <c r="D162" s="335">
        <f>D163</f>
        <v>3000</v>
      </c>
      <c r="E162" s="336"/>
      <c r="F162" s="335">
        <f>F163</f>
        <v>221793061.18</v>
      </c>
      <c r="G162" s="336"/>
      <c r="H162" s="335">
        <f>H163</f>
        <v>0</v>
      </c>
      <c r="I162" s="336"/>
      <c r="J162" s="335">
        <f>J163</f>
        <v>3802827.569999993</v>
      </c>
      <c r="K162" s="382"/>
      <c r="L162" s="241"/>
      <c r="M162" s="276"/>
    </row>
    <row r="163" spans="1:13" s="112" customFormat="1" ht="15">
      <c r="A163" s="185" t="s">
        <v>353</v>
      </c>
      <c r="B163" s="335">
        <f>225595888.75</f>
        <v>225595888.75</v>
      </c>
      <c r="C163" s="336"/>
      <c r="D163" s="335">
        <f>3000</f>
        <v>3000</v>
      </c>
      <c r="E163" s="336"/>
      <c r="F163" s="335">
        <f>221793061.18</f>
        <v>221793061.18</v>
      </c>
      <c r="G163" s="336"/>
      <c r="H163" s="335">
        <v>0</v>
      </c>
      <c r="I163" s="336"/>
      <c r="J163" s="335">
        <f>B163-F163-H163</f>
        <v>3802827.569999993</v>
      </c>
      <c r="K163" s="337"/>
      <c r="L163" s="241"/>
      <c r="M163" s="276"/>
    </row>
    <row r="164" spans="1:13" s="112" customFormat="1" ht="15">
      <c r="A164" s="185" t="s">
        <v>256</v>
      </c>
      <c r="B164" s="471">
        <v>0</v>
      </c>
      <c r="C164" s="472"/>
      <c r="D164" s="471">
        <v>0</v>
      </c>
      <c r="E164" s="472"/>
      <c r="F164" s="471">
        <v>0</v>
      </c>
      <c r="G164" s="472"/>
      <c r="H164" s="471">
        <v>0</v>
      </c>
      <c r="I164" s="472"/>
      <c r="J164" s="471">
        <f>B164-F164-H164</f>
        <v>0</v>
      </c>
      <c r="K164" s="354"/>
      <c r="L164" s="241"/>
      <c r="M164" s="276"/>
    </row>
    <row r="165" spans="1:12" s="112" customFormat="1" ht="15" customHeight="1">
      <c r="A165" s="149"/>
      <c r="B165" s="149"/>
      <c r="C165" s="149"/>
      <c r="D165" s="149"/>
      <c r="E165" s="187"/>
      <c r="F165" s="187"/>
      <c r="G165" s="157"/>
      <c r="H165" s="157"/>
      <c r="I165" s="157"/>
      <c r="J165" s="157"/>
      <c r="K165" s="175"/>
      <c r="L165" s="241"/>
    </row>
    <row r="166" spans="1:12" s="112" customFormat="1" ht="15" customHeight="1">
      <c r="A166" s="451" t="s">
        <v>257</v>
      </c>
      <c r="B166" s="451"/>
      <c r="C166" s="451"/>
      <c r="D166" s="451"/>
      <c r="E166" s="451"/>
      <c r="F166" s="451"/>
      <c r="G166" s="451"/>
      <c r="H166" s="451"/>
      <c r="I166" s="451"/>
      <c r="J166" s="451"/>
      <c r="K166" s="451"/>
      <c r="L166" s="241"/>
    </row>
    <row r="167" spans="1:12" s="112" customFormat="1" ht="15" customHeight="1">
      <c r="A167" s="377" t="s">
        <v>307</v>
      </c>
      <c r="B167" s="397" t="s">
        <v>141</v>
      </c>
      <c r="C167" s="395"/>
      <c r="D167" s="395"/>
      <c r="E167" s="395"/>
      <c r="F167" s="396"/>
      <c r="G167" s="397" t="s">
        <v>10</v>
      </c>
      <c r="H167" s="395"/>
      <c r="I167" s="395"/>
      <c r="J167" s="395"/>
      <c r="K167" s="395"/>
      <c r="L167" s="241"/>
    </row>
    <row r="168" spans="1:12" s="112" customFormat="1" ht="15" customHeight="1">
      <c r="A168" s="412"/>
      <c r="B168" s="378" t="s">
        <v>93</v>
      </c>
      <c r="C168" s="393"/>
      <c r="D168" s="393"/>
      <c r="E168" s="393"/>
      <c r="F168" s="380"/>
      <c r="G168" s="378" t="s">
        <v>15</v>
      </c>
      <c r="H168" s="393"/>
      <c r="I168" s="393"/>
      <c r="J168" s="393"/>
      <c r="K168" s="393"/>
      <c r="L168" s="241"/>
    </row>
    <row r="169" spans="1:12" s="112" customFormat="1" ht="15" customHeight="1">
      <c r="A169" s="413"/>
      <c r="B169" s="403" t="s">
        <v>16</v>
      </c>
      <c r="C169" s="404"/>
      <c r="D169" s="404"/>
      <c r="E169" s="404"/>
      <c r="F169" s="405"/>
      <c r="G169" s="403" t="s">
        <v>17</v>
      </c>
      <c r="H169" s="404"/>
      <c r="I169" s="404"/>
      <c r="J169" s="404"/>
      <c r="K169" s="404"/>
      <c r="L169" s="241"/>
    </row>
    <row r="170" spans="1:12" s="112" customFormat="1" ht="31.5" customHeight="1">
      <c r="A170" s="177" t="s">
        <v>258</v>
      </c>
      <c r="B170" s="3"/>
      <c r="C170" s="137"/>
      <c r="D170" s="3"/>
      <c r="E170" s="487">
        <f>E171+E172+E173+E174+E175</f>
        <v>587748379.19</v>
      </c>
      <c r="F170" s="488"/>
      <c r="G170" s="188"/>
      <c r="H170" s="137"/>
      <c r="I170" s="3"/>
      <c r="J170" s="487">
        <f>J171+J172+J173+J174+J175</f>
        <v>118187983.77</v>
      </c>
      <c r="K170" s="487"/>
      <c r="L170" s="241"/>
    </row>
    <row r="171" spans="1:12" s="112" customFormat="1" ht="15">
      <c r="A171" s="177" t="s">
        <v>259</v>
      </c>
      <c r="B171" s="3"/>
      <c r="C171" s="137"/>
      <c r="D171" s="3"/>
      <c r="E171" s="382">
        <f>477690601.19</f>
        <v>477690601.19</v>
      </c>
      <c r="F171" s="336"/>
      <c r="G171" s="188"/>
      <c r="H171" s="137"/>
      <c r="I171" s="3"/>
      <c r="J171" s="382">
        <f>102637611.57</f>
        <v>102637611.57</v>
      </c>
      <c r="K171" s="382"/>
      <c r="L171" s="241"/>
    </row>
    <row r="172" spans="1:12" s="112" customFormat="1" ht="15">
      <c r="A172" s="177" t="s">
        <v>260</v>
      </c>
      <c r="B172" s="3"/>
      <c r="C172" s="137"/>
      <c r="D172" s="3"/>
      <c r="E172" s="382">
        <f>21822028</f>
        <v>21822028</v>
      </c>
      <c r="F172" s="336"/>
      <c r="G172" s="188"/>
      <c r="H172" s="137"/>
      <c r="I172" s="3"/>
      <c r="J172" s="382">
        <v>0</v>
      </c>
      <c r="K172" s="382"/>
      <c r="L172" s="241"/>
    </row>
    <row r="173" spans="1:12" s="112" customFormat="1" ht="15">
      <c r="A173" s="177" t="s">
        <v>261</v>
      </c>
      <c r="B173" s="3"/>
      <c r="C173" s="137"/>
      <c r="D173" s="3"/>
      <c r="E173" s="382">
        <f>77146059</f>
        <v>77146059</v>
      </c>
      <c r="F173" s="336"/>
      <c r="G173" s="188"/>
      <c r="H173" s="137"/>
      <c r="I173" s="3"/>
      <c r="J173" s="382">
        <f>6291764.48</f>
        <v>6291764.48</v>
      </c>
      <c r="K173" s="382"/>
      <c r="L173" s="241"/>
    </row>
    <row r="174" spans="1:12" s="112" customFormat="1" ht="15">
      <c r="A174" s="177" t="s">
        <v>262</v>
      </c>
      <c r="B174" s="143"/>
      <c r="C174" s="137"/>
      <c r="D174" s="3"/>
      <c r="E174" s="382">
        <v>0</v>
      </c>
      <c r="F174" s="336"/>
      <c r="G174" s="188"/>
      <c r="H174" s="137"/>
      <c r="I174" s="3"/>
      <c r="J174" s="382">
        <v>0</v>
      </c>
      <c r="K174" s="382"/>
      <c r="L174" s="241"/>
    </row>
    <row r="175" spans="1:12" s="112" customFormat="1" ht="15">
      <c r="A175" s="177" t="s">
        <v>263</v>
      </c>
      <c r="B175" s="143"/>
      <c r="C175" s="137"/>
      <c r="D175" s="3"/>
      <c r="E175" s="382">
        <f>11089691</f>
        <v>11089691</v>
      </c>
      <c r="F175" s="336"/>
      <c r="G175" s="188"/>
      <c r="H175" s="137"/>
      <c r="I175" s="3"/>
      <c r="J175" s="382">
        <f>9258607.72</f>
        <v>9258607.72</v>
      </c>
      <c r="K175" s="382"/>
      <c r="L175" s="241"/>
    </row>
    <row r="176" spans="1:12" s="112" customFormat="1" ht="15">
      <c r="A176" s="177" t="s">
        <v>264</v>
      </c>
      <c r="B176" s="143"/>
      <c r="C176" s="137"/>
      <c r="D176" s="3"/>
      <c r="E176" s="382">
        <f>11303027</f>
        <v>11303027</v>
      </c>
      <c r="F176" s="336"/>
      <c r="G176" s="140"/>
      <c r="H176" s="3"/>
      <c r="I176" s="3"/>
      <c r="J176" s="382">
        <v>0</v>
      </c>
      <c r="K176" s="382"/>
      <c r="L176" s="241"/>
    </row>
    <row r="177" spans="1:12" s="112" customFormat="1" ht="15">
      <c r="A177" s="177" t="s">
        <v>265</v>
      </c>
      <c r="B177" s="143"/>
      <c r="C177" s="137"/>
      <c r="D177" s="3"/>
      <c r="E177" s="382">
        <v>0</v>
      </c>
      <c r="F177" s="336"/>
      <c r="G177" s="140"/>
      <c r="H177" s="3"/>
      <c r="I177" s="3"/>
      <c r="J177" s="382">
        <v>0</v>
      </c>
      <c r="K177" s="382"/>
      <c r="L177" s="241"/>
    </row>
    <row r="178" spans="1:12" s="112" customFormat="1" ht="15">
      <c r="A178" s="177" t="s">
        <v>266</v>
      </c>
      <c r="B178" s="143"/>
      <c r="C178" s="137"/>
      <c r="D178" s="3"/>
      <c r="E178" s="382">
        <v>0</v>
      </c>
      <c r="F178" s="336"/>
      <c r="G178" s="140"/>
      <c r="H178" s="3"/>
      <c r="I178" s="3"/>
      <c r="J178" s="382">
        <v>0</v>
      </c>
      <c r="K178" s="382"/>
      <c r="L178" s="241"/>
    </row>
    <row r="179" spans="1:12" s="112" customFormat="1" ht="15" customHeight="1">
      <c r="A179" s="177" t="s">
        <v>267</v>
      </c>
      <c r="B179" s="152"/>
      <c r="C179" s="189"/>
      <c r="D179" s="152"/>
      <c r="E179" s="354">
        <v>0</v>
      </c>
      <c r="F179" s="472"/>
      <c r="G179" s="186"/>
      <c r="H179" s="3"/>
      <c r="I179" s="3"/>
      <c r="J179" s="354">
        <v>0</v>
      </c>
      <c r="K179" s="354"/>
      <c r="L179" s="241"/>
    </row>
    <row r="180" spans="1:12" s="112" customFormat="1" ht="33" customHeight="1">
      <c r="A180" s="144" t="s">
        <v>268</v>
      </c>
      <c r="B180" s="198"/>
      <c r="C180" s="223"/>
      <c r="D180" s="199"/>
      <c r="E180" s="389">
        <f>E170+E176+E177+E178+E179</f>
        <v>599051406.19</v>
      </c>
      <c r="F180" s="390"/>
      <c r="G180" s="198"/>
      <c r="H180" s="199"/>
      <c r="I180" s="199"/>
      <c r="J180" s="389">
        <f>J170+J176+J177+J178+J179</f>
        <v>118187983.77</v>
      </c>
      <c r="K180" s="389"/>
      <c r="L180" s="241"/>
    </row>
    <row r="181" spans="1:13" s="112" customFormat="1" ht="12" customHeight="1">
      <c r="A181" s="190"/>
      <c r="B181" s="190"/>
      <c r="C181" s="190"/>
      <c r="D181" s="190"/>
      <c r="E181" s="190"/>
      <c r="F181" s="190"/>
      <c r="G181" s="190"/>
      <c r="H181" s="190"/>
      <c r="I181" s="190"/>
      <c r="J181" s="190"/>
      <c r="K181" s="191"/>
      <c r="L181" s="271"/>
      <c r="M181" s="284"/>
    </row>
    <row r="182" spans="1:12" s="112" customFormat="1" ht="31.5" customHeight="1">
      <c r="A182" s="377" t="s">
        <v>309</v>
      </c>
      <c r="B182" s="414" t="s">
        <v>186</v>
      </c>
      <c r="C182" s="415"/>
      <c r="D182" s="375" t="s">
        <v>87</v>
      </c>
      <c r="E182" s="377"/>
      <c r="F182" s="375" t="s">
        <v>88</v>
      </c>
      <c r="G182" s="376"/>
      <c r="H182" s="377"/>
      <c r="I182" s="416" t="s">
        <v>143</v>
      </c>
      <c r="J182" s="417"/>
      <c r="K182" s="417"/>
      <c r="L182" s="241"/>
    </row>
    <row r="183" spans="1:12" s="112" customFormat="1" ht="15">
      <c r="A183" s="412"/>
      <c r="B183" s="393"/>
      <c r="C183" s="380"/>
      <c r="D183" s="378" t="s">
        <v>15</v>
      </c>
      <c r="E183" s="380"/>
      <c r="F183" s="378" t="s">
        <v>15</v>
      </c>
      <c r="G183" s="379"/>
      <c r="H183" s="380"/>
      <c r="I183" s="418" t="s">
        <v>15</v>
      </c>
      <c r="J183" s="419"/>
      <c r="K183" s="419"/>
      <c r="L183" s="241"/>
    </row>
    <row r="184" spans="1:12" s="112" customFormat="1" ht="15.75" customHeight="1">
      <c r="A184" s="412"/>
      <c r="B184" s="404" t="s">
        <v>19</v>
      </c>
      <c r="C184" s="405"/>
      <c r="D184" s="403" t="s">
        <v>97</v>
      </c>
      <c r="E184" s="405"/>
      <c r="F184" s="378" t="s">
        <v>98</v>
      </c>
      <c r="G184" s="379"/>
      <c r="H184" s="380"/>
      <c r="I184" s="420" t="s">
        <v>99</v>
      </c>
      <c r="J184" s="421"/>
      <c r="K184" s="421"/>
      <c r="L184" s="241"/>
    </row>
    <row r="185" spans="1:14" s="112" customFormat="1" ht="12.75" customHeight="1">
      <c r="A185" s="153" t="s">
        <v>269</v>
      </c>
      <c r="B185" s="489">
        <f>B186+B187</f>
        <v>0</v>
      </c>
      <c r="C185" s="488"/>
      <c r="D185" s="489">
        <f>D186+D187</f>
        <v>0</v>
      </c>
      <c r="E185" s="488"/>
      <c r="F185" s="256"/>
      <c r="G185" s="487">
        <f>G186+G187</f>
        <v>0</v>
      </c>
      <c r="H185" s="488"/>
      <c r="I185" s="240"/>
      <c r="J185" s="487">
        <f>J186+J187</f>
        <v>0</v>
      </c>
      <c r="K185" s="487"/>
      <c r="L185" s="241"/>
      <c r="M185" s="429"/>
      <c r="N185" s="429"/>
    </row>
    <row r="186" spans="1:14" s="112" customFormat="1" ht="15">
      <c r="A186" s="150" t="s">
        <v>270</v>
      </c>
      <c r="B186" s="335">
        <v>0</v>
      </c>
      <c r="C186" s="336"/>
      <c r="D186" s="335">
        <v>0</v>
      </c>
      <c r="E186" s="336"/>
      <c r="F186" s="255"/>
      <c r="G186" s="337">
        <v>0</v>
      </c>
      <c r="H186" s="336"/>
      <c r="I186" s="240"/>
      <c r="J186" s="337">
        <v>0</v>
      </c>
      <c r="K186" s="337"/>
      <c r="L186" s="241"/>
      <c r="M186" s="429"/>
      <c r="N186" s="429"/>
    </row>
    <row r="187" spans="1:14" s="112" customFormat="1" ht="15">
      <c r="A187" s="150" t="s">
        <v>271</v>
      </c>
      <c r="B187" s="335">
        <v>0</v>
      </c>
      <c r="C187" s="336"/>
      <c r="D187" s="335">
        <v>0</v>
      </c>
      <c r="E187" s="336"/>
      <c r="F187" s="255"/>
      <c r="G187" s="337">
        <v>0</v>
      </c>
      <c r="H187" s="336"/>
      <c r="I187" s="240"/>
      <c r="J187" s="337">
        <v>0</v>
      </c>
      <c r="K187" s="337"/>
      <c r="L187" s="241"/>
      <c r="M187" s="429"/>
      <c r="N187" s="429"/>
    </row>
    <row r="188" spans="1:14" s="112" customFormat="1" ht="15">
      <c r="A188" s="150" t="s">
        <v>272</v>
      </c>
      <c r="B188" s="335">
        <v>0</v>
      </c>
      <c r="C188" s="336"/>
      <c r="D188" s="335">
        <v>0</v>
      </c>
      <c r="E188" s="336"/>
      <c r="F188" s="255"/>
      <c r="G188" s="337">
        <v>0</v>
      </c>
      <c r="H188" s="336"/>
      <c r="I188" s="240"/>
      <c r="J188" s="337">
        <v>0</v>
      </c>
      <c r="K188" s="337"/>
      <c r="L188" s="241"/>
      <c r="M188" s="429"/>
      <c r="N188" s="429"/>
    </row>
    <row r="189" spans="1:14" s="112" customFormat="1" ht="15">
      <c r="A189" s="150" t="s">
        <v>273</v>
      </c>
      <c r="B189" s="335">
        <v>0</v>
      </c>
      <c r="C189" s="336"/>
      <c r="D189" s="335">
        <v>0</v>
      </c>
      <c r="E189" s="336"/>
      <c r="F189" s="255"/>
      <c r="G189" s="337">
        <v>0</v>
      </c>
      <c r="H189" s="336"/>
      <c r="I189" s="240"/>
      <c r="J189" s="337">
        <v>0</v>
      </c>
      <c r="K189" s="337"/>
      <c r="L189" s="241"/>
      <c r="M189" s="429"/>
      <c r="N189" s="429"/>
    </row>
    <row r="190" spans="1:14" s="112" customFormat="1" ht="15">
      <c r="A190" s="150" t="s">
        <v>274</v>
      </c>
      <c r="B190" s="335">
        <f>57131419</f>
        <v>57131419</v>
      </c>
      <c r="C190" s="336"/>
      <c r="D190" s="335">
        <f>5273964.72</f>
        <v>5273964.72</v>
      </c>
      <c r="E190" s="336"/>
      <c r="F190" s="255"/>
      <c r="G190" s="337">
        <f>4233972.18</f>
        <v>4233972.18</v>
      </c>
      <c r="H190" s="336"/>
      <c r="I190" s="240"/>
      <c r="J190" s="337">
        <f>3460669.42</f>
        <v>3460669.42</v>
      </c>
      <c r="K190" s="337"/>
      <c r="L190" s="241"/>
      <c r="M190" s="429"/>
      <c r="N190" s="429"/>
    </row>
    <row r="191" spans="1:14" s="112" customFormat="1" ht="15">
      <c r="A191" s="173" t="s">
        <v>275</v>
      </c>
      <c r="B191" s="337">
        <v>0</v>
      </c>
      <c r="C191" s="336"/>
      <c r="D191" s="337">
        <v>0</v>
      </c>
      <c r="E191" s="336"/>
      <c r="F191" s="258"/>
      <c r="G191" s="337">
        <v>0</v>
      </c>
      <c r="H191" s="336"/>
      <c r="I191" s="258"/>
      <c r="J191" s="337">
        <v>0</v>
      </c>
      <c r="K191" s="337"/>
      <c r="L191" s="241"/>
      <c r="M191" s="429"/>
      <c r="N191" s="429"/>
    </row>
    <row r="192" spans="1:12" s="112" customFormat="1" ht="15">
      <c r="A192" s="173" t="s">
        <v>328</v>
      </c>
      <c r="B192" s="339">
        <f>960440272.82-413598</f>
        <v>960026674.82</v>
      </c>
      <c r="C192" s="340"/>
      <c r="D192" s="339">
        <f>413536493.18</f>
        <v>413536493.18</v>
      </c>
      <c r="E192" s="340"/>
      <c r="F192" s="282"/>
      <c r="G192" s="339">
        <f>163853167.31</f>
        <v>163853167.31</v>
      </c>
      <c r="H192" s="340"/>
      <c r="I192" s="282"/>
      <c r="J192" s="339">
        <f>139242584.67</f>
        <v>139242584.67</v>
      </c>
      <c r="K192" s="339"/>
      <c r="L192" s="241"/>
    </row>
    <row r="193" spans="1:12" s="112" customFormat="1" ht="15">
      <c r="A193" s="144" t="s">
        <v>329</v>
      </c>
      <c r="B193" s="490">
        <f>B185+B188+B189+B190+B191+B192</f>
        <v>1017158093.82</v>
      </c>
      <c r="C193" s="390"/>
      <c r="D193" s="490">
        <f>D185+D188+D189+D190+D191+D192</f>
        <v>418810457.90000004</v>
      </c>
      <c r="E193" s="390"/>
      <c r="F193" s="259"/>
      <c r="G193" s="389">
        <f>G185+G188+G189+G190+G191+G192</f>
        <v>168087139.49</v>
      </c>
      <c r="H193" s="390"/>
      <c r="I193" s="259"/>
      <c r="J193" s="389">
        <f>J185+J188+J189+J190+J191+J192</f>
        <v>142703254.08999997</v>
      </c>
      <c r="K193" s="389"/>
      <c r="L193" s="241"/>
    </row>
    <row r="194" spans="1:12" s="112" customFormat="1" ht="15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09" t="s">
        <v>294</v>
      </c>
      <c r="L194" s="241"/>
    </row>
    <row r="195" spans="1:12" s="112" customFormat="1" ht="1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09"/>
      <c r="L195" s="241"/>
    </row>
    <row r="196" spans="1:12" s="112" customFormat="1" ht="15">
      <c r="A196" s="241"/>
      <c r="B196" s="241"/>
      <c r="C196" s="241"/>
      <c r="D196" s="241"/>
      <c r="E196" s="241"/>
      <c r="F196" s="241"/>
      <c r="G196" s="241"/>
      <c r="H196" s="241"/>
      <c r="I196" s="241"/>
      <c r="J196" s="241"/>
      <c r="K196" s="209"/>
      <c r="L196" s="241"/>
    </row>
    <row r="197" spans="1:12" s="112" customFormat="1" ht="15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41"/>
    </row>
    <row r="198" spans="1:12" s="112" customFormat="1" ht="15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09" t="s">
        <v>287</v>
      </c>
      <c r="L198" s="241"/>
    </row>
    <row r="199" spans="1:12" s="112" customFormat="1" ht="15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41"/>
    </row>
    <row r="200" spans="1:12" s="112" customFormat="1" ht="15.75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41"/>
    </row>
    <row r="201" spans="1:12" s="112" customFormat="1" ht="15">
      <c r="A201" s="422" t="str">
        <f>A129</f>
        <v>GOVERNO DO ESTADO DO RIO DE JANEIRO</v>
      </c>
      <c r="B201" s="422"/>
      <c r="C201" s="422"/>
      <c r="D201" s="422"/>
      <c r="E201" s="422"/>
      <c r="F201" s="422"/>
      <c r="G201" s="422"/>
      <c r="H201" s="422"/>
      <c r="I201" s="422"/>
      <c r="J201" s="422"/>
      <c r="K201" s="422"/>
      <c r="L201" s="241"/>
    </row>
    <row r="202" spans="1:12" s="112" customFormat="1" ht="15">
      <c r="A202" s="422" t="str">
        <f>A130</f>
        <v>RELATÓRIO RESUMIDO DA EXECUÇÃO ORÇAMENTÁRIA</v>
      </c>
      <c r="B202" s="422"/>
      <c r="C202" s="422"/>
      <c r="D202" s="422"/>
      <c r="E202" s="422"/>
      <c r="F202" s="422"/>
      <c r="G202" s="422"/>
      <c r="H202" s="422"/>
      <c r="I202" s="422"/>
      <c r="J202" s="422"/>
      <c r="K202" s="422"/>
      <c r="L202" s="241"/>
    </row>
    <row r="203" spans="1:12" s="112" customFormat="1" ht="15">
      <c r="A203" s="342" t="str">
        <f>A131</f>
        <v>DEMONSTRATIVO DAS RECEITAS E DESPESAS COM MANUTENÇÃO E DESENVOLVIMENTO DO ENSINO - MDE</v>
      </c>
      <c r="B203" s="342"/>
      <c r="C203" s="342"/>
      <c r="D203" s="342"/>
      <c r="E203" s="342"/>
      <c r="F203" s="342"/>
      <c r="G203" s="342"/>
      <c r="H203" s="342"/>
      <c r="I203" s="342"/>
      <c r="J203" s="342"/>
      <c r="K203" s="342"/>
      <c r="L203" s="241"/>
    </row>
    <row r="204" spans="1:12" s="112" customFormat="1" ht="15">
      <c r="A204" s="422" t="str">
        <f>A132</f>
        <v>ORÇAMENTOS FISCAL E DA SEGURIDADE SOCIAL</v>
      </c>
      <c r="B204" s="422"/>
      <c r="C204" s="422"/>
      <c r="D204" s="422"/>
      <c r="E204" s="422"/>
      <c r="F204" s="422"/>
      <c r="G204" s="422"/>
      <c r="H204" s="422"/>
      <c r="I204" s="422"/>
      <c r="J204" s="422"/>
      <c r="K204" s="422"/>
      <c r="L204" s="241"/>
    </row>
    <row r="205" spans="1:12" s="112" customFormat="1" ht="15">
      <c r="A205" s="422" t="str">
        <f>A133</f>
        <v>JANEIRO A FEVEREIRO 2022/BIMESTRE JANEIRO - FEVEREIRO</v>
      </c>
      <c r="B205" s="422"/>
      <c r="C205" s="422"/>
      <c r="D205" s="422"/>
      <c r="E205" s="422"/>
      <c r="F205" s="422"/>
      <c r="G205" s="422"/>
      <c r="H205" s="422"/>
      <c r="I205" s="422"/>
      <c r="J205" s="422"/>
      <c r="K205" s="422"/>
      <c r="L205" s="241"/>
    </row>
    <row r="206" spans="1:12" s="112" customFormat="1" ht="15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09" t="str">
        <f>K134</f>
        <v>Emissão: 25/03/2022</v>
      </c>
      <c r="L206" s="241"/>
    </row>
    <row r="207" spans="1:12" s="112" customFormat="1" ht="15">
      <c r="A207" s="3" t="s">
        <v>147</v>
      </c>
      <c r="B207" s="210"/>
      <c r="C207" s="210"/>
      <c r="D207" s="210"/>
      <c r="E207" s="210"/>
      <c r="F207" s="210"/>
      <c r="G207" s="210"/>
      <c r="H207" s="210"/>
      <c r="I207" s="210"/>
      <c r="J207" s="210"/>
      <c r="K207" s="211">
        <f>K135</f>
        <v>1</v>
      </c>
      <c r="L207" s="241"/>
    </row>
    <row r="208" spans="1:12" s="112" customFormat="1" ht="15.75" customHeight="1">
      <c r="A208" s="377" t="s">
        <v>276</v>
      </c>
      <c r="B208" s="414" t="s">
        <v>186</v>
      </c>
      <c r="C208" s="415"/>
      <c r="D208" s="375" t="s">
        <v>87</v>
      </c>
      <c r="E208" s="377"/>
      <c r="F208" s="375" t="s">
        <v>88</v>
      </c>
      <c r="G208" s="376"/>
      <c r="H208" s="377"/>
      <c r="I208" s="416" t="s">
        <v>143</v>
      </c>
      <c r="J208" s="417"/>
      <c r="K208" s="417"/>
      <c r="L208" s="241"/>
    </row>
    <row r="209" spans="1:12" s="112" customFormat="1" ht="15">
      <c r="A209" s="412"/>
      <c r="B209" s="393"/>
      <c r="C209" s="380"/>
      <c r="D209" s="378" t="s">
        <v>15</v>
      </c>
      <c r="E209" s="380"/>
      <c r="F209" s="378" t="s">
        <v>15</v>
      </c>
      <c r="G209" s="379"/>
      <c r="H209" s="380"/>
      <c r="I209" s="418" t="s">
        <v>15</v>
      </c>
      <c r="J209" s="419"/>
      <c r="K209" s="419"/>
      <c r="L209" s="241"/>
    </row>
    <row r="210" spans="1:12" s="112" customFormat="1" ht="15">
      <c r="A210" s="412"/>
      <c r="B210" s="404" t="s">
        <v>19</v>
      </c>
      <c r="C210" s="405"/>
      <c r="D210" s="403" t="s">
        <v>97</v>
      </c>
      <c r="E210" s="405"/>
      <c r="F210" s="403" t="s">
        <v>98</v>
      </c>
      <c r="G210" s="404"/>
      <c r="H210" s="405"/>
      <c r="I210" s="420" t="s">
        <v>99</v>
      </c>
      <c r="J210" s="421"/>
      <c r="K210" s="421"/>
      <c r="L210" s="241"/>
    </row>
    <row r="211" spans="1:13" s="112" customFormat="1" ht="15">
      <c r="A211" s="224" t="s">
        <v>331</v>
      </c>
      <c r="B211" s="473">
        <f>B85+B121+B193</f>
        <v>9295924441.82</v>
      </c>
      <c r="C211" s="406"/>
      <c r="D211" s="473">
        <f>D85+D121+D193</f>
        <v>2780548253.66</v>
      </c>
      <c r="E211" s="406"/>
      <c r="F211" s="260"/>
      <c r="G211" s="369">
        <f>G85+G121+G193</f>
        <v>1192036855.26</v>
      </c>
      <c r="H211" s="406"/>
      <c r="I211" s="261"/>
      <c r="J211" s="369">
        <f>J85+J121+J193</f>
        <v>1101354302.56</v>
      </c>
      <c r="K211" s="369"/>
      <c r="L211" s="241"/>
      <c r="M211" s="284"/>
    </row>
    <row r="212" spans="1:16" s="112" customFormat="1" ht="15">
      <c r="A212" s="225" t="s">
        <v>332</v>
      </c>
      <c r="B212" s="491">
        <f>B213+B214+B215+B216</f>
        <v>8724007886.82</v>
      </c>
      <c r="C212" s="399"/>
      <c r="D212" s="491">
        <f>D213+D214+D215+D216</f>
        <v>2707826296.49</v>
      </c>
      <c r="E212" s="399"/>
      <c r="F212" s="262"/>
      <c r="G212" s="353">
        <f>G213+G214+G215+G216</f>
        <v>1189702410.75</v>
      </c>
      <c r="H212" s="399"/>
      <c r="I212" s="261"/>
      <c r="J212" s="353">
        <f>J213+J214+J215+J216</f>
        <v>1100716645.97</v>
      </c>
      <c r="K212" s="353"/>
      <c r="L212" s="241"/>
      <c r="M212" s="284"/>
      <c r="N212" s="284"/>
      <c r="O212" s="284"/>
      <c r="P212" s="284"/>
    </row>
    <row r="213" spans="1:14" s="112" customFormat="1" ht="15">
      <c r="A213" s="177" t="s">
        <v>333</v>
      </c>
      <c r="B213" s="335">
        <f>5975476174</f>
        <v>5975476174</v>
      </c>
      <c r="C213" s="336"/>
      <c r="D213" s="335">
        <f>1639674169.08</f>
        <v>1639674169.08</v>
      </c>
      <c r="E213" s="336"/>
      <c r="F213" s="263"/>
      <c r="G213" s="337">
        <f>902139462.26</f>
        <v>902139462.26</v>
      </c>
      <c r="H213" s="336"/>
      <c r="I213" s="258"/>
      <c r="J213" s="337">
        <f>862799311.81</f>
        <v>862799311.81</v>
      </c>
      <c r="K213" s="337"/>
      <c r="L213" s="241"/>
      <c r="M213" s="284"/>
      <c r="N213" s="284"/>
    </row>
    <row r="214" spans="1:12" s="112" customFormat="1" ht="15">
      <c r="A214" s="177" t="s">
        <v>334</v>
      </c>
      <c r="B214" s="335">
        <f>830423</f>
        <v>830423</v>
      </c>
      <c r="C214" s="336"/>
      <c r="D214" s="335">
        <f>155075.38</f>
        <v>155075.38</v>
      </c>
      <c r="E214" s="336"/>
      <c r="F214" s="263"/>
      <c r="G214" s="337">
        <f>75761.94</f>
        <v>75761.94</v>
      </c>
      <c r="H214" s="336"/>
      <c r="I214" s="258"/>
      <c r="J214" s="337">
        <f>75761.94</f>
        <v>75761.94</v>
      </c>
      <c r="K214" s="337"/>
      <c r="L214" s="241"/>
    </row>
    <row r="215" spans="1:12" s="112" customFormat="1" ht="15">
      <c r="A215" s="177" t="s">
        <v>335</v>
      </c>
      <c r="B215" s="335">
        <v>0</v>
      </c>
      <c r="C215" s="336"/>
      <c r="D215" s="335">
        <v>0</v>
      </c>
      <c r="E215" s="336"/>
      <c r="F215" s="263"/>
      <c r="G215" s="337">
        <v>0</v>
      </c>
      <c r="H215" s="336"/>
      <c r="I215" s="258"/>
      <c r="J215" s="337">
        <v>0</v>
      </c>
      <c r="K215" s="337"/>
      <c r="L215" s="241"/>
    </row>
    <row r="216" spans="1:12" s="112" customFormat="1" ht="15">
      <c r="A216" s="177" t="s">
        <v>336</v>
      </c>
      <c r="B216" s="335">
        <f>2747701289.82</f>
        <v>2747701289.82</v>
      </c>
      <c r="C216" s="336"/>
      <c r="D216" s="335">
        <f>1067997052.03</f>
        <v>1067997052.03</v>
      </c>
      <c r="E216" s="336"/>
      <c r="F216" s="263"/>
      <c r="G216" s="337">
        <f>287487186.55</f>
        <v>287487186.55</v>
      </c>
      <c r="H216" s="336"/>
      <c r="I216" s="258"/>
      <c r="J216" s="337">
        <f>237841572.22</f>
        <v>237841572.22</v>
      </c>
      <c r="K216" s="337"/>
      <c r="L216" s="241"/>
    </row>
    <row r="217" spans="1:12" s="112" customFormat="1" ht="15">
      <c r="A217" s="225" t="s">
        <v>337</v>
      </c>
      <c r="B217" s="491">
        <f>B218+B219</f>
        <v>571916555</v>
      </c>
      <c r="C217" s="399"/>
      <c r="D217" s="491">
        <f>D218+D219</f>
        <v>72721957.17</v>
      </c>
      <c r="E217" s="399"/>
      <c r="F217" s="262"/>
      <c r="G217" s="353">
        <f>G218+G219</f>
        <v>2334444.51</v>
      </c>
      <c r="H217" s="399"/>
      <c r="I217" s="261"/>
      <c r="J217" s="353">
        <f>J218+J219</f>
        <v>637656.59</v>
      </c>
      <c r="K217" s="353"/>
      <c r="L217" s="271"/>
    </row>
    <row r="218" spans="1:12" s="112" customFormat="1" ht="15">
      <c r="A218" s="177" t="s">
        <v>338</v>
      </c>
      <c r="B218" s="335">
        <v>0</v>
      </c>
      <c r="C218" s="336"/>
      <c r="D218" s="335">
        <v>0</v>
      </c>
      <c r="E218" s="336"/>
      <c r="F218" s="263"/>
      <c r="G218" s="337">
        <v>0</v>
      </c>
      <c r="H218" s="336"/>
      <c r="I218" s="258"/>
      <c r="J218" s="337">
        <v>0</v>
      </c>
      <c r="K218" s="337"/>
      <c r="L218" s="241"/>
    </row>
    <row r="219" spans="1:12" s="112" customFormat="1" ht="15">
      <c r="A219" s="178" t="s">
        <v>339</v>
      </c>
      <c r="B219" s="471">
        <f>571916555</f>
        <v>571916555</v>
      </c>
      <c r="C219" s="472"/>
      <c r="D219" s="471">
        <f>72721957.17</f>
        <v>72721957.17</v>
      </c>
      <c r="E219" s="472"/>
      <c r="F219" s="257"/>
      <c r="G219" s="354">
        <f>2334444.51</f>
        <v>2334444.51</v>
      </c>
      <c r="H219" s="472"/>
      <c r="I219" s="257"/>
      <c r="J219" s="354">
        <f>637656.59</f>
        <v>637656.59</v>
      </c>
      <c r="K219" s="354"/>
      <c r="L219" s="241"/>
    </row>
    <row r="220" spans="1:12" s="112" customFormat="1" ht="15">
      <c r="A220" s="192"/>
      <c r="B220" s="152"/>
      <c r="C220" s="286">
        <f>B217+B212-B211</f>
        <v>0</v>
      </c>
      <c r="D220" s="152"/>
      <c r="E220" s="283">
        <f>D217+D212-D211</f>
        <v>0</v>
      </c>
      <c r="F220" s="3"/>
      <c r="G220" s="3"/>
      <c r="H220" s="283">
        <f>G217+G212-G211</f>
        <v>0</v>
      </c>
      <c r="I220" s="3"/>
      <c r="J220" s="152"/>
      <c r="K220" s="283">
        <f>J217+J212-J211</f>
        <v>0</v>
      </c>
      <c r="L220" s="241"/>
    </row>
    <row r="221" spans="1:14" s="112" customFormat="1" ht="15">
      <c r="A221" s="377" t="s">
        <v>277</v>
      </c>
      <c r="B221" s="463" t="s">
        <v>169</v>
      </c>
      <c r="C221" s="454"/>
      <c r="D221" s="454"/>
      <c r="E221" s="454"/>
      <c r="F221" s="425"/>
      <c r="G221" s="463" t="s">
        <v>278</v>
      </c>
      <c r="H221" s="454"/>
      <c r="I221" s="454"/>
      <c r="J221" s="454"/>
      <c r="K221" s="454"/>
      <c r="L221" s="502"/>
      <c r="M221" s="502"/>
      <c r="N221" s="502"/>
    </row>
    <row r="222" spans="1:14" s="112" customFormat="1" ht="15">
      <c r="A222" s="412"/>
      <c r="B222" s="432" t="s">
        <v>279</v>
      </c>
      <c r="C222" s="433"/>
      <c r="D222" s="433"/>
      <c r="E222" s="433"/>
      <c r="F222" s="426"/>
      <c r="G222" s="432" t="s">
        <v>280</v>
      </c>
      <c r="H222" s="433"/>
      <c r="I222" s="433"/>
      <c r="J222" s="433"/>
      <c r="K222" s="433"/>
      <c r="L222" s="502"/>
      <c r="M222" s="502"/>
      <c r="N222" s="502"/>
    </row>
    <row r="223" spans="1:14" s="112" customFormat="1" ht="15.75" customHeight="1">
      <c r="A223" s="160" t="s">
        <v>359</v>
      </c>
      <c r="B223" s="264"/>
      <c r="C223" s="265"/>
      <c r="D223" s="265"/>
      <c r="E223" s="487">
        <v>529887960.2</v>
      </c>
      <c r="F223" s="488"/>
      <c r="G223" s="264"/>
      <c r="H223" s="265"/>
      <c r="I223" s="265"/>
      <c r="J223" s="487">
        <v>642779089.2</v>
      </c>
      <c r="K223" s="487"/>
      <c r="L223" s="502"/>
      <c r="M223" s="502"/>
      <c r="N223" s="502"/>
    </row>
    <row r="224" spans="1:14" s="112" customFormat="1" ht="15.75" customHeight="1">
      <c r="A224" s="161" t="s">
        <v>340</v>
      </c>
      <c r="B224" s="266"/>
      <c r="C224" s="267"/>
      <c r="D224" s="267"/>
      <c r="E224" s="382">
        <v>763910711.42</v>
      </c>
      <c r="F224" s="336"/>
      <c r="G224" s="266"/>
      <c r="H224" s="267"/>
      <c r="I224" s="267"/>
      <c r="J224" s="382">
        <v>111896219.28999999</v>
      </c>
      <c r="K224" s="382"/>
      <c r="L224" s="502"/>
      <c r="M224" s="502"/>
      <c r="N224" s="502"/>
    </row>
    <row r="225" spans="1:14" s="112" customFormat="1" ht="15.75" customHeight="1">
      <c r="A225" s="161" t="s">
        <v>341</v>
      </c>
      <c r="B225" s="188"/>
      <c r="C225" s="137"/>
      <c r="D225" s="137"/>
      <c r="E225" s="382">
        <v>855975887.6799998</v>
      </c>
      <c r="F225" s="336"/>
      <c r="G225" s="188"/>
      <c r="H225" s="137"/>
      <c r="I225" s="137"/>
      <c r="J225" s="382">
        <v>14736777.380000025</v>
      </c>
      <c r="K225" s="382"/>
      <c r="L225" s="502"/>
      <c r="M225" s="502"/>
      <c r="N225" s="502"/>
    </row>
    <row r="226" spans="1:14" s="112" customFormat="1" ht="15.75" customHeight="1">
      <c r="A226" s="161" t="s">
        <v>342</v>
      </c>
      <c r="B226" s="266"/>
      <c r="C226" s="267"/>
      <c r="D226" s="267"/>
      <c r="E226" s="382">
        <v>437822783.94000006</v>
      </c>
      <c r="F226" s="336"/>
      <c r="G226" s="266"/>
      <c r="H226" s="267"/>
      <c r="I226" s="267"/>
      <c r="J226" s="382">
        <v>739938531.11</v>
      </c>
      <c r="K226" s="382"/>
      <c r="L226" s="502"/>
      <c r="M226" s="502"/>
      <c r="N226" s="502"/>
    </row>
    <row r="227" spans="1:14" s="112" customFormat="1" ht="15.75" customHeight="1">
      <c r="A227" s="161" t="s">
        <v>343</v>
      </c>
      <c r="B227" s="266"/>
      <c r="C227" s="267"/>
      <c r="D227" s="267"/>
      <c r="E227" s="382">
        <v>0</v>
      </c>
      <c r="F227" s="336"/>
      <c r="G227" s="266"/>
      <c r="H227" s="267"/>
      <c r="I227" s="267"/>
      <c r="J227" s="382">
        <v>0</v>
      </c>
      <c r="K227" s="382"/>
      <c r="L227" s="502"/>
      <c r="M227" s="502"/>
      <c r="N227" s="502"/>
    </row>
    <row r="228" spans="1:14" s="112" customFormat="1" ht="15.75" customHeight="1">
      <c r="A228" s="161" t="s">
        <v>344</v>
      </c>
      <c r="B228" s="188"/>
      <c r="C228" s="137"/>
      <c r="D228" s="137"/>
      <c r="E228" s="382">
        <v>0</v>
      </c>
      <c r="F228" s="336"/>
      <c r="G228" s="188"/>
      <c r="H228" s="137"/>
      <c r="I228" s="137"/>
      <c r="J228" s="382">
        <v>0</v>
      </c>
      <c r="K228" s="382"/>
      <c r="L228" s="502"/>
      <c r="M228" s="502"/>
      <c r="N228" s="502"/>
    </row>
    <row r="229" spans="1:14" s="112" customFormat="1" ht="15.75" customHeight="1">
      <c r="A229" s="157" t="s">
        <v>345</v>
      </c>
      <c r="B229" s="268"/>
      <c r="C229" s="269"/>
      <c r="D229" s="269"/>
      <c r="E229" s="354">
        <v>437822783.94000006</v>
      </c>
      <c r="F229" s="472"/>
      <c r="G229" s="268"/>
      <c r="H229" s="269"/>
      <c r="I229" s="269"/>
      <c r="J229" s="354">
        <v>739938531.11</v>
      </c>
      <c r="K229" s="354"/>
      <c r="L229" s="502"/>
      <c r="M229" s="502"/>
      <c r="N229" s="502"/>
    </row>
    <row r="230" spans="1:12" s="112" customFormat="1" ht="15">
      <c r="A230" s="193" t="s">
        <v>317</v>
      </c>
      <c r="B230" s="115"/>
      <c r="C230" s="115"/>
      <c r="D230" s="115"/>
      <c r="E230" s="115"/>
      <c r="F230" s="281"/>
      <c r="G230" s="281"/>
      <c r="H230" s="115"/>
      <c r="J230" s="284"/>
      <c r="K230" s="194" t="s">
        <v>295</v>
      </c>
      <c r="L230" s="241"/>
    </row>
    <row r="231" spans="1:12" s="112" customFormat="1" ht="15">
      <c r="A231" s="274" t="s">
        <v>318</v>
      </c>
      <c r="B231" s="115"/>
      <c r="C231" s="115"/>
      <c r="D231" s="115"/>
      <c r="E231" s="115"/>
      <c r="F231" s="281"/>
      <c r="G231" s="115"/>
      <c r="H231" s="115"/>
      <c r="K231" s="194"/>
      <c r="L231" s="241"/>
    </row>
    <row r="232" spans="1:12" s="112" customFormat="1" ht="15">
      <c r="A232" s="492" t="s">
        <v>319</v>
      </c>
      <c r="B232" s="492"/>
      <c r="C232" s="492"/>
      <c r="D232" s="492"/>
      <c r="E232" s="492"/>
      <c r="F232" s="492"/>
      <c r="G232" s="492"/>
      <c r="H232" s="115"/>
      <c r="J232" s="284"/>
      <c r="K232" s="194"/>
      <c r="L232" s="271"/>
    </row>
    <row r="233" spans="1:12" s="112" customFormat="1" ht="13.5" customHeight="1">
      <c r="A233" s="476" t="s">
        <v>298</v>
      </c>
      <c r="B233" s="476"/>
      <c r="C233" s="476"/>
      <c r="D233" s="476"/>
      <c r="E233" s="476"/>
      <c r="F233" s="476"/>
      <c r="G233" s="476"/>
      <c r="H233" s="476"/>
      <c r="I233" s="476"/>
      <c r="J233" s="476"/>
      <c r="K233" s="476"/>
      <c r="L233" s="241"/>
    </row>
    <row r="234" spans="1:12" s="112" customFormat="1" ht="13.5" customHeight="1">
      <c r="A234" s="474" t="s">
        <v>299</v>
      </c>
      <c r="B234" s="474"/>
      <c r="C234" s="474"/>
      <c r="D234" s="474"/>
      <c r="E234" s="474"/>
      <c r="F234" s="474"/>
      <c r="G234" s="474"/>
      <c r="H234" s="474"/>
      <c r="I234" s="474"/>
      <c r="J234" s="474"/>
      <c r="K234" s="474"/>
      <c r="L234" s="241"/>
    </row>
    <row r="235" spans="1:11" ht="13.5" customHeight="1">
      <c r="A235" s="475" t="s">
        <v>300</v>
      </c>
      <c r="B235" s="475"/>
      <c r="C235" s="475"/>
      <c r="D235" s="475"/>
      <c r="E235" s="475"/>
      <c r="F235" s="475"/>
      <c r="G235" s="475"/>
      <c r="H235" s="475"/>
      <c r="I235" s="475"/>
      <c r="J235" s="475"/>
      <c r="K235" s="475"/>
    </row>
    <row r="236" spans="1:11" ht="13.5" customHeight="1">
      <c r="A236" s="474" t="s">
        <v>301</v>
      </c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</row>
    <row r="237" spans="1:11" ht="13.5" customHeight="1">
      <c r="A237" s="476" t="s">
        <v>302</v>
      </c>
      <c r="B237" s="476"/>
      <c r="C237" s="476"/>
      <c r="D237" s="476"/>
      <c r="E237" s="476"/>
      <c r="F237" s="476"/>
      <c r="G237" s="476"/>
      <c r="H237" s="476"/>
      <c r="I237" s="476"/>
      <c r="J237" s="476"/>
      <c r="K237" s="476"/>
    </row>
    <row r="238" spans="1:11" ht="13.5" customHeight="1">
      <c r="A238" s="476" t="s">
        <v>303</v>
      </c>
      <c r="B238" s="476"/>
      <c r="C238" s="476"/>
      <c r="D238" s="476"/>
      <c r="E238" s="476"/>
      <c r="F238" s="476"/>
      <c r="G238" s="476"/>
      <c r="H238" s="476"/>
      <c r="I238" s="476"/>
      <c r="J238" s="476"/>
      <c r="K238" s="476"/>
    </row>
    <row r="239" spans="1:11" ht="13.5" customHeight="1">
      <c r="A239" s="476" t="s">
        <v>304</v>
      </c>
      <c r="B239" s="476"/>
      <c r="C239" s="476"/>
      <c r="D239" s="476"/>
      <c r="E239" s="476"/>
      <c r="F239" s="476"/>
      <c r="G239" s="476"/>
      <c r="H239" s="476"/>
      <c r="I239" s="476"/>
      <c r="J239" s="476"/>
      <c r="K239" s="476"/>
    </row>
    <row r="240" spans="1:11" ht="13.5" customHeight="1">
      <c r="A240" s="476" t="s">
        <v>305</v>
      </c>
      <c r="B240" s="476"/>
      <c r="C240" s="476"/>
      <c r="D240" s="476"/>
      <c r="E240" s="476"/>
      <c r="F240" s="476"/>
      <c r="G240" s="476"/>
      <c r="H240" s="476"/>
      <c r="I240" s="476"/>
      <c r="J240" s="476"/>
      <c r="K240" s="476"/>
    </row>
    <row r="241" spans="1:11" ht="12.75">
      <c r="A241" s="493" t="s">
        <v>330</v>
      </c>
      <c r="B241" s="493"/>
      <c r="C241" s="493"/>
      <c r="D241" s="493"/>
      <c r="E241" s="493"/>
      <c r="F241" s="493"/>
      <c r="G241" s="493"/>
      <c r="H241" s="493"/>
      <c r="I241" s="493"/>
      <c r="J241" s="493"/>
      <c r="K241" s="493"/>
    </row>
    <row r="242" spans="1:11" ht="53.25" customHeight="1">
      <c r="A242" s="341" t="s">
        <v>355</v>
      </c>
      <c r="B242" s="341"/>
      <c r="C242" s="341"/>
      <c r="D242" s="341"/>
      <c r="E242" s="341"/>
      <c r="F242" s="341"/>
      <c r="G242" s="341"/>
      <c r="H242" s="341"/>
      <c r="I242" s="341"/>
      <c r="J242" s="341"/>
      <c r="K242" s="341"/>
    </row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70" spans="1:11" ht="15">
      <c r="A270" s="137" t="s">
        <v>346</v>
      </c>
      <c r="B270" s="338" t="s">
        <v>349</v>
      </c>
      <c r="C270" s="338"/>
      <c r="D270" s="338"/>
      <c r="E270" s="338"/>
      <c r="F270" s="338"/>
      <c r="G270" s="338" t="s">
        <v>356</v>
      </c>
      <c r="H270" s="338"/>
      <c r="I270" s="338"/>
      <c r="J270" s="338"/>
      <c r="K270" s="338"/>
    </row>
    <row r="271" spans="1:11" ht="15">
      <c r="A271" s="137" t="s">
        <v>347</v>
      </c>
      <c r="B271" s="338" t="s">
        <v>350</v>
      </c>
      <c r="C271" s="338"/>
      <c r="D271" s="338"/>
      <c r="E271" s="338"/>
      <c r="F271" s="338"/>
      <c r="G271" s="338" t="s">
        <v>357</v>
      </c>
      <c r="H271" s="338"/>
      <c r="I271" s="338"/>
      <c r="J271" s="338"/>
      <c r="K271" s="338"/>
    </row>
    <row r="272" spans="1:11" ht="15">
      <c r="A272" s="137" t="s">
        <v>348</v>
      </c>
      <c r="B272" s="338" t="s">
        <v>351</v>
      </c>
      <c r="C272" s="338"/>
      <c r="D272" s="338"/>
      <c r="E272" s="338"/>
      <c r="F272" s="338"/>
      <c r="G272" s="338" t="s">
        <v>358</v>
      </c>
      <c r="H272" s="338"/>
      <c r="I272" s="338"/>
      <c r="J272" s="338"/>
      <c r="K272" s="338"/>
    </row>
  </sheetData>
  <sheetProtection/>
  <mergeCells count="544">
    <mergeCell ref="L221:N229"/>
    <mergeCell ref="H157:I157"/>
    <mergeCell ref="H158:I158"/>
    <mergeCell ref="H159:I159"/>
    <mergeCell ref="H160:I160"/>
    <mergeCell ref="H163:I163"/>
    <mergeCell ref="J163:K163"/>
    <mergeCell ref="J160:K160"/>
    <mergeCell ref="J159:K159"/>
    <mergeCell ref="J158:K158"/>
    <mergeCell ref="F156:G156"/>
    <mergeCell ref="F155:G155"/>
    <mergeCell ref="F154:G154"/>
    <mergeCell ref="H154:I154"/>
    <mergeCell ref="H155:I155"/>
    <mergeCell ref="H156:I156"/>
    <mergeCell ref="D159:E159"/>
    <mergeCell ref="D160:E160"/>
    <mergeCell ref="D163:E163"/>
    <mergeCell ref="F159:G159"/>
    <mergeCell ref="F158:G158"/>
    <mergeCell ref="F157:G157"/>
    <mergeCell ref="B120:C120"/>
    <mergeCell ref="D120:E120"/>
    <mergeCell ref="G120:H120"/>
    <mergeCell ref="J120:K120"/>
    <mergeCell ref="A232:G232"/>
    <mergeCell ref="A241:K241"/>
    <mergeCell ref="B154:C154"/>
    <mergeCell ref="B155:C155"/>
    <mergeCell ref="B156:C156"/>
    <mergeCell ref="B157:C157"/>
    <mergeCell ref="J228:K228"/>
    <mergeCell ref="J229:K229"/>
    <mergeCell ref="E225:F225"/>
    <mergeCell ref="E226:F226"/>
    <mergeCell ref="E227:F227"/>
    <mergeCell ref="E228:F228"/>
    <mergeCell ref="E229:F229"/>
    <mergeCell ref="J225:K225"/>
    <mergeCell ref="J226:K226"/>
    <mergeCell ref="J227:K227"/>
    <mergeCell ref="J214:K214"/>
    <mergeCell ref="J219:K219"/>
    <mergeCell ref="J218:K218"/>
    <mergeCell ref="J217:K217"/>
    <mergeCell ref="J216:K216"/>
    <mergeCell ref="G215:H215"/>
    <mergeCell ref="G216:H216"/>
    <mergeCell ref="G217:H217"/>
    <mergeCell ref="G218:H218"/>
    <mergeCell ref="G219:H219"/>
    <mergeCell ref="J223:K223"/>
    <mergeCell ref="J215:K215"/>
    <mergeCell ref="D214:E214"/>
    <mergeCell ref="D213:E213"/>
    <mergeCell ref="D212:E212"/>
    <mergeCell ref="D211:E211"/>
    <mergeCell ref="G211:H211"/>
    <mergeCell ref="G212:H212"/>
    <mergeCell ref="G213:H213"/>
    <mergeCell ref="G214:H214"/>
    <mergeCell ref="J213:K213"/>
    <mergeCell ref="B215:C215"/>
    <mergeCell ref="B216:C216"/>
    <mergeCell ref="B217:C217"/>
    <mergeCell ref="B218:C218"/>
    <mergeCell ref="B219:C219"/>
    <mergeCell ref="D219:E219"/>
    <mergeCell ref="D218:E218"/>
    <mergeCell ref="D217:E217"/>
    <mergeCell ref="D216:E216"/>
    <mergeCell ref="D215:E215"/>
    <mergeCell ref="J186:K186"/>
    <mergeCell ref="J185:K185"/>
    <mergeCell ref="B211:C211"/>
    <mergeCell ref="B212:C212"/>
    <mergeCell ref="G191:H191"/>
    <mergeCell ref="G193:H193"/>
    <mergeCell ref="J193:K193"/>
    <mergeCell ref="J191:K191"/>
    <mergeCell ref="J212:K212"/>
    <mergeCell ref="J211:K211"/>
    <mergeCell ref="J190:K190"/>
    <mergeCell ref="J189:K189"/>
    <mergeCell ref="G185:H185"/>
    <mergeCell ref="G186:H186"/>
    <mergeCell ref="G187:H187"/>
    <mergeCell ref="G188:H188"/>
    <mergeCell ref="G189:H189"/>
    <mergeCell ref="G190:H190"/>
    <mergeCell ref="J188:K188"/>
    <mergeCell ref="J187:K187"/>
    <mergeCell ref="B191:C191"/>
    <mergeCell ref="B193:C193"/>
    <mergeCell ref="D193:E193"/>
    <mergeCell ref="D191:E191"/>
    <mergeCell ref="D190:E190"/>
    <mergeCell ref="D189:E189"/>
    <mergeCell ref="B192:C192"/>
    <mergeCell ref="D192:E192"/>
    <mergeCell ref="E171:F171"/>
    <mergeCell ref="E170:F170"/>
    <mergeCell ref="B185:C185"/>
    <mergeCell ref="B186:C186"/>
    <mergeCell ref="B187:C187"/>
    <mergeCell ref="B188:C188"/>
    <mergeCell ref="D188:E188"/>
    <mergeCell ref="D187:E187"/>
    <mergeCell ref="D186:E186"/>
    <mergeCell ref="D185:E185"/>
    <mergeCell ref="E177:F177"/>
    <mergeCell ref="E176:F176"/>
    <mergeCell ref="E175:F175"/>
    <mergeCell ref="E174:F174"/>
    <mergeCell ref="E173:F173"/>
    <mergeCell ref="E172:F172"/>
    <mergeCell ref="J178:K178"/>
    <mergeCell ref="J179:K179"/>
    <mergeCell ref="J180:K180"/>
    <mergeCell ref="E180:F180"/>
    <mergeCell ref="E179:F179"/>
    <mergeCell ref="E178:F178"/>
    <mergeCell ref="J172:K172"/>
    <mergeCell ref="J173:K173"/>
    <mergeCell ref="J174:K174"/>
    <mergeCell ref="J175:K175"/>
    <mergeCell ref="J176:K176"/>
    <mergeCell ref="J177:K177"/>
    <mergeCell ref="J152:K152"/>
    <mergeCell ref="J153:K153"/>
    <mergeCell ref="J162:K162"/>
    <mergeCell ref="J164:K164"/>
    <mergeCell ref="J170:K170"/>
    <mergeCell ref="J171:K171"/>
    <mergeCell ref="J157:K157"/>
    <mergeCell ref="J156:K156"/>
    <mergeCell ref="J155:K155"/>
    <mergeCell ref="J154:K154"/>
    <mergeCell ref="F152:G152"/>
    <mergeCell ref="F153:G153"/>
    <mergeCell ref="F162:G162"/>
    <mergeCell ref="F164:G164"/>
    <mergeCell ref="H152:I152"/>
    <mergeCell ref="H153:I153"/>
    <mergeCell ref="H162:I162"/>
    <mergeCell ref="H164:I164"/>
    <mergeCell ref="F163:G163"/>
    <mergeCell ref="F160:G160"/>
    <mergeCell ref="D164:E164"/>
    <mergeCell ref="B158:C158"/>
    <mergeCell ref="B159:C159"/>
    <mergeCell ref="B160:C160"/>
    <mergeCell ref="B163:C163"/>
    <mergeCell ref="D154:E154"/>
    <mergeCell ref="D155:E155"/>
    <mergeCell ref="D156:E156"/>
    <mergeCell ref="D157:E157"/>
    <mergeCell ref="D158:E158"/>
    <mergeCell ref="J114:K114"/>
    <mergeCell ref="J113:K113"/>
    <mergeCell ref="J138:K138"/>
    <mergeCell ref="J139:K139"/>
    <mergeCell ref="J140:K140"/>
    <mergeCell ref="J141:K141"/>
    <mergeCell ref="J121:K121"/>
    <mergeCell ref="J119:K119"/>
    <mergeCell ref="J118:K118"/>
    <mergeCell ref="J117:K117"/>
    <mergeCell ref="D121:E121"/>
    <mergeCell ref="G113:H113"/>
    <mergeCell ref="G114:H114"/>
    <mergeCell ref="G115:H115"/>
    <mergeCell ref="G116:H116"/>
    <mergeCell ref="G117:H117"/>
    <mergeCell ref="G118:H118"/>
    <mergeCell ref="G119:H119"/>
    <mergeCell ref="D115:E115"/>
    <mergeCell ref="D116:E116"/>
    <mergeCell ref="D117:E117"/>
    <mergeCell ref="D118:E118"/>
    <mergeCell ref="J116:K116"/>
    <mergeCell ref="J115:K115"/>
    <mergeCell ref="I210:K210"/>
    <mergeCell ref="F105:G105"/>
    <mergeCell ref="F106:G106"/>
    <mergeCell ref="F107:G107"/>
    <mergeCell ref="A205:K205"/>
    <mergeCell ref="I182:K182"/>
    <mergeCell ref="B106:C106"/>
    <mergeCell ref="B107:C107"/>
    <mergeCell ref="D106:E106"/>
    <mergeCell ref="D107:E107"/>
    <mergeCell ref="F183:H183"/>
    <mergeCell ref="G121:H121"/>
    <mergeCell ref="A138:H138"/>
    <mergeCell ref="A143:H143"/>
    <mergeCell ref="A139:H139"/>
    <mergeCell ref="F182:H182"/>
    <mergeCell ref="A239:K239"/>
    <mergeCell ref="A240:K240"/>
    <mergeCell ref="F208:H208"/>
    <mergeCell ref="I208:K208"/>
    <mergeCell ref="F209:H209"/>
    <mergeCell ref="I209:K209"/>
    <mergeCell ref="F210:H210"/>
    <mergeCell ref="A233:K233"/>
    <mergeCell ref="B213:C213"/>
    <mergeCell ref="B214:C214"/>
    <mergeCell ref="I183:K183"/>
    <mergeCell ref="F184:H184"/>
    <mergeCell ref="B152:C152"/>
    <mergeCell ref="B153:C153"/>
    <mergeCell ref="B89:E89"/>
    <mergeCell ref="B90:E90"/>
    <mergeCell ref="F90:H90"/>
    <mergeCell ref="F89:H89"/>
    <mergeCell ref="D182:E182"/>
    <mergeCell ref="B183:C183"/>
    <mergeCell ref="F88:H88"/>
    <mergeCell ref="A204:K204"/>
    <mergeCell ref="D119:E119"/>
    <mergeCell ref="B118:C118"/>
    <mergeCell ref="B119:C119"/>
    <mergeCell ref="B121:C121"/>
    <mergeCell ref="B169:F169"/>
    <mergeCell ref="G169:K169"/>
    <mergeCell ref="A182:A184"/>
    <mergeCell ref="B182:C182"/>
    <mergeCell ref="A70:K70"/>
    <mergeCell ref="A71:K71"/>
    <mergeCell ref="A72:K72"/>
    <mergeCell ref="A73:K73"/>
    <mergeCell ref="A41:J41"/>
    <mergeCell ref="A42:A44"/>
    <mergeCell ref="B44:F44"/>
    <mergeCell ref="G44:K44"/>
    <mergeCell ref="B56:J56"/>
    <mergeCell ref="E46:F46"/>
    <mergeCell ref="A237:K237"/>
    <mergeCell ref="A238:K238"/>
    <mergeCell ref="A221:A222"/>
    <mergeCell ref="B221:F221"/>
    <mergeCell ref="G221:K221"/>
    <mergeCell ref="B222:F222"/>
    <mergeCell ref="G222:K222"/>
    <mergeCell ref="E223:F223"/>
    <mergeCell ref="E224:F224"/>
    <mergeCell ref="J224:K224"/>
    <mergeCell ref="M185:N191"/>
    <mergeCell ref="A208:A210"/>
    <mergeCell ref="B208:C208"/>
    <mergeCell ref="D208:E208"/>
    <mergeCell ref="B209:C209"/>
    <mergeCell ref="D209:E209"/>
    <mergeCell ref="B210:C210"/>
    <mergeCell ref="D210:E210"/>
    <mergeCell ref="B189:C189"/>
    <mergeCell ref="B190:C190"/>
    <mergeCell ref="D183:E183"/>
    <mergeCell ref="B184:C184"/>
    <mergeCell ref="D184:E184"/>
    <mergeCell ref="I184:K184"/>
    <mergeCell ref="D151:E151"/>
    <mergeCell ref="F151:G151"/>
    <mergeCell ref="H151:I151"/>
    <mergeCell ref="J151:K151"/>
    <mergeCell ref="A166:K166"/>
    <mergeCell ref="A167:A169"/>
    <mergeCell ref="B168:F168"/>
    <mergeCell ref="G168:K168"/>
    <mergeCell ref="D147:G147"/>
    <mergeCell ref="H147:I147"/>
    <mergeCell ref="J147:K147"/>
    <mergeCell ref="B162:C162"/>
    <mergeCell ref="B164:C164"/>
    <mergeCell ref="D152:E152"/>
    <mergeCell ref="D153:E153"/>
    <mergeCell ref="D162:E162"/>
    <mergeCell ref="A149:A151"/>
    <mergeCell ref="B149:C150"/>
    <mergeCell ref="D149:E150"/>
    <mergeCell ref="F149:G150"/>
    <mergeCell ref="H149:I150"/>
    <mergeCell ref="J149:K150"/>
    <mergeCell ref="B151:C151"/>
    <mergeCell ref="A142:H142"/>
    <mergeCell ref="A145:C146"/>
    <mergeCell ref="D145:G145"/>
    <mergeCell ref="H145:I145"/>
    <mergeCell ref="J145:K145"/>
    <mergeCell ref="D146:G146"/>
    <mergeCell ref="H146:I146"/>
    <mergeCell ref="J146:K146"/>
    <mergeCell ref="J142:K142"/>
    <mergeCell ref="J143:K143"/>
    <mergeCell ref="A141:H141"/>
    <mergeCell ref="B112:C112"/>
    <mergeCell ref="D112:E112"/>
    <mergeCell ref="F112:H112"/>
    <mergeCell ref="I112:K112"/>
    <mergeCell ref="A129:K129"/>
    <mergeCell ref="A130:K130"/>
    <mergeCell ref="A136:H137"/>
    <mergeCell ref="I136:K137"/>
    <mergeCell ref="A140:H140"/>
    <mergeCell ref="A132:K132"/>
    <mergeCell ref="M113:N119"/>
    <mergeCell ref="A110:A112"/>
    <mergeCell ref="B110:C110"/>
    <mergeCell ref="D110:E110"/>
    <mergeCell ref="B111:C111"/>
    <mergeCell ref="D111:E111"/>
    <mergeCell ref="B113:C113"/>
    <mergeCell ref="B114:C114"/>
    <mergeCell ref="B115:C115"/>
    <mergeCell ref="H104:I104"/>
    <mergeCell ref="F111:H111"/>
    <mergeCell ref="I111:K111"/>
    <mergeCell ref="A131:K131"/>
    <mergeCell ref="H106:I106"/>
    <mergeCell ref="H107:I107"/>
    <mergeCell ref="B116:C116"/>
    <mergeCell ref="B117:C117"/>
    <mergeCell ref="D113:E113"/>
    <mergeCell ref="D114:E114"/>
    <mergeCell ref="A109:J109"/>
    <mergeCell ref="B99:D99"/>
    <mergeCell ref="E99:G99"/>
    <mergeCell ref="H99:I99"/>
    <mergeCell ref="J99:K99"/>
    <mergeCell ref="B100:D100"/>
    <mergeCell ref="E100:G100"/>
    <mergeCell ref="A103:A104"/>
    <mergeCell ref="B103:C103"/>
    <mergeCell ref="D103:E103"/>
    <mergeCell ref="H101:I101"/>
    <mergeCell ref="J101:K101"/>
    <mergeCell ref="B105:C105"/>
    <mergeCell ref="D105:E105"/>
    <mergeCell ref="H105:I105"/>
    <mergeCell ref="F103:G103"/>
    <mergeCell ref="H103:I103"/>
    <mergeCell ref="B104:C104"/>
    <mergeCell ref="D104:E104"/>
    <mergeCell ref="F104:G104"/>
    <mergeCell ref="H98:I98"/>
    <mergeCell ref="J98:K98"/>
    <mergeCell ref="B102:D102"/>
    <mergeCell ref="E102:G102"/>
    <mergeCell ref="H102:I102"/>
    <mergeCell ref="J102:K102"/>
    <mergeCell ref="H100:I100"/>
    <mergeCell ref="J100:K100"/>
    <mergeCell ref="B101:D101"/>
    <mergeCell ref="E101:G101"/>
    <mergeCell ref="O79:P85"/>
    <mergeCell ref="A87:J87"/>
    <mergeCell ref="A88:A90"/>
    <mergeCell ref="I88:K88"/>
    <mergeCell ref="G81:H81"/>
    <mergeCell ref="B97:D97"/>
    <mergeCell ref="E97:G97"/>
    <mergeCell ref="H97:I97"/>
    <mergeCell ref="J97:K97"/>
    <mergeCell ref="B96:D96"/>
    <mergeCell ref="M76:N76"/>
    <mergeCell ref="B77:C77"/>
    <mergeCell ref="D77:E77"/>
    <mergeCell ref="B78:C78"/>
    <mergeCell ref="D78:E78"/>
    <mergeCell ref="A100:A101"/>
    <mergeCell ref="E96:G96"/>
    <mergeCell ref="H96:I96"/>
    <mergeCell ref="J96:K96"/>
    <mergeCell ref="B88:E88"/>
    <mergeCell ref="A133:K133"/>
    <mergeCell ref="A201:K201"/>
    <mergeCell ref="A202:K202"/>
    <mergeCell ref="I89:K89"/>
    <mergeCell ref="F110:H110"/>
    <mergeCell ref="I110:K110"/>
    <mergeCell ref="I90:K90"/>
    <mergeCell ref="A96:A97"/>
    <mergeCell ref="B98:D98"/>
    <mergeCell ref="E98:G98"/>
    <mergeCell ref="B13:F13"/>
    <mergeCell ref="G13:K13"/>
    <mergeCell ref="A76:A78"/>
    <mergeCell ref="B76:C76"/>
    <mergeCell ref="D76:E76"/>
    <mergeCell ref="I76:K76"/>
    <mergeCell ref="I77:K77"/>
    <mergeCell ref="I78:K78"/>
    <mergeCell ref="F78:H78"/>
    <mergeCell ref="A69:K69"/>
    <mergeCell ref="E29:F29"/>
    <mergeCell ref="J16:K16"/>
    <mergeCell ref="J17:K17"/>
    <mergeCell ref="A5:K5"/>
    <mergeCell ref="A6:K6"/>
    <mergeCell ref="A7:K7"/>
    <mergeCell ref="A8:K8"/>
    <mergeCell ref="A9:K9"/>
    <mergeCell ref="A12:K12"/>
    <mergeCell ref="A13:A15"/>
    <mergeCell ref="B14:F14"/>
    <mergeCell ref="G14:K14"/>
    <mergeCell ref="B15:F15"/>
    <mergeCell ref="G15:K15"/>
    <mergeCell ref="E16:F16"/>
    <mergeCell ref="E17:F17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E47:F47"/>
    <mergeCell ref="E35:F35"/>
    <mergeCell ref="E37:F37"/>
    <mergeCell ref="E39:F39"/>
    <mergeCell ref="G43:K43"/>
    <mergeCell ref="J45:K45"/>
    <mergeCell ref="J46:K46"/>
    <mergeCell ref="J47:K47"/>
    <mergeCell ref="E48:F48"/>
    <mergeCell ref="E49:F49"/>
    <mergeCell ref="E50:F50"/>
    <mergeCell ref="E51:F51"/>
    <mergeCell ref="E52:F52"/>
    <mergeCell ref="E53:F53"/>
    <mergeCell ref="B83:C83"/>
    <mergeCell ref="B84:C84"/>
    <mergeCell ref="B85:C85"/>
    <mergeCell ref="D83:E83"/>
    <mergeCell ref="D84:E84"/>
    <mergeCell ref="D85:E85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J59:K59"/>
    <mergeCell ref="J61:K61"/>
    <mergeCell ref="B79:C79"/>
    <mergeCell ref="J79:K79"/>
    <mergeCell ref="J58:K58"/>
    <mergeCell ref="E54:F54"/>
    <mergeCell ref="E55:F55"/>
    <mergeCell ref="G79:H79"/>
    <mergeCell ref="F76:H76"/>
    <mergeCell ref="F77:H77"/>
    <mergeCell ref="B80:C80"/>
    <mergeCell ref="B81:C81"/>
    <mergeCell ref="B82:C82"/>
    <mergeCell ref="D79:E79"/>
    <mergeCell ref="D80:E80"/>
    <mergeCell ref="D81:E81"/>
    <mergeCell ref="D82:E82"/>
    <mergeCell ref="J80:K80"/>
    <mergeCell ref="J81:K81"/>
    <mergeCell ref="J82:K82"/>
    <mergeCell ref="J83:K83"/>
    <mergeCell ref="J84:K84"/>
    <mergeCell ref="G85:H85"/>
    <mergeCell ref="G80:H80"/>
    <mergeCell ref="G82:H82"/>
    <mergeCell ref="G83:H83"/>
    <mergeCell ref="G84:H84"/>
    <mergeCell ref="J91:K91"/>
    <mergeCell ref="J92:K92"/>
    <mergeCell ref="J93:K93"/>
    <mergeCell ref="J94:K94"/>
    <mergeCell ref="J95:K95"/>
    <mergeCell ref="J85:K85"/>
    <mergeCell ref="D91:E91"/>
    <mergeCell ref="D92:E92"/>
    <mergeCell ref="D93:E93"/>
    <mergeCell ref="D94:E94"/>
    <mergeCell ref="D95:E95"/>
    <mergeCell ref="G93:H93"/>
    <mergeCell ref="G94:H94"/>
    <mergeCell ref="G95:H95"/>
    <mergeCell ref="G91:H91"/>
    <mergeCell ref="G92:H92"/>
    <mergeCell ref="G272:K272"/>
    <mergeCell ref="B272:F272"/>
    <mergeCell ref="G192:H192"/>
    <mergeCell ref="J192:K192"/>
    <mergeCell ref="A242:K242"/>
    <mergeCell ref="B270:F270"/>
    <mergeCell ref="A203:K203"/>
    <mergeCell ref="A234:K234"/>
    <mergeCell ref="A235:K235"/>
    <mergeCell ref="A236:K236"/>
    <mergeCell ref="B161:C161"/>
    <mergeCell ref="D161:E161"/>
    <mergeCell ref="F161:G161"/>
    <mergeCell ref="H161:I161"/>
    <mergeCell ref="J161:K161"/>
    <mergeCell ref="B271:F271"/>
    <mergeCell ref="G270:K270"/>
    <mergeCell ref="G271:K271"/>
    <mergeCell ref="B167:F167"/>
    <mergeCell ref="G167:K167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2" manualBreakCount="2">
    <brk id="64" max="10" man="1"/>
    <brk id="124" max="10" man="1"/>
  </rowBreaks>
  <ignoredErrors>
    <ignoredError sqref="J162" formula="1"/>
    <ignoredError sqref="J14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2022-03-23T18:57:25Z</cp:lastPrinted>
  <dcterms:created xsi:type="dcterms:W3CDTF">2004-08-09T19:29:24Z</dcterms:created>
  <dcterms:modified xsi:type="dcterms:W3CDTF">2022-04-04T19:52:04Z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