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5760" activeTab="0"/>
  </bookViews>
  <sheets>
    <sheet name="Anexo 6 - Primário Estados" sheetId="1" r:id="rId1"/>
  </sheets>
  <definedNames>
    <definedName name="_xlnm.Print_Area" localSheetId="0">'Anexo 6 - Primário Estados'!$A$1:$I$243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A77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454066+459066 </t>
        </r>
      </text>
    </comment>
    <comment ref="A78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45906400</t>
        </r>
      </text>
    </comment>
    <comment ref="A96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119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>ABAIXO DA LINHA = [DCL do Exercício] - [DCL do Exercício Anterior]
Se resultado positivo =&gt; Déficit
Se resultado negativo =&gt; Superávit
*Comparação entre os estoque da DCL do período de referência e do período anterior.</t>
        </r>
      </text>
    </comment>
    <comment ref="A88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[Receitas Primárias] - [Despesas Primárias] 
*Considera o fluxo orçamentário
</t>
        </r>
      </text>
    </comment>
    <comment ref="A10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ACIMA DA LINHA = ([Receitas Primárias] - [Despesas Primárias]) +/- Juros Nominais
Se resultado nominal &lt; 0  =&gt;  diminuição da DCL
Se resultado nominal &gt; 0  =&gt;  aumento da DCL</t>
        </r>
      </text>
    </comment>
    <comment ref="A125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Podem surgir discrepâncias entre os resultados primário e nominal calculados pelas metodologias “acima da linha” e “abaixo da linha”, sendo necessários alguns ajustes nos cálculos para que as metodologias se tornem compatíveis. Tais discrepâncias devem ser objeto de </t>
        </r>
        <r>
          <rPr>
            <b/>
            <sz val="11"/>
            <rFont val="Tahoma"/>
            <family val="2"/>
          </rPr>
          <t>Nota Explicativa</t>
        </r>
        <r>
          <rPr>
            <sz val="11"/>
            <rFont val="Tahoma"/>
            <family val="2"/>
          </rPr>
          <t>, independentemente de sua evidenciação no presente Demonstrativo.</t>
        </r>
      </text>
    </comment>
    <comment ref="A137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Identifica o valor do resultado nominal apurado pelo conceito “abaixo da linha”, considerando os efeitos dos ajustes metodológicos, referentes à variação do saldo de restos a pagar processados, a receitas de alienação de investimentos permanentes, e o reconhecimento ou cancelamento de passivos na DC.
</t>
        </r>
        <r>
          <rPr>
            <b/>
            <sz val="11"/>
            <rFont val="Tahoma"/>
            <family val="2"/>
          </rPr>
          <t>Tem que "bater" com o RN Acima da Linha</t>
        </r>
      </text>
    </comment>
    <comment ref="A139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- Identifica o valor do resultado primário apurado pelo conceito “abaixo da linha” </t>
        </r>
        <r>
          <rPr>
            <u val="single"/>
            <sz val="11"/>
            <rFont val="Tahoma"/>
            <family val="2"/>
          </rPr>
          <t>devendo estar compatível com os valores apurados “acima da linha”</t>
        </r>
        <r>
          <rPr>
            <sz val="11"/>
            <rFont val="Tahoma"/>
            <family val="2"/>
          </rPr>
          <t xml:space="preserve">.
- Esse resultado é obtido subtraindo a conta de juros do resultado nominal.
- É necessário também </t>
        </r>
        <r>
          <rPr>
            <u val="single"/>
            <sz val="11"/>
            <rFont val="Tahoma"/>
            <family val="2"/>
          </rPr>
          <t>inverte</t>
        </r>
        <r>
          <rPr>
            <sz val="11"/>
            <rFont val="Tahoma"/>
            <family val="2"/>
          </rPr>
          <t>r o sinal do resultado nominal, visto que resultados primário e nominal têm tendências opostas.</t>
        </r>
      </text>
    </comment>
    <comment ref="A165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  <comment ref="A16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Retiradas do B.O. do bimestre de referência</t>
        </r>
      </text>
    </comment>
    <comment ref="A136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Neste item devem constar os demais valores que não tenham sido considerados nos itens anteriores e que sejam identificados como fatores de divergências entre os resultados primário e nominal calculados pelas metodologias “acima da linha” e “abaixo da linha” . Ressalta-se que os ajustes necessários à conciliação dos resultados que não tenham sido considerados nos itens anteriores devem ser incluídos nessa linha e os esclarecimentos correspondentes a tais valores devem constar em nota explicativa.</t>
        </r>
      </text>
    </comment>
    <comment ref="A13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Contribuições Sociais + Outras Dívidas
(planilha auxiliar DCL)</t>
        </r>
      </text>
    </comment>
    <comment ref="D19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95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A79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4.5.90.63 - Aquisição de Títulos de Crédito</t>
        </r>
      </text>
    </comment>
    <comment ref="I131" authorId="0">
      <text>
        <r>
          <rPr>
            <sz val="9"/>
            <rFont val="Tahoma"/>
            <family val="2"/>
          </rPr>
          <t>RREO 06 - RESULTADOS PRIMÁRIO E NOMINAL - (5) - AJUSTES METODOLÓGICOS (2019) - MDF 9º Ed.</t>
        </r>
      </text>
    </comment>
    <comment ref="I134" authorId="0">
      <text>
        <r>
          <rPr>
            <sz val="10"/>
            <rFont val="Tahoma"/>
            <family val="2"/>
          </rPr>
          <t xml:space="preserve">Pasta FERNANDA  &gt;  Relatórios da LRF  &gt;  RREO  &gt;  MDF 9ª Edição:
</t>
        </r>
        <r>
          <rPr>
            <b/>
            <sz val="10"/>
            <rFont val="Tahoma"/>
            <family val="2"/>
          </rPr>
          <t>APOIO - RREO 06 - DESPESA ELEMENTO 91 (PRECATÓRIOS) - Despesa Paga (Incluindo RP e Retenções)</t>
        </r>
        <r>
          <rPr>
            <sz val="10"/>
            <rFont val="Tahoma"/>
            <family val="2"/>
          </rPr>
          <t xml:space="preserve">
Até Agosto/19  não apresentou saldo.</t>
        </r>
      </text>
    </comment>
    <comment ref="A168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170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79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80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  <comment ref="A232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443930203</t>
        </r>
      </text>
    </comment>
    <comment ref="A233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464110202 + 464130203
Não consideramos a conta 464130202 pois o saldo está muito alto (22 bi).</t>
        </r>
      </text>
    </comment>
    <comment ref="A123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</commentList>
</comments>
</file>

<file path=xl/sharedStrings.xml><?xml version="1.0" encoding="utf-8"?>
<sst xmlns="http://schemas.openxmlformats.org/spreadsheetml/2006/main" count="224" uniqueCount="213">
  <si>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</si>
  <si>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</si>
  <si>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</si>
  <si>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</si>
  <si>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</si>
  <si>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</si>
  <si>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</si>
  <si>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</si>
  <si>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</si>
  <si>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</si>
  <si>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</si>
  <si>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</si>
  <si>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</si>
  <si>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</si>
  <si>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</si>
  <si>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</si>
  <si>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</si>
  <si>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</si>
  <si>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</si>
  <si>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</si>
  <si>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</si>
  <si>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</si>
  <si>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</si>
  <si>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</si>
  <si>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</si>
  <si>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</si>
  <si>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</si>
  <si>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</si>
  <si>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</si>
  <si>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</si>
  <si>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</si>
  <si>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</si>
  <si>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</si>
  <si>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</si>
  <si>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</si>
  <si>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</si>
  <si>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</si>
  <si>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</si>
  <si>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</si>
  <si>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</si>
  <si>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</si>
  <si>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</si>
  <si>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</si>
  <si>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</si>
  <si>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</si>
  <si>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</si>
  <si>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</si>
  <si>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</si>
  <si>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 xml:space="preserve">    Alienação de Bens  </t>
  </si>
  <si>
    <t xml:space="preserve">         Outras Alienações de Bens</t>
  </si>
  <si>
    <t xml:space="preserve">        Outras Receitas de Capital Primárias</t>
  </si>
  <si>
    <t>META FISCAL PARA O RESULTADO PRIMÁRIO</t>
  </si>
  <si>
    <t>JUROS NOMINAIS</t>
  </si>
  <si>
    <t>VALOR INCORRIDO</t>
  </si>
  <si>
    <t>META FISCAL PARA O RESULTADO NOMINAL</t>
  </si>
  <si>
    <t>ABAIXO DA LINHA</t>
  </si>
  <si>
    <t>SALDO</t>
  </si>
  <si>
    <t>CÁLCULO DO RESULTADO NOMINAL</t>
  </si>
  <si>
    <t xml:space="preserve">    Disponibilidade de Caixa</t>
  </si>
  <si>
    <t xml:space="preserve">           Disponibilidade de Caixa Bruta</t>
  </si>
  <si>
    <t xml:space="preserve">    Demais Haveres Financeiros</t>
  </si>
  <si>
    <t>AJUSTE METODOLÓGICO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</si>
  <si>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</si>
  <si>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</si>
  <si>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</si>
  <si>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</si>
  <si>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</si>
  <si>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</si>
  <si>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</si>
  <si>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</si>
  <si>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</si>
  <si>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</si>
  <si>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</si>
  <si>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</si>
  <si>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PAGAMENTO DE PRECATÓRIOS INTEGRANTES DA DC (XXXVI)</t>
  </si>
  <si>
    <t>FONTE: Siafe-Rio - Secretaria de Estado de Fazenda.</t>
  </si>
  <si>
    <t>Alteração da nomenclatura dos itens “Juros e Encargos Ativos” e “Juros e Encargos Passivos” para “Juros, Encargos e Variações Monetárias Ativos” e “Juros, Encargos e Variações Monetárias Passivos”, devido ao entendimento de que as variações monetárias devem compor os valores dos juros nominais.</t>
  </si>
  <si>
    <t>Inclusão das linhas “Variação Cambial” e “Pagamento de Precatórios Integrantes da DC” no quadro de Ajuste Metodológico, após a identificação de que esses itens são fonte de discrepância entre os resultados primário e nominal apurados pelas metodologias “acima da linha” e “abaixo da linha”.</t>
  </si>
  <si>
    <t>Consulta Antiga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</si>
  <si>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</si>
  <si>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</si>
  <si>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</si>
  <si>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</si>
  <si>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</si>
  <si>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</si>
  <si>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</si>
  <si>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</si>
  <si>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</si>
  <si>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</si>
  <si>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</si>
  <si>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</si>
  <si>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</si>
  <si>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</si>
  <si>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</si>
  <si>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</si>
  <si>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</si>
  <si>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</si>
  <si>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</si>
  <si>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</si>
  <si>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</si>
  <si>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</si>
  <si>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</si>
  <si>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</si>
  <si>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</si>
  <si>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</si>
  <si>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</si>
  <si>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</si>
  <si>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</si>
  <si>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</si>
  <si>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</si>
  <si>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</si>
  <si>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</si>
  <si>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</si>
  <si>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</si>
  <si>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</si>
  <si>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</si>
  <si>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</si>
  <si>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</si>
  <si>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</si>
  <si>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</si>
  <si>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</si>
  <si>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</si>
  <si>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</si>
  <si>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</si>
  <si>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</si>
  <si>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</si>
  <si>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</si>
  <si>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Até Jun/ 2021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</si>
  <si>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</si>
  <si>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</si>
  <si>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</si>
  <si>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</si>
  <si>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</si>
  <si>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</si>
  <si>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</si>
  <si>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</si>
  <si>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    Reversão da Atualização Monetária Passiva</t>
  </si>
  <si>
    <t xml:space="preserve">   (+) Incorporações e Desincorporações de Ativos sem Execução Orçamentária Correspondente</t>
  </si>
  <si>
    <t xml:space="preserve">   (+) Reversão de Provisões e Ajustes de Perdas</t>
  </si>
  <si>
    <t xml:space="preserve">           (-) Depósitos Restituíveis e Valores Vinculados</t>
  </si>
  <si>
    <t>Yasmim da Costa Monteiro</t>
  </si>
  <si>
    <t>Subsecretária de Contabilidade Geral - ID: 4.461.243-5</t>
  </si>
  <si>
    <t>Contadora - CRC-RJ-114428/O-0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</si>
  <si>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</si>
  <si>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>Até Jun/ 2022</t>
  </si>
  <si>
    <t xml:space="preserve">       Renegociação de Dívidas com a União</t>
  </si>
  <si>
    <t>JANEIRO A FEVEREIRO 2023/BIMESTRE JANEIRO - FEVEREIRO</t>
  </si>
  <si>
    <t>N ENTRA MAIS</t>
  </si>
  <si>
    <t>RECEITAS PRIMÁRIAS CORRENTES (EXCETO FONTES RPPS) (IV) = [I - (II + III)]</t>
  </si>
  <si>
    <t>RECEITAS PRIMÁRIAS CORRENTES (COM FONTES RPPS) (V)</t>
  </si>
  <si>
    <t>RECEITAS NÃO PRIMÁRIAS CORRENTES (COM FONTES RPPS) (VI)</t>
  </si>
  <si>
    <t>RECEITAS DE CAPITAL (EXCETO FONTES RPPS) (VII)</t>
  </si>
  <si>
    <t xml:space="preserve">    Operações de Crédito (VIII)</t>
  </si>
  <si>
    <t xml:space="preserve">    Amortização de Empréstimos (IX)</t>
  </si>
  <si>
    <t xml:space="preserve">         Receitas de Alienação de Investimentos Temporários (X)</t>
  </si>
  <si>
    <t xml:space="preserve">         Receitas de Alienação de Investimentos Permanentes (XI)</t>
  </si>
  <si>
    <t xml:space="preserve">        Outras Receitas de Capital Não Primárias (XII)</t>
  </si>
  <si>
    <t>RECEITAS PRIMÁRIAS DE CAPITAL (EXCETO FONTES RPPS) (XIII) = [VII - (VIII + IX + X + XI + XII)]</t>
  </si>
  <si>
    <t>RECEITAS PRIMÁRIAS DE CAPITAL (COM FONTES RPPS) (XIV)</t>
  </si>
  <si>
    <t>RECEITAS NÃO PRIMÁRIAS DE CAPITAL (COM FONTES RPPS) (XV)</t>
  </si>
  <si>
    <t>RECEITA PRIMÁRIA TOTAL (EXCETO FONTES RPPS) (XVII) = (IV + XIII)</t>
  </si>
  <si>
    <t>RECEITA PRIMÁRIA TOTAL (XVI) = (IV + V + XIII + XIV)</t>
  </si>
  <si>
    <t>DESPESAS CORRENTES (EXCETO FONTES RPPS) (XVIII)</t>
  </si>
  <si>
    <t xml:space="preserve">    Juros e Encargos da Dívida (XIX)</t>
  </si>
  <si>
    <t>DESPESAS PRIMÁRIAS CORRENTES (EXCETO FONTES RPPS) (XX) = (XVIII - XIX)</t>
  </si>
  <si>
    <t>DESPESAS PRIMÁRIAS CORRENTES (COM FONTES RPPS) (XXI)</t>
  </si>
  <si>
    <t>DESPESAS NÃO PRIMÁRIAS CORRENTES (COM FONTES RPPS) (XXII)</t>
  </si>
  <si>
    <t>DESPESAS DE CAPITAL (EXCETO FONTES RPPS) (XXIII)</t>
  </si>
  <si>
    <t xml:space="preserve">        Concessão de Empréstimos e Financiamentos (XXIV)</t>
  </si>
  <si>
    <t xml:space="preserve">        Aquisição de Título de Capital já Integralizado (XXV)</t>
  </si>
  <si>
    <t xml:space="preserve">        Aquisição de Título de Crédito (XXVI)</t>
  </si>
  <si>
    <t xml:space="preserve">    Amortização da Dívida (XXVII)</t>
  </si>
  <si>
    <t>DESPESAS PRIMÁRIAS DE CAPITAL (EXCETO FONTES RPPS) (XXVIII) = [XXIII - (XXIV + XXV + XXVI + XXVII)]</t>
  </si>
  <si>
    <t>RESERVA DE CONTINGÊNCIA (XXIX)</t>
  </si>
  <si>
    <t>DESPESAS PRIMÁRIAS DE CAPITAL (COM FONTES RPPS) (XXX)</t>
  </si>
  <si>
    <t>DESPESAS NÃO PRIMÁRIAS DE CAPITAL (COM FONTES RPPS) (XXXI)</t>
  </si>
  <si>
    <t>DESPESA PRIMÁRIA TOTAL (XXXII) = (XX + XXI + XXVIII + XXIX + XXX)</t>
  </si>
  <si>
    <t>DESPESA PRIMÁRIA TOTAL (EXCETO FONTES RPPS) (XXXIII) = (XX + XXVIII + XXIX)</t>
  </si>
  <si>
    <t>RESULTADO PRIMÁRIO (COM RPPS) - Acima da Linha (XXXIV) = [XVIa - (XXXIIa +XXXIIb + XXXIIc)]</t>
  </si>
  <si>
    <t>RESULTADO PRIMÁRIO (SEM RPPS) - Acima da Linha (XXXV) = [XVIIa - (XXXIIIa +XXXIIIb + XXXIIIc)]</t>
  </si>
  <si>
    <t>Meta fixada no Anexo de Metas Fiscais da LDO para 2023</t>
  </si>
  <si>
    <t>Juros, Encargos e Variações Monetárias Ativos (Exceto RPPS) (XXXVI)</t>
  </si>
  <si>
    <t>Juros, Encargos e Variações Monetárias Passivos (Exceto RPPS) (XXXVII)</t>
  </si>
  <si>
    <t>RESULTADO NOMINAL (SEM RPPS) - Acima da Linha (XXXVIII) =  XXXV + (XXXVI - XXXVII)</t>
  </si>
  <si>
    <t>DÍVIDA CONSOLIDADA (XXXIX)</t>
  </si>
  <si>
    <t>DEDUÇÕES (XL)</t>
  </si>
  <si>
    <t xml:space="preserve">           (-) Restos a Pagar Processados (XLI)  </t>
  </si>
  <si>
    <t>DÍVIDA CONSOLIDADA LÍQUIDA (XLII) = (XXXIX - XL)</t>
  </si>
  <si>
    <t>RESULTADO NOMINAL (SEM RPPS) - Abaixo da Linha (XLIII) = (XLIIa - XLIIb)</t>
  </si>
  <si>
    <t>VARIAÇÃO DO SALDO DE RPP (XLIV) = (XLIa - XLIb)</t>
  </si>
  <si>
    <t>RECEITA DE ALIENAÇÃO DE INVESTIMENTOS PERMANENTES (XLV) = (XI)</t>
  </si>
  <si>
    <t>VARIAÇÃO CAMBIAL (XLVI)</t>
  </si>
  <si>
    <t>VARIAÇÃO DO SALDO DE PRECATÓRIOS INTEGRANTES DA DC (XLVII)</t>
  </si>
  <si>
    <t>VARIAÇÃO DO SALDO DAS DEMAIS OBRIGAÇÕES INTEGRANTES DA DC (XLVIII)</t>
  </si>
  <si>
    <t>OUTROS AJUSTES (XLIX)</t>
  </si>
  <si>
    <t>RESULTADO PRIMÁRIO (SEM RPPS) - Abaixo da Linha (LI) =  (L) - (XXXVI - XXXVII)</t>
  </si>
  <si>
    <t>Em 31/Dez/2022</t>
  </si>
  <si>
    <t>Até Fevereiro/2023</t>
  </si>
  <si>
    <t xml:space="preserve">         2 - Imprensa Oficial, CEDAE e AGERIO não constam nos Orçamentos Fiscal e da Seguridade Social no exercício de 2023.</t>
  </si>
  <si>
    <t>não consta mais</t>
  </si>
  <si>
    <t>não constam mais</t>
  </si>
  <si>
    <t>peguei no PDF da PLOA vol 1 pagina 79</t>
  </si>
  <si>
    <t>RESULTADO NOMINAL (SEM RPPS) AJUSTADO - Abaixo da Linha (L) = [XLIII + (XLIV - XLV + XLVI + XLVII + XLVIII) +/- (XLIX)]</t>
  </si>
  <si>
    <t>Continua (1/2)</t>
  </si>
  <si>
    <t xml:space="preserve">Continuação </t>
  </si>
  <si>
    <t>(2/2)</t>
  </si>
  <si>
    <t>RECEITAS CORRENTES (EXCETO FONTES RPPS) (I)</t>
  </si>
  <si>
    <t>Emissão: 24/03/2023</t>
  </si>
  <si>
    <t>ATÉ FEVEREIRO/2023</t>
  </si>
  <si>
    <t>Ajustar essa fórmula!</t>
  </si>
  <si>
    <t xml:space="preserve">   (+) Ajustes da Disponibilidade de Caixa e os Demais Haveres Financeiros</t>
  </si>
  <si>
    <t>FEITO</t>
  </si>
  <si>
    <t xml:space="preserve">   (+) Discrepâncias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</si>
</sst>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12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43" fontId="10" fillId="33" borderId="0" xfId="66" applyFont="1" applyFill="1" applyAlignment="1">
      <alignment horizontal="right" vertical="center"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49" fontId="64" fillId="33" borderId="0" xfId="49" applyNumberFormat="1" applyFont="1" applyFill="1" applyBorder="1">
      <alignment/>
      <protection/>
    </xf>
    <xf numFmtId="0" fontId="64" fillId="33" borderId="0" xfId="49" applyFont="1" applyFill="1" applyAlignment="1">
      <alignment horizontal="center" vertical="center"/>
      <protection/>
    </xf>
    <xf numFmtId="49" fontId="64" fillId="33" borderId="0" xfId="49" applyNumberFormat="1" applyFont="1" applyFill="1" applyBorder="1" applyAlignment="1">
      <alignment/>
      <protection/>
    </xf>
    <xf numFmtId="49" fontId="64" fillId="33" borderId="0" xfId="49" applyNumberFormat="1" applyFont="1" applyFill="1" applyBorder="1" applyAlignment="1">
      <alignment horizontal="left" wrapText="1"/>
      <protection/>
    </xf>
    <xf numFmtId="49" fontId="64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5" fillId="33" borderId="12" xfId="0" applyNumberFormat="1" applyFont="1" applyFill="1" applyBorder="1" applyAlignment="1">
      <alignment vertical="center"/>
    </xf>
    <xf numFmtId="166" fontId="65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2" borderId="0" xfId="49" applyNumberFormat="1" applyFont="1" applyFill="1" applyBorder="1" applyAlignment="1">
      <alignment vertical="center" wrapText="1"/>
      <protection/>
    </xf>
    <xf numFmtId="3" fontId="12" fillId="2" borderId="0" xfId="49" applyNumberFormat="1" applyFont="1" applyFill="1" applyBorder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0" fontId="12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6" fillId="33" borderId="0" xfId="49" applyNumberFormat="1" applyFont="1" applyFill="1" applyBorder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7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12" fillId="33" borderId="0" xfId="49" applyNumberFormat="1" applyFont="1" applyFill="1" applyBorder="1">
      <alignment/>
      <protection/>
    </xf>
    <xf numFmtId="0" fontId="68" fillId="35" borderId="0" xfId="49" applyFont="1" applyFill="1" applyAlignment="1">
      <alignment horizontal="left" vertical="center"/>
      <protection/>
    </xf>
    <xf numFmtId="0" fontId="69" fillId="35" borderId="0" xfId="49" applyFont="1" applyFill="1" applyBorder="1" applyAlignment="1">
      <alignment horizontal="center" vertical="center" wrapText="1"/>
      <protection/>
    </xf>
    <xf numFmtId="0" fontId="66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7" fillId="33" borderId="11" xfId="66" applyNumberFormat="1" applyFont="1" applyFill="1" applyBorder="1" applyAlignment="1">
      <alignment vertical="center" wrapText="1"/>
    </xf>
    <xf numFmtId="0" fontId="69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70" fillId="33" borderId="19" xfId="66" applyNumberFormat="1" applyFont="1" applyFill="1" applyBorder="1" applyAlignment="1">
      <alignment vertical="center"/>
    </xf>
    <xf numFmtId="165" fontId="65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5" fillId="33" borderId="0" xfId="0" applyNumberFormat="1" applyFont="1" applyFill="1" applyBorder="1" applyAlignment="1">
      <alignment vertical="center"/>
    </xf>
    <xf numFmtId="165" fontId="65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5" fillId="0" borderId="20" xfId="66" applyNumberFormat="1" applyFont="1" applyFill="1" applyBorder="1" applyAlignment="1">
      <alignment vertical="center"/>
    </xf>
    <xf numFmtId="165" fontId="70" fillId="33" borderId="20" xfId="66" applyNumberFormat="1" applyFont="1" applyFill="1" applyBorder="1" applyAlignment="1">
      <alignment vertical="center"/>
    </xf>
    <xf numFmtId="165" fontId="70" fillId="33" borderId="21" xfId="66" applyNumberFormat="1" applyFont="1" applyFill="1" applyBorder="1" applyAlignment="1">
      <alignment vertical="center"/>
    </xf>
    <xf numFmtId="165" fontId="70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vertical="center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33" borderId="13" xfId="49" applyFont="1" applyFill="1" applyBorder="1" applyAlignment="1">
      <alignment vertical="center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0" fontId="12" fillId="33" borderId="12" xfId="49" applyFont="1" applyFill="1" applyBorder="1" applyAlignment="1">
      <alignment vertical="center"/>
      <protection/>
    </xf>
    <xf numFmtId="43" fontId="12" fillId="33" borderId="23" xfId="66" applyFont="1" applyFill="1" applyBorder="1" applyAlignment="1">
      <alignment vertical="center"/>
    </xf>
    <xf numFmtId="0" fontId="12" fillId="33" borderId="14" xfId="49" applyFont="1" applyFill="1" applyBorder="1" applyAlignment="1">
      <alignment vertical="center"/>
      <protection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0" fontId="11" fillId="34" borderId="17" xfId="49" applyFont="1" applyFill="1" applyBorder="1" applyAlignment="1">
      <alignment vertical="center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10" xfId="49" applyFont="1" applyFill="1" applyBorder="1" applyAlignment="1">
      <alignment horizontal="left" vertical="center"/>
      <protection/>
    </xf>
    <xf numFmtId="0" fontId="12" fillId="33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center" vertical="center"/>
      <protection/>
    </xf>
    <xf numFmtId="43" fontId="11" fillId="33" borderId="0" xfId="49" applyNumberFormat="1" applyFont="1" applyFill="1" applyAlignment="1">
      <alignment horizontal="center" vertical="center"/>
      <protection/>
    </xf>
    <xf numFmtId="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/>
    </xf>
    <xf numFmtId="165" fontId="11" fillId="33" borderId="20" xfId="66" applyNumberFormat="1" applyFont="1" applyFill="1" applyBorder="1" applyAlignment="1">
      <alignment vertical="center"/>
    </xf>
    <xf numFmtId="165" fontId="11" fillId="33" borderId="19" xfId="66" applyNumberFormat="1" applyFont="1" applyFill="1" applyBorder="1" applyAlignment="1">
      <alignment vertical="center" wrapText="1"/>
    </xf>
    <xf numFmtId="43" fontId="11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12" fillId="33" borderId="0" xfId="66" applyFont="1" applyFill="1" applyAlignment="1">
      <alignment vertical="center"/>
    </xf>
    <xf numFmtId="43" fontId="12" fillId="33" borderId="0" xfId="66" applyFont="1" applyFill="1" applyAlignment="1">
      <alignment horizontal="center" vertical="center"/>
    </xf>
    <xf numFmtId="0" fontId="65" fillId="33" borderId="23" xfId="49" applyFont="1" applyFill="1" applyBorder="1" applyAlignment="1">
      <alignment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9" fillId="0" borderId="0" xfId="49" applyFont="1" applyFill="1" applyAlignment="1">
      <alignment vertical="center"/>
      <protection/>
    </xf>
    <xf numFmtId="0" fontId="12" fillId="33" borderId="10" xfId="49" applyFont="1" applyFill="1" applyBorder="1" applyAlignment="1">
      <alignment horizontal="right" vertical="center"/>
      <protection/>
    </xf>
    <xf numFmtId="43" fontId="0" fillId="0" borderId="0" xfId="0" applyNumberFormat="1" applyAlignment="1">
      <alignment/>
    </xf>
    <xf numFmtId="49" fontId="12" fillId="33" borderId="0" xfId="49" applyNumberFormat="1" applyFont="1" applyFill="1" applyBorder="1">
      <alignment/>
      <protection/>
    </xf>
    <xf numFmtId="43" fontId="12" fillId="33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5" fontId="65" fillId="35" borderId="20" xfId="66" applyNumberFormat="1" applyFont="1" applyFill="1" applyBorder="1" applyAlignment="1">
      <alignment vertical="center"/>
    </xf>
    <xf numFmtId="166" fontId="12" fillId="35" borderId="12" xfId="66" applyNumberFormat="1" applyFont="1" applyFill="1" applyBorder="1" applyAlignment="1">
      <alignment vertical="center"/>
    </xf>
    <xf numFmtId="166" fontId="12" fillId="35" borderId="0" xfId="66" applyNumberFormat="1" applyFont="1" applyFill="1" applyBorder="1" applyAlignment="1">
      <alignment vertical="center"/>
    </xf>
    <xf numFmtId="165" fontId="12" fillId="35" borderId="0" xfId="66" applyNumberFormat="1" applyFont="1" applyFill="1" applyBorder="1" applyAlignment="1">
      <alignment vertical="center"/>
    </xf>
    <xf numFmtId="166" fontId="11" fillId="0" borderId="11" xfId="66" applyNumberFormat="1" applyFont="1" applyFill="1" applyBorder="1" applyAlignment="1">
      <alignment vertical="center"/>
    </xf>
    <xf numFmtId="165" fontId="11" fillId="0" borderId="11" xfId="66" applyNumberFormat="1" applyFont="1" applyFill="1" applyBorder="1" applyAlignment="1">
      <alignment vertical="center"/>
    </xf>
    <xf numFmtId="165" fontId="11" fillId="0" borderId="17" xfId="49" applyNumberFormat="1" applyFont="1" applyFill="1" applyBorder="1" applyAlignment="1">
      <alignment vertical="center"/>
      <protection/>
    </xf>
    <xf numFmtId="165" fontId="11" fillId="0" borderId="11" xfId="49" applyNumberFormat="1" applyFont="1" applyFill="1" applyBorder="1" applyAlignment="1">
      <alignment vertical="center"/>
      <protection/>
    </xf>
    <xf numFmtId="0" fontId="12" fillId="35" borderId="23" xfId="49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165" fontId="70" fillId="34" borderId="16" xfId="66" applyNumberFormat="1" applyFont="1" applyFill="1" applyBorder="1" applyAlignment="1">
      <alignment/>
    </xf>
    <xf numFmtId="43" fontId="12" fillId="0" borderId="0" xfId="49" applyNumberFormat="1" applyFont="1" applyFill="1" applyBorder="1">
      <alignment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0" fontId="11" fillId="0" borderId="11" xfId="49" applyNumberFormat="1" applyFont="1" applyFill="1" applyBorder="1" applyAlignment="1">
      <alignment/>
      <protection/>
    </xf>
    <xf numFmtId="166" fontId="11" fillId="0" borderId="10" xfId="66" applyNumberFormat="1" applyFont="1" applyFill="1" applyBorder="1" applyAlignment="1">
      <alignment vertical="center"/>
    </xf>
    <xf numFmtId="166" fontId="11" fillId="0" borderId="0" xfId="66" applyNumberFormat="1" applyFont="1" applyFill="1" applyBorder="1" applyAlignment="1">
      <alignment vertical="center"/>
    </xf>
    <xf numFmtId="165" fontId="11" fillId="0" borderId="10" xfId="66" applyNumberFormat="1" applyFont="1" applyFill="1" applyBorder="1" applyAlignment="1">
      <alignment vertical="center"/>
    </xf>
    <xf numFmtId="43" fontId="11" fillId="0" borderId="0" xfId="66" applyNumberFormat="1" applyFont="1" applyFill="1" applyBorder="1" applyAlignment="1">
      <alignment vertical="center"/>
    </xf>
    <xf numFmtId="165" fontId="11" fillId="0" borderId="0" xfId="66" applyNumberFormat="1" applyFont="1" applyFill="1" applyBorder="1" applyAlignment="1">
      <alignment vertical="center"/>
    </xf>
    <xf numFmtId="166" fontId="12" fillId="0" borderId="0" xfId="49" applyNumberFormat="1" applyFont="1" applyFill="1" applyBorder="1" applyAlignment="1">
      <alignment vertical="center"/>
      <protection/>
    </xf>
    <xf numFmtId="43" fontId="12" fillId="0" borderId="0" xfId="66" applyFont="1" applyFill="1" applyAlignment="1">
      <alignment vertical="center"/>
    </xf>
    <xf numFmtId="43" fontId="12" fillId="0" borderId="0" xfId="66" applyFont="1" applyFill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1" fillId="34" borderId="11" xfId="49" applyNumberFormat="1" applyFont="1" applyFill="1" applyBorder="1" applyAlignment="1">
      <alignment wrapText="1"/>
      <protection/>
    </xf>
    <xf numFmtId="0" fontId="12" fillId="0" borderId="0" xfId="49" applyNumberFormat="1" applyFont="1" applyFill="1" applyBorder="1" applyAlignment="1">
      <alignment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2" fillId="0" borderId="0" xfId="49" applyNumberFormat="1" applyFont="1" applyFill="1" applyBorder="1" applyAlignment="1">
      <alignment horizontal="left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3" xfId="49" applyFont="1" applyFill="1" applyBorder="1" applyAlignment="1">
      <alignment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0" fontId="12" fillId="33" borderId="0" xfId="49" applyFont="1" applyFill="1" applyAlignment="1">
      <alignment horizontal="right" vertical="center"/>
      <protection/>
    </xf>
    <xf numFmtId="0" fontId="11" fillId="33" borderId="0" xfId="49" applyNumberFormat="1" applyFont="1" applyFill="1" applyBorder="1" applyAlignment="1">
      <alignment vertical="top"/>
      <protection/>
    </xf>
    <xf numFmtId="0" fontId="11" fillId="33" borderId="0" xfId="49" applyNumberFormat="1" applyFont="1" applyFill="1" applyBorder="1" applyAlignment="1">
      <alignment wrapText="1"/>
      <protection/>
    </xf>
    <xf numFmtId="43" fontId="11" fillId="34" borderId="16" xfId="66" applyFont="1" applyFill="1" applyBorder="1" applyAlignment="1">
      <alignment vertical="center"/>
    </xf>
    <xf numFmtId="0" fontId="11" fillId="34" borderId="18" xfId="49" applyNumberFormat="1" applyFont="1" applyFill="1" applyBorder="1" applyAlignment="1">
      <alignment wrapText="1"/>
      <protection/>
    </xf>
    <xf numFmtId="0" fontId="11" fillId="34" borderId="11" xfId="49" applyNumberFormat="1" applyFont="1" applyFill="1" applyBorder="1" applyAlignment="1">
      <alignment vertical="center" wrapText="1"/>
      <protection/>
    </xf>
    <xf numFmtId="0" fontId="11" fillId="34" borderId="18" xfId="49" applyFont="1" applyFill="1" applyBorder="1" applyAlignment="1">
      <alignment vertical="center" wrapText="1"/>
      <protection/>
    </xf>
    <xf numFmtId="0" fontId="12" fillId="33" borderId="23" xfId="49" applyFont="1" applyFill="1" applyBorder="1" applyAlignment="1">
      <alignment vertical="center"/>
      <protection/>
    </xf>
    <xf numFmtId="0" fontId="12" fillId="33" borderId="15" xfId="49" applyNumberFormat="1" applyFont="1" applyFill="1" applyBorder="1" applyAlignment="1">
      <alignment vertical="center"/>
      <protection/>
    </xf>
    <xf numFmtId="49" fontId="66" fillId="0" borderId="0" xfId="49" applyNumberFormat="1" applyFont="1" applyFill="1" applyBorder="1" applyAlignment="1">
      <alignment wrapText="1"/>
      <protection/>
    </xf>
    <xf numFmtId="3" fontId="66" fillId="35" borderId="0" xfId="49" applyNumberFormat="1" applyFont="1" applyFill="1" applyBorder="1" applyAlignment="1">
      <alignment vertical="center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Border="1" applyAlignment="1">
      <alignment horizontal="center" vertical="center"/>
      <protection/>
    </xf>
    <xf numFmtId="165" fontId="11" fillId="33" borderId="13" xfId="49" applyNumberFormat="1" applyFont="1" applyFill="1" applyBorder="1" applyAlignment="1">
      <alignment horizontal="center" vertical="center"/>
      <protection/>
    </xf>
    <xf numFmtId="165" fontId="11" fillId="33" borderId="10" xfId="49" applyNumberFormat="1" applyFont="1" applyFill="1" applyBorder="1" applyAlignment="1">
      <alignment horizontal="center" vertical="center"/>
      <protection/>
    </xf>
    <xf numFmtId="43" fontId="11" fillId="36" borderId="12" xfId="66" applyFont="1" applyFill="1" applyBorder="1" applyAlignment="1">
      <alignment horizontal="center" vertical="top" wrapText="1"/>
    </xf>
    <xf numFmtId="43" fontId="11" fillId="36" borderId="0" xfId="66" applyFont="1" applyFill="1" applyBorder="1" applyAlignment="1">
      <alignment horizontal="center" vertical="top" wrapText="1"/>
    </xf>
    <xf numFmtId="43" fontId="12" fillId="36" borderId="12" xfId="66" applyFont="1" applyFill="1" applyBorder="1" applyAlignment="1">
      <alignment horizontal="center" vertical="top" wrapText="1"/>
    </xf>
    <xf numFmtId="43" fontId="12" fillId="36" borderId="0" xfId="66" applyFont="1" applyFill="1" applyBorder="1" applyAlignment="1">
      <alignment horizontal="center" vertical="top" wrapText="1"/>
    </xf>
    <xf numFmtId="4" fontId="11" fillId="36" borderId="0" xfId="0" applyNumberFormat="1" applyFont="1" applyFill="1" applyBorder="1" applyAlignment="1">
      <alignment horizontal="left" vertical="top" wrapText="1"/>
    </xf>
    <xf numFmtId="4" fontId="12" fillId="36" borderId="0" xfId="0" applyNumberFormat="1" applyFont="1" applyFill="1" applyBorder="1" applyAlignment="1">
      <alignment horizontal="left" vertical="top" wrapText="1"/>
    </xf>
    <xf numFmtId="43" fontId="11" fillId="36" borderId="14" xfId="66" applyFont="1" applyFill="1" applyBorder="1" applyAlignment="1">
      <alignment horizontal="center" vertical="top" wrapText="1"/>
    </xf>
    <xf numFmtId="43" fontId="11" fillId="36" borderId="15" xfId="66" applyFont="1" applyFill="1" applyBorder="1" applyAlignment="1">
      <alignment horizontal="center" vertical="top" wrapText="1"/>
    </xf>
    <xf numFmtId="4" fontId="11" fillId="36" borderId="15" xfId="0" applyNumberFormat="1" applyFont="1" applyFill="1" applyBorder="1" applyAlignment="1">
      <alignment horizontal="left" vertical="top" wrapText="1"/>
    </xf>
    <xf numFmtId="4" fontId="11" fillId="36" borderId="24" xfId="0" applyNumberFormat="1" applyFont="1" applyFill="1" applyBorder="1" applyAlignment="1">
      <alignment horizontal="left" vertical="top" wrapText="1"/>
    </xf>
    <xf numFmtId="0" fontId="12" fillId="0" borderId="0" xfId="49" applyFont="1" applyFill="1" applyBorder="1" applyAlignment="1">
      <alignment horizontal="center" vertical="center" wrapText="1"/>
      <protection/>
    </xf>
    <xf numFmtId="0" fontId="11" fillId="35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0" fontId="12" fillId="33" borderId="0" xfId="49" applyFont="1" applyFill="1" applyAlignment="1">
      <alignment horizontal="center" vertical="center" wrapText="1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0" fontId="11" fillId="35" borderId="0" xfId="49" applyFont="1" applyFill="1" applyAlignment="1">
      <alignment horizontal="center" vertical="center"/>
      <protection/>
    </xf>
    <xf numFmtId="4" fontId="11" fillId="34" borderId="25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0" fontId="71" fillId="33" borderId="0" xfId="49" applyFont="1" applyFill="1" applyBorder="1" applyAlignment="1">
      <alignment horizontal="left" vertical="center" wrapText="1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/>
      <protection/>
    </xf>
    <xf numFmtId="4" fontId="11" fillId="34" borderId="27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0" fontId="4" fillId="34" borderId="19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11" fillId="10" borderId="0" xfId="49" applyFont="1" applyFill="1" applyAlignment="1">
      <alignment horizontal="center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49" fontId="66" fillId="35" borderId="0" xfId="49" applyNumberFormat="1" applyFont="1" applyFill="1" applyBorder="1" applyAlignment="1">
      <alignment horizontal="center" wrapText="1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6" fillId="0" borderId="0" xfId="49" applyFont="1" applyFill="1" applyBorder="1" applyAlignment="1">
      <alignment horizontal="center" vertical="center"/>
      <protection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43" fontId="66" fillId="35" borderId="0" xfId="66" applyFont="1" applyFill="1" applyBorder="1" applyAlignment="1">
      <alignment horizontal="center" wrapText="1"/>
    </xf>
    <xf numFmtId="0" fontId="11" fillId="34" borderId="0" xfId="49" applyFont="1" applyFill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142875</xdr:colOff>
      <xdr:row>82</xdr:row>
      <xdr:rowOff>0</xdr:rowOff>
    </xdr:from>
    <xdr:to>
      <xdr:col>59</xdr:col>
      <xdr:colOff>28575</xdr:colOff>
      <xdr:row>108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80850" y="16992600"/>
          <a:ext cx="8791575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466725</xdr:colOff>
      <xdr:row>101</xdr:row>
      <xdr:rowOff>19050</xdr:rowOff>
    </xdr:from>
    <xdr:to>
      <xdr:col>29</xdr:col>
      <xdr:colOff>161925</xdr:colOff>
      <xdr:row>123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60075" y="21459825"/>
          <a:ext cx="70294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1800225</xdr:colOff>
      <xdr:row>0</xdr:row>
      <xdr:rowOff>38100</xdr:rowOff>
    </xdr:from>
    <xdr:to>
      <xdr:col>2</xdr:col>
      <xdr:colOff>590550</xdr:colOff>
      <xdr:row>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1800225</xdr:colOff>
      <xdr:row>149</xdr:row>
      <xdr:rowOff>9525</xdr:rowOff>
    </xdr:from>
    <xdr:to>
      <xdr:col>2</xdr:col>
      <xdr:colOff>590550</xdr:colOff>
      <xdr:row>152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297275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6"/>
  <sheetViews>
    <sheetView showGridLines="0" tabSelected="1" zoomScalePageLayoutView="0" workbookViewId="0" topLeftCell="A1">
      <selection activeCell="B87" sqref="B87"/>
    </sheetView>
  </sheetViews>
  <sheetFormatPr defaultColWidth="7.8515625" defaultRowHeight="15"/>
  <cols>
    <col min="1" max="1" width="88.57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7" width="21.140625" style="16" customWidth="1"/>
    <col min="8" max="8" width="19.7109375" style="16" customWidth="1"/>
    <col min="9" max="9" width="21.57421875" style="18" customWidth="1"/>
    <col min="10" max="10" width="20.2812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398" t="s">
        <v>0</v>
      </c>
      <c r="B5" s="398"/>
      <c r="C5" s="398"/>
      <c r="D5" s="398"/>
      <c r="E5" s="398"/>
      <c r="F5" s="398"/>
      <c r="G5" s="398"/>
      <c r="H5" s="398"/>
      <c r="I5" s="398"/>
    </row>
    <row r="6" spans="1:9" ht="15.75">
      <c r="A6" s="398" t="s">
        <v>1</v>
      </c>
      <c r="B6" s="398"/>
      <c r="C6" s="398"/>
      <c r="D6" s="398"/>
      <c r="E6" s="398"/>
      <c r="F6" s="398"/>
      <c r="G6" s="398"/>
      <c r="H6" s="398"/>
      <c r="I6" s="398"/>
    </row>
    <row r="7" spans="1:9" ht="15.75">
      <c r="A7" s="399" t="s">
        <v>26</v>
      </c>
      <c r="B7" s="399"/>
      <c r="C7" s="399"/>
      <c r="D7" s="399"/>
      <c r="E7" s="399"/>
      <c r="F7" s="399"/>
      <c r="G7" s="399"/>
      <c r="H7" s="399"/>
      <c r="I7" s="399"/>
    </row>
    <row r="8" spans="1:9" ht="15.75">
      <c r="A8" s="398" t="s">
        <v>2</v>
      </c>
      <c r="B8" s="398"/>
      <c r="C8" s="398"/>
      <c r="D8" s="398"/>
      <c r="E8" s="398"/>
      <c r="F8" s="398"/>
      <c r="G8" s="398"/>
      <c r="H8" s="398"/>
      <c r="I8" s="398"/>
    </row>
    <row r="9" spans="1:9" ht="15.75">
      <c r="A9" s="398" t="s">
        <v>146</v>
      </c>
      <c r="B9" s="398"/>
      <c r="C9" s="398"/>
      <c r="D9" s="398"/>
      <c r="E9" s="398"/>
      <c r="F9" s="398"/>
      <c r="G9" s="398"/>
      <c r="H9" s="398"/>
      <c r="I9" s="398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9"/>
      <c r="C11" s="129"/>
      <c r="D11" s="23"/>
      <c r="E11" s="23"/>
      <c r="I11" s="277" t="s">
        <v>207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393" t="s">
        <v>27</v>
      </c>
      <c r="B13" s="393"/>
      <c r="C13" s="393"/>
      <c r="D13" s="393"/>
      <c r="E13" s="393"/>
      <c r="F13" s="393"/>
      <c r="G13" s="393"/>
      <c r="H13" s="393"/>
      <c r="I13" s="393"/>
      <c r="J13" s="17"/>
      <c r="K13" s="122"/>
    </row>
    <row r="14" spans="1:11" ht="15.75">
      <c r="A14" s="313"/>
      <c r="B14" s="313"/>
      <c r="C14" s="312"/>
      <c r="D14" s="312"/>
      <c r="E14" s="312"/>
      <c r="F14" s="312"/>
      <c r="G14" s="312"/>
      <c r="H14" s="312"/>
      <c r="I14" s="312"/>
      <c r="J14" s="17"/>
      <c r="K14" s="122"/>
    </row>
    <row r="15" spans="1:11" ht="15.75">
      <c r="A15" s="323" t="s">
        <v>4</v>
      </c>
      <c r="B15" s="389" t="s">
        <v>5</v>
      </c>
      <c r="C15" s="362" t="s">
        <v>208</v>
      </c>
      <c r="D15" s="394"/>
      <c r="E15" s="394"/>
      <c r="F15" s="394"/>
      <c r="G15" s="394"/>
      <c r="H15" s="394"/>
      <c r="I15" s="394"/>
      <c r="J15" s="17"/>
      <c r="K15" s="122"/>
    </row>
    <row r="16" spans="1:11" ht="15.75">
      <c r="A16" s="323"/>
      <c r="B16" s="389"/>
      <c r="C16" s="359" t="s">
        <v>28</v>
      </c>
      <c r="D16" s="360"/>
      <c r="E16" s="360"/>
      <c r="F16" s="360"/>
      <c r="G16" s="360"/>
      <c r="H16" s="360"/>
      <c r="I16" s="360"/>
      <c r="J16" s="17"/>
      <c r="K16" s="122"/>
    </row>
    <row r="17" spans="1:11" ht="15.75">
      <c r="A17" s="324"/>
      <c r="B17" s="391"/>
      <c r="C17" s="391" t="s">
        <v>29</v>
      </c>
      <c r="D17" s="392"/>
      <c r="E17" s="392"/>
      <c r="F17" s="392"/>
      <c r="G17" s="392"/>
      <c r="H17" s="392"/>
      <c r="I17" s="392"/>
      <c r="J17" s="17"/>
      <c r="K17" s="122"/>
    </row>
    <row r="18" spans="1:11" s="28" customFormat="1" ht="15.75">
      <c r="A18" s="246" t="s">
        <v>206</v>
      </c>
      <c r="B18" s="133">
        <f>B19+B25+B26+B29+B35</f>
        <v>81655638930.54</v>
      </c>
      <c r="C18" s="39"/>
      <c r="D18" s="72"/>
      <c r="E18" s="72"/>
      <c r="F18" s="72"/>
      <c r="G18" s="72"/>
      <c r="H18" s="72"/>
      <c r="I18" s="135">
        <f>I19+I25+I26+I29+I35</f>
        <v>15764287247.88</v>
      </c>
      <c r="J18" s="27"/>
      <c r="K18" s="27"/>
    </row>
    <row r="19" spans="1:11" ht="15.75">
      <c r="A19" s="264" t="s">
        <v>39</v>
      </c>
      <c r="B19" s="134">
        <f>SUM(B20:B24)</f>
        <v>43725450614.28</v>
      </c>
      <c r="C19" s="36"/>
      <c r="D19" s="29"/>
      <c r="E19" s="29"/>
      <c r="F19" s="29"/>
      <c r="G19" s="29"/>
      <c r="H19" s="29"/>
      <c r="I19" s="136">
        <f>SUM(I20:P24)</f>
        <v>7684164483.559999</v>
      </c>
      <c r="J19" s="29"/>
      <c r="K19" s="29"/>
    </row>
    <row r="20" spans="1:11" ht="15.75">
      <c r="A20" s="265" t="s">
        <v>35</v>
      </c>
      <c r="B20" s="134">
        <f>30704875459.24</f>
        <v>30704875459.24</v>
      </c>
      <c r="C20" s="36"/>
      <c r="D20" s="29"/>
      <c r="E20" s="29"/>
      <c r="F20" s="29"/>
      <c r="G20" s="29"/>
      <c r="H20" s="29"/>
      <c r="I20" s="136">
        <f>4839104049.69</f>
        <v>4839104049.69</v>
      </c>
      <c r="J20" s="17"/>
      <c r="K20" s="122"/>
    </row>
    <row r="21" spans="1:11" ht="15.75">
      <c r="A21" s="265" t="s">
        <v>36</v>
      </c>
      <c r="B21" s="134">
        <f>1736122365.46</f>
        <v>1736122365.46</v>
      </c>
      <c r="C21" s="36"/>
      <c r="D21" s="29"/>
      <c r="E21" s="29"/>
      <c r="F21" s="29"/>
      <c r="G21" s="29"/>
      <c r="H21" s="29"/>
      <c r="I21" s="136">
        <f>900331197.98</f>
        <v>900331197.98</v>
      </c>
      <c r="J21" s="17"/>
      <c r="K21" s="122"/>
    </row>
    <row r="22" spans="1:11" ht="15.75">
      <c r="A22" s="265" t="s">
        <v>37</v>
      </c>
      <c r="B22" s="134">
        <f>1397478449.58</f>
        <v>1397478449.58</v>
      </c>
      <c r="C22" s="36"/>
      <c r="D22" s="29"/>
      <c r="E22" s="29"/>
      <c r="F22" s="29"/>
      <c r="G22" s="29"/>
      <c r="H22" s="29"/>
      <c r="I22" s="136">
        <f>156268063.08</f>
        <v>156268063.08</v>
      </c>
      <c r="J22" s="17"/>
      <c r="K22" s="122"/>
    </row>
    <row r="23" spans="1:11" ht="15.75">
      <c r="A23" s="265" t="s">
        <v>38</v>
      </c>
      <c r="B23" s="134">
        <f>6535322008</f>
        <v>6535322008</v>
      </c>
      <c r="C23" s="36"/>
      <c r="D23" s="29"/>
      <c r="E23" s="29"/>
      <c r="F23" s="29"/>
      <c r="G23" s="29"/>
      <c r="H23" s="29"/>
      <c r="I23" s="136">
        <f>1125051329.4</f>
        <v>1125051329.4</v>
      </c>
      <c r="J23" s="17"/>
      <c r="K23" s="122"/>
    </row>
    <row r="24" spans="1:11" ht="15.75">
      <c r="A24" s="266" t="s">
        <v>40</v>
      </c>
      <c r="B24" s="134">
        <f>3351652332</f>
        <v>3351652332</v>
      </c>
      <c r="C24" s="36"/>
      <c r="D24" s="29"/>
      <c r="E24" s="29"/>
      <c r="F24" s="29"/>
      <c r="G24" s="29"/>
      <c r="H24" s="29"/>
      <c r="I24" s="136">
        <f>663409843.41</f>
        <v>663409843.41</v>
      </c>
      <c r="J24" s="17"/>
      <c r="K24" s="122"/>
    </row>
    <row r="25" spans="1:12" ht="15.75" customHeight="1">
      <c r="A25" s="267" t="s">
        <v>41</v>
      </c>
      <c r="B25" s="134">
        <f>140861754</f>
        <v>140861754</v>
      </c>
      <c r="C25" s="73"/>
      <c r="D25" s="74"/>
      <c r="E25" s="74"/>
      <c r="F25" s="74"/>
      <c r="G25" s="74"/>
      <c r="H25" s="74"/>
      <c r="I25" s="137">
        <f>23135132.5</f>
        <v>23135132.5</v>
      </c>
      <c r="J25" s="307"/>
      <c r="K25" s="307"/>
      <c r="L25" s="307"/>
    </row>
    <row r="26" spans="1:12" ht="15.75">
      <c r="A26" s="267" t="s">
        <v>42</v>
      </c>
      <c r="B26" s="134">
        <f>B27+B28</f>
        <v>26393767142.53</v>
      </c>
      <c r="C26" s="36"/>
      <c r="D26" s="29"/>
      <c r="E26" s="29"/>
      <c r="F26" s="29"/>
      <c r="G26" s="29"/>
      <c r="H26" s="29"/>
      <c r="I26" s="136">
        <f>I27+I28</f>
        <v>6082541748.21</v>
      </c>
      <c r="J26" s="307"/>
      <c r="K26" s="307"/>
      <c r="L26" s="307"/>
    </row>
    <row r="27" spans="1:11" ht="15.75">
      <c r="A27" s="268" t="s">
        <v>43</v>
      </c>
      <c r="B27" s="134">
        <f>1179511078.16</f>
        <v>1179511078.16</v>
      </c>
      <c r="C27" s="36"/>
      <c r="D27" s="29"/>
      <c r="E27" s="29"/>
      <c r="F27" s="29"/>
      <c r="G27" s="29"/>
      <c r="H27" s="29"/>
      <c r="I27" s="136">
        <f>492606140.99</f>
        <v>492606140.99</v>
      </c>
      <c r="J27" s="17"/>
      <c r="K27" s="122"/>
    </row>
    <row r="28" spans="1:11" ht="15.75">
      <c r="A28" s="268" t="s">
        <v>44</v>
      </c>
      <c r="B28" s="134">
        <f>25214256064.37</f>
        <v>25214256064.37</v>
      </c>
      <c r="C28" s="36"/>
      <c r="D28" s="29"/>
      <c r="E28" s="29"/>
      <c r="F28" s="29"/>
      <c r="G28" s="29"/>
      <c r="H28" s="29"/>
      <c r="I28" s="136">
        <f>5589935607.22</f>
        <v>5589935607.22</v>
      </c>
      <c r="J28" s="17"/>
      <c r="K28" s="122"/>
    </row>
    <row r="29" spans="1:11" ht="15.75">
      <c r="A29" s="264" t="s">
        <v>6</v>
      </c>
      <c r="B29" s="134">
        <f>SUM(B30:B34)</f>
        <v>9343841516.73</v>
      </c>
      <c r="C29" s="36"/>
      <c r="D29" s="29"/>
      <c r="E29" s="29"/>
      <c r="F29" s="29"/>
      <c r="G29" s="29"/>
      <c r="H29" s="29"/>
      <c r="I29" s="136">
        <f>SUM(I30:P34)</f>
        <v>1564087891.64</v>
      </c>
      <c r="J29" s="17"/>
      <c r="K29" s="122"/>
    </row>
    <row r="30" spans="1:11" ht="15.75">
      <c r="A30" s="268" t="s">
        <v>45</v>
      </c>
      <c r="B30" s="134">
        <f>2006644054</f>
        <v>2006644054</v>
      </c>
      <c r="C30" s="36"/>
      <c r="D30" s="29"/>
      <c r="E30" s="29"/>
      <c r="F30" s="29"/>
      <c r="G30" s="29"/>
      <c r="H30" s="29"/>
      <c r="I30" s="136">
        <f>422307732.61</f>
        <v>422307732.61</v>
      </c>
      <c r="J30" s="17"/>
      <c r="K30" s="122"/>
    </row>
    <row r="31" spans="1:11" ht="15.75" hidden="1">
      <c r="A31" s="268" t="s">
        <v>47</v>
      </c>
      <c r="B31" s="237">
        <v>0</v>
      </c>
      <c r="C31" s="238"/>
      <c r="D31" s="239"/>
      <c r="E31" s="239"/>
      <c r="F31" s="239"/>
      <c r="G31" s="239"/>
      <c r="H31" s="239"/>
      <c r="I31" s="240">
        <v>0</v>
      </c>
      <c r="J31" s="17" t="s">
        <v>147</v>
      </c>
      <c r="K31" s="122"/>
    </row>
    <row r="32" spans="1:13" ht="15.75">
      <c r="A32" s="268" t="s">
        <v>113</v>
      </c>
      <c r="B32" s="134">
        <f>732092096.63</f>
        <v>732092096.63</v>
      </c>
      <c r="C32" s="36"/>
      <c r="D32" s="29"/>
      <c r="E32" s="29"/>
      <c r="F32" s="29"/>
      <c r="G32" s="29"/>
      <c r="H32" s="29"/>
      <c r="I32" s="136">
        <f>102693594.76</f>
        <v>102693594.76</v>
      </c>
      <c r="J32"/>
      <c r="K32"/>
      <c r="L32"/>
      <c r="M32"/>
    </row>
    <row r="33" spans="1:11" ht="15.75">
      <c r="A33" s="268" t="s">
        <v>46</v>
      </c>
      <c r="B33" s="134">
        <f>4395631028</f>
        <v>4395631028</v>
      </c>
      <c r="C33" s="36"/>
      <c r="D33" s="29"/>
      <c r="E33" s="29"/>
      <c r="F33" s="29"/>
      <c r="G33" s="29"/>
      <c r="H33" s="29"/>
      <c r="I33" s="136">
        <f>751730318.85</f>
        <v>751730318.85</v>
      </c>
      <c r="J33" s="17"/>
      <c r="K33" s="122"/>
    </row>
    <row r="34" spans="1:11" ht="15.75">
      <c r="A34" s="269" t="s">
        <v>71</v>
      </c>
      <c r="B34" s="140">
        <f>2209474338.1</f>
        <v>2209474338.1</v>
      </c>
      <c r="C34" s="36"/>
      <c r="D34" s="29"/>
      <c r="E34" s="29"/>
      <c r="F34" s="29"/>
      <c r="G34" s="29"/>
      <c r="H34" s="29"/>
      <c r="I34" s="138">
        <f>287356245.42</f>
        <v>287356245.42</v>
      </c>
      <c r="J34" s="49"/>
      <c r="K34" s="122"/>
    </row>
    <row r="35" spans="1:11" ht="15.75">
      <c r="A35" s="264" t="s">
        <v>8</v>
      </c>
      <c r="B35" s="134">
        <f>B36+B37</f>
        <v>2051717903</v>
      </c>
      <c r="C35" s="36"/>
      <c r="D35" s="29"/>
      <c r="E35" s="29"/>
      <c r="F35" s="29"/>
      <c r="G35" s="29"/>
      <c r="H35" s="29"/>
      <c r="I35" s="136">
        <f>I36+I37</f>
        <v>410357991.97</v>
      </c>
      <c r="J35" s="17"/>
      <c r="K35" s="122"/>
    </row>
    <row r="36" spans="1:11" ht="15.75">
      <c r="A36" s="269" t="s">
        <v>115</v>
      </c>
      <c r="B36" s="134">
        <f>11799022</f>
        <v>11799022</v>
      </c>
      <c r="C36" s="36"/>
      <c r="D36" s="29"/>
      <c r="E36" s="29"/>
      <c r="F36" s="29"/>
      <c r="G36" s="29"/>
      <c r="H36" s="29"/>
      <c r="I36" s="136">
        <f>1330791.93</f>
        <v>1330791.93</v>
      </c>
      <c r="J36" s="17"/>
      <c r="K36" s="122"/>
    </row>
    <row r="37" spans="1:11" ht="15.75">
      <c r="A37" s="268" t="s">
        <v>73</v>
      </c>
      <c r="B37" s="134">
        <f>2039918881</f>
        <v>2039918881</v>
      </c>
      <c r="C37" s="36"/>
      <c r="D37" s="29"/>
      <c r="E37" s="29"/>
      <c r="F37" s="29"/>
      <c r="G37" s="29"/>
      <c r="H37" s="29"/>
      <c r="I37" s="136">
        <f>409027200.04</f>
        <v>409027200.04</v>
      </c>
      <c r="J37" s="17"/>
      <c r="K37" s="122"/>
    </row>
    <row r="38" spans="1:11" ht="15.75">
      <c r="A38" s="278" t="s">
        <v>148</v>
      </c>
      <c r="B38" s="141">
        <f>B18-(B27+B36)</f>
        <v>80464328830.37999</v>
      </c>
      <c r="C38" s="36"/>
      <c r="D38" s="29"/>
      <c r="E38" s="29"/>
      <c r="F38" s="29"/>
      <c r="G38" s="29"/>
      <c r="H38" s="29"/>
      <c r="I38" s="139">
        <f>I18-(I27+I36)</f>
        <v>15270350314.96</v>
      </c>
      <c r="J38" s="236"/>
      <c r="K38" s="236"/>
    </row>
    <row r="39" spans="1:11" ht="15.75">
      <c r="A39" s="278" t="s">
        <v>149</v>
      </c>
      <c r="B39" s="141">
        <f>3906379603</f>
        <v>3906379603</v>
      </c>
      <c r="C39" s="36"/>
      <c r="D39" s="29"/>
      <c r="E39" s="29"/>
      <c r="F39" s="29"/>
      <c r="G39" s="29"/>
      <c r="H39" s="29"/>
      <c r="I39" s="139">
        <f>648760783.91</f>
        <v>648760783.91</v>
      </c>
      <c r="J39" s="236"/>
      <c r="K39" s="236"/>
    </row>
    <row r="40" spans="1:11" ht="15.75">
      <c r="A40" s="278" t="s">
        <v>150</v>
      </c>
      <c r="B40" s="141">
        <f>302350576</f>
        <v>302350576</v>
      </c>
      <c r="C40" s="36"/>
      <c r="D40" s="29"/>
      <c r="E40" s="29"/>
      <c r="F40" s="29"/>
      <c r="G40" s="29"/>
      <c r="H40" s="29"/>
      <c r="I40" s="139">
        <f>169999133.15</f>
        <v>169999133.15</v>
      </c>
      <c r="J40" s="236"/>
      <c r="K40" s="236"/>
    </row>
    <row r="41" spans="1:11" s="28" customFormat="1" ht="15.75">
      <c r="A41" s="278" t="s">
        <v>151</v>
      </c>
      <c r="B41" s="141">
        <f>B42+B43+B44+B48+B51</f>
        <v>531358686.83000004</v>
      </c>
      <c r="C41" s="35"/>
      <c r="D41" s="43"/>
      <c r="E41" s="43"/>
      <c r="F41" s="43"/>
      <c r="G41" s="43"/>
      <c r="H41" s="43"/>
      <c r="I41" s="139">
        <f>I42+I43+I44+I48+I51</f>
        <v>43198722.92</v>
      </c>
      <c r="J41" s="27"/>
      <c r="K41" s="27"/>
    </row>
    <row r="42" spans="1:11" ht="15.75">
      <c r="A42" s="264" t="s">
        <v>152</v>
      </c>
      <c r="B42" s="134">
        <f>167016958.02</f>
        <v>167016958.02</v>
      </c>
      <c r="C42" s="36"/>
      <c r="D42" s="29"/>
      <c r="E42" s="29"/>
      <c r="F42" s="29"/>
      <c r="G42" s="29"/>
      <c r="H42" s="29"/>
      <c r="I42" s="136">
        <v>0</v>
      </c>
      <c r="J42" s="17"/>
      <c r="K42" s="122"/>
    </row>
    <row r="43" spans="1:14" ht="15.75">
      <c r="A43" s="264" t="s">
        <v>153</v>
      </c>
      <c r="B43" s="134">
        <f>93025021.81</f>
        <v>93025021.81</v>
      </c>
      <c r="C43" s="36"/>
      <c r="D43" s="29"/>
      <c r="E43" s="29"/>
      <c r="F43" s="29"/>
      <c r="G43" s="29"/>
      <c r="H43" s="29"/>
      <c r="I43" s="136">
        <f>20466866.55</f>
        <v>20466866.55</v>
      </c>
      <c r="J43" s="17"/>
      <c r="K43" s="130"/>
      <c r="L43" s="115"/>
      <c r="M43" s="115"/>
      <c r="N43" s="115"/>
    </row>
    <row r="44" spans="1:14" s="28" customFormat="1" ht="15.75">
      <c r="A44" s="264" t="s">
        <v>48</v>
      </c>
      <c r="B44" s="134">
        <f>B45+B46+B47</f>
        <v>0</v>
      </c>
      <c r="C44" s="36"/>
      <c r="D44" s="29"/>
      <c r="E44" s="29"/>
      <c r="F44" s="29"/>
      <c r="G44" s="29"/>
      <c r="H44" s="29"/>
      <c r="I44" s="136">
        <f>I45+I46+I47</f>
        <v>852000</v>
      </c>
      <c r="J44" s="27"/>
      <c r="K44" s="131"/>
      <c r="L44" s="132"/>
      <c r="M44" s="132"/>
      <c r="N44" s="132"/>
    </row>
    <row r="45" spans="1:14" s="28" customFormat="1" ht="15.75">
      <c r="A45" s="269" t="s">
        <v>154</v>
      </c>
      <c r="B45" s="134">
        <v>0</v>
      </c>
      <c r="C45" s="36"/>
      <c r="D45" s="29"/>
      <c r="E45" s="29"/>
      <c r="F45" s="29"/>
      <c r="G45" s="29"/>
      <c r="H45" s="29"/>
      <c r="I45" s="136">
        <v>0</v>
      </c>
      <c r="J45" s="27"/>
      <c r="K45" s="131"/>
      <c r="L45" s="132"/>
      <c r="M45" s="132"/>
      <c r="N45" s="132"/>
    </row>
    <row r="46" spans="1:14" s="28" customFormat="1" ht="15.75">
      <c r="A46" s="269" t="s">
        <v>155</v>
      </c>
      <c r="B46" s="134">
        <v>0</v>
      </c>
      <c r="C46" s="36"/>
      <c r="D46" s="29"/>
      <c r="E46" s="29"/>
      <c r="F46" s="29"/>
      <c r="G46" s="29"/>
      <c r="H46" s="29"/>
      <c r="I46" s="136">
        <v>0</v>
      </c>
      <c r="J46" s="27"/>
      <c r="K46" s="131"/>
      <c r="L46" s="132"/>
      <c r="M46" s="132"/>
      <c r="N46" s="132"/>
    </row>
    <row r="47" spans="1:14" s="28" customFormat="1" ht="15.75">
      <c r="A47" s="269" t="s">
        <v>49</v>
      </c>
      <c r="B47" s="134">
        <v>0</v>
      </c>
      <c r="C47" s="36"/>
      <c r="D47" s="29"/>
      <c r="E47" s="29"/>
      <c r="F47" s="29"/>
      <c r="G47" s="29"/>
      <c r="H47" s="29"/>
      <c r="I47" s="85">
        <f>852000</f>
        <v>852000</v>
      </c>
      <c r="J47" s="27"/>
      <c r="K47" s="131"/>
      <c r="L47" s="132"/>
      <c r="M47" s="132"/>
      <c r="N47" s="132"/>
    </row>
    <row r="48" spans="1:14" ht="15.75">
      <c r="A48" s="264" t="s">
        <v>9</v>
      </c>
      <c r="B48" s="134">
        <f>B49+B50</f>
        <v>270784795</v>
      </c>
      <c r="C48" s="36"/>
      <c r="D48" s="29"/>
      <c r="E48" s="29"/>
      <c r="F48" s="29"/>
      <c r="G48" s="29"/>
      <c r="H48" s="29"/>
      <c r="I48" s="136">
        <f>I49+I50</f>
        <v>21879856.37</v>
      </c>
      <c r="J48" s="17"/>
      <c r="K48" s="130"/>
      <c r="L48" s="115"/>
      <c r="M48" s="115"/>
      <c r="N48" s="115"/>
    </row>
    <row r="49" spans="1:11" ht="15.75">
      <c r="A49" s="269" t="s">
        <v>7</v>
      </c>
      <c r="B49" s="134">
        <f>112801213</f>
        <v>112801213</v>
      </c>
      <c r="C49" s="36"/>
      <c r="D49" s="29"/>
      <c r="E49" s="29"/>
      <c r="F49" s="29"/>
      <c r="G49" s="29"/>
      <c r="H49" s="29"/>
      <c r="I49" s="136">
        <v>0</v>
      </c>
      <c r="J49" s="17"/>
      <c r="K49" s="122"/>
    </row>
    <row r="50" spans="1:11" ht="15.75">
      <c r="A50" s="269" t="s">
        <v>10</v>
      </c>
      <c r="B50" s="134">
        <f>157983582</f>
        <v>157983582</v>
      </c>
      <c r="C50" s="36"/>
      <c r="D50" s="29"/>
      <c r="E50" s="29"/>
      <c r="F50" s="29"/>
      <c r="G50" s="29"/>
      <c r="H50" s="29"/>
      <c r="I50" s="136">
        <f>21879856.37</f>
        <v>21879856.37</v>
      </c>
      <c r="J50" s="17"/>
      <c r="K50" s="122"/>
    </row>
    <row r="51" spans="1:11" ht="15.75">
      <c r="A51" s="264" t="s">
        <v>11</v>
      </c>
      <c r="B51" s="134">
        <f>B52+B53</f>
        <v>531912</v>
      </c>
      <c r="C51" s="36"/>
      <c r="D51" s="29"/>
      <c r="E51" s="29"/>
      <c r="F51" s="29"/>
      <c r="G51" s="29"/>
      <c r="H51" s="29"/>
      <c r="I51" s="136">
        <f>I52+I53</f>
        <v>0</v>
      </c>
      <c r="J51" s="17"/>
      <c r="K51" s="122"/>
    </row>
    <row r="52" spans="1:11" ht="15.75">
      <c r="A52" s="269" t="s">
        <v>156</v>
      </c>
      <c r="B52" s="134">
        <v>0</v>
      </c>
      <c r="C52" s="36"/>
      <c r="D52" s="29"/>
      <c r="E52" s="29"/>
      <c r="F52" s="29"/>
      <c r="G52" s="29"/>
      <c r="H52" s="29"/>
      <c r="I52" s="136">
        <v>0</v>
      </c>
      <c r="J52" s="17"/>
      <c r="K52" s="122"/>
    </row>
    <row r="53" spans="1:11" ht="15.75">
      <c r="A53" s="269" t="s">
        <v>50</v>
      </c>
      <c r="B53" s="134">
        <f>531912</f>
        <v>531912</v>
      </c>
      <c r="C53" s="36"/>
      <c r="D53" s="29"/>
      <c r="E53" s="29"/>
      <c r="F53" s="29"/>
      <c r="G53" s="29"/>
      <c r="H53" s="29"/>
      <c r="I53" s="136">
        <v>0</v>
      </c>
      <c r="J53" s="17"/>
      <c r="K53" s="122"/>
    </row>
    <row r="54" spans="1:11" ht="31.5">
      <c r="A54" s="279" t="s">
        <v>157</v>
      </c>
      <c r="B54" s="141">
        <f>B41-(B42+B43+B45+B46+B52)</f>
        <v>271316707</v>
      </c>
      <c r="C54" s="36"/>
      <c r="D54" s="29"/>
      <c r="E54" s="29"/>
      <c r="F54" s="29"/>
      <c r="G54" s="29"/>
      <c r="H54" s="29"/>
      <c r="I54" s="139">
        <f>I41-(I42+I43+I45+I46+I52)</f>
        <v>22731856.37</v>
      </c>
      <c r="J54" s="236"/>
      <c r="K54" s="236"/>
    </row>
    <row r="55" spans="1:11" ht="15.75">
      <c r="A55" s="279" t="s">
        <v>158</v>
      </c>
      <c r="B55" s="141">
        <f>4406748</f>
        <v>4406748</v>
      </c>
      <c r="C55" s="36"/>
      <c r="D55" s="29"/>
      <c r="E55" s="29"/>
      <c r="F55" s="29"/>
      <c r="G55" s="29"/>
      <c r="H55" s="29"/>
      <c r="I55" s="139">
        <v>0</v>
      </c>
      <c r="J55" s="236"/>
      <c r="K55" s="236"/>
    </row>
    <row r="56" spans="1:11" s="28" customFormat="1" ht="15.75">
      <c r="A56" s="279" t="s">
        <v>159</v>
      </c>
      <c r="B56" s="142">
        <v>0</v>
      </c>
      <c r="C56" s="75"/>
      <c r="D56" s="76"/>
      <c r="E56" s="76"/>
      <c r="F56" s="76"/>
      <c r="G56" s="76"/>
      <c r="H56" s="76"/>
      <c r="I56" s="189">
        <v>0</v>
      </c>
      <c r="J56" s="27"/>
      <c r="K56" s="27"/>
    </row>
    <row r="57" spans="1:12" s="28" customFormat="1" ht="15.75">
      <c r="A57" s="263" t="s">
        <v>161</v>
      </c>
      <c r="B57" s="143">
        <f>B38+B39+B54+B55</f>
        <v>84646431888.37999</v>
      </c>
      <c r="C57" s="112"/>
      <c r="D57" s="113"/>
      <c r="E57" s="113"/>
      <c r="F57" s="113"/>
      <c r="G57" s="113"/>
      <c r="H57" s="113"/>
      <c r="I57" s="190">
        <f>I38+I39+I54+I55</f>
        <v>15941842955.24</v>
      </c>
      <c r="J57" s="7"/>
      <c r="K57" s="7"/>
      <c r="L57" s="7"/>
    </row>
    <row r="58" spans="1:12" s="28" customFormat="1" ht="31.5">
      <c r="A58" s="263" t="s">
        <v>160</v>
      </c>
      <c r="B58" s="249">
        <f>B38+B54</f>
        <v>80735645537.37999</v>
      </c>
      <c r="C58" s="113"/>
      <c r="D58" s="113"/>
      <c r="E58" s="113"/>
      <c r="F58" s="113"/>
      <c r="G58" s="113"/>
      <c r="H58" s="113"/>
      <c r="I58" s="190">
        <f>I38+I54</f>
        <v>15293082171.33</v>
      </c>
      <c r="J58" s="7"/>
      <c r="K58" s="7"/>
      <c r="L58" s="7"/>
    </row>
    <row r="59" spans="1:12" ht="15" customHeight="1">
      <c r="A59" s="30"/>
      <c r="B59" s="31"/>
      <c r="C59" s="20"/>
      <c r="D59" s="20"/>
      <c r="E59" s="20"/>
      <c r="F59" s="17"/>
      <c r="G59" s="17"/>
      <c r="H59" s="32"/>
      <c r="I59" s="33"/>
      <c r="J59" s="5"/>
      <c r="K59" s="5"/>
      <c r="L59" s="5"/>
    </row>
    <row r="60" spans="1:12" ht="15.75">
      <c r="A60" s="322" t="s">
        <v>12</v>
      </c>
      <c r="B60" s="383" t="s">
        <v>30</v>
      </c>
      <c r="C60" s="362" t="str">
        <f>C15</f>
        <v>ATÉ FEVEREIRO/2023</v>
      </c>
      <c r="D60" s="394"/>
      <c r="E60" s="394"/>
      <c r="F60" s="394"/>
      <c r="G60" s="394"/>
      <c r="H60" s="394"/>
      <c r="I60" s="394"/>
      <c r="J60" s="6"/>
      <c r="K60" s="6"/>
      <c r="L60" s="6"/>
    </row>
    <row r="61" spans="1:12" ht="15.75">
      <c r="A61" s="323"/>
      <c r="B61" s="384"/>
      <c r="C61" s="386" t="s">
        <v>13</v>
      </c>
      <c r="D61" s="386" t="s">
        <v>14</v>
      </c>
      <c r="E61" s="386" t="s">
        <v>34</v>
      </c>
      <c r="F61" s="359" t="s">
        <v>103</v>
      </c>
      <c r="G61" s="314"/>
      <c r="H61" s="359" t="s">
        <v>32</v>
      </c>
      <c r="I61" s="360"/>
      <c r="J61" s="6"/>
      <c r="K61" s="6"/>
      <c r="L61" s="77"/>
    </row>
    <row r="62" spans="1:12" ht="15.75">
      <c r="A62" s="323"/>
      <c r="B62" s="384"/>
      <c r="C62" s="387"/>
      <c r="D62" s="387"/>
      <c r="E62" s="387"/>
      <c r="F62" s="389"/>
      <c r="G62" s="315"/>
      <c r="H62" s="389"/>
      <c r="I62" s="390"/>
      <c r="J62" s="4"/>
      <c r="K62" s="4"/>
      <c r="L62" s="3"/>
    </row>
    <row r="63" spans="1:12" ht="15.75">
      <c r="A63" s="323"/>
      <c r="B63" s="384"/>
      <c r="C63" s="387"/>
      <c r="D63" s="387"/>
      <c r="E63" s="387"/>
      <c r="F63" s="389"/>
      <c r="G63" s="315"/>
      <c r="H63" s="391"/>
      <c r="I63" s="392"/>
      <c r="J63" s="6"/>
      <c r="K63" s="6"/>
      <c r="L63" s="77"/>
    </row>
    <row r="64" spans="1:12" ht="31.5">
      <c r="A64" s="324"/>
      <c r="B64" s="385"/>
      <c r="C64" s="388"/>
      <c r="D64" s="388"/>
      <c r="E64" s="388"/>
      <c r="F64" s="389"/>
      <c r="G64" s="315"/>
      <c r="H64" s="63" t="s">
        <v>33</v>
      </c>
      <c r="I64" s="64" t="s">
        <v>107</v>
      </c>
      <c r="J64" s="32"/>
      <c r="K64" s="32"/>
      <c r="L64" s="34"/>
    </row>
    <row r="65" spans="1:12" ht="15.75">
      <c r="A65" s="246" t="s">
        <v>162</v>
      </c>
      <c r="B65" s="224">
        <f>B66+B67+B68</f>
        <v>57531559226.36</v>
      </c>
      <c r="C65" s="222">
        <f aca="true" t="shared" si="0" ref="C65:I65">C66+C67+C68</f>
        <v>10178568630.67</v>
      </c>
      <c r="D65" s="222">
        <f>D66+D67+D68</f>
        <v>7198972201.63</v>
      </c>
      <c r="E65" s="222">
        <f>E66+E67+E68</f>
        <v>5639394255.75</v>
      </c>
      <c r="F65" s="146"/>
      <c r="G65" s="147">
        <f>G66+G67+G68</f>
        <v>688555502.72</v>
      </c>
      <c r="H65" s="222">
        <f t="shared" si="0"/>
        <v>22097751.490000002</v>
      </c>
      <c r="I65" s="145">
        <f t="shared" si="0"/>
        <v>273542933.63</v>
      </c>
      <c r="J65" s="32"/>
      <c r="K65" s="32"/>
      <c r="L65" s="34"/>
    </row>
    <row r="66" spans="1:12" ht="15.75">
      <c r="A66" s="264" t="s">
        <v>21</v>
      </c>
      <c r="B66" s="148">
        <f>34156898466.4</f>
        <v>34156898466.4</v>
      </c>
      <c r="C66" s="151">
        <f>5772808457.89</f>
        <v>5772808457.89</v>
      </c>
      <c r="D66" s="151">
        <f>4634198880.47</f>
        <v>4634198880.47</v>
      </c>
      <c r="E66" s="151">
        <f>3568403175.85</f>
        <v>3568403175.85</v>
      </c>
      <c r="F66" s="149"/>
      <c r="G66" s="150">
        <f>125425430.75</f>
        <v>125425430.75</v>
      </c>
      <c r="H66" s="151">
        <f>89284.94</f>
        <v>89284.94</v>
      </c>
      <c r="I66" s="149">
        <f>60904228.41</f>
        <v>60904228.41</v>
      </c>
      <c r="J66" s="32"/>
      <c r="K66" s="32"/>
      <c r="L66" s="34"/>
    </row>
    <row r="67" spans="1:12" ht="15.75">
      <c r="A67" s="264" t="s">
        <v>163</v>
      </c>
      <c r="B67" s="151">
        <f>1480411419.96</f>
        <v>1480411419.96</v>
      </c>
      <c r="C67" s="151">
        <f>631272342.94</f>
        <v>631272342.94</v>
      </c>
      <c r="D67" s="151">
        <f>631235302.38</f>
        <v>631235302.38</v>
      </c>
      <c r="E67" s="151">
        <f>428068073.71</f>
        <v>428068073.71</v>
      </c>
      <c r="F67" s="149"/>
      <c r="G67" s="150">
        <f>14813.33</f>
        <v>14813.33</v>
      </c>
      <c r="H67" s="151">
        <v>0</v>
      </c>
      <c r="I67" s="149">
        <v>0</v>
      </c>
      <c r="J67" s="32"/>
      <c r="K67" s="32"/>
      <c r="L67" s="34"/>
    </row>
    <row r="68" spans="1:12" ht="15.75">
      <c r="A68" s="264" t="s">
        <v>22</v>
      </c>
      <c r="B68" s="148">
        <f>B69+B70</f>
        <v>21894249340</v>
      </c>
      <c r="C68" s="151">
        <f aca="true" t="shared" si="1" ref="C68:I68">C69+C70</f>
        <v>3774487829.84</v>
      </c>
      <c r="D68" s="151">
        <f>D69+D70</f>
        <v>1933538018.78</v>
      </c>
      <c r="E68" s="151">
        <f>E69+E70</f>
        <v>1642923006.19</v>
      </c>
      <c r="F68" s="149"/>
      <c r="G68" s="150">
        <f>G69+G70</f>
        <v>563115258.64</v>
      </c>
      <c r="H68" s="151">
        <f t="shared" si="1"/>
        <v>22008466.55</v>
      </c>
      <c r="I68" s="149">
        <f t="shared" si="1"/>
        <v>212638705.22</v>
      </c>
      <c r="J68" s="32"/>
      <c r="K68" s="32"/>
      <c r="L68" s="34"/>
    </row>
    <row r="69" spans="1:12" ht="15.75">
      <c r="A69" s="269" t="s">
        <v>23</v>
      </c>
      <c r="B69" s="148">
        <v>0</v>
      </c>
      <c r="C69" s="151">
        <v>0</v>
      </c>
      <c r="D69" s="151">
        <v>0</v>
      </c>
      <c r="E69" s="151">
        <v>0</v>
      </c>
      <c r="F69" s="149"/>
      <c r="G69" s="150">
        <v>0</v>
      </c>
      <c r="H69" s="151">
        <v>0</v>
      </c>
      <c r="I69" s="149">
        <v>0</v>
      </c>
      <c r="J69" s="32"/>
      <c r="K69" s="32"/>
      <c r="L69" s="34"/>
    </row>
    <row r="70" spans="1:12" ht="15.75">
      <c r="A70" s="269" t="s">
        <v>24</v>
      </c>
      <c r="B70" s="148">
        <f>21894249340</f>
        <v>21894249340</v>
      </c>
      <c r="C70" s="151">
        <f>3774487829.84</f>
        <v>3774487829.84</v>
      </c>
      <c r="D70" s="151">
        <f>1933538018.78</f>
        <v>1933538018.78</v>
      </c>
      <c r="E70" s="151">
        <f>1642923006.19</f>
        <v>1642923006.19</v>
      </c>
      <c r="F70" s="149"/>
      <c r="G70" s="150">
        <f>563115258.64</f>
        <v>563115258.64</v>
      </c>
      <c r="H70" s="151">
        <f>22008466.55</f>
        <v>22008466.55</v>
      </c>
      <c r="I70" s="149">
        <f>212638705.22</f>
        <v>212638705.22</v>
      </c>
      <c r="J70" s="32"/>
      <c r="K70" s="32"/>
      <c r="L70" s="34"/>
    </row>
    <row r="71" spans="1:12" ht="15.75">
      <c r="A71" s="26" t="s">
        <v>164</v>
      </c>
      <c r="B71" s="144">
        <f>B65-B67</f>
        <v>56051147806.4</v>
      </c>
      <c r="C71" s="223">
        <f>C65-C67</f>
        <v>9547296287.73</v>
      </c>
      <c r="D71" s="223">
        <f>D65-D67</f>
        <v>6567736899.25</v>
      </c>
      <c r="E71" s="223">
        <f>E65-E67</f>
        <v>5211326182.04</v>
      </c>
      <c r="F71" s="145"/>
      <c r="G71" s="152">
        <f>G65-G67</f>
        <v>688540689.39</v>
      </c>
      <c r="H71" s="223">
        <f>H65-H67</f>
        <v>22097751.490000002</v>
      </c>
      <c r="I71" s="145">
        <f>I65-I67</f>
        <v>273542933.63</v>
      </c>
      <c r="J71" s="32"/>
      <c r="K71" s="32"/>
      <c r="L71" s="34"/>
    </row>
    <row r="72" spans="1:12" ht="15.75">
      <c r="A72" s="26" t="s">
        <v>165</v>
      </c>
      <c r="B72" s="144">
        <f>31048407118</f>
        <v>31048407118</v>
      </c>
      <c r="C72" s="223">
        <f>4660085126.22</f>
        <v>4660085126.22</v>
      </c>
      <c r="D72" s="223">
        <f>4432499242.75</f>
        <v>4432499242.75</v>
      </c>
      <c r="E72" s="223">
        <f>3237449298.24</f>
        <v>3237449298.24</v>
      </c>
      <c r="F72" s="145"/>
      <c r="G72" s="152">
        <f>1657533.15</f>
        <v>1657533.15</v>
      </c>
      <c r="H72" s="223">
        <f>168.78</f>
        <v>168.78</v>
      </c>
      <c r="I72" s="145">
        <f>106195016.65</f>
        <v>106195016.65</v>
      </c>
      <c r="J72" s="32"/>
      <c r="K72" s="32"/>
      <c r="L72" s="34"/>
    </row>
    <row r="73" spans="1:12" ht="15.75">
      <c r="A73" s="26" t="s">
        <v>166</v>
      </c>
      <c r="B73" s="144">
        <v>0</v>
      </c>
      <c r="C73" s="223">
        <v>0</v>
      </c>
      <c r="D73" s="223">
        <v>0</v>
      </c>
      <c r="E73" s="223">
        <v>0</v>
      </c>
      <c r="F73" s="145"/>
      <c r="G73" s="152">
        <v>0</v>
      </c>
      <c r="H73" s="223">
        <v>0</v>
      </c>
      <c r="I73" s="145">
        <v>0</v>
      </c>
      <c r="J73" s="32"/>
      <c r="K73" s="32"/>
      <c r="L73" s="34"/>
    </row>
    <row r="74" spans="1:12" ht="15.75">
      <c r="A74" s="26" t="s">
        <v>167</v>
      </c>
      <c r="B74" s="144">
        <f>B75+B76+B81</f>
        <v>5647999736.04</v>
      </c>
      <c r="C74" s="223">
        <f aca="true" t="shared" si="2" ref="C74:I74">C75+C76+C81</f>
        <v>622848649.4000001</v>
      </c>
      <c r="D74" s="223">
        <f>D75+D76+D81</f>
        <v>245573631.14999998</v>
      </c>
      <c r="E74" s="223">
        <f>E75+E76+E81</f>
        <v>231441302.95999998</v>
      </c>
      <c r="F74" s="145"/>
      <c r="G74" s="152">
        <f>G75+G76+G81</f>
        <v>164613341.76</v>
      </c>
      <c r="H74" s="223">
        <f t="shared" si="2"/>
        <v>12333957.36</v>
      </c>
      <c r="I74" s="145">
        <f t="shared" si="2"/>
        <v>33590686.35</v>
      </c>
      <c r="J74" s="32"/>
      <c r="K74" s="32"/>
      <c r="L74" s="34"/>
    </row>
    <row r="75" spans="1:12" ht="15.75">
      <c r="A75" s="264" t="s">
        <v>15</v>
      </c>
      <c r="B75" s="151">
        <f>5058044611</f>
        <v>5058044611</v>
      </c>
      <c r="C75" s="151">
        <f>402790632.91</f>
        <v>402790632.91</v>
      </c>
      <c r="D75" s="151">
        <f>25577158.22</f>
        <v>25577158.22</v>
      </c>
      <c r="E75" s="151">
        <f>11621981.16</f>
        <v>11621981.16</v>
      </c>
      <c r="F75" s="149"/>
      <c r="G75" s="150">
        <f>164439237.94</f>
        <v>164439237.94</v>
      </c>
      <c r="H75" s="151">
        <f>12333957.36</f>
        <v>12333957.36</v>
      </c>
      <c r="I75" s="149">
        <f>33590686.35</f>
        <v>33590686.35</v>
      </c>
      <c r="J75" s="32"/>
      <c r="K75" s="32"/>
      <c r="L75" s="34"/>
    </row>
    <row r="76" spans="1:12" ht="15.75">
      <c r="A76" s="264" t="s">
        <v>16</v>
      </c>
      <c r="B76" s="148">
        <f>SUM(B77:B80)</f>
        <v>108744211</v>
      </c>
      <c r="C76" s="151">
        <f aca="true" t="shared" si="3" ref="C76:I76">SUM(C77:C80)</f>
        <v>11694388</v>
      </c>
      <c r="D76" s="151">
        <f>SUM(D77:D80)</f>
        <v>11667139.26</v>
      </c>
      <c r="E76" s="151">
        <f>SUM(E77:E80)</f>
        <v>11667139.26</v>
      </c>
      <c r="F76" s="149"/>
      <c r="G76" s="150">
        <f>G77+G78+G79+G80</f>
        <v>0</v>
      </c>
      <c r="H76" s="151">
        <f t="shared" si="3"/>
        <v>0</v>
      </c>
      <c r="I76" s="149">
        <f t="shared" si="3"/>
        <v>0</v>
      </c>
      <c r="J76" s="32"/>
      <c r="K76" s="32"/>
      <c r="L76" s="34"/>
    </row>
    <row r="77" spans="1:12" ht="15.75">
      <c r="A77" s="270" t="s">
        <v>168</v>
      </c>
      <c r="B77" s="148">
        <f>80682539</f>
        <v>80682539</v>
      </c>
      <c r="C77" s="151">
        <f>194388</f>
        <v>194388</v>
      </c>
      <c r="D77" s="151">
        <f>167139.26</f>
        <v>167139.26</v>
      </c>
      <c r="E77" s="151">
        <f>167139.26</f>
        <v>167139.26</v>
      </c>
      <c r="F77" s="149"/>
      <c r="G77" s="150">
        <v>0</v>
      </c>
      <c r="H77" s="151">
        <v>0</v>
      </c>
      <c r="I77" s="149">
        <v>0</v>
      </c>
      <c r="J77" s="32"/>
      <c r="K77" s="32"/>
      <c r="L77" s="34"/>
    </row>
    <row r="78" spans="1:12" ht="15.75">
      <c r="A78" s="270" t="s">
        <v>169</v>
      </c>
      <c r="B78" s="144">
        <v>0</v>
      </c>
      <c r="C78" s="151">
        <v>0</v>
      </c>
      <c r="D78" s="151">
        <v>0</v>
      </c>
      <c r="E78" s="151">
        <v>0</v>
      </c>
      <c r="F78" s="149"/>
      <c r="G78" s="150">
        <v>0</v>
      </c>
      <c r="H78" s="151">
        <v>0</v>
      </c>
      <c r="I78" s="149">
        <v>0</v>
      </c>
      <c r="J78"/>
      <c r="K78"/>
      <c r="L78" s="32"/>
    </row>
    <row r="79" spans="1:12" ht="15.75">
      <c r="A79" s="270" t="s">
        <v>170</v>
      </c>
      <c r="B79" s="148">
        <v>0</v>
      </c>
      <c r="C79" s="151">
        <v>0</v>
      </c>
      <c r="D79" s="151">
        <v>0</v>
      </c>
      <c r="E79" s="151">
        <v>0</v>
      </c>
      <c r="F79" s="149"/>
      <c r="G79" s="150">
        <v>0</v>
      </c>
      <c r="H79" s="151">
        <v>0</v>
      </c>
      <c r="I79" s="149">
        <v>0</v>
      </c>
      <c r="J79" s="37"/>
      <c r="K79" s="37"/>
      <c r="L79" s="32"/>
    </row>
    <row r="80" spans="1:13" ht="15.75">
      <c r="A80" s="270" t="s">
        <v>17</v>
      </c>
      <c r="B80" s="148">
        <f>28061672</f>
        <v>28061672</v>
      </c>
      <c r="C80" s="151">
        <f>11500000</f>
        <v>11500000</v>
      </c>
      <c r="D80" s="151">
        <f>11500000</f>
        <v>11500000</v>
      </c>
      <c r="E80" s="151">
        <f>11500000</f>
        <v>11500000</v>
      </c>
      <c r="F80" s="149"/>
      <c r="G80" s="150">
        <v>0</v>
      </c>
      <c r="H80" s="151">
        <v>0</v>
      </c>
      <c r="I80" s="149">
        <v>0</v>
      </c>
      <c r="J80" s="46">
        <f>B65-B67</f>
        <v>56051147806.4</v>
      </c>
      <c r="K80" s="46"/>
      <c r="L80" s="46">
        <f>C65-C67</f>
        <v>9547296287.73</v>
      </c>
      <c r="M80" s="22">
        <f>D65-D67</f>
        <v>6567736899.25</v>
      </c>
    </row>
    <row r="81" spans="1:13" ht="15.75">
      <c r="A81" s="264" t="s">
        <v>171</v>
      </c>
      <c r="B81" s="148">
        <f>481210914.04</f>
        <v>481210914.04</v>
      </c>
      <c r="C81" s="151">
        <f>208363628.49</f>
        <v>208363628.49</v>
      </c>
      <c r="D81" s="151">
        <f>208329333.67</f>
        <v>208329333.67</v>
      </c>
      <c r="E81" s="151">
        <f>208152182.54</f>
        <v>208152182.54</v>
      </c>
      <c r="F81" s="149"/>
      <c r="G81" s="150">
        <f>174103.82</f>
        <v>174103.82</v>
      </c>
      <c r="H81" s="151">
        <f>0</f>
        <v>0</v>
      </c>
      <c r="I81" s="149">
        <v>0</v>
      </c>
      <c r="J81" s="46">
        <f>B74-B77-B78-B81</f>
        <v>5086106283</v>
      </c>
      <c r="K81" s="46"/>
      <c r="L81" s="46">
        <f>C74-C77-C78-C81</f>
        <v>414290632.9100001</v>
      </c>
      <c r="M81" s="46">
        <f>D74-D77-D78-D81</f>
        <v>37077158.22</v>
      </c>
    </row>
    <row r="82" spans="1:13" ht="31.5">
      <c r="A82" s="279" t="s">
        <v>172</v>
      </c>
      <c r="B82" s="144">
        <f>B74-B77-B78-B79-B81</f>
        <v>5086106283</v>
      </c>
      <c r="C82" s="223">
        <f>C74-C77-C78-C79-C81</f>
        <v>414290632.9100001</v>
      </c>
      <c r="D82" s="223">
        <f>D74-D77-D78-D79-D81</f>
        <v>37077158.22</v>
      </c>
      <c r="E82" s="223">
        <f>E74-E77-E78-E79-E81</f>
        <v>23121981.159999996</v>
      </c>
      <c r="F82" s="145"/>
      <c r="G82" s="152">
        <f>G74-G77-G78-G79-G81</f>
        <v>164439237.94</v>
      </c>
      <c r="H82" s="223">
        <f>H74-H77-H78-H79-H81</f>
        <v>12333957.36</v>
      </c>
      <c r="I82" s="145">
        <f>I74-I77-I78-I79-I81</f>
        <v>33590686.35</v>
      </c>
      <c r="J82" s="46" t="e">
        <f>#REF!</f>
        <v>#REF!</v>
      </c>
      <c r="K82" s="46"/>
      <c r="L82" s="46" t="e">
        <f>#REF!</f>
        <v>#REF!</v>
      </c>
      <c r="M82" s="46" t="e">
        <f>#REF!</f>
        <v>#REF!</v>
      </c>
    </row>
    <row r="83" spans="1:13" ht="15.75">
      <c r="A83" s="246" t="s">
        <v>173</v>
      </c>
      <c r="B83" s="144">
        <f>1500460486</f>
        <v>1500460486</v>
      </c>
      <c r="C83" s="223">
        <v>0</v>
      </c>
      <c r="D83" s="223">
        <v>0</v>
      </c>
      <c r="E83" s="223">
        <v>0</v>
      </c>
      <c r="F83" s="145"/>
      <c r="G83" s="152">
        <v>0</v>
      </c>
      <c r="H83" s="223">
        <v>0</v>
      </c>
      <c r="I83" s="145">
        <v>0</v>
      </c>
      <c r="J83" s="46"/>
      <c r="K83" s="46"/>
      <c r="L83" s="46"/>
      <c r="M83" s="46"/>
    </row>
    <row r="84" spans="1:13" ht="15.75">
      <c r="A84" s="26" t="s">
        <v>174</v>
      </c>
      <c r="B84" s="144">
        <f>43576885</f>
        <v>43576885</v>
      </c>
      <c r="C84" s="223">
        <v>0</v>
      </c>
      <c r="D84" s="223">
        <v>0</v>
      </c>
      <c r="E84" s="223">
        <v>0</v>
      </c>
      <c r="F84" s="145"/>
      <c r="G84" s="152">
        <f>2200</f>
        <v>2200</v>
      </c>
      <c r="H84" s="223">
        <v>0</v>
      </c>
      <c r="I84" s="145">
        <v>0</v>
      </c>
      <c r="J84" s="46"/>
      <c r="K84" s="46"/>
      <c r="L84" s="46"/>
      <c r="M84" s="46"/>
    </row>
    <row r="85" spans="1:13" ht="15.75">
      <c r="A85" s="26" t="s">
        <v>175</v>
      </c>
      <c r="B85" s="144">
        <v>0</v>
      </c>
      <c r="C85" s="223">
        <v>0</v>
      </c>
      <c r="D85" s="223">
        <v>0</v>
      </c>
      <c r="E85" s="223">
        <v>0</v>
      </c>
      <c r="F85" s="145"/>
      <c r="G85" s="152">
        <v>0</v>
      </c>
      <c r="H85" s="223">
        <v>0</v>
      </c>
      <c r="I85" s="145">
        <v>0</v>
      </c>
      <c r="J85" s="46"/>
      <c r="K85" s="46"/>
      <c r="L85" s="46"/>
      <c r="M85" s="46"/>
    </row>
    <row r="86" spans="1:13" ht="15.75">
      <c r="A86" s="65" t="s">
        <v>176</v>
      </c>
      <c r="B86" s="153">
        <f>B71+B72+B82+B83+B84</f>
        <v>93729698578.4</v>
      </c>
      <c r="C86" s="154">
        <f>C71+C72+C82+C83+C84</f>
        <v>14621672046.86</v>
      </c>
      <c r="D86" s="154">
        <f>D71+D72+D82+D83+D84</f>
        <v>11037313300.22</v>
      </c>
      <c r="E86" s="154">
        <f>E71+E72+E82+E83+E84</f>
        <v>8471897461.44</v>
      </c>
      <c r="F86" s="154"/>
      <c r="G86" s="155">
        <f>G71+G72+G82+G83+G84</f>
        <v>854639660.48</v>
      </c>
      <c r="H86" s="154">
        <f>H71+H72+H82+H83+H84</f>
        <v>34431877.63</v>
      </c>
      <c r="I86" s="156">
        <f>I71+I72+I82+I83+I84</f>
        <v>413328636.63</v>
      </c>
      <c r="J86" s="110">
        <f>B200</f>
        <v>93729698578.4</v>
      </c>
      <c r="K86" s="110"/>
      <c r="L86" s="109">
        <f>C200</f>
        <v>14621672046.86</v>
      </c>
      <c r="M86" s="22">
        <f>E200</f>
        <v>11037313300.22</v>
      </c>
    </row>
    <row r="87" spans="1:13" ht="15" customHeight="1">
      <c r="A87" s="38"/>
      <c r="B87" s="40"/>
      <c r="C87" s="40"/>
      <c r="D87" s="40"/>
      <c r="E87" s="40"/>
      <c r="F87" s="40"/>
      <c r="G87" s="40"/>
      <c r="H87" s="46"/>
      <c r="I87" s="42"/>
      <c r="J87" s="46" t="e">
        <f>#REF!-J86</f>
        <v>#REF!</v>
      </c>
      <c r="K87" s="46"/>
      <c r="L87" s="46" t="e">
        <f>#REF!-L86</f>
        <v>#REF!</v>
      </c>
      <c r="M87" s="46" t="e">
        <f>#REF!-M86</f>
        <v>#REF!</v>
      </c>
    </row>
    <row r="88" spans="1:12" ht="31.5">
      <c r="A88" s="263" t="s">
        <v>177</v>
      </c>
      <c r="B88" s="280">
        <f>B71+B82+B83</f>
        <v>62637714575.4</v>
      </c>
      <c r="C88" s="280">
        <f>C71+C82+C83</f>
        <v>9961586920.64</v>
      </c>
      <c r="D88" s="280">
        <f>D71+D82+D83</f>
        <v>6604814057.47</v>
      </c>
      <c r="E88" s="280">
        <f>E71+E82+E83</f>
        <v>5234448163.2</v>
      </c>
      <c r="F88" s="212"/>
      <c r="G88" s="209">
        <f>G71+G82+G83</f>
        <v>852979927.3299999</v>
      </c>
      <c r="H88" s="280">
        <f>H71+H82+H83</f>
        <v>34431708.85</v>
      </c>
      <c r="I88" s="212">
        <f>I71+I82+I83</f>
        <v>307133619.98</v>
      </c>
      <c r="J88" s="235"/>
      <c r="K88" s="32"/>
      <c r="L88" s="34"/>
    </row>
    <row r="89" spans="1:12" s="220" customFormat="1" ht="15" customHeight="1">
      <c r="A89" s="253"/>
      <c r="B89" s="254"/>
      <c r="C89" s="254"/>
      <c r="D89" s="254"/>
      <c r="E89" s="254"/>
      <c r="F89" s="255"/>
      <c r="G89" s="255"/>
      <c r="H89" s="255"/>
      <c r="I89" s="256"/>
      <c r="J89" s="250"/>
      <c r="K89" s="251"/>
      <c r="L89" s="252"/>
    </row>
    <row r="90" spans="1:12" ht="35.25" customHeight="1">
      <c r="A90" s="281" t="s">
        <v>178</v>
      </c>
      <c r="B90" s="66"/>
      <c r="C90" s="67"/>
      <c r="D90" s="67"/>
      <c r="E90" s="67"/>
      <c r="F90" s="67"/>
      <c r="G90" s="67"/>
      <c r="H90" s="67"/>
      <c r="I90" s="212">
        <f>I57-(E86+G86+I86)</f>
        <v>6201977196.690001</v>
      </c>
      <c r="J90" s="235"/>
      <c r="K90" s="32"/>
      <c r="L90" s="34"/>
    </row>
    <row r="91" spans="1:12" s="220" customFormat="1" ht="15" customHeight="1">
      <c r="A91" s="253"/>
      <c r="B91" s="241"/>
      <c r="C91" s="241"/>
      <c r="D91" s="241"/>
      <c r="E91" s="241"/>
      <c r="F91" s="241"/>
      <c r="G91" s="241"/>
      <c r="H91" s="241"/>
      <c r="I91" s="255"/>
      <c r="J91" s="250"/>
      <c r="K91" s="251"/>
      <c r="L91" s="252"/>
    </row>
    <row r="92" spans="1:12" ht="35.25" customHeight="1">
      <c r="A92" s="281" t="s">
        <v>179</v>
      </c>
      <c r="B92" s="66"/>
      <c r="C92" s="67"/>
      <c r="D92" s="67"/>
      <c r="E92" s="67"/>
      <c r="F92" s="67"/>
      <c r="G92" s="67"/>
      <c r="H92" s="67"/>
      <c r="I92" s="187">
        <f>I58-(E88+G88+I88)</f>
        <v>8898520460.82</v>
      </c>
      <c r="J92" s="235"/>
      <c r="K92" s="32"/>
      <c r="L92" s="34"/>
    </row>
    <row r="93" spans="1:12" ht="15" customHeight="1">
      <c r="A93" s="38"/>
      <c r="B93" s="29"/>
      <c r="C93" s="29"/>
      <c r="D93" s="29"/>
      <c r="E93" s="29"/>
      <c r="F93" s="41"/>
      <c r="G93" s="41"/>
      <c r="H93" s="32"/>
      <c r="I93" s="33"/>
      <c r="J93" s="32"/>
      <c r="K93" s="32"/>
      <c r="L93" s="34"/>
    </row>
    <row r="94" spans="1:12" ht="15.75">
      <c r="A94" s="375" t="s">
        <v>51</v>
      </c>
      <c r="B94" s="395" t="s">
        <v>19</v>
      </c>
      <c r="C94" s="375"/>
      <c r="D94" s="375"/>
      <c r="E94" s="375"/>
      <c r="F94" s="375"/>
      <c r="G94" s="375"/>
      <c r="H94" s="375"/>
      <c r="I94" s="375"/>
      <c r="J94" s="32"/>
      <c r="K94" s="32"/>
      <c r="L94" s="34"/>
    </row>
    <row r="95" spans="1:12" ht="15.75">
      <c r="A95" s="376"/>
      <c r="B95" s="396"/>
      <c r="C95" s="397"/>
      <c r="D95" s="397"/>
      <c r="E95" s="397"/>
      <c r="F95" s="397"/>
      <c r="G95" s="397"/>
      <c r="H95" s="397"/>
      <c r="I95" s="397"/>
      <c r="J95" s="32"/>
      <c r="K95" s="32"/>
      <c r="L95" s="34"/>
    </row>
    <row r="96" spans="1:13" ht="15.75">
      <c r="A96" s="247" t="s">
        <v>180</v>
      </c>
      <c r="B96" s="175"/>
      <c r="C96" s="176"/>
      <c r="D96" s="176"/>
      <c r="E96" s="176"/>
      <c r="F96" s="176"/>
      <c r="G96" s="176"/>
      <c r="H96" s="176"/>
      <c r="I96" s="177">
        <v>1588677000</v>
      </c>
      <c r="J96" s="308" t="s">
        <v>201</v>
      </c>
      <c r="K96" s="308"/>
      <c r="L96" s="308"/>
      <c r="M96" s="308"/>
    </row>
    <row r="97" spans="1:12" ht="15" customHeight="1">
      <c r="A97" s="26"/>
      <c r="B97" s="139"/>
      <c r="C97" s="139"/>
      <c r="D97" s="139"/>
      <c r="E97" s="139"/>
      <c r="F97" s="139"/>
      <c r="G97" s="139"/>
      <c r="H97" s="139"/>
      <c r="I97" s="139"/>
      <c r="J97" s="32"/>
      <c r="K97" s="32"/>
      <c r="L97" s="34"/>
    </row>
    <row r="98" spans="1:17" ht="15.75" customHeight="1">
      <c r="A98" s="322" t="s">
        <v>52</v>
      </c>
      <c r="B98" s="381" t="str">
        <f>C15</f>
        <v>ATÉ FEVEREIRO/2023</v>
      </c>
      <c r="C98" s="382"/>
      <c r="D98" s="382"/>
      <c r="E98" s="382"/>
      <c r="F98" s="382"/>
      <c r="G98" s="382"/>
      <c r="H98" s="382"/>
      <c r="I98" s="382"/>
      <c r="L98" s="309" t="s">
        <v>76</v>
      </c>
      <c r="M98" s="309"/>
      <c r="N98" s="309"/>
      <c r="O98" s="309"/>
      <c r="P98" s="309"/>
      <c r="Q98" s="309"/>
    </row>
    <row r="99" spans="1:17" ht="15.75">
      <c r="A99" s="323"/>
      <c r="B99" s="366" t="s">
        <v>53</v>
      </c>
      <c r="C99" s="367"/>
      <c r="D99" s="367"/>
      <c r="E99" s="367"/>
      <c r="F99" s="367"/>
      <c r="G99" s="367"/>
      <c r="H99" s="367"/>
      <c r="I99" s="367"/>
      <c r="J99" s="57"/>
      <c r="K99" s="57"/>
      <c r="L99" s="309"/>
      <c r="M99" s="309"/>
      <c r="N99" s="309"/>
      <c r="O99" s="309"/>
      <c r="P99" s="309"/>
      <c r="Q99" s="309"/>
    </row>
    <row r="100" spans="1:17" ht="15.75">
      <c r="A100" s="324"/>
      <c r="B100" s="368"/>
      <c r="C100" s="369"/>
      <c r="D100" s="369"/>
      <c r="E100" s="369"/>
      <c r="F100" s="369"/>
      <c r="G100" s="369"/>
      <c r="H100" s="369"/>
      <c r="I100" s="369"/>
      <c r="J100" s="120" t="s">
        <v>78</v>
      </c>
      <c r="K100" s="125"/>
      <c r="L100" s="309"/>
      <c r="M100" s="309"/>
      <c r="N100" s="309"/>
      <c r="O100" s="309"/>
      <c r="P100" s="309"/>
      <c r="Q100" s="309"/>
    </row>
    <row r="101" spans="1:17" ht="15.75">
      <c r="A101" s="44" t="s">
        <v>181</v>
      </c>
      <c r="B101" s="178"/>
      <c r="C101" s="179"/>
      <c r="D101" s="179"/>
      <c r="E101" s="179"/>
      <c r="F101" s="157"/>
      <c r="G101" s="157"/>
      <c r="H101" s="157"/>
      <c r="I101" s="180">
        <f>656087326.52</f>
        <v>656087326.52</v>
      </c>
      <c r="J101" s="78"/>
      <c r="K101" s="126"/>
      <c r="L101" s="309"/>
      <c r="M101" s="309"/>
      <c r="N101" s="309"/>
      <c r="O101" s="309"/>
      <c r="P101" s="309"/>
      <c r="Q101" s="309"/>
    </row>
    <row r="102" spans="1:17" ht="15.75">
      <c r="A102" s="285" t="s">
        <v>182</v>
      </c>
      <c r="B102" s="181"/>
      <c r="C102" s="182"/>
      <c r="D102" s="182"/>
      <c r="E102" s="182"/>
      <c r="F102" s="183"/>
      <c r="G102" s="183"/>
      <c r="H102" s="183"/>
      <c r="I102" s="184">
        <f>3322449981.17</f>
        <v>3322449981.17</v>
      </c>
      <c r="J102" s="78"/>
      <c r="K102" s="126"/>
      <c r="L102" s="309"/>
      <c r="M102" s="309"/>
      <c r="N102" s="309"/>
      <c r="O102" s="309"/>
      <c r="P102" s="309"/>
      <c r="Q102" s="309"/>
    </row>
    <row r="103" spans="1:12" ht="15" customHeight="1">
      <c r="A103" s="26"/>
      <c r="B103" s="139"/>
      <c r="C103" s="139"/>
      <c r="D103" s="139"/>
      <c r="E103" s="139"/>
      <c r="F103" s="139"/>
      <c r="G103" s="139"/>
      <c r="H103" s="139"/>
      <c r="I103" s="139"/>
      <c r="J103" s="32"/>
      <c r="K103" s="32"/>
      <c r="L103" s="34"/>
    </row>
    <row r="104" spans="1:12" ht="31.5">
      <c r="A104" s="282" t="s">
        <v>183</v>
      </c>
      <c r="B104" s="185"/>
      <c r="C104" s="186"/>
      <c r="D104" s="186"/>
      <c r="E104" s="186"/>
      <c r="F104" s="186"/>
      <c r="G104" s="186"/>
      <c r="H104" s="186"/>
      <c r="I104" s="187">
        <f>I92+(I101-I102)</f>
        <v>6232157806.17</v>
      </c>
      <c r="J104" s="79">
        <f>I88+(J101-J102)</f>
        <v>307133619.98</v>
      </c>
      <c r="K104" s="127"/>
      <c r="L104" s="34"/>
    </row>
    <row r="105" spans="1:12" ht="15" customHeight="1">
      <c r="A105" s="26"/>
      <c r="B105" s="139"/>
      <c r="C105" s="139"/>
      <c r="D105" s="139"/>
      <c r="E105" s="139"/>
      <c r="F105" s="139"/>
      <c r="G105" s="139"/>
      <c r="H105" s="139"/>
      <c r="I105" s="139"/>
      <c r="J105" s="118"/>
      <c r="K105" s="118"/>
      <c r="L105" s="34"/>
    </row>
    <row r="106" spans="1:14" ht="15.75">
      <c r="A106" s="393" t="s">
        <v>55</v>
      </c>
      <c r="B106" s="393"/>
      <c r="C106" s="393"/>
      <c r="D106" s="393"/>
      <c r="E106" s="393"/>
      <c r="F106" s="393"/>
      <c r="G106" s="393"/>
      <c r="H106" s="393"/>
      <c r="I106" s="393"/>
      <c r="J106" s="188"/>
      <c r="K106" s="188"/>
      <c r="L106" s="188"/>
      <c r="M106" s="188"/>
      <c r="N106" s="188"/>
    </row>
    <row r="107" spans="1:14" ht="15.75">
      <c r="A107" s="313"/>
      <c r="B107" s="313"/>
      <c r="C107" s="313"/>
      <c r="D107" s="313"/>
      <c r="E107" s="313"/>
      <c r="F107" s="313"/>
      <c r="G107" s="313"/>
      <c r="H107" s="313"/>
      <c r="I107" s="313"/>
      <c r="J107" s="188"/>
      <c r="K107" s="188"/>
      <c r="L107" s="188"/>
      <c r="M107" s="188"/>
      <c r="N107" s="188"/>
    </row>
    <row r="108" spans="1:14" ht="15.75">
      <c r="A108" s="311" t="s">
        <v>57</v>
      </c>
      <c r="B108" s="359" t="s">
        <v>56</v>
      </c>
      <c r="C108" s="360"/>
      <c r="D108" s="360"/>
      <c r="E108" s="360"/>
      <c r="F108" s="360"/>
      <c r="G108" s="360"/>
      <c r="H108" s="360"/>
      <c r="I108" s="360"/>
      <c r="J108" s="219"/>
      <c r="K108" s="188"/>
      <c r="L108" s="188"/>
      <c r="M108" s="188"/>
      <c r="N108" s="188"/>
    </row>
    <row r="109" spans="1:14" ht="15.75">
      <c r="A109" s="312"/>
      <c r="B109" s="359" t="s">
        <v>196</v>
      </c>
      <c r="C109" s="360"/>
      <c r="D109" s="360"/>
      <c r="E109" s="360"/>
      <c r="F109" s="377" t="s">
        <v>197</v>
      </c>
      <c r="G109" s="378"/>
      <c r="H109" s="378"/>
      <c r="I109" s="378"/>
      <c r="J109" s="219"/>
      <c r="K109" s="188"/>
      <c r="L109" s="188"/>
      <c r="M109" s="188"/>
      <c r="N109" s="188"/>
    </row>
    <row r="110" spans="1:14" ht="15.75">
      <c r="A110" s="313"/>
      <c r="B110" s="391" t="s">
        <v>29</v>
      </c>
      <c r="C110" s="392"/>
      <c r="D110" s="392"/>
      <c r="E110" s="392"/>
      <c r="F110" s="379" t="s">
        <v>31</v>
      </c>
      <c r="G110" s="380"/>
      <c r="H110" s="380"/>
      <c r="I110" s="380"/>
      <c r="J110" s="219"/>
      <c r="K110" s="188"/>
      <c r="L110" s="188"/>
      <c r="M110" s="188"/>
      <c r="N110" s="188"/>
    </row>
    <row r="111" spans="1:13" ht="15.75">
      <c r="A111" s="195" t="s">
        <v>184</v>
      </c>
      <c r="B111" s="80"/>
      <c r="C111" s="81"/>
      <c r="D111" s="81"/>
      <c r="E111" s="160">
        <f>177062767765.04</f>
        <v>177062767765.04</v>
      </c>
      <c r="F111" s="161"/>
      <c r="G111" s="162"/>
      <c r="H111" s="162"/>
      <c r="I111" s="163">
        <v>179657190736.68</v>
      </c>
      <c r="J111" s="196"/>
      <c r="K111" s="196"/>
      <c r="L111" s="225"/>
      <c r="M111" s="225"/>
    </row>
    <row r="112" spans="1:13" ht="15.75">
      <c r="A112" s="195" t="s">
        <v>185</v>
      </c>
      <c r="B112" s="36"/>
      <c r="C112" s="29"/>
      <c r="D112" s="29"/>
      <c r="E112" s="164">
        <f>E113+E117</f>
        <v>26231693533.84</v>
      </c>
      <c r="F112" s="165"/>
      <c r="G112" s="166"/>
      <c r="H112" s="166"/>
      <c r="I112" s="166">
        <f>I113+I117</f>
        <v>31021798487.86</v>
      </c>
      <c r="J112" s="196"/>
      <c r="K112" s="196"/>
      <c r="L112" s="225"/>
      <c r="M112" s="225"/>
    </row>
    <row r="113" spans="1:13" ht="15.75">
      <c r="A113" s="195" t="s">
        <v>58</v>
      </c>
      <c r="B113" s="36"/>
      <c r="C113" s="29"/>
      <c r="D113" s="29"/>
      <c r="E113" s="164">
        <f>IF(E114&lt;E115,0,(E114-E115-E116))</f>
        <v>17384939623.45</v>
      </c>
      <c r="F113" s="165"/>
      <c r="G113" s="166"/>
      <c r="H113" s="166"/>
      <c r="I113" s="166">
        <f>IF(I114&lt;I115,0,(I114-I115-I116))</f>
        <v>22144151650.52</v>
      </c>
      <c r="J113" s="196"/>
      <c r="K113" s="196"/>
      <c r="L113" s="225"/>
      <c r="M113" s="225"/>
    </row>
    <row r="114" spans="1:13" ht="15.75">
      <c r="A114" s="195" t="s">
        <v>59</v>
      </c>
      <c r="B114" s="82"/>
      <c r="C114" s="44"/>
      <c r="D114" s="44"/>
      <c r="E114" s="164">
        <f>26383167427.62</f>
        <v>26383167427.62</v>
      </c>
      <c r="F114" s="167"/>
      <c r="G114" s="168"/>
      <c r="H114" s="168"/>
      <c r="I114" s="166">
        <v>29933782379.42</v>
      </c>
      <c r="J114" s="196"/>
      <c r="K114" s="196"/>
      <c r="L114" s="225"/>
      <c r="M114" s="225"/>
    </row>
    <row r="115" spans="1:13" ht="15.75">
      <c r="A115" s="195" t="s">
        <v>186</v>
      </c>
      <c r="B115" s="82"/>
      <c r="C115" s="44"/>
      <c r="D115" s="44"/>
      <c r="E115" s="164">
        <f>6034107006.19</f>
        <v>6034107006.19</v>
      </c>
      <c r="F115" s="169"/>
      <c r="G115" s="168"/>
      <c r="H115" s="168"/>
      <c r="I115" s="166">
        <v>4826890696.05</v>
      </c>
      <c r="J115" s="196"/>
      <c r="K115" s="196"/>
      <c r="L115" s="225"/>
      <c r="M115" s="225"/>
    </row>
    <row r="116" spans="1:14" ht="15.75">
      <c r="A116" s="229" t="s">
        <v>139</v>
      </c>
      <c r="B116" s="86"/>
      <c r="C116" s="44"/>
      <c r="D116" s="44"/>
      <c r="E116" s="164">
        <f>2964120797.98</f>
        <v>2964120797.98</v>
      </c>
      <c r="F116" s="169"/>
      <c r="G116" s="168"/>
      <c r="H116" s="168"/>
      <c r="I116" s="166">
        <v>2962740032.85</v>
      </c>
      <c r="J116" s="286"/>
      <c r="K116" s="196"/>
      <c r="L116" s="225"/>
      <c r="M116" s="225"/>
      <c r="N116" s="220"/>
    </row>
    <row r="117" spans="1:14" ht="15.75">
      <c r="A117" s="195" t="s">
        <v>60</v>
      </c>
      <c r="B117" s="82"/>
      <c r="C117" s="44"/>
      <c r="D117" s="44"/>
      <c r="E117" s="164">
        <f>8846753910.39</f>
        <v>8846753910.39</v>
      </c>
      <c r="F117" s="169"/>
      <c r="G117" s="168"/>
      <c r="H117" s="168"/>
      <c r="I117" s="166">
        <v>8877646837.34</v>
      </c>
      <c r="J117" s="233"/>
      <c r="K117" s="196"/>
      <c r="L117" s="226"/>
      <c r="M117" s="225"/>
      <c r="N117" s="213"/>
    </row>
    <row r="118" spans="1:13" ht="15.75">
      <c r="A118" s="195" t="s">
        <v>187</v>
      </c>
      <c r="B118" s="83"/>
      <c r="C118" s="84"/>
      <c r="D118" s="84"/>
      <c r="E118" s="170">
        <f>E111-E112</f>
        <v>150831074231.2</v>
      </c>
      <c r="F118" s="171"/>
      <c r="G118" s="172"/>
      <c r="H118" s="172"/>
      <c r="I118" s="172">
        <f>I111-I112</f>
        <v>148635392248.82</v>
      </c>
      <c r="J118" s="196"/>
      <c r="K118" s="196"/>
      <c r="L118" s="225"/>
      <c r="M118" s="225"/>
    </row>
    <row r="119" spans="1:13" ht="15.75">
      <c r="A119" s="70" t="s">
        <v>188</v>
      </c>
      <c r="B119" s="66"/>
      <c r="C119" s="67"/>
      <c r="D119" s="67"/>
      <c r="E119" s="173"/>
      <c r="F119" s="173"/>
      <c r="G119" s="173"/>
      <c r="H119" s="173"/>
      <c r="I119" s="187">
        <f>E118-I118</f>
        <v>2195681982.380005</v>
      </c>
      <c r="J119" s="45"/>
      <c r="K119" s="45"/>
      <c r="L119" s="227"/>
      <c r="M119" s="228"/>
    </row>
    <row r="120" spans="1:13" s="220" customFormat="1" ht="15" customHeight="1">
      <c r="A120" s="188"/>
      <c r="B120" s="255"/>
      <c r="C120" s="255"/>
      <c r="D120" s="255"/>
      <c r="E120" s="257"/>
      <c r="F120" s="257"/>
      <c r="G120" s="257"/>
      <c r="H120" s="257"/>
      <c r="I120" s="258"/>
      <c r="J120" s="259"/>
      <c r="K120" s="259"/>
      <c r="L120" s="260"/>
      <c r="M120" s="261"/>
    </row>
    <row r="121" spans="1:13" ht="15.75">
      <c r="A121" s="375" t="s">
        <v>54</v>
      </c>
      <c r="B121" s="366" t="s">
        <v>19</v>
      </c>
      <c r="C121" s="367"/>
      <c r="D121" s="367"/>
      <c r="E121" s="367"/>
      <c r="F121" s="367"/>
      <c r="G121" s="367"/>
      <c r="H121" s="367"/>
      <c r="I121" s="367"/>
      <c r="J121" s="45"/>
      <c r="K121" s="45"/>
      <c r="L121" s="227"/>
      <c r="M121" s="228"/>
    </row>
    <row r="122" spans="1:13" ht="15.75">
      <c r="A122" s="376"/>
      <c r="B122" s="368"/>
      <c r="C122" s="369"/>
      <c r="D122" s="369"/>
      <c r="E122" s="369"/>
      <c r="F122" s="369"/>
      <c r="G122" s="369"/>
      <c r="H122" s="369"/>
      <c r="I122" s="369"/>
      <c r="J122" s="45"/>
      <c r="K122" s="45"/>
      <c r="L122" s="227"/>
      <c r="M122" s="228"/>
    </row>
    <row r="123" spans="1:13" ht="15.75">
      <c r="A123" s="248" t="s">
        <v>180</v>
      </c>
      <c r="B123" s="243"/>
      <c r="C123" s="244"/>
      <c r="D123" s="244"/>
      <c r="E123" s="244"/>
      <c r="F123" s="244"/>
      <c r="G123" s="244"/>
      <c r="H123" s="244"/>
      <c r="I123" s="242">
        <v>-11650281000</v>
      </c>
      <c r="J123" s="308" t="s">
        <v>201</v>
      </c>
      <c r="K123" s="308"/>
      <c r="L123" s="308"/>
      <c r="M123" s="308"/>
    </row>
    <row r="124" spans="1:12" ht="15" customHeight="1">
      <c r="A124" s="44"/>
      <c r="B124" s="27"/>
      <c r="C124" s="27"/>
      <c r="D124" s="27"/>
      <c r="E124" s="174"/>
      <c r="F124" s="174"/>
      <c r="G124" s="174"/>
      <c r="H124" s="174"/>
      <c r="I124" s="174"/>
      <c r="J124" s="46"/>
      <c r="K124" s="46"/>
      <c r="L124" s="34"/>
    </row>
    <row r="125" spans="1:12" ht="15.75">
      <c r="A125" s="311" t="s">
        <v>61</v>
      </c>
      <c r="B125" s="401" t="str">
        <f>C15</f>
        <v>ATÉ FEVEREIRO/2023</v>
      </c>
      <c r="C125" s="393"/>
      <c r="D125" s="393"/>
      <c r="E125" s="393"/>
      <c r="F125" s="393"/>
      <c r="G125" s="393"/>
      <c r="H125" s="393"/>
      <c r="I125" s="393"/>
      <c r="J125" s="407"/>
      <c r="K125" s="121"/>
      <c r="L125" s="34"/>
    </row>
    <row r="126" spans="1:15" ht="15.75">
      <c r="A126" s="404"/>
      <c r="B126" s="402"/>
      <c r="C126" s="312"/>
      <c r="D126" s="312"/>
      <c r="E126" s="312"/>
      <c r="F126" s="312"/>
      <c r="G126" s="312"/>
      <c r="H126" s="312"/>
      <c r="I126" s="312"/>
      <c r="J126" s="407"/>
      <c r="K126" s="121"/>
      <c r="M126" s="47"/>
      <c r="N126" s="47"/>
      <c r="O126" s="47"/>
    </row>
    <row r="127" spans="1:16" ht="15.75">
      <c r="A127" s="406"/>
      <c r="B127" s="405"/>
      <c r="C127" s="313"/>
      <c r="D127" s="313"/>
      <c r="E127" s="313"/>
      <c r="F127" s="313"/>
      <c r="G127" s="313"/>
      <c r="H127" s="313"/>
      <c r="I127" s="313"/>
      <c r="J127" s="407"/>
      <c r="K127" s="121"/>
      <c r="L127" s="321" t="s">
        <v>77</v>
      </c>
      <c r="M127" s="321"/>
      <c r="N127" s="321"/>
      <c r="O127" s="321"/>
      <c r="P127" s="321"/>
    </row>
    <row r="128" spans="1:17" ht="15.75">
      <c r="A128" s="271" t="s">
        <v>189</v>
      </c>
      <c r="B128" s="17"/>
      <c r="E128" s="48"/>
      <c r="F128" s="48"/>
      <c r="G128" s="17"/>
      <c r="H128" s="17"/>
      <c r="I128" s="157">
        <f>E115-I115</f>
        <v>1207216310.1399994</v>
      </c>
      <c r="J128" s="50"/>
      <c r="K128" s="50"/>
      <c r="L128" s="321"/>
      <c r="M128" s="321"/>
      <c r="N128" s="321"/>
      <c r="O128" s="321"/>
      <c r="P128" s="321"/>
      <c r="Q128" s="51"/>
    </row>
    <row r="129" spans="1:17" ht="15.75">
      <c r="A129" s="272" t="s">
        <v>190</v>
      </c>
      <c r="B129" s="17"/>
      <c r="E129" s="48"/>
      <c r="F129" s="48"/>
      <c r="G129" s="17"/>
      <c r="H129" s="17"/>
      <c r="I129" s="157">
        <f>I46</f>
        <v>0</v>
      </c>
      <c r="J129" s="50"/>
      <c r="K129" s="50"/>
      <c r="L129" s="321"/>
      <c r="M129" s="321"/>
      <c r="N129" s="321"/>
      <c r="O129" s="321"/>
      <c r="P129" s="321"/>
      <c r="Q129" s="51"/>
    </row>
    <row r="130" spans="1:17" ht="15.75" customHeight="1" hidden="1">
      <c r="A130" s="272" t="s">
        <v>62</v>
      </c>
      <c r="B130" s="17"/>
      <c r="E130" s="48"/>
      <c r="F130" s="48"/>
      <c r="G130" s="17"/>
      <c r="H130" s="17"/>
      <c r="I130" s="191"/>
      <c r="J130" s="410" t="s">
        <v>199</v>
      </c>
      <c r="K130" s="410"/>
      <c r="L130" s="321"/>
      <c r="M130" s="321"/>
      <c r="N130" s="321"/>
      <c r="O130" s="321"/>
      <c r="P130" s="321"/>
      <c r="Q130" s="52"/>
    </row>
    <row r="131" spans="1:17" ht="15.75">
      <c r="A131" s="272" t="s">
        <v>191</v>
      </c>
      <c r="B131" s="17"/>
      <c r="E131" s="48"/>
      <c r="F131" s="48"/>
      <c r="G131" s="17"/>
      <c r="H131" s="17"/>
      <c r="I131" s="157">
        <v>38438521.98</v>
      </c>
      <c r="J131" s="53"/>
      <c r="K131" s="53"/>
      <c r="L131" s="321"/>
      <c r="M131" s="321"/>
      <c r="N131" s="321"/>
      <c r="O131" s="321"/>
      <c r="P131" s="321"/>
      <c r="Q131" s="54"/>
    </row>
    <row r="132" spans="1:17" ht="15.75">
      <c r="A132" s="284" t="s">
        <v>192</v>
      </c>
      <c r="B132" s="236"/>
      <c r="C132" s="236"/>
      <c r="D132" s="236"/>
      <c r="E132" s="48"/>
      <c r="F132" s="48"/>
      <c r="G132" s="236"/>
      <c r="H132" s="236"/>
      <c r="I132" s="157">
        <v>0</v>
      </c>
      <c r="J132" s="53"/>
      <c r="K132" s="53"/>
      <c r="L132" s="321"/>
      <c r="M132" s="321"/>
      <c r="N132" s="321"/>
      <c r="O132" s="321"/>
      <c r="P132" s="321"/>
      <c r="Q132" s="54"/>
    </row>
    <row r="133" spans="1:17" ht="15.75">
      <c r="A133" s="284" t="s">
        <v>193</v>
      </c>
      <c r="B133" s="236"/>
      <c r="C133" s="236"/>
      <c r="D133" s="236"/>
      <c r="E133" s="48"/>
      <c r="F133" s="48"/>
      <c r="G133" s="236"/>
      <c r="H133" s="236"/>
      <c r="I133" s="157">
        <v>0</v>
      </c>
      <c r="J133" s="53"/>
      <c r="K133" s="53"/>
      <c r="L133" s="321"/>
      <c r="M133" s="321"/>
      <c r="N133" s="321"/>
      <c r="O133" s="321"/>
      <c r="P133" s="321"/>
      <c r="Q133" s="54"/>
    </row>
    <row r="134" spans="1:17" ht="15.75" hidden="1">
      <c r="A134" s="245" t="s">
        <v>74</v>
      </c>
      <c r="B134" s="17"/>
      <c r="E134" s="48"/>
      <c r="F134" s="48"/>
      <c r="G134" s="17"/>
      <c r="H134" s="17"/>
      <c r="I134" s="191">
        <v>0</v>
      </c>
      <c r="J134" s="400" t="s">
        <v>200</v>
      </c>
      <c r="K134" s="400"/>
      <c r="L134" s="321"/>
      <c r="M134" s="321"/>
      <c r="N134" s="321"/>
      <c r="O134" s="321"/>
      <c r="P134" s="321"/>
      <c r="Q134" s="54"/>
    </row>
    <row r="135" spans="1:17" ht="15.75" hidden="1">
      <c r="A135" s="245" t="s">
        <v>108</v>
      </c>
      <c r="B135" s="221"/>
      <c r="C135" s="221"/>
      <c r="D135" s="221"/>
      <c r="E135" s="48"/>
      <c r="F135" s="48"/>
      <c r="G135" s="221"/>
      <c r="H135" s="221"/>
      <c r="I135" s="157">
        <v>0</v>
      </c>
      <c r="J135" s="400"/>
      <c r="K135" s="400"/>
      <c r="L135" s="321"/>
      <c r="M135" s="321"/>
      <c r="N135" s="321"/>
      <c r="O135" s="321"/>
      <c r="P135" s="321"/>
      <c r="Q135" s="54"/>
    </row>
    <row r="136" spans="1:17" ht="15.75">
      <c r="A136" s="272" t="s">
        <v>194</v>
      </c>
      <c r="B136" s="17"/>
      <c r="E136" s="48"/>
      <c r="F136" s="48"/>
      <c r="G136" s="17"/>
      <c r="H136" s="17"/>
      <c r="I136" s="157">
        <v>2790820991.6699963</v>
      </c>
      <c r="J136" s="287">
        <f>((I119-I128-I129+I131-I134)-I104)*-1</f>
        <v>5205253611.949995</v>
      </c>
      <c r="K136" s="287" t="s">
        <v>209</v>
      </c>
      <c r="L136" s="321"/>
      <c r="M136" s="321"/>
      <c r="N136" s="321"/>
      <c r="O136" s="321"/>
      <c r="P136" s="321"/>
      <c r="Q136" s="51"/>
    </row>
    <row r="137" spans="1:17" ht="31.5">
      <c r="A137" s="283" t="s">
        <v>202</v>
      </c>
      <c r="B137" s="70"/>
      <c r="C137" s="68"/>
      <c r="D137" s="68"/>
      <c r="E137" s="68"/>
      <c r="F137" s="68"/>
      <c r="G137" s="68"/>
      <c r="H137" s="68"/>
      <c r="I137" s="158">
        <f>I119+(I128-I129+I131+I132+I133)+I136</f>
        <v>6232157806.17</v>
      </c>
      <c r="J137" s="85">
        <f>I104-I137</f>
        <v>0</v>
      </c>
      <c r="K137" s="85"/>
      <c r="L137" s="86"/>
      <c r="M137" s="51"/>
      <c r="N137" s="51"/>
      <c r="O137" s="51"/>
      <c r="P137" s="51"/>
      <c r="Q137" s="51"/>
    </row>
    <row r="138" spans="1:12" ht="15" customHeight="1">
      <c r="A138" s="17"/>
      <c r="B138" s="17"/>
      <c r="E138" s="17"/>
      <c r="F138" s="17"/>
      <c r="G138" s="17"/>
      <c r="H138" s="17"/>
      <c r="I138" s="157"/>
      <c r="J138" s="32"/>
      <c r="K138" s="32"/>
      <c r="L138" s="34"/>
    </row>
    <row r="139" spans="1:13" ht="15.75">
      <c r="A139" s="68" t="s">
        <v>195</v>
      </c>
      <c r="B139" s="69"/>
      <c r="C139" s="71"/>
      <c r="D139" s="71"/>
      <c r="E139" s="71"/>
      <c r="F139" s="71"/>
      <c r="G139" s="71"/>
      <c r="H139" s="71"/>
      <c r="I139" s="159">
        <f>I137-(I101-I102)</f>
        <v>8898520460.82</v>
      </c>
      <c r="J139" s="46">
        <f>I139-I92</f>
        <v>0</v>
      </c>
      <c r="K139" s="46"/>
      <c r="L139" s="34"/>
      <c r="M139" s="115"/>
    </row>
    <row r="140" spans="1:12" ht="15" customHeight="1">
      <c r="A140" s="20"/>
      <c r="C140" s="104"/>
      <c r="D140" s="104"/>
      <c r="I140" s="105" t="s">
        <v>203</v>
      </c>
      <c r="J140" s="46"/>
      <c r="K140" s="46"/>
      <c r="L140" s="34"/>
    </row>
    <row r="141" spans="1:12" ht="5.25" customHeight="1">
      <c r="A141" s="20"/>
      <c r="C141" s="262"/>
      <c r="D141" s="262"/>
      <c r="I141" s="105"/>
      <c r="J141" s="46"/>
      <c r="K141" s="46"/>
      <c r="L141" s="34"/>
    </row>
    <row r="142" spans="1:12" ht="5.25" customHeight="1">
      <c r="A142" s="20"/>
      <c r="C142" s="262"/>
      <c r="D142" s="262"/>
      <c r="I142" s="105"/>
      <c r="J142" s="46"/>
      <c r="K142" s="46"/>
      <c r="L142" s="34"/>
    </row>
    <row r="143" spans="1:12" ht="5.25" customHeight="1">
      <c r="A143" s="20"/>
      <c r="C143" s="262"/>
      <c r="D143" s="262"/>
      <c r="I143" s="105"/>
      <c r="J143" s="46"/>
      <c r="K143" s="46"/>
      <c r="L143" s="34"/>
    </row>
    <row r="144" spans="1:12" ht="5.25" customHeight="1">
      <c r="A144" s="20"/>
      <c r="C144" s="262"/>
      <c r="D144" s="262"/>
      <c r="I144" s="105"/>
      <c r="J144" s="46"/>
      <c r="K144" s="46"/>
      <c r="L144" s="34"/>
    </row>
    <row r="145" spans="1:12" ht="5.25" customHeight="1">
      <c r="A145" s="20"/>
      <c r="C145" s="262"/>
      <c r="D145" s="262"/>
      <c r="I145" s="105"/>
      <c r="J145" s="46"/>
      <c r="K145" s="46"/>
      <c r="L145" s="34"/>
    </row>
    <row r="146" spans="1:12" ht="5.25" customHeight="1">
      <c r="A146" s="20"/>
      <c r="C146" s="262"/>
      <c r="D146" s="262"/>
      <c r="I146" s="105"/>
      <c r="J146" s="46"/>
      <c r="K146" s="46"/>
      <c r="L146" s="34"/>
    </row>
    <row r="147" spans="1:12" ht="5.25" customHeight="1">
      <c r="A147" s="20"/>
      <c r="C147" s="262"/>
      <c r="D147" s="262"/>
      <c r="I147" s="105"/>
      <c r="J147" s="46"/>
      <c r="K147" s="46"/>
      <c r="L147" s="34"/>
    </row>
    <row r="148" spans="1:12" ht="5.25" customHeight="1">
      <c r="A148" s="20"/>
      <c r="C148" s="262"/>
      <c r="D148" s="262"/>
      <c r="I148" s="105"/>
      <c r="J148" s="46"/>
      <c r="K148" s="46"/>
      <c r="L148" s="34"/>
    </row>
    <row r="149" spans="1:12" ht="15.75" customHeight="1">
      <c r="A149" s="20"/>
      <c r="C149" s="262"/>
      <c r="D149" s="262"/>
      <c r="I149" s="105"/>
      <c r="J149" s="46"/>
      <c r="K149" s="46"/>
      <c r="L149" s="34"/>
    </row>
    <row r="150" spans="1:12" ht="15.75" customHeight="1">
      <c r="A150" s="20"/>
      <c r="C150" s="262"/>
      <c r="D150" s="262"/>
      <c r="I150" s="105"/>
      <c r="J150" s="46"/>
      <c r="K150" s="46"/>
      <c r="L150" s="34"/>
    </row>
    <row r="151" spans="1:12" ht="15.75" customHeight="1">
      <c r="A151" s="20"/>
      <c r="C151" s="262"/>
      <c r="D151" s="262"/>
      <c r="I151" s="105"/>
      <c r="J151" s="46"/>
      <c r="K151" s="46"/>
      <c r="L151" s="34"/>
    </row>
    <row r="152" spans="1:12" ht="15.75" customHeight="1">
      <c r="A152" s="20"/>
      <c r="C152" s="262"/>
      <c r="D152" s="262"/>
      <c r="I152" s="105"/>
      <c r="J152" s="46"/>
      <c r="K152" s="46"/>
      <c r="L152" s="34"/>
    </row>
    <row r="153" spans="1:12" ht="15.75" customHeight="1">
      <c r="A153" s="20"/>
      <c r="C153" s="262"/>
      <c r="D153" s="262"/>
      <c r="I153" s="105" t="s">
        <v>204</v>
      </c>
      <c r="J153" s="46"/>
      <c r="K153" s="46"/>
      <c r="L153" s="34"/>
    </row>
    <row r="154" spans="1:12" ht="15.75" customHeight="1">
      <c r="A154" s="293" t="str">
        <f>A5</f>
        <v>GOVERNO DO ESTADO DO RIO DE JANEIRO</v>
      </c>
      <c r="B154" s="293"/>
      <c r="C154" s="293"/>
      <c r="D154" s="293"/>
      <c r="E154" s="293"/>
      <c r="F154" s="293"/>
      <c r="G154" s="293"/>
      <c r="H154" s="293"/>
      <c r="I154" s="293"/>
      <c r="J154" s="46"/>
      <c r="K154" s="46"/>
      <c r="L154" s="34"/>
    </row>
    <row r="155" spans="1:12" ht="15.75" customHeight="1">
      <c r="A155" s="293" t="str">
        <f>A6</f>
        <v>RELATÓRIO RESUMIDO DA EXECUÇÃO ORÇAMENTÁRIA</v>
      </c>
      <c r="B155" s="293"/>
      <c r="C155" s="293"/>
      <c r="D155" s="293"/>
      <c r="E155" s="293"/>
      <c r="F155" s="293"/>
      <c r="G155" s="293"/>
      <c r="H155" s="293"/>
      <c r="I155" s="293"/>
      <c r="J155" s="46"/>
      <c r="K155" s="46"/>
      <c r="L155" s="34"/>
    </row>
    <row r="156" spans="1:12" ht="15.75" customHeight="1">
      <c r="A156" s="294" t="str">
        <f>A7</f>
        <v>DEMONSTRATIVO DOS RESULTADOS PRIMÁRIO E NOMINAL</v>
      </c>
      <c r="B156" s="294"/>
      <c r="C156" s="294"/>
      <c r="D156" s="294"/>
      <c r="E156" s="294"/>
      <c r="F156" s="294"/>
      <c r="G156" s="294"/>
      <c r="H156" s="294"/>
      <c r="I156" s="294"/>
      <c r="J156" s="46"/>
      <c r="K156" s="46"/>
      <c r="L156" s="34"/>
    </row>
    <row r="157" spans="1:12" ht="15.75" customHeight="1">
      <c r="A157" s="293" t="str">
        <f>A8</f>
        <v>ORÇAMENTOS FISCAL E DA SEGURIDADE SOCIAL</v>
      </c>
      <c r="B157" s="293"/>
      <c r="C157" s="293"/>
      <c r="D157" s="293"/>
      <c r="E157" s="293"/>
      <c r="F157" s="293"/>
      <c r="G157" s="293"/>
      <c r="H157" s="293"/>
      <c r="I157" s="293"/>
      <c r="J157" s="46"/>
      <c r="K157" s="46"/>
      <c r="L157" s="34"/>
    </row>
    <row r="158" spans="1:12" ht="15.75" customHeight="1">
      <c r="A158" s="293" t="str">
        <f>A9</f>
        <v>JANEIRO A FEVEREIRO 2023/BIMESTRE JANEIRO - FEVEREIRO</v>
      </c>
      <c r="B158" s="293"/>
      <c r="C158" s="293"/>
      <c r="D158" s="293"/>
      <c r="E158" s="293"/>
      <c r="F158" s="293"/>
      <c r="G158" s="293"/>
      <c r="H158" s="293"/>
      <c r="I158" s="293"/>
      <c r="J158" s="46"/>
      <c r="K158" s="46"/>
      <c r="L158" s="34"/>
    </row>
    <row r="159" spans="1:12" ht="15.75" customHeight="1">
      <c r="A159" s="20"/>
      <c r="C159" s="262"/>
      <c r="D159" s="262"/>
      <c r="I159" s="105" t="str">
        <f>I11</f>
        <v>Emissão: 24/03/2023</v>
      </c>
      <c r="J159" s="46"/>
      <c r="K159" s="46"/>
      <c r="L159" s="34"/>
    </row>
    <row r="160" spans="1:12" ht="15.75" customHeight="1">
      <c r="A160" s="20" t="str">
        <f>A12</f>
        <v>RREO - ANEXO 6 (LRF, art 53, inciso III)</v>
      </c>
      <c r="C160" s="262"/>
      <c r="D160" s="262"/>
      <c r="I160" s="105">
        <f>I12</f>
        <v>1</v>
      </c>
      <c r="J160" s="46"/>
      <c r="K160" s="46"/>
      <c r="L160" s="34"/>
    </row>
    <row r="161" spans="1:12" ht="15.75">
      <c r="A161" s="408" t="s">
        <v>63</v>
      </c>
      <c r="B161" s="317" t="s">
        <v>64</v>
      </c>
      <c r="C161" s="318"/>
      <c r="D161" s="318"/>
      <c r="E161" s="318"/>
      <c r="F161" s="318"/>
      <c r="G161" s="318"/>
      <c r="H161" s="318"/>
      <c r="I161" s="318"/>
      <c r="J161" s="55"/>
      <c r="K161" s="55"/>
      <c r="L161" s="34"/>
    </row>
    <row r="162" spans="1:12" ht="15.75">
      <c r="A162" s="409"/>
      <c r="B162" s="319"/>
      <c r="C162" s="320"/>
      <c r="D162" s="320"/>
      <c r="E162" s="320"/>
      <c r="F162" s="320"/>
      <c r="G162" s="320"/>
      <c r="H162" s="320"/>
      <c r="I162" s="320"/>
      <c r="J162" s="32"/>
      <c r="K162" s="32"/>
      <c r="L162" s="34"/>
    </row>
    <row r="163" spans="1:12" ht="15.75">
      <c r="A163" s="273" t="s">
        <v>18</v>
      </c>
      <c r="B163" s="56"/>
      <c r="C163" s="57"/>
      <c r="D163" s="57"/>
      <c r="E163" s="57"/>
      <c r="F163" s="57"/>
      <c r="G163" s="57"/>
      <c r="H163" s="57"/>
      <c r="I163" s="157">
        <f>I164+I165</f>
        <v>702730045.95</v>
      </c>
      <c r="J163" s="32"/>
      <c r="K163" s="32"/>
      <c r="L163" s="34"/>
    </row>
    <row r="164" spans="1:12" ht="15.75">
      <c r="A164" s="274" t="s">
        <v>72</v>
      </c>
      <c r="B164" s="58"/>
      <c r="C164" s="44"/>
      <c r="D164" s="44"/>
      <c r="E164" s="44"/>
      <c r="F164" s="44"/>
      <c r="G164" s="44"/>
      <c r="H164" s="44"/>
      <c r="I164" s="49">
        <v>0</v>
      </c>
      <c r="J164" s="32"/>
      <c r="K164" s="32"/>
      <c r="L164" s="34"/>
    </row>
    <row r="165" spans="1:12" ht="31.5">
      <c r="A165" s="275" t="s">
        <v>65</v>
      </c>
      <c r="B165" s="58"/>
      <c r="C165" s="44"/>
      <c r="D165" s="44"/>
      <c r="E165" s="44"/>
      <c r="F165" s="44"/>
      <c r="G165" s="44"/>
      <c r="H165" s="44"/>
      <c r="I165" s="157">
        <f>702730045.95</f>
        <v>702730045.95</v>
      </c>
      <c r="J165" s="111"/>
      <c r="K165" s="111"/>
      <c r="L165" s="34"/>
    </row>
    <row r="166" spans="1:12" ht="15.75">
      <c r="A166" s="276" t="s">
        <v>66</v>
      </c>
      <c r="B166" s="59"/>
      <c r="C166" s="60"/>
      <c r="D166" s="60"/>
      <c r="E166" s="60"/>
      <c r="F166" s="60"/>
      <c r="G166" s="60"/>
      <c r="H166" s="60"/>
      <c r="I166" s="61">
        <v>0</v>
      </c>
      <c r="J166" s="234"/>
      <c r="K166" s="32"/>
      <c r="L166" s="34"/>
    </row>
    <row r="167" spans="1:12" ht="15.75">
      <c r="A167" s="197"/>
      <c r="B167" s="57"/>
      <c r="C167" s="57"/>
      <c r="D167" s="57"/>
      <c r="E167" s="57"/>
      <c r="F167" s="57"/>
      <c r="G167" s="57"/>
      <c r="H167" s="57"/>
      <c r="I167" s="49"/>
      <c r="J167" s="32"/>
      <c r="K167" s="32"/>
      <c r="L167" s="34"/>
    </row>
    <row r="168" spans="1:12" ht="15.75" customHeight="1" hidden="1">
      <c r="A168" s="393" t="s">
        <v>116</v>
      </c>
      <c r="B168" s="393"/>
      <c r="C168" s="393"/>
      <c r="D168" s="393"/>
      <c r="E168" s="393"/>
      <c r="F168" s="393"/>
      <c r="G168" s="393"/>
      <c r="H168" s="393"/>
      <c r="I168" s="393"/>
      <c r="J168" s="231"/>
      <c r="K168" s="231"/>
      <c r="L168" s="34"/>
    </row>
    <row r="169" spans="1:12" ht="15.75" customHeight="1" hidden="1">
      <c r="A169" s="313"/>
      <c r="B169" s="313"/>
      <c r="C169" s="313"/>
      <c r="D169" s="313"/>
      <c r="E169" s="313"/>
      <c r="F169" s="313"/>
      <c r="G169" s="313"/>
      <c r="H169" s="313"/>
      <c r="I169" s="313"/>
      <c r="J169" s="231"/>
      <c r="K169" s="231"/>
      <c r="L169" s="34"/>
    </row>
    <row r="170" spans="1:12" ht="15.75" customHeight="1" hidden="1">
      <c r="A170" s="314" t="s">
        <v>117</v>
      </c>
      <c r="B170" s="401" t="s">
        <v>118</v>
      </c>
      <c r="C170" s="393"/>
      <c r="D170" s="393"/>
      <c r="E170" s="311"/>
      <c r="F170" s="359" t="s">
        <v>14</v>
      </c>
      <c r="G170" s="360"/>
      <c r="H170" s="360"/>
      <c r="I170" s="360"/>
      <c r="J170" s="231"/>
      <c r="K170" s="231"/>
      <c r="L170" s="34"/>
    </row>
    <row r="171" spans="1:12" ht="15.75" customHeight="1" hidden="1">
      <c r="A171" s="315"/>
      <c r="B171" s="402"/>
      <c r="C171" s="403"/>
      <c r="D171" s="403"/>
      <c r="E171" s="404"/>
      <c r="F171" s="389"/>
      <c r="G171" s="411"/>
      <c r="H171" s="411"/>
      <c r="I171" s="411"/>
      <c r="J171" s="231"/>
      <c r="K171" s="231"/>
      <c r="L171" s="34"/>
    </row>
    <row r="172" spans="1:12" ht="15.75" customHeight="1" hidden="1">
      <c r="A172" s="315"/>
      <c r="B172" s="405"/>
      <c r="C172" s="313"/>
      <c r="D172" s="313"/>
      <c r="E172" s="406"/>
      <c r="F172" s="391"/>
      <c r="G172" s="392"/>
      <c r="H172" s="392"/>
      <c r="I172" s="392"/>
      <c r="J172" s="231"/>
      <c r="K172" s="231"/>
      <c r="L172" s="34"/>
    </row>
    <row r="173" spans="1:12" ht="15.75" customHeight="1" hidden="1">
      <c r="A173" s="316"/>
      <c r="B173" s="359" t="s">
        <v>127</v>
      </c>
      <c r="C173" s="314"/>
      <c r="D173" s="359" t="s">
        <v>144</v>
      </c>
      <c r="E173" s="314"/>
      <c r="F173" s="362" t="str">
        <f>B173</f>
        <v>Até Jun/ 2021</v>
      </c>
      <c r="G173" s="363"/>
      <c r="H173" s="359" t="str">
        <f>D173</f>
        <v>Até Jun/ 2022</v>
      </c>
      <c r="I173" s="360"/>
      <c r="J173" s="231"/>
      <c r="K173" s="231"/>
      <c r="L173" s="34"/>
    </row>
    <row r="174" spans="1:12" ht="15.75" customHeight="1" hidden="1">
      <c r="A174" s="19" t="s">
        <v>119</v>
      </c>
      <c r="B174" s="198"/>
      <c r="C174" s="199">
        <f>SUM(C175:C177)</f>
        <v>34273363919.13</v>
      </c>
      <c r="D174" s="161"/>
      <c r="E174" s="199">
        <f>SUM(E175:E177)</f>
        <v>45770348661.25</v>
      </c>
      <c r="F174" s="19"/>
      <c r="G174" s="199">
        <f>SUM(G175:G177)</f>
        <v>31144719167.26</v>
      </c>
      <c r="H174" s="161"/>
      <c r="I174" s="200">
        <f>SUM(I175:I177)</f>
        <v>38395838853.1</v>
      </c>
      <c r="J174" s="231"/>
      <c r="K174" s="231"/>
      <c r="L174" s="34"/>
    </row>
    <row r="175" spans="1:12" ht="15.75" customHeight="1" hidden="1">
      <c r="A175" s="19" t="s">
        <v>120</v>
      </c>
      <c r="B175" s="201"/>
      <c r="C175" s="202">
        <v>22475301477.95</v>
      </c>
      <c r="D175" s="169"/>
      <c r="E175" s="202">
        <v>29659066968.19</v>
      </c>
      <c r="F175" s="19"/>
      <c r="G175" s="85">
        <v>21658677602.93</v>
      </c>
      <c r="H175" s="169"/>
      <c r="I175" s="85">
        <v>26425317222.61</v>
      </c>
      <c r="J175" s="231"/>
      <c r="K175" s="231"/>
      <c r="L175" s="34"/>
    </row>
    <row r="176" spans="1:12" ht="15.75" customHeight="1" hidden="1">
      <c r="A176" s="19" t="s">
        <v>121</v>
      </c>
      <c r="B176" s="201"/>
      <c r="C176" s="202">
        <v>796502462.64</v>
      </c>
      <c r="D176" s="169"/>
      <c r="E176" s="202">
        <v>51749404.36</v>
      </c>
      <c r="F176" s="19"/>
      <c r="G176" s="85">
        <v>796495395.42</v>
      </c>
      <c r="H176" s="169"/>
      <c r="I176" s="85">
        <v>51702063.1</v>
      </c>
      <c r="J176" s="231"/>
      <c r="K176" s="231"/>
      <c r="L176" s="34"/>
    </row>
    <row r="177" spans="1:12" ht="15.75" customHeight="1" hidden="1">
      <c r="A177" s="19" t="s">
        <v>122</v>
      </c>
      <c r="B177" s="201"/>
      <c r="C177" s="202">
        <v>11001559978.54</v>
      </c>
      <c r="D177" s="169"/>
      <c r="E177" s="202">
        <v>16059532288.7</v>
      </c>
      <c r="F177" s="19"/>
      <c r="G177" s="85">
        <v>8689546168.91</v>
      </c>
      <c r="H177" s="169"/>
      <c r="I177" s="85">
        <v>11918819567.39</v>
      </c>
      <c r="J177" s="231"/>
      <c r="K177" s="231"/>
      <c r="L177" s="34"/>
    </row>
    <row r="178" spans="1:12" ht="15.75" customHeight="1" hidden="1">
      <c r="A178" s="19" t="s">
        <v>123</v>
      </c>
      <c r="B178" s="201"/>
      <c r="C178" s="202">
        <f>C174-C176</f>
        <v>33476861456.49</v>
      </c>
      <c r="D178" s="169"/>
      <c r="E178" s="202">
        <f>E174-E176</f>
        <v>45718599256.89</v>
      </c>
      <c r="F178" s="19"/>
      <c r="G178" s="202">
        <f>G174-G176</f>
        <v>30348223771.84</v>
      </c>
      <c r="H178" s="169"/>
      <c r="I178" s="85">
        <f>I174-I176</f>
        <v>38344136790</v>
      </c>
      <c r="J178" s="231"/>
      <c r="K178" s="231"/>
      <c r="L178" s="34"/>
    </row>
    <row r="179" spans="1:12" ht="15.75" customHeight="1" hidden="1">
      <c r="A179" s="19" t="s">
        <v>124</v>
      </c>
      <c r="B179" s="201"/>
      <c r="C179" s="202">
        <v>0</v>
      </c>
      <c r="D179" s="169"/>
      <c r="E179" s="202">
        <v>0</v>
      </c>
      <c r="F179" s="19"/>
      <c r="G179" s="202">
        <v>0</v>
      </c>
      <c r="H179" s="169"/>
      <c r="I179" s="85">
        <v>0</v>
      </c>
      <c r="J179" s="231"/>
      <c r="K179" s="231"/>
      <c r="L179" s="34"/>
    </row>
    <row r="180" spans="1:12" ht="15.75" customHeight="1" hidden="1">
      <c r="A180" s="19" t="s">
        <v>125</v>
      </c>
      <c r="B180" s="203"/>
      <c r="C180" s="204">
        <v>371619182.22</v>
      </c>
      <c r="D180" s="205"/>
      <c r="E180" s="204">
        <v>540399591</v>
      </c>
      <c r="F180" s="19"/>
      <c r="G180" s="204">
        <v>321484187.57</v>
      </c>
      <c r="H180" s="205"/>
      <c r="I180" s="206">
        <v>484463148.81</v>
      </c>
      <c r="J180" s="231"/>
      <c r="K180" s="231"/>
      <c r="L180" s="34"/>
    </row>
    <row r="181" spans="1:12" ht="31.5" hidden="1">
      <c r="A181" s="207" t="s">
        <v>126</v>
      </c>
      <c r="B181" s="208"/>
      <c r="C181" s="209">
        <f>C178-C179-C180</f>
        <v>33105242274.27</v>
      </c>
      <c r="D181" s="210"/>
      <c r="E181" s="209">
        <f>E178-E179-E180</f>
        <v>45178199665.89</v>
      </c>
      <c r="F181" s="211"/>
      <c r="G181" s="209">
        <f>G178-G179-G180</f>
        <v>30026739584.27</v>
      </c>
      <c r="H181" s="210"/>
      <c r="I181" s="212">
        <f>I178-I179-I180</f>
        <v>37859673641.19</v>
      </c>
      <c r="J181" s="231"/>
      <c r="K181" s="231"/>
      <c r="L181" s="34"/>
    </row>
    <row r="182" spans="1:11" ht="15.75">
      <c r="A182" s="57" t="s">
        <v>75</v>
      </c>
      <c r="B182" s="14"/>
      <c r="C182" s="14"/>
      <c r="D182" s="14"/>
      <c r="E182" s="14"/>
      <c r="F182" s="14"/>
      <c r="G182" s="14"/>
      <c r="H182" s="13"/>
      <c r="I182" s="106" t="s">
        <v>205</v>
      </c>
      <c r="J182" s="17"/>
      <c r="K182" s="122"/>
    </row>
    <row r="183" spans="1:11" ht="15.75">
      <c r="A183" s="62" t="s">
        <v>20</v>
      </c>
      <c r="B183" s="128"/>
      <c r="C183" s="128"/>
      <c r="D183" s="128"/>
      <c r="E183" s="128"/>
      <c r="F183" s="128"/>
      <c r="G183" s="128"/>
      <c r="H183" s="19"/>
      <c r="J183" s="17"/>
      <c r="K183" s="122"/>
    </row>
    <row r="184" spans="1:11" ht="15.75">
      <c r="A184" s="19" t="s">
        <v>198</v>
      </c>
      <c r="B184" s="128"/>
      <c r="C184" s="128"/>
      <c r="D184" s="128"/>
      <c r="E184" s="128"/>
      <c r="F184" s="128"/>
      <c r="G184" s="128"/>
      <c r="J184" s="17"/>
      <c r="K184" s="122"/>
    </row>
    <row r="185" spans="1:11" ht="15.75" customHeight="1">
      <c r="A185" s="310" t="s">
        <v>102</v>
      </c>
      <c r="B185" s="310"/>
      <c r="C185" s="310"/>
      <c r="D185" s="310"/>
      <c r="E185" s="310"/>
      <c r="F185" s="310"/>
      <c r="G185" s="310"/>
      <c r="H185" s="310"/>
      <c r="I185" s="310"/>
      <c r="J185" s="17"/>
      <c r="K185" s="122"/>
    </row>
    <row r="186" spans="1:11" ht="31.5" customHeight="1">
      <c r="A186" s="310" t="s">
        <v>143</v>
      </c>
      <c r="B186" s="310"/>
      <c r="C186" s="310"/>
      <c r="D186" s="310"/>
      <c r="E186" s="310"/>
      <c r="F186" s="310"/>
      <c r="G186" s="310"/>
      <c r="H186" s="310"/>
      <c r="I186" s="310"/>
      <c r="J186" s="107"/>
      <c r="K186" s="122"/>
    </row>
    <row r="187" spans="1:11" ht="15.75" hidden="1">
      <c r="A187" s="13" t="s">
        <v>106</v>
      </c>
      <c r="B187" s="10"/>
      <c r="C187" s="11"/>
      <c r="D187" s="11"/>
      <c r="E187" s="10"/>
      <c r="F187" s="10"/>
      <c r="G187" s="10"/>
      <c r="H187" s="10"/>
      <c r="I187" s="12"/>
      <c r="J187" s="17"/>
      <c r="K187" s="122"/>
    </row>
    <row r="188" spans="1:11" ht="15.75" customHeight="1" hidden="1">
      <c r="A188" s="374" t="s">
        <v>70</v>
      </c>
      <c r="B188" s="374"/>
      <c r="C188" s="374"/>
      <c r="D188" s="374"/>
      <c r="E188" s="374"/>
      <c r="F188" s="374"/>
      <c r="G188" s="374"/>
      <c r="H188" s="374"/>
      <c r="I188" s="374"/>
      <c r="J188" s="17"/>
      <c r="K188" s="122"/>
    </row>
    <row r="189" spans="1:11" ht="15.75" hidden="1">
      <c r="A189" s="96"/>
      <c r="B189" s="96"/>
      <c r="C189" s="96"/>
      <c r="D189" s="96"/>
      <c r="E189" s="96"/>
      <c r="F189" s="96"/>
      <c r="G189" s="96"/>
      <c r="H189" s="96"/>
      <c r="I189" s="96"/>
      <c r="J189" s="17"/>
      <c r="K189" s="122"/>
    </row>
    <row r="190" spans="1:13" ht="15.75" hidden="1">
      <c r="A190" s="331" t="s">
        <v>79</v>
      </c>
      <c r="B190" s="331"/>
      <c r="C190" s="331"/>
      <c r="D190" s="331"/>
      <c r="E190" s="331"/>
      <c r="F190" s="331"/>
      <c r="G190" s="331"/>
      <c r="H190" s="331"/>
      <c r="I190" s="331"/>
      <c r="J190" s="8"/>
      <c r="K190" s="8"/>
      <c r="L190" s="1"/>
      <c r="M190" s="1"/>
    </row>
    <row r="191" spans="1:13" ht="15.75" hidden="1">
      <c r="A191" s="332"/>
      <c r="B191" s="332"/>
      <c r="C191" s="332"/>
      <c r="D191" s="332"/>
      <c r="E191" s="333"/>
      <c r="F191" s="333"/>
      <c r="G191" s="333"/>
      <c r="H191" s="333"/>
      <c r="I191" s="333"/>
      <c r="J191" s="8"/>
      <c r="K191" s="8"/>
      <c r="L191" s="1"/>
      <c r="M191" s="1"/>
    </row>
    <row r="192" spans="1:13" ht="15.75" hidden="1">
      <c r="A192" s="334" t="s">
        <v>80</v>
      </c>
      <c r="B192" s="347" t="s">
        <v>5</v>
      </c>
      <c r="C192" s="331"/>
      <c r="D192" s="370"/>
      <c r="E192" s="337" t="s">
        <v>81</v>
      </c>
      <c r="F192" s="338"/>
      <c r="G192" s="338"/>
      <c r="H192" s="338"/>
      <c r="I192" s="338"/>
      <c r="J192" s="8"/>
      <c r="K192" s="8"/>
      <c r="L192" s="1"/>
      <c r="M192" s="1"/>
    </row>
    <row r="193" spans="1:13" ht="15.75" customHeight="1" hidden="1">
      <c r="A193" s="335"/>
      <c r="B193" s="343"/>
      <c r="C193" s="333"/>
      <c r="D193" s="371"/>
      <c r="E193" s="339"/>
      <c r="F193" s="340"/>
      <c r="G193" s="340"/>
      <c r="H193" s="340"/>
      <c r="I193" s="340"/>
      <c r="J193" s="8"/>
      <c r="K193" s="8"/>
      <c r="L193" s="1"/>
      <c r="M193" s="1"/>
    </row>
    <row r="194" spans="1:13" ht="15.75" hidden="1">
      <c r="A194" s="336"/>
      <c r="B194" s="372"/>
      <c r="C194" s="332"/>
      <c r="D194" s="373"/>
      <c r="E194" s="341" t="str">
        <f>C60</f>
        <v>ATÉ FEVEREIRO/2023</v>
      </c>
      <c r="F194" s="342"/>
      <c r="G194" s="342"/>
      <c r="H194" s="341" t="s">
        <v>111</v>
      </c>
      <c r="I194" s="342"/>
      <c r="J194" s="8"/>
      <c r="K194" s="8"/>
      <c r="L194" s="1"/>
      <c r="M194" s="1"/>
    </row>
    <row r="195" spans="1:13" ht="15.75" hidden="1">
      <c r="A195" s="87" t="s">
        <v>82</v>
      </c>
      <c r="B195" s="88"/>
      <c r="C195" s="89"/>
      <c r="D195" s="123">
        <f>B57+B36-B44</f>
        <v>84658230910.37999</v>
      </c>
      <c r="E195" s="88"/>
      <c r="F195" s="364">
        <f>I57+I36-I44</f>
        <v>15942321747.17</v>
      </c>
      <c r="G195" s="365"/>
      <c r="H195" s="88"/>
      <c r="I195" s="124">
        <v>11747592813</v>
      </c>
      <c r="J195" s="9"/>
      <c r="K195" s="9"/>
      <c r="L195" s="1"/>
      <c r="M195" s="1"/>
    </row>
    <row r="196" spans="1:13" ht="15.75" hidden="1">
      <c r="A196" s="2"/>
      <c r="B196" s="1"/>
      <c r="C196" s="8"/>
      <c r="D196" s="8"/>
      <c r="E196" s="1"/>
      <c r="F196" s="1"/>
      <c r="G196" s="1"/>
      <c r="H196" s="1"/>
      <c r="I196" s="1"/>
      <c r="J196" s="6"/>
      <c r="K196" s="6"/>
      <c r="L196" s="3"/>
      <c r="M196" s="1"/>
    </row>
    <row r="197" spans="1:13" ht="15.75" hidden="1">
      <c r="A197" s="288" t="s">
        <v>83</v>
      </c>
      <c r="B197" s="361" t="s">
        <v>30</v>
      </c>
      <c r="C197" s="289" t="s">
        <v>13</v>
      </c>
      <c r="D197" s="289"/>
      <c r="E197" s="289" t="s">
        <v>14</v>
      </c>
      <c r="F197" s="289"/>
      <c r="G197" s="289"/>
      <c r="H197" s="289" t="s">
        <v>84</v>
      </c>
      <c r="I197" s="290"/>
      <c r="J197" s="8"/>
      <c r="K197" s="8"/>
      <c r="L197" s="1"/>
      <c r="M197" s="1"/>
    </row>
    <row r="198" spans="1:13" ht="15.75" customHeight="1" hidden="1">
      <c r="A198" s="288"/>
      <c r="B198" s="361"/>
      <c r="C198" s="289"/>
      <c r="D198" s="289"/>
      <c r="E198" s="289"/>
      <c r="F198" s="289"/>
      <c r="G198" s="289"/>
      <c r="H198" s="289"/>
      <c r="I198" s="290"/>
      <c r="J198" s="8"/>
      <c r="K198" s="8"/>
      <c r="L198" s="1"/>
      <c r="M198" s="1"/>
    </row>
    <row r="199" spans="1:13" ht="15.75" hidden="1">
      <c r="A199" s="288"/>
      <c r="B199" s="361"/>
      <c r="C199" s="97" t="str">
        <f>E194</f>
        <v>ATÉ FEVEREIRO/2023</v>
      </c>
      <c r="D199" s="97" t="str">
        <f>H194</f>
        <v>Até Fev/2019</v>
      </c>
      <c r="E199" s="97" t="str">
        <f>C199</f>
        <v>ATÉ FEVEREIRO/2023</v>
      </c>
      <c r="F199" s="289" t="str">
        <f>D199</f>
        <v>Até Fev/2019</v>
      </c>
      <c r="G199" s="289"/>
      <c r="H199" s="97" t="s">
        <v>109</v>
      </c>
      <c r="I199" s="98" t="s">
        <v>100</v>
      </c>
      <c r="J199" s="8"/>
      <c r="K199" s="8"/>
      <c r="L199" s="1"/>
      <c r="M199" s="1"/>
    </row>
    <row r="200" spans="1:13" ht="15.75" hidden="1">
      <c r="A200" s="90" t="s">
        <v>85</v>
      </c>
      <c r="B200" s="91">
        <f>B86+B79</f>
        <v>93729698578.4</v>
      </c>
      <c r="C200" s="91">
        <f>C86+C79</f>
        <v>14621672046.86</v>
      </c>
      <c r="D200" s="92">
        <v>12149819362</v>
      </c>
      <c r="E200" s="91">
        <f>D86+D79</f>
        <v>11037313300.22</v>
      </c>
      <c r="F200" s="291">
        <v>9446595208</v>
      </c>
      <c r="G200" s="292"/>
      <c r="H200" s="117">
        <v>0</v>
      </c>
      <c r="I200" s="116">
        <v>382864416</v>
      </c>
      <c r="J200" s="103">
        <f>(D200-F200)-I200</f>
        <v>2320359738</v>
      </c>
      <c r="K200" s="103"/>
      <c r="L200" s="119" t="s">
        <v>101</v>
      </c>
      <c r="M200" s="1"/>
    </row>
    <row r="201" spans="1:13" ht="15.75" hidden="1">
      <c r="A201" s="2"/>
      <c r="B201" s="1"/>
      <c r="C201" s="8"/>
      <c r="D201" s="8"/>
      <c r="E201" s="1"/>
      <c r="F201" s="1"/>
      <c r="G201" s="1"/>
      <c r="H201" s="1"/>
      <c r="I201" s="1"/>
      <c r="J201" s="6"/>
      <c r="K201" s="6"/>
      <c r="L201" s="3"/>
      <c r="M201" s="1"/>
    </row>
    <row r="202" spans="1:13" ht="15.75" hidden="1">
      <c r="A202" s="99" t="s">
        <v>86</v>
      </c>
      <c r="B202" s="100">
        <f>D195-B200</f>
        <v>-9071467668.020004</v>
      </c>
      <c r="C202" s="100">
        <f>F195-C200</f>
        <v>1320649700.3099995</v>
      </c>
      <c r="D202" s="100">
        <f>I195-D200</f>
        <v>-402226549</v>
      </c>
      <c r="E202" s="101">
        <f>F195-E200</f>
        <v>4905008446.950001</v>
      </c>
      <c r="F202" s="357">
        <f>I195-F200</f>
        <v>2300997605</v>
      </c>
      <c r="G202" s="358"/>
      <c r="H202" s="102">
        <v>0</v>
      </c>
      <c r="I202" s="102">
        <v>0</v>
      </c>
      <c r="J202" s="8"/>
      <c r="K202" s="8"/>
      <c r="L202" s="1"/>
      <c r="M202" s="1"/>
    </row>
    <row r="203" spans="1:13" ht="15.75" hidden="1">
      <c r="A203" s="2"/>
      <c r="B203" s="1"/>
      <c r="C203" s="8"/>
      <c r="D203" s="8"/>
      <c r="E203" s="1"/>
      <c r="F203" s="1"/>
      <c r="G203" s="1"/>
      <c r="H203" s="1"/>
      <c r="I203" s="1"/>
      <c r="J203" s="6"/>
      <c r="K203" s="6"/>
      <c r="L203" s="3"/>
      <c r="M203" s="1"/>
    </row>
    <row r="204" spans="1:13" ht="15.75" hidden="1">
      <c r="A204" s="288" t="s">
        <v>87</v>
      </c>
      <c r="B204" s="289"/>
      <c r="C204" s="289"/>
      <c r="D204" s="289"/>
      <c r="E204" s="289"/>
      <c r="F204" s="289" t="s">
        <v>19</v>
      </c>
      <c r="G204" s="289"/>
      <c r="H204" s="289"/>
      <c r="I204" s="290"/>
      <c r="J204" s="8"/>
      <c r="K204" s="8"/>
      <c r="L204" s="1"/>
      <c r="M204" s="1"/>
    </row>
    <row r="205" spans="1:13" ht="15.75" hidden="1">
      <c r="A205" s="288"/>
      <c r="B205" s="289"/>
      <c r="C205" s="289"/>
      <c r="D205" s="289"/>
      <c r="E205" s="289"/>
      <c r="F205" s="289"/>
      <c r="G205" s="289"/>
      <c r="H205" s="289"/>
      <c r="I205" s="290"/>
      <c r="J205" s="8"/>
      <c r="K205" s="8"/>
      <c r="L205" s="1"/>
      <c r="M205" s="1"/>
    </row>
    <row r="206" spans="1:13" ht="15.75" hidden="1">
      <c r="A206" s="355" t="s">
        <v>88</v>
      </c>
      <c r="B206" s="355"/>
      <c r="C206" s="355"/>
      <c r="D206" s="355"/>
      <c r="E206" s="356"/>
      <c r="F206" s="94"/>
      <c r="G206" s="95"/>
      <c r="H206" s="95"/>
      <c r="I206" s="114">
        <f>I96</f>
        <v>1588677000</v>
      </c>
      <c r="J206" s="5">
        <f>I206-I96</f>
        <v>0</v>
      </c>
      <c r="K206" s="5"/>
      <c r="L206" s="1"/>
      <c r="M206" s="1"/>
    </row>
    <row r="207" spans="1:13" ht="15.75" hidden="1">
      <c r="A207" s="2"/>
      <c r="B207" s="1"/>
      <c r="C207" s="8"/>
      <c r="D207" s="8"/>
      <c r="E207" s="1"/>
      <c r="F207" s="1"/>
      <c r="G207" s="1"/>
      <c r="H207" s="1"/>
      <c r="I207" s="1"/>
      <c r="J207" s="6"/>
      <c r="K207" s="6"/>
      <c r="L207" s="3"/>
      <c r="M207" s="1"/>
    </row>
    <row r="208" spans="1:13" ht="15.75" hidden="1">
      <c r="A208" s="288" t="s">
        <v>89</v>
      </c>
      <c r="B208" s="289"/>
      <c r="C208" s="289"/>
      <c r="D208" s="289"/>
      <c r="E208" s="289"/>
      <c r="F208" s="289"/>
      <c r="G208" s="289"/>
      <c r="H208" s="289"/>
      <c r="I208" s="290"/>
      <c r="J208" s="8"/>
      <c r="K208" s="8"/>
      <c r="L208" s="1"/>
      <c r="M208" s="1"/>
    </row>
    <row r="209" spans="1:13" ht="15.75" hidden="1">
      <c r="A209" s="288"/>
      <c r="B209" s="289"/>
      <c r="C209" s="289"/>
      <c r="D209" s="289"/>
      <c r="E209" s="289"/>
      <c r="F209" s="289"/>
      <c r="G209" s="289"/>
      <c r="H209" s="289"/>
      <c r="I209" s="290"/>
      <c r="J209" s="8"/>
      <c r="K209" s="8"/>
      <c r="L209" s="1"/>
      <c r="M209" s="1"/>
    </row>
    <row r="210" spans="1:13" ht="15.75" hidden="1">
      <c r="A210" s="288" t="s">
        <v>90</v>
      </c>
      <c r="B210" s="290" t="s">
        <v>91</v>
      </c>
      <c r="C210" s="352"/>
      <c r="D210" s="352"/>
      <c r="E210" s="352"/>
      <c r="F210" s="352"/>
      <c r="G210" s="352"/>
      <c r="H210" s="352"/>
      <c r="I210" s="352"/>
      <c r="J210" s="108"/>
      <c r="K210" s="108"/>
      <c r="L210" s="1"/>
      <c r="M210" s="1"/>
    </row>
    <row r="211" spans="1:13" ht="15.75" hidden="1">
      <c r="A211" s="352"/>
      <c r="B211" s="337" t="s">
        <v>92</v>
      </c>
      <c r="C211" s="338"/>
      <c r="D211" s="338"/>
      <c r="E211" s="338"/>
      <c r="F211" s="347" t="s">
        <v>93</v>
      </c>
      <c r="G211" s="331"/>
      <c r="H211" s="331"/>
      <c r="I211" s="331"/>
      <c r="J211" s="8"/>
      <c r="K211" s="8"/>
      <c r="L211" s="1"/>
      <c r="M211" s="1"/>
    </row>
    <row r="212" spans="1:13" ht="15.75" hidden="1">
      <c r="A212" s="352"/>
      <c r="B212" s="343" t="s">
        <v>94</v>
      </c>
      <c r="C212" s="333"/>
      <c r="D212" s="333"/>
      <c r="E212" s="333"/>
      <c r="F212" s="353" t="s">
        <v>95</v>
      </c>
      <c r="G212" s="354"/>
      <c r="H212" s="354"/>
      <c r="I212" s="354"/>
      <c r="J212" s="8"/>
      <c r="K212" s="8"/>
      <c r="L212" s="1"/>
      <c r="M212" s="1"/>
    </row>
    <row r="213" spans="1:13" ht="15.75" hidden="1">
      <c r="A213" s="93" t="s">
        <v>96</v>
      </c>
      <c r="B213" s="94"/>
      <c r="C213" s="95"/>
      <c r="D213" s="95"/>
      <c r="E213" s="114">
        <v>4894466155.23999</v>
      </c>
      <c r="F213" s="94"/>
      <c r="G213" s="95"/>
      <c r="H213" s="95"/>
      <c r="I213" s="114">
        <v>4894466155.23999</v>
      </c>
      <c r="J213" s="330" t="s">
        <v>97</v>
      </c>
      <c r="K213" s="330"/>
      <c r="L213" s="330"/>
      <c r="M213" s="330"/>
    </row>
    <row r="214" spans="1:13" ht="15.75" customHeight="1" hidden="1">
      <c r="A214" s="2"/>
      <c r="B214" s="1"/>
      <c r="C214" s="8"/>
      <c r="D214" s="8"/>
      <c r="E214" s="1"/>
      <c r="F214" s="1"/>
      <c r="G214" s="1"/>
      <c r="H214" s="1"/>
      <c r="I214" s="1"/>
      <c r="J214" s="6"/>
      <c r="K214" s="6"/>
      <c r="L214" s="3"/>
      <c r="M214" s="1"/>
    </row>
    <row r="215" spans="1:13" ht="15.75" hidden="1">
      <c r="A215" s="288" t="s">
        <v>98</v>
      </c>
      <c r="B215" s="289"/>
      <c r="C215" s="289"/>
      <c r="D215" s="289"/>
      <c r="E215" s="289"/>
      <c r="F215" s="289" t="s">
        <v>19</v>
      </c>
      <c r="G215" s="289"/>
      <c r="H215" s="289"/>
      <c r="I215" s="290"/>
      <c r="J215" s="8"/>
      <c r="K215" s="8"/>
      <c r="L215" s="1"/>
      <c r="M215" s="1"/>
    </row>
    <row r="216" spans="1:13" ht="15.75" hidden="1">
      <c r="A216" s="288"/>
      <c r="B216" s="289"/>
      <c r="C216" s="289"/>
      <c r="D216" s="289"/>
      <c r="E216" s="289"/>
      <c r="F216" s="346"/>
      <c r="G216" s="346"/>
      <c r="H216" s="346"/>
      <c r="I216" s="347"/>
      <c r="J216" s="8"/>
      <c r="K216" s="8"/>
      <c r="L216" s="1"/>
      <c r="M216" s="1"/>
    </row>
    <row r="217" spans="1:13" ht="15.75" hidden="1">
      <c r="A217" s="348" t="s">
        <v>99</v>
      </c>
      <c r="B217" s="349"/>
      <c r="C217" s="349"/>
      <c r="D217" s="349"/>
      <c r="E217" s="350"/>
      <c r="F217" s="94"/>
      <c r="G217" s="95"/>
      <c r="H217" s="95"/>
      <c r="I217" s="114" t="e">
        <f>#REF!</f>
        <v>#REF!</v>
      </c>
      <c r="J217" s="108" t="e">
        <f>I217-#REF!</f>
        <v>#REF!</v>
      </c>
      <c r="K217" s="108"/>
      <c r="L217" s="1"/>
      <c r="M217" s="1"/>
    </row>
    <row r="218" spans="1:11" ht="15.75" customHeight="1" hidden="1">
      <c r="A218" s="192" t="s">
        <v>112</v>
      </c>
      <c r="B218" s="193"/>
      <c r="C218" s="194"/>
      <c r="D218" s="194"/>
      <c r="E218" s="193"/>
      <c r="F218" s="193"/>
      <c r="G218" s="193"/>
      <c r="H218" s="351" t="s">
        <v>114</v>
      </c>
      <c r="I218" s="351"/>
      <c r="J218" s="351"/>
      <c r="K218" s="351"/>
    </row>
    <row r="219" spans="1:11" ht="5.25" customHeight="1">
      <c r="A219" s="24"/>
      <c r="C219" s="214"/>
      <c r="D219" s="214"/>
      <c r="H219" s="28"/>
      <c r="I219" s="28"/>
      <c r="J219" s="28"/>
      <c r="K219" s="28"/>
    </row>
    <row r="220" spans="1:11" ht="15.75" customHeight="1">
      <c r="A220" s="24"/>
      <c r="B220" s="22"/>
      <c r="C220" s="230"/>
      <c r="D220" s="230"/>
      <c r="E220" s="22"/>
      <c r="H220" s="230"/>
      <c r="I220" s="25"/>
      <c r="J220" s="28"/>
      <c r="K220" s="28"/>
    </row>
    <row r="221" spans="1:12" ht="15.75" customHeight="1">
      <c r="A221" s="327" t="s">
        <v>128</v>
      </c>
      <c r="B221" s="327"/>
      <c r="C221" s="327"/>
      <c r="D221" s="327"/>
      <c r="E221" s="327"/>
      <c r="F221" s="327"/>
      <c r="G221" s="344"/>
      <c r="H221" s="326" t="str">
        <f>F109</f>
        <v>Até Fevereiro/2023</v>
      </c>
      <c r="I221" s="327"/>
      <c r="J221" s="325" t="s">
        <v>211</v>
      </c>
      <c r="K221" s="325"/>
      <c r="L221" s="325"/>
    </row>
    <row r="222" spans="1:12" ht="15.75" customHeight="1">
      <c r="A222" s="329"/>
      <c r="B222" s="329"/>
      <c r="C222" s="329"/>
      <c r="D222" s="329"/>
      <c r="E222" s="329"/>
      <c r="F222" s="329"/>
      <c r="G222" s="345"/>
      <c r="H222" s="328"/>
      <c r="I222" s="329"/>
      <c r="J222" s="325"/>
      <c r="K222" s="325"/>
      <c r="L222" s="325"/>
    </row>
    <row r="223" spans="1:11" ht="15.75" customHeight="1">
      <c r="A223" s="301" t="s">
        <v>110</v>
      </c>
      <c r="B223" s="301"/>
      <c r="C223" s="301"/>
      <c r="D223" s="301"/>
      <c r="E223" s="301"/>
      <c r="F223" s="301"/>
      <c r="G223" s="301"/>
      <c r="H223" s="295">
        <f>H224+H227-H231+H234+H235+H236</f>
        <v>2790820991.669996</v>
      </c>
      <c r="I223" s="296"/>
      <c r="J223" s="218">
        <f>H223-I136</f>
        <v>0</v>
      </c>
      <c r="K223" s="28"/>
    </row>
    <row r="224" spans="1:11" ht="15.75" customHeight="1">
      <c r="A224" s="301" t="s">
        <v>129</v>
      </c>
      <c r="B224" s="301"/>
      <c r="C224" s="301"/>
      <c r="D224" s="301"/>
      <c r="E224" s="301"/>
      <c r="F224" s="301"/>
      <c r="G224" s="301"/>
      <c r="H224" s="297">
        <f>SUM(H225:H226)</f>
        <v>4890295.58</v>
      </c>
      <c r="I224" s="298"/>
      <c r="J224" s="28"/>
      <c r="K224" s="28"/>
    </row>
    <row r="225" spans="1:11" ht="15.75" customHeight="1">
      <c r="A225" s="302" t="s">
        <v>130</v>
      </c>
      <c r="B225" s="302"/>
      <c r="C225" s="302"/>
      <c r="D225" s="302"/>
      <c r="E225" s="302"/>
      <c r="F225" s="302"/>
      <c r="G225" s="302"/>
      <c r="H225" s="299">
        <f>3086000</f>
        <v>3086000</v>
      </c>
      <c r="I225" s="300"/>
      <c r="J225" s="28"/>
      <c r="K225" s="28"/>
    </row>
    <row r="226" spans="1:11" ht="15.75" customHeight="1">
      <c r="A226" s="302" t="s">
        <v>131</v>
      </c>
      <c r="B226" s="302"/>
      <c r="C226" s="302"/>
      <c r="D226" s="302"/>
      <c r="E226" s="302"/>
      <c r="F226" s="302"/>
      <c r="G226" s="302"/>
      <c r="H226" s="299">
        <f>1804295.58</f>
        <v>1804295.58</v>
      </c>
      <c r="I226" s="300"/>
      <c r="J226" s="28"/>
      <c r="K226" s="28"/>
    </row>
    <row r="227" spans="1:11" ht="15.75" customHeight="1">
      <c r="A227" s="301" t="s">
        <v>210</v>
      </c>
      <c r="B227" s="301"/>
      <c r="C227" s="301"/>
      <c r="D227" s="301"/>
      <c r="E227" s="301"/>
      <c r="F227" s="301"/>
      <c r="G227" s="301"/>
      <c r="H227" s="297">
        <f>SUM(H228:H230)</f>
        <v>2415685679.44</v>
      </c>
      <c r="I227" s="298"/>
      <c r="J227" s="28"/>
      <c r="K227" s="28"/>
    </row>
    <row r="228" spans="1:11" ht="15.75" customHeight="1">
      <c r="A228" s="302" t="s">
        <v>132</v>
      </c>
      <c r="B228" s="302"/>
      <c r="C228" s="302"/>
      <c r="D228" s="302"/>
      <c r="E228" s="302"/>
      <c r="F228" s="302"/>
      <c r="G228" s="302"/>
      <c r="H228" s="299">
        <v>0</v>
      </c>
      <c r="I228" s="300"/>
      <c r="J228" s="28"/>
      <c r="K228" s="28"/>
    </row>
    <row r="229" spans="1:11" ht="15.75" customHeight="1">
      <c r="A229" s="302" t="s">
        <v>133</v>
      </c>
      <c r="B229" s="302"/>
      <c r="C229" s="302"/>
      <c r="D229" s="302"/>
      <c r="E229" s="302"/>
      <c r="F229" s="302"/>
      <c r="G229" s="302"/>
      <c r="H229" s="299">
        <v>0</v>
      </c>
      <c r="I229" s="300"/>
      <c r="J229" s="28"/>
      <c r="K229" s="28"/>
    </row>
    <row r="230" spans="1:11" ht="15.75" customHeight="1">
      <c r="A230" s="302" t="s">
        <v>134</v>
      </c>
      <c r="B230" s="302"/>
      <c r="C230" s="302"/>
      <c r="D230" s="302"/>
      <c r="E230" s="302"/>
      <c r="F230" s="302"/>
      <c r="G230" s="302"/>
      <c r="H230" s="299">
        <f>2415685679.44</f>
        <v>2415685679.44</v>
      </c>
      <c r="I230" s="300"/>
      <c r="J230" s="28"/>
      <c r="K230" s="28"/>
    </row>
    <row r="231" spans="1:11" ht="15.75" customHeight="1" hidden="1">
      <c r="A231" s="301" t="s">
        <v>135</v>
      </c>
      <c r="B231" s="301"/>
      <c r="C231" s="301"/>
      <c r="D231" s="301"/>
      <c r="E231" s="301"/>
      <c r="F231" s="301"/>
      <c r="G231" s="301"/>
      <c r="H231" s="297">
        <f>H232+H233</f>
        <v>0</v>
      </c>
      <c r="I231" s="298"/>
      <c r="J231" s="28"/>
      <c r="K231" s="28"/>
    </row>
    <row r="232" spans="1:11" ht="15.75" customHeight="1" hidden="1">
      <c r="A232" s="302" t="s">
        <v>136</v>
      </c>
      <c r="B232" s="302"/>
      <c r="C232" s="302"/>
      <c r="D232" s="302"/>
      <c r="E232" s="302"/>
      <c r="F232" s="302"/>
      <c r="G232" s="302"/>
      <c r="H232" s="299"/>
      <c r="I232" s="300"/>
      <c r="J232" s="28"/>
      <c r="K232" s="28"/>
    </row>
    <row r="233" spans="1:11" ht="15.75" customHeight="1" hidden="1">
      <c r="A233" s="302" t="s">
        <v>145</v>
      </c>
      <c r="B233" s="302"/>
      <c r="C233" s="302"/>
      <c r="D233" s="302"/>
      <c r="E233" s="302"/>
      <c r="F233" s="302"/>
      <c r="G233" s="302"/>
      <c r="H233" s="299"/>
      <c r="I233" s="300"/>
      <c r="J233" s="28"/>
      <c r="K233" s="28"/>
    </row>
    <row r="234" spans="1:11" ht="15.75" customHeight="1">
      <c r="A234" s="301" t="s">
        <v>137</v>
      </c>
      <c r="B234" s="301"/>
      <c r="C234" s="301"/>
      <c r="D234" s="301"/>
      <c r="E234" s="301"/>
      <c r="F234" s="301"/>
      <c r="G234" s="301"/>
      <c r="H234" s="297">
        <f>115645.73</f>
        <v>115645.73</v>
      </c>
      <c r="I234" s="298"/>
      <c r="J234" s="28"/>
      <c r="K234" s="28"/>
    </row>
    <row r="235" spans="1:11" ht="15.75" customHeight="1">
      <c r="A235" s="301" t="s">
        <v>138</v>
      </c>
      <c r="B235" s="301"/>
      <c r="C235" s="301"/>
      <c r="D235" s="301"/>
      <c r="E235" s="301"/>
      <c r="F235" s="301"/>
      <c r="G235" s="301"/>
      <c r="H235" s="297">
        <f>468161.83</f>
        <v>468161.83</v>
      </c>
      <c r="I235" s="298"/>
      <c r="J235" s="28"/>
      <c r="K235" s="28"/>
    </row>
    <row r="236" spans="1:11" ht="15.75" customHeight="1">
      <c r="A236" s="305" t="s">
        <v>212</v>
      </c>
      <c r="B236" s="305"/>
      <c r="C236" s="305"/>
      <c r="D236" s="305"/>
      <c r="E236" s="305"/>
      <c r="F236" s="305"/>
      <c r="G236" s="306"/>
      <c r="H236" s="303">
        <f>369661209.089996</f>
        <v>369661209.089996</v>
      </c>
      <c r="I236" s="304"/>
      <c r="J236" s="28"/>
      <c r="K236" s="28"/>
    </row>
    <row r="237" spans="1:11" ht="15.75" customHeight="1">
      <c r="A237" s="215"/>
      <c r="B237" s="216"/>
      <c r="C237" s="216"/>
      <c r="D237" s="216"/>
      <c r="E237" s="216"/>
      <c r="F237" s="216"/>
      <c r="G237" s="216"/>
      <c r="H237" s="217"/>
      <c r="I237" s="232"/>
      <c r="J237" s="28"/>
      <c r="K237" s="28"/>
    </row>
    <row r="238" spans="1:11" ht="15.75" customHeight="1">
      <c r="A238" s="24"/>
      <c r="C238" s="214"/>
      <c r="D238" s="214"/>
      <c r="H238" s="28"/>
      <c r="I238" s="28"/>
      <c r="J238" s="28"/>
      <c r="K238" s="28"/>
    </row>
    <row r="239" spans="1:11" ht="15.75" customHeight="1">
      <c r="A239" s="24"/>
      <c r="C239" s="230"/>
      <c r="D239" s="230"/>
      <c r="H239" s="28"/>
      <c r="I239" s="28"/>
      <c r="J239" s="28"/>
      <c r="K239" s="28"/>
    </row>
    <row r="240" spans="10:11" ht="15.75">
      <c r="J240" s="17"/>
      <c r="K240" s="122"/>
    </row>
    <row r="241" spans="1:11" ht="15.75">
      <c r="A241" s="17" t="s">
        <v>67</v>
      </c>
      <c r="B241" s="293" t="s">
        <v>25</v>
      </c>
      <c r="C241" s="293"/>
      <c r="D241" s="20"/>
      <c r="E241" s="293" t="s">
        <v>140</v>
      </c>
      <c r="F241" s="293"/>
      <c r="G241" s="293"/>
      <c r="H241" s="293"/>
      <c r="I241" s="293"/>
      <c r="J241" s="17"/>
      <c r="K241" s="122"/>
    </row>
    <row r="242" spans="1:11" ht="15.75">
      <c r="A242" s="17" t="s">
        <v>68</v>
      </c>
      <c r="B242" s="293" t="s">
        <v>104</v>
      </c>
      <c r="C242" s="293"/>
      <c r="D242" s="20"/>
      <c r="E242" s="293" t="s">
        <v>141</v>
      </c>
      <c r="F242" s="293"/>
      <c r="G242" s="293"/>
      <c r="H242" s="293"/>
      <c r="I242" s="293"/>
      <c r="J242" s="17"/>
      <c r="K242" s="122"/>
    </row>
    <row r="243" spans="1:11" ht="15.75">
      <c r="A243" s="17" t="s">
        <v>69</v>
      </c>
      <c r="B243" s="293" t="s">
        <v>105</v>
      </c>
      <c r="C243" s="293"/>
      <c r="D243" s="20"/>
      <c r="E243" s="293" t="s">
        <v>142</v>
      </c>
      <c r="F243" s="293"/>
      <c r="G243" s="293"/>
      <c r="H243" s="293"/>
      <c r="I243" s="293"/>
      <c r="J243" s="17"/>
      <c r="K243" s="122"/>
    </row>
    <row r="244" spans="1:11" ht="15.75">
      <c r="A244" s="62"/>
      <c r="J244" s="17"/>
      <c r="K244" s="122"/>
    </row>
    <row r="245" spans="10:11" ht="15.75">
      <c r="J245" s="17"/>
      <c r="K245" s="122"/>
    </row>
    <row r="246" spans="10:11" ht="15.75">
      <c r="J246" s="17"/>
      <c r="K246" s="122"/>
    </row>
    <row r="247" spans="10:11" ht="15.75">
      <c r="J247" s="17"/>
      <c r="K247" s="122"/>
    </row>
    <row r="248" spans="10:11" ht="15.75">
      <c r="J248" s="17"/>
      <c r="K248" s="122"/>
    </row>
    <row r="249" spans="10:11" ht="15.75">
      <c r="J249" s="17"/>
      <c r="K249" s="122"/>
    </row>
    <row r="250" spans="10:11" ht="15.75">
      <c r="J250" s="17"/>
      <c r="K250" s="122"/>
    </row>
    <row r="251" spans="10:11" ht="15.75">
      <c r="J251" s="17"/>
      <c r="K251" s="122"/>
    </row>
    <row r="252" spans="10:11" ht="15.75">
      <c r="J252" s="17"/>
      <c r="K252" s="122"/>
    </row>
    <row r="253" spans="10:11" ht="15.75">
      <c r="J253" s="17"/>
      <c r="K253" s="122"/>
    </row>
    <row r="254" spans="10:11" ht="15.75">
      <c r="J254" s="17"/>
      <c r="K254" s="122"/>
    </row>
    <row r="255" spans="10:11" ht="15.75">
      <c r="J255" s="17"/>
      <c r="K255" s="122"/>
    </row>
    <row r="256" spans="10:11" ht="15.75">
      <c r="J256" s="17"/>
      <c r="K256" s="122"/>
    </row>
    <row r="257" spans="10:11" ht="15.75">
      <c r="J257" s="17"/>
      <c r="K257" s="122"/>
    </row>
    <row r="258" spans="10:11" ht="15.75">
      <c r="J258" s="17"/>
      <c r="K258" s="122"/>
    </row>
    <row r="259" spans="10:11" ht="15.75">
      <c r="J259" s="17"/>
      <c r="K259" s="122"/>
    </row>
    <row r="260" spans="10:11" ht="15.75">
      <c r="J260" s="17"/>
      <c r="K260" s="122"/>
    </row>
    <row r="261" spans="10:11" ht="15.75">
      <c r="J261" s="17"/>
      <c r="K261" s="122"/>
    </row>
    <row r="262" spans="10:11" ht="15.75">
      <c r="J262" s="17"/>
      <c r="K262" s="122"/>
    </row>
    <row r="263" spans="10:11" ht="15.75">
      <c r="J263" s="17"/>
      <c r="K263" s="122"/>
    </row>
    <row r="264" spans="10:11" ht="15.75">
      <c r="J264" s="17"/>
      <c r="K264" s="122"/>
    </row>
    <row r="265" spans="10:11" ht="15.75">
      <c r="J265" s="17"/>
      <c r="K265" s="122"/>
    </row>
    <row r="266" spans="10:11" ht="15.75">
      <c r="J266" s="17"/>
      <c r="K266" s="122"/>
    </row>
  </sheetData>
  <sheetProtection/>
  <mergeCells count="128">
    <mergeCell ref="J134:K135"/>
    <mergeCell ref="B170:E172"/>
    <mergeCell ref="B125:I127"/>
    <mergeCell ref="B110:E110"/>
    <mergeCell ref="A168:I169"/>
    <mergeCell ref="J125:J127"/>
    <mergeCell ref="A161:A162"/>
    <mergeCell ref="J130:K130"/>
    <mergeCell ref="F170:I172"/>
    <mergeCell ref="A125:A127"/>
    <mergeCell ref="A5:I5"/>
    <mergeCell ref="A6:I6"/>
    <mergeCell ref="A7:I7"/>
    <mergeCell ref="A8:I8"/>
    <mergeCell ref="A9:I9"/>
    <mergeCell ref="J123:M123"/>
    <mergeCell ref="B15:B17"/>
    <mergeCell ref="A15:A17"/>
    <mergeCell ref="A13:I14"/>
    <mergeCell ref="C15:I15"/>
    <mergeCell ref="C16:I16"/>
    <mergeCell ref="C60:I60"/>
    <mergeCell ref="C17:I17"/>
    <mergeCell ref="C61:C64"/>
    <mergeCell ref="F61:G64"/>
    <mergeCell ref="B94:I95"/>
    <mergeCell ref="B98:I98"/>
    <mergeCell ref="A60:A64"/>
    <mergeCell ref="B60:B64"/>
    <mergeCell ref="B99:I100"/>
    <mergeCell ref="B109:E109"/>
    <mergeCell ref="A94:A95"/>
    <mergeCell ref="E61:E64"/>
    <mergeCell ref="H61:I63"/>
    <mergeCell ref="D61:D64"/>
    <mergeCell ref="A106:I107"/>
    <mergeCell ref="B121:I122"/>
    <mergeCell ref="B192:D194"/>
    <mergeCell ref="A188:I188"/>
    <mergeCell ref="A121:A122"/>
    <mergeCell ref="F109:I109"/>
    <mergeCell ref="F110:I110"/>
    <mergeCell ref="B108:I108"/>
    <mergeCell ref="B197:B199"/>
    <mergeCell ref="H173:I173"/>
    <mergeCell ref="C197:D198"/>
    <mergeCell ref="F199:G199"/>
    <mergeCell ref="H194:I194"/>
    <mergeCell ref="B173:C173"/>
    <mergeCell ref="D173:E173"/>
    <mergeCell ref="F173:G173"/>
    <mergeCell ref="F195:G195"/>
    <mergeCell ref="F211:I211"/>
    <mergeCell ref="A210:A212"/>
    <mergeCell ref="B210:I210"/>
    <mergeCell ref="A204:E205"/>
    <mergeCell ref="F212:I212"/>
    <mergeCell ref="A206:E206"/>
    <mergeCell ref="B211:E211"/>
    <mergeCell ref="F204:I205"/>
    <mergeCell ref="B241:C241"/>
    <mergeCell ref="A228:G228"/>
    <mergeCell ref="B242:C242"/>
    <mergeCell ref="A221:G222"/>
    <mergeCell ref="A223:G223"/>
    <mergeCell ref="F215:I216"/>
    <mergeCell ref="A217:E217"/>
    <mergeCell ref="H218:K218"/>
    <mergeCell ref="A234:G234"/>
    <mergeCell ref="H235:I235"/>
    <mergeCell ref="B243:C243"/>
    <mergeCell ref="E241:I241"/>
    <mergeCell ref="E242:I242"/>
    <mergeCell ref="E243:I243"/>
    <mergeCell ref="A215:E216"/>
    <mergeCell ref="A233:G233"/>
    <mergeCell ref="H233:I233"/>
    <mergeCell ref="A232:G232"/>
    <mergeCell ref="A224:G224"/>
    <mergeCell ref="H234:I234"/>
    <mergeCell ref="J221:L222"/>
    <mergeCell ref="H221:I222"/>
    <mergeCell ref="J213:M213"/>
    <mergeCell ref="A190:I191"/>
    <mergeCell ref="A192:A194"/>
    <mergeCell ref="E192:I193"/>
    <mergeCell ref="E194:G194"/>
    <mergeCell ref="E197:G198"/>
    <mergeCell ref="B212:E212"/>
    <mergeCell ref="A197:A199"/>
    <mergeCell ref="J25:L26"/>
    <mergeCell ref="J96:M96"/>
    <mergeCell ref="L98:Q102"/>
    <mergeCell ref="A185:I185"/>
    <mergeCell ref="A186:I186"/>
    <mergeCell ref="A108:A110"/>
    <mergeCell ref="A170:A173"/>
    <mergeCell ref="B161:I162"/>
    <mergeCell ref="L127:P136"/>
    <mergeCell ref="A98:A100"/>
    <mergeCell ref="H236:I236"/>
    <mergeCell ref="H228:I228"/>
    <mergeCell ref="A235:G235"/>
    <mergeCell ref="A236:G236"/>
    <mergeCell ref="A229:G229"/>
    <mergeCell ref="A231:G231"/>
    <mergeCell ref="H231:I231"/>
    <mergeCell ref="H232:I232"/>
    <mergeCell ref="A230:G230"/>
    <mergeCell ref="H223:I223"/>
    <mergeCell ref="H224:I224"/>
    <mergeCell ref="H225:I225"/>
    <mergeCell ref="H226:I226"/>
    <mergeCell ref="A227:G227"/>
    <mergeCell ref="H230:I230"/>
    <mergeCell ref="A225:G225"/>
    <mergeCell ref="A226:G226"/>
    <mergeCell ref="H227:I227"/>
    <mergeCell ref="H229:I229"/>
    <mergeCell ref="A208:I209"/>
    <mergeCell ref="F200:G200"/>
    <mergeCell ref="A154:I154"/>
    <mergeCell ref="A155:I155"/>
    <mergeCell ref="A156:I156"/>
    <mergeCell ref="A157:I157"/>
    <mergeCell ref="A158:I158"/>
    <mergeCell ref="H197:I198"/>
    <mergeCell ref="F202:G202"/>
  </mergeCells>
  <printOptions horizontalCentered="1"/>
  <pageMargins left="0.7086614173228347" right="0.7086614173228347" top="0.3937007874015748" bottom="0.7874015748031497" header="0.31496062992125984" footer="0.31496062992125984"/>
  <pageSetup fitToHeight="0" fitToWidth="1" horizontalDpi="600" verticalDpi="600" orientation="portrait" paperSize="9" scale="35" r:id="rId4"/>
  <ignoredErrors>
    <ignoredError sqref="B76:E76 H76:I76 B19" formulaRange="1"/>
    <ignoredError sqref="J82 L82 J87 I138:J138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Renato Ferreira Costa</cp:lastModifiedBy>
  <cp:lastPrinted>2023-03-24T13:07:08Z</cp:lastPrinted>
  <dcterms:created xsi:type="dcterms:W3CDTF">2015-03-20T14:54:41Z</dcterms:created>
  <dcterms:modified xsi:type="dcterms:W3CDTF">2023-05-03T19:06:52Z</dcterms:modified>
  <cp:category/>
  <cp:version/>
  <cp:contentType/>
  <cp:contentStatus/>
</cp:coreProperties>
</file>