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0920" windowHeight="925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4'!$A$1:$K$179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C15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Incluir no início da fórmula o saldo da coluna "Dotação Atualizada", linha "total das Despesas Previdênciárias - RPPS" da consulta "RREO 04 - RPPS - (2) - PLANO FINANCEIRO - DESPESAS (DOTAÇÃO ATUALIZADA) (2017)"</t>
        </r>
      </text>
    </comment>
  </commentList>
</comments>
</file>

<file path=xl/sharedStrings.xml><?xml version="1.0" encoding="utf-8"?>
<sst xmlns="http://schemas.openxmlformats.org/spreadsheetml/2006/main" count="267" uniqueCount="137">
  <si>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</si>
  <si>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</si>
  <si>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</si>
  <si>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</si>
  <si>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</si>
  <si>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</si>
  <si>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</si>
  <si>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</si>
  <si>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</si>
  <si>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</si>
  <si>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ADMINISTRAÇÃO (XII)</t>
  </si>
  <si>
    <t xml:space="preserve">    Despesas de Capital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</si>
  <si>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</si>
  <si>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</si>
  <si>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</si>
  <si>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</si>
  <si>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</si>
  <si>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</si>
  <si>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</si>
  <si>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</si>
  <si>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</si>
  <si>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</si>
  <si>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</si>
  <si>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</si>
  <si>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</si>
  <si>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</si>
  <si>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</si>
  <si>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</si>
  <si>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</si>
  <si>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</si>
  <si>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</si>
  <si>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</si>
  <si>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</si>
  <si>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</si>
  <si>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</si>
  <si>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</si>
  <si>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</si>
  <si>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</si>
  <si>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</si>
  <si>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</si>
  <si>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</si>
  <si>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</si>
  <si>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</si>
  <si>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</si>
  <si>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</si>
  <si>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</si>
  <si>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</si>
  <si>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</si>
  <si>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</si>
  <si>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</si>
  <si>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</si>
  <si>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</si>
  <si>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</si>
  <si>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</si>
  <si>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</si>
  <si>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</si>
  <si>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</si>
  <si>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</si>
  <si>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</si>
  <si>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</si>
  <si>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</si>
  <si>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Continua (1/2)</t>
  </si>
  <si>
    <t>(2/2)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</si>
  <si>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</si>
  <si>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</si>
  <si>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</si>
  <si>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</si>
  <si>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</si>
  <si>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</si>
  <si>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</si>
  <si>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</si>
  <si>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</si>
  <si>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</si>
  <si>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</si>
  <si>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</si>
  <si>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</si>
  <si>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</si>
  <si>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</si>
  <si>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</si>
  <si>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RECEITAS DE CAPITAL (II)</t>
  </si>
  <si>
    <t>Outras Receitas de Capital</t>
  </si>
  <si>
    <t>RECEITAS PREVIDENCIÁRIAS - RPPS</t>
  </si>
  <si>
    <t>DESPESAS PREVIDENCIÁRIAS - RPPS</t>
  </si>
  <si>
    <t xml:space="preserve">    Despesas Correntes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</si>
  <si>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</si>
  <si>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</si>
  <si>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</si>
  <si>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</si>
  <si>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</si>
  <si>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</si>
  <si>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</si>
  <si>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</si>
  <si>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</si>
  <si>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</si>
  <si>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</si>
  <si>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</si>
  <si>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</si>
  <si>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</si>
  <si>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</si>
  <si>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</si>
  <si>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</si>
  <si>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</si>
  <si>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</si>
  <si>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</si>
  <si>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</si>
  <si>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</si>
  <si>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</si>
  <si>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</si>
  <si>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</si>
  <si>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ADMINISTRAÇÃO (V)</t>
  </si>
  <si>
    <t>PREVIDÊNCIA (VI)</t>
  </si>
  <si>
    <t>TOTAL DAS DESPESAS PREVIDENCIÁRIAS RPPS (VII) = (V + VI)</t>
  </si>
  <si>
    <t>RECEITAS CORRENTES (IX)</t>
  </si>
  <si>
    <t>RECEITAS DE CAPITAL (X)</t>
  </si>
  <si>
    <t>TOTAL DAS RECEITAS PREVIDENCIÁRIAS RPPS - (XI) = (IX + X)</t>
  </si>
  <si>
    <t>PREVIDÊNCIA (XIII)</t>
  </si>
  <si>
    <t>TOTAL DAS DESPESAS PREVIDENCIÁRIAS RPPS (XIV) = (XII + XIII)</t>
  </si>
  <si>
    <t>Obs.:  Este Demonstrativo não considera a casa dos centavos.</t>
  </si>
  <si>
    <t>Contadora - CRC-RJ-115174/O-0</t>
  </si>
  <si>
    <t>Subsecretária de Estado - ID: 4.412.059-1</t>
  </si>
  <si>
    <t>Stephanie Guimarães da Silva</t>
  </si>
  <si>
    <t>FONTE: Siafe-Rio - Secretaria de Estado de Fazenda.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</si>
  <si>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</si>
  <si>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r>
      <t>RESULTADO PREVIDENCIÁRIO (VIII) = (IV – VII)</t>
    </r>
    <r>
      <rPr>
        <b/>
        <vertAlign val="superscript"/>
        <sz val="10"/>
        <rFont val="Times New Roman"/>
        <family val="1"/>
      </rPr>
      <t>2</t>
    </r>
  </si>
  <si>
    <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</si>
  <si>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</si>
  <si>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</si>
  <si>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Jan a Dez 2018</t>
  </si>
  <si>
    <t>Jan a Dez 2019</t>
  </si>
  <si>
    <t>JANEIRO A DEZEMBRO 2019/BIMESTRE NOVEMBRO-DEZEMBRO</t>
  </si>
  <si>
    <t>INSCRITAS EM RESTOS A PAGAR NÃO PROCESSADOS</t>
  </si>
  <si>
    <t>Em 2019</t>
  </si>
  <si>
    <t>Em 2018</t>
  </si>
  <si>
    <t>-</t>
  </si>
  <si>
    <t>2019</t>
  </si>
  <si>
    <t>2018</t>
  </si>
  <si>
    <t>Emissão: 16/03/2020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</si>
</sst>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Unknown"/>
      <family val="0"/>
    </font>
    <font>
      <sz val="8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3"/>
      <name val="Tahoma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4"/>
      <color rgb="FF000000"/>
      <name val="Unknown"/>
      <family val="0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333333"/>
      <name val="Tahoma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172" fontId="3" fillId="33" borderId="0" xfId="61" applyNumberFormat="1" applyFont="1" applyFill="1" applyAlignment="1">
      <alignment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172" fontId="8" fillId="33" borderId="10" xfId="61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 indent="1"/>
    </xf>
    <xf numFmtId="172" fontId="8" fillId="33" borderId="11" xfId="61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 indent="2"/>
    </xf>
    <xf numFmtId="0" fontId="8" fillId="33" borderId="0" xfId="0" applyFont="1" applyFill="1" applyAlignment="1">
      <alignment horizontal="left" indent="3"/>
    </xf>
    <xf numFmtId="0" fontId="8" fillId="33" borderId="0" xfId="0" applyFont="1" applyFill="1" applyAlignment="1">
      <alignment/>
    </xf>
    <xf numFmtId="0" fontId="9" fillId="33" borderId="12" xfId="0" applyNumberFormat="1" applyFont="1" applyFill="1" applyBorder="1" applyAlignment="1">
      <alignment vertical="center"/>
    </xf>
    <xf numFmtId="172" fontId="9" fillId="33" borderId="13" xfId="61" applyNumberFormat="1" applyFont="1" applyFill="1" applyBorder="1" applyAlignment="1">
      <alignment vertical="center"/>
    </xf>
    <xf numFmtId="172" fontId="9" fillId="33" borderId="14" xfId="61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 wrapText="1"/>
    </xf>
    <xf numFmtId="49" fontId="8" fillId="33" borderId="0" xfId="0" applyNumberFormat="1" applyFont="1" applyFill="1" applyAlignment="1">
      <alignment vertical="center"/>
    </xf>
    <xf numFmtId="172" fontId="8" fillId="33" borderId="11" xfId="61" applyNumberFormat="1" applyFont="1" applyFill="1" applyBorder="1" applyAlignment="1">
      <alignment vertical="center" wrapText="1"/>
    </xf>
    <xf numFmtId="49" fontId="8" fillId="33" borderId="0" xfId="0" applyNumberFormat="1" applyFont="1" applyFill="1" applyAlignment="1">
      <alignment vertical="center" wrapText="1"/>
    </xf>
    <xf numFmtId="49" fontId="9" fillId="33" borderId="15" xfId="0" applyNumberFormat="1" applyFont="1" applyFill="1" applyBorder="1" applyAlignment="1">
      <alignment vertical="center"/>
    </xf>
    <xf numFmtId="172" fontId="9" fillId="33" borderId="16" xfId="61" applyNumberFormat="1" applyFont="1" applyFill="1" applyBorder="1" applyAlignment="1">
      <alignment vertical="center"/>
    </xf>
    <xf numFmtId="172" fontId="9" fillId="33" borderId="17" xfId="61" applyNumberFormat="1" applyFont="1" applyFill="1" applyBorder="1" applyAlignment="1">
      <alignment vertical="center"/>
    </xf>
    <xf numFmtId="172" fontId="9" fillId="33" borderId="17" xfId="61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horizontal="justify" vertical="center"/>
    </xf>
    <xf numFmtId="172" fontId="9" fillId="33" borderId="19" xfId="61" applyNumberFormat="1" applyFont="1" applyFill="1" applyBorder="1" applyAlignment="1">
      <alignment vertical="center"/>
    </xf>
    <xf numFmtId="172" fontId="9" fillId="33" borderId="20" xfId="61" applyNumberFormat="1" applyFont="1" applyFill="1" applyBorder="1" applyAlignment="1">
      <alignment vertical="center"/>
    </xf>
    <xf numFmtId="49" fontId="9" fillId="33" borderId="0" xfId="0" applyNumberFormat="1" applyFont="1" applyFill="1" applyBorder="1" applyAlignment="1">
      <alignment horizontal="justify" vertical="center"/>
    </xf>
    <xf numFmtId="172" fontId="9" fillId="33" borderId="0" xfId="61" applyNumberFormat="1" applyFont="1" applyFill="1" applyBorder="1" applyAlignment="1">
      <alignment vertical="center"/>
    </xf>
    <xf numFmtId="172" fontId="9" fillId="33" borderId="0" xfId="61" applyNumberFormat="1" applyFont="1" applyFill="1" applyBorder="1" applyAlignment="1">
      <alignment horizontal="center" vertical="center" wrapText="1"/>
    </xf>
    <xf numFmtId="172" fontId="9" fillId="33" borderId="0" xfId="61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37" fontId="8" fillId="33" borderId="0" xfId="0" applyNumberFormat="1" applyFont="1" applyFill="1" applyBorder="1" applyAlignment="1">
      <alignment vertical="center"/>
    </xf>
    <xf numFmtId="172" fontId="8" fillId="33" borderId="15" xfId="61" applyNumberFormat="1" applyFont="1" applyFill="1" applyBorder="1" applyAlignment="1">
      <alignment vertical="center" wrapText="1"/>
    </xf>
    <xf numFmtId="41" fontId="8" fillId="33" borderId="15" xfId="61" applyNumberFormat="1" applyFont="1" applyFill="1" applyBorder="1" applyAlignment="1">
      <alignment vertical="center" wrapText="1"/>
    </xf>
    <xf numFmtId="172" fontId="8" fillId="33" borderId="0" xfId="61" applyNumberFormat="1" applyFont="1" applyFill="1" applyBorder="1" applyAlignment="1">
      <alignment vertical="center" wrapText="1"/>
    </xf>
    <xf numFmtId="41" fontId="8" fillId="33" borderId="0" xfId="61" applyNumberFormat="1" applyFont="1" applyFill="1" applyBorder="1" applyAlignment="1">
      <alignment vertical="center" wrapText="1"/>
    </xf>
    <xf numFmtId="172" fontId="8" fillId="33" borderId="21" xfId="61" applyNumberFormat="1" applyFont="1" applyFill="1" applyBorder="1" applyAlignment="1">
      <alignment vertical="center" wrapText="1"/>
    </xf>
    <xf numFmtId="41" fontId="8" fillId="33" borderId="21" xfId="61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8" fillId="33" borderId="18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horizontal="right"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172" fontId="8" fillId="33" borderId="10" xfId="61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72" fontId="8" fillId="0" borderId="10" xfId="61" applyNumberFormat="1" applyFont="1" applyFill="1" applyBorder="1" applyAlignment="1">
      <alignment vertical="center"/>
    </xf>
    <xf numFmtId="172" fontId="8" fillId="0" borderId="11" xfId="61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 indent="3"/>
    </xf>
    <xf numFmtId="178" fontId="58" fillId="33" borderId="0" xfId="62" applyNumberFormat="1" applyFont="1" applyFill="1" applyAlignment="1" applyProtection="1">
      <alignment/>
      <protection locked="0"/>
    </xf>
    <xf numFmtId="49" fontId="9" fillId="33" borderId="12" xfId="0" applyNumberFormat="1" applyFont="1" applyFill="1" applyBorder="1" applyAlignment="1">
      <alignment vertical="center"/>
    </xf>
    <xf numFmtId="172" fontId="9" fillId="0" borderId="14" xfId="61" applyNumberFormat="1" applyFont="1" applyFill="1" applyBorder="1" applyAlignment="1">
      <alignment vertical="center"/>
    </xf>
    <xf numFmtId="172" fontId="9" fillId="33" borderId="14" xfId="61" applyNumberFormat="1" applyFont="1" applyFill="1" applyBorder="1" applyAlignment="1">
      <alignment vertical="center" wrapText="1"/>
    </xf>
    <xf numFmtId="49" fontId="9" fillId="33" borderId="22" xfId="0" applyNumberFormat="1" applyFont="1" applyFill="1" applyBorder="1" applyAlignment="1">
      <alignment horizontal="justify" vertical="center"/>
    </xf>
    <xf numFmtId="0" fontId="8" fillId="33" borderId="23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172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8" fillId="33" borderId="0" xfId="0" applyFont="1" applyFill="1" applyAlignment="1">
      <alignment horizontal="left" vertical="center" indent="2"/>
    </xf>
    <xf numFmtId="0" fontId="9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wrapText="1"/>
    </xf>
    <xf numFmtId="171" fontId="13" fillId="33" borderId="0" xfId="61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41" fontId="61" fillId="0" borderId="0" xfId="0" applyNumberFormat="1" applyFont="1" applyFill="1" applyAlignment="1">
      <alignment/>
    </xf>
    <xf numFmtId="172" fontId="8" fillId="33" borderId="17" xfId="61" applyNumberFormat="1" applyFont="1" applyFill="1" applyBorder="1" applyAlignment="1">
      <alignment vertical="center" wrapText="1"/>
    </xf>
    <xf numFmtId="172" fontId="8" fillId="33" borderId="23" xfId="61" applyNumberFormat="1" applyFont="1" applyFill="1" applyBorder="1" applyAlignment="1">
      <alignment vertical="center" wrapText="1"/>
    </xf>
    <xf numFmtId="172" fontId="8" fillId="33" borderId="24" xfId="61" applyNumberFormat="1" applyFont="1" applyFill="1" applyBorder="1" applyAlignment="1">
      <alignment vertical="center" wrapText="1"/>
    </xf>
    <xf numFmtId="172" fontId="8" fillId="33" borderId="18" xfId="61" applyNumberFormat="1" applyFont="1" applyFill="1" applyBorder="1" applyAlignment="1">
      <alignment vertical="center" wrapText="1"/>
    </xf>
    <xf numFmtId="172" fontId="9" fillId="33" borderId="22" xfId="61" applyNumberFormat="1" applyFont="1" applyFill="1" applyBorder="1" applyAlignment="1">
      <alignment vertical="center" wrapText="1"/>
    </xf>
    <xf numFmtId="172" fontId="9" fillId="33" borderId="13" xfId="61" applyNumberFormat="1" applyFont="1" applyFill="1" applyBorder="1" applyAlignment="1">
      <alignment vertical="center" wrapText="1"/>
    </xf>
    <xf numFmtId="172" fontId="8" fillId="33" borderId="16" xfId="61" applyNumberFormat="1" applyFont="1" applyFill="1" applyBorder="1" applyAlignment="1">
      <alignment vertical="center" wrapText="1"/>
    </xf>
    <xf numFmtId="172" fontId="8" fillId="33" borderId="19" xfId="61" applyNumberFormat="1" applyFont="1" applyFill="1" applyBorder="1" applyAlignment="1">
      <alignment vertical="center" wrapText="1"/>
    </xf>
    <xf numFmtId="172" fontId="8" fillId="0" borderId="24" xfId="61" applyNumberFormat="1" applyFont="1" applyFill="1" applyBorder="1" applyAlignment="1">
      <alignment vertical="center" wrapText="1"/>
    </xf>
    <xf numFmtId="172" fontId="8" fillId="0" borderId="11" xfId="61" applyNumberFormat="1" applyFont="1" applyFill="1" applyBorder="1" applyAlignment="1">
      <alignment vertical="center" wrapText="1"/>
    </xf>
    <xf numFmtId="37" fontId="8" fillId="35" borderId="14" xfId="48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" fontId="62" fillId="0" borderId="0" xfId="0" applyNumberFormat="1" applyFont="1" applyAlignment="1">
      <alignment/>
    </xf>
    <xf numFmtId="172" fontId="3" fillId="0" borderId="0" xfId="61" applyNumberFormat="1" applyFont="1" applyFill="1" applyAlignment="1">
      <alignment/>
    </xf>
    <xf numFmtId="172" fontId="61" fillId="0" borderId="0" xfId="61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171" fontId="3" fillId="0" borderId="0" xfId="61" applyFont="1" applyFill="1" applyAlignment="1">
      <alignment/>
    </xf>
    <xf numFmtId="172" fontId="56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172" fontId="9" fillId="33" borderId="14" xfId="61" applyNumberFormat="1" applyFont="1" applyFill="1" applyBorder="1" applyAlignment="1">
      <alignment horizontal="center" vertical="center" wrapText="1"/>
    </xf>
    <xf numFmtId="172" fontId="9" fillId="33" borderId="12" xfId="61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172" fontId="8" fillId="33" borderId="11" xfId="61" applyNumberFormat="1" applyFont="1" applyFill="1" applyBorder="1" applyAlignment="1">
      <alignment horizontal="center" vertical="center" wrapText="1"/>
    </xf>
    <xf numFmtId="172" fontId="8" fillId="33" borderId="24" xfId="61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172" fontId="8" fillId="33" borderId="17" xfId="61" applyNumberFormat="1" applyFont="1" applyFill="1" applyBorder="1" applyAlignment="1">
      <alignment horizontal="center" vertical="center" wrapText="1"/>
    </xf>
    <xf numFmtId="172" fontId="8" fillId="33" borderId="23" xfId="61" applyNumberFormat="1" applyFont="1" applyFill="1" applyBorder="1" applyAlignment="1">
      <alignment horizontal="center" vertical="center" wrapText="1"/>
    </xf>
    <xf numFmtId="172" fontId="8" fillId="33" borderId="20" xfId="61" applyNumberFormat="1" applyFont="1" applyFill="1" applyBorder="1" applyAlignment="1">
      <alignment horizontal="center" vertical="center" wrapText="1"/>
    </xf>
    <xf numFmtId="172" fontId="8" fillId="33" borderId="18" xfId="61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172" fontId="9" fillId="33" borderId="22" xfId="61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left" wrapText="1"/>
    </xf>
    <xf numFmtId="172" fontId="8" fillId="33" borderId="11" xfId="61" applyNumberFormat="1" applyFont="1" applyFill="1" applyBorder="1" applyAlignment="1">
      <alignment horizontal="center" vertical="center"/>
    </xf>
    <xf numFmtId="172" fontId="8" fillId="33" borderId="0" xfId="61" applyNumberFormat="1" applyFont="1" applyFill="1" applyBorder="1" applyAlignment="1">
      <alignment horizontal="center" vertical="center"/>
    </xf>
    <xf numFmtId="172" fontId="8" fillId="33" borderId="24" xfId="61" applyNumberFormat="1" applyFont="1" applyFill="1" applyBorder="1" applyAlignment="1">
      <alignment horizontal="center" vertical="center"/>
    </xf>
    <xf numFmtId="172" fontId="8" fillId="33" borderId="0" xfId="61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172" fontId="8" fillId="0" borderId="11" xfId="61" applyNumberFormat="1" applyFont="1" applyFill="1" applyBorder="1" applyAlignment="1">
      <alignment horizontal="center" vertical="center" wrapText="1"/>
    </xf>
    <xf numFmtId="172" fontId="8" fillId="0" borderId="0" xfId="61" applyNumberFormat="1" applyFont="1" applyFill="1" applyBorder="1" applyAlignment="1">
      <alignment horizontal="center" vertical="center" wrapText="1"/>
    </xf>
    <xf numFmtId="37" fontId="9" fillId="34" borderId="23" xfId="0" applyNumberFormat="1" applyFont="1" applyFill="1" applyBorder="1" applyAlignment="1">
      <alignment horizontal="center" vertical="center"/>
    </xf>
    <xf numFmtId="37" fontId="9" fillId="34" borderId="24" xfId="0" applyNumberFormat="1" applyFont="1" applyFill="1" applyBorder="1" applyAlignment="1">
      <alignment horizontal="center" vertical="center"/>
    </xf>
    <xf numFmtId="37" fontId="9" fillId="34" borderId="18" xfId="0" applyNumberFormat="1" applyFont="1" applyFill="1" applyBorder="1" applyAlignment="1">
      <alignment horizontal="center" vertical="center"/>
    </xf>
    <xf numFmtId="172" fontId="8" fillId="0" borderId="11" xfId="61" applyNumberFormat="1" applyFont="1" applyFill="1" applyBorder="1" applyAlignment="1">
      <alignment horizontal="center" vertical="center"/>
    </xf>
    <xf numFmtId="172" fontId="8" fillId="0" borderId="0" xfId="61" applyNumberFormat="1" applyFont="1" applyFill="1" applyBorder="1" applyAlignment="1">
      <alignment horizontal="center" vertical="center"/>
    </xf>
    <xf numFmtId="172" fontId="8" fillId="0" borderId="24" xfId="61" applyNumberFormat="1" applyFont="1" applyFill="1" applyBorder="1" applyAlignment="1">
      <alignment horizontal="center" vertical="center"/>
    </xf>
    <xf numFmtId="43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49" fontId="8" fillId="33" borderId="0" xfId="0" applyNumberFormat="1" applyFont="1" applyFill="1" applyAlignment="1">
      <alignment horizontal="center" vertical="center"/>
    </xf>
    <xf numFmtId="43" fontId="8" fillId="33" borderId="0" xfId="0" applyNumberFormat="1" applyFont="1" applyFill="1" applyAlignment="1">
      <alignment horizontal="center" vertical="center"/>
    </xf>
    <xf numFmtId="0" fontId="8" fillId="33" borderId="15" xfId="0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center" vertical="center"/>
    </xf>
    <xf numFmtId="167" fontId="8" fillId="33" borderId="0" xfId="0" applyNumberFormat="1" applyFont="1" applyFill="1" applyBorder="1" applyAlignment="1">
      <alignment horizontal="right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172" fontId="8" fillId="33" borderId="14" xfId="61" applyNumberFormat="1" applyFont="1" applyFill="1" applyBorder="1" applyAlignment="1">
      <alignment horizontal="center" vertical="center"/>
    </xf>
    <xf numFmtId="172" fontId="8" fillId="33" borderId="12" xfId="61" applyNumberFormat="1" applyFont="1" applyFill="1" applyBorder="1" applyAlignment="1">
      <alignment horizontal="center" vertical="center"/>
    </xf>
    <xf numFmtId="172" fontId="9" fillId="33" borderId="14" xfId="61" applyNumberFormat="1" applyFont="1" applyFill="1" applyBorder="1" applyAlignment="1">
      <alignment horizontal="center" vertical="center"/>
    </xf>
    <xf numFmtId="172" fontId="9" fillId="33" borderId="12" xfId="61" applyNumberFormat="1" applyFont="1" applyFill="1" applyBorder="1" applyAlignment="1">
      <alignment horizontal="center" vertical="center"/>
    </xf>
    <xf numFmtId="172" fontId="9" fillId="33" borderId="22" xfId="61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37" fontId="12" fillId="34" borderId="23" xfId="0" applyNumberFormat="1" applyFont="1" applyFill="1" applyBorder="1" applyAlignment="1">
      <alignment horizontal="center" vertical="center" wrapText="1"/>
    </xf>
    <xf numFmtId="37" fontId="12" fillId="34" borderId="18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4" fontId="8" fillId="33" borderId="0" xfId="0" applyNumberFormat="1" applyFont="1" applyFill="1" applyAlignment="1">
      <alignment horizontal="center" vertical="center"/>
    </xf>
    <xf numFmtId="172" fontId="8" fillId="33" borderId="20" xfId="61" applyNumberFormat="1" applyFont="1" applyFill="1" applyBorder="1" applyAlignment="1">
      <alignment horizontal="center" vertical="center"/>
    </xf>
    <xf numFmtId="172" fontId="8" fillId="33" borderId="21" xfId="61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37" fontId="9" fillId="34" borderId="16" xfId="0" applyNumberFormat="1" applyFont="1" applyFill="1" applyBorder="1" applyAlignment="1">
      <alignment horizontal="center" vertical="center" wrapText="1"/>
    </xf>
    <xf numFmtId="37" fontId="9" fillId="34" borderId="10" xfId="0" applyNumberFormat="1" applyFont="1" applyFill="1" applyBorder="1" applyAlignment="1">
      <alignment horizontal="center" vertical="center" wrapText="1"/>
    </xf>
    <xf numFmtId="37" fontId="9" fillId="34" borderId="19" xfId="0" applyNumberFormat="1" applyFont="1" applyFill="1" applyBorder="1" applyAlignment="1">
      <alignment horizontal="center" vertical="center" wrapText="1"/>
    </xf>
    <xf numFmtId="172" fontId="8" fillId="33" borderId="17" xfId="61" applyNumberFormat="1" applyFont="1" applyFill="1" applyBorder="1" applyAlignment="1">
      <alignment horizontal="center" vertical="center"/>
    </xf>
    <xf numFmtId="172" fontId="8" fillId="33" borderId="15" xfId="61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center"/>
    </xf>
    <xf numFmtId="49" fontId="9" fillId="34" borderId="14" xfId="0" applyNumberFormat="1" applyFont="1" applyFill="1" applyBorder="1" applyAlignment="1">
      <alignment horizontal="center" wrapText="1"/>
    </xf>
    <xf numFmtId="49" fontId="9" fillId="34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49" fontId="9" fillId="34" borderId="22" xfId="0" applyNumberFormat="1" applyFont="1" applyFill="1" applyBorder="1" applyAlignment="1">
      <alignment horizontal="center" wrapText="1"/>
    </xf>
    <xf numFmtId="172" fontId="8" fillId="33" borderId="15" xfId="61" applyNumberFormat="1" applyFont="1" applyFill="1" applyBorder="1" applyAlignment="1">
      <alignment horizontal="center" vertical="center" wrapText="1"/>
    </xf>
    <xf numFmtId="172" fontId="8" fillId="33" borderId="21" xfId="6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63" fillId="0" borderId="0" xfId="0" applyNumberFormat="1" applyFont="1" applyFill="1" applyAlignment="1">
      <alignment horizontal="center" vertical="center" wrapText="1"/>
    </xf>
    <xf numFmtId="3" fontId="34" fillId="0" borderId="0" xfId="0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</xdr:row>
      <xdr:rowOff>19050</xdr:rowOff>
    </xdr:from>
    <xdr:to>
      <xdr:col>3</xdr:col>
      <xdr:colOff>114300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0002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93</xdr:row>
      <xdr:rowOff>38100</xdr:rowOff>
    </xdr:from>
    <xdr:to>
      <xdr:col>3</xdr:col>
      <xdr:colOff>152400</xdr:colOff>
      <xdr:row>95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6792575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8"/>
  <sheetViews>
    <sheetView showGridLines="0" tabSelected="1" zoomScale="80" zoomScaleNormal="80" zoomScalePageLayoutView="0" workbookViewId="0" topLeftCell="A166">
      <selection activeCell="A194" sqref="A194"/>
    </sheetView>
  </sheetViews>
  <sheetFormatPr defaultColWidth="9.140625" defaultRowHeight="15"/>
  <cols>
    <col min="1" max="1" width="67.00390625" style="8" bestFit="1" customWidth="1"/>
    <col min="2" max="3" width="16.57421875" style="8" customWidth="1"/>
    <col min="4" max="4" width="6.28125" style="8" customWidth="1"/>
    <col min="5" max="5" width="9.421875" style="8" customWidth="1"/>
    <col min="6" max="7" width="7.7109375" style="8" customWidth="1"/>
    <col min="8" max="8" width="15.28125" style="8" customWidth="1"/>
    <col min="9" max="9" width="15.28125" style="8" bestFit="1" customWidth="1"/>
    <col min="10" max="11" width="16.28125" style="8" customWidth="1"/>
    <col min="12" max="12" width="15.57421875" style="9" customWidth="1"/>
    <col min="13" max="13" width="16.8515625" style="9" bestFit="1" customWidth="1"/>
    <col min="14" max="14" width="16.7109375" style="9" bestFit="1" customWidth="1"/>
    <col min="15" max="15" width="18.00390625" style="9" customWidth="1"/>
    <col min="16" max="16" width="17.00390625" style="9" bestFit="1" customWidth="1"/>
    <col min="17" max="17" width="17.421875" style="9" customWidth="1"/>
    <col min="18" max="18" width="63.7109375" style="9" bestFit="1" customWidth="1"/>
    <col min="19" max="19" width="9.140625" style="9" customWidth="1"/>
    <col min="20" max="16384" width="9.140625" style="8" customWidth="1"/>
  </cols>
  <sheetData>
    <row r="1" ht="14.25">
      <c r="A1" s="112"/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164" t="s">
        <v>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2.75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2.75">
      <c r="A7" s="167" t="s">
        <v>13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2.75">
      <c r="A8" s="164" t="s">
        <v>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1" ht="12.75">
      <c r="A9" s="164" t="s">
        <v>129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</row>
    <row r="10" spans="1:11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8"/>
    </row>
    <row r="11" spans="1:11" ht="14.25">
      <c r="A11" s="27"/>
      <c r="B11" s="27"/>
      <c r="C11" s="27"/>
      <c r="D11" s="27"/>
      <c r="E11" s="27"/>
      <c r="F11" s="27"/>
      <c r="H11" s="37"/>
      <c r="I11" s="37"/>
      <c r="J11" s="37"/>
      <c r="K11" s="30" t="s">
        <v>136</v>
      </c>
    </row>
    <row r="12" spans="1:14" ht="18">
      <c r="A12" s="28" t="s">
        <v>16</v>
      </c>
      <c r="B12" s="28"/>
      <c r="C12" s="28"/>
      <c r="D12" s="28"/>
      <c r="E12" s="28"/>
      <c r="F12" s="30"/>
      <c r="G12" s="28"/>
      <c r="H12" s="28"/>
      <c r="I12" s="168">
        <v>1</v>
      </c>
      <c r="J12" s="168"/>
      <c r="K12" s="168"/>
      <c r="N12" s="92"/>
    </row>
    <row r="13" spans="1:11" ht="30" customHeight="1">
      <c r="A13" s="139" t="s">
        <v>18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2.75">
      <c r="A14" s="133" t="s">
        <v>81</v>
      </c>
      <c r="B14" s="95" t="s">
        <v>2</v>
      </c>
      <c r="C14" s="95" t="s">
        <v>2</v>
      </c>
      <c r="D14" s="162" t="s">
        <v>3</v>
      </c>
      <c r="E14" s="163"/>
      <c r="F14" s="163"/>
      <c r="G14" s="163"/>
      <c r="H14" s="163"/>
      <c r="I14" s="163"/>
      <c r="J14" s="163"/>
      <c r="K14" s="163"/>
    </row>
    <row r="15" spans="1:12" ht="12.75">
      <c r="A15" s="134"/>
      <c r="B15" s="91" t="s">
        <v>4</v>
      </c>
      <c r="C15" s="91" t="s">
        <v>5</v>
      </c>
      <c r="D15" s="121" t="s">
        <v>128</v>
      </c>
      <c r="E15" s="139"/>
      <c r="F15" s="139"/>
      <c r="G15" s="139"/>
      <c r="H15" s="122"/>
      <c r="I15" s="121" t="s">
        <v>127</v>
      </c>
      <c r="J15" s="139"/>
      <c r="K15" s="139"/>
      <c r="L15" s="15"/>
    </row>
    <row r="16" spans="1:11" ht="12.75">
      <c r="A16" s="31" t="s">
        <v>63</v>
      </c>
      <c r="B16" s="32">
        <f>B17+B26+B35+B39++B40</f>
        <v>0</v>
      </c>
      <c r="C16" s="32">
        <f>C17+C26+C35+C39+C40</f>
        <v>0</v>
      </c>
      <c r="D16" s="144">
        <f>D17+D26+D35+D39+D40</f>
        <v>475444434</v>
      </c>
      <c r="E16" s="145" t="e">
        <f>E17+E26+E35+E39+#REF!+E40</f>
        <v>#REF!</v>
      </c>
      <c r="F16" s="145" t="e">
        <f>F17+F26+F35+F39+#REF!+F40</f>
        <v>#REF!</v>
      </c>
      <c r="G16" s="145" t="e">
        <f>G17+G26+G35+G39+#REF!+G40</f>
        <v>#REF!</v>
      </c>
      <c r="H16" s="146" t="e">
        <f>H17+H26+H35+H39+#REF!+H40</f>
        <v>#REF!</v>
      </c>
      <c r="I16" s="131">
        <f>I17+I26+I35+I39+I40</f>
        <v>457579123</v>
      </c>
      <c r="J16" s="147" t="e">
        <f>J17+J26+J35+J39+#REF!+J40</f>
        <v>#REF!</v>
      </c>
      <c r="K16" s="147" t="e">
        <f>K17+K26+K35+K39+#REF!+K40</f>
        <v>#REF!</v>
      </c>
    </row>
    <row r="17" spans="1:11" ht="12.75">
      <c r="A17" s="33" t="s">
        <v>64</v>
      </c>
      <c r="B17" s="32">
        <f>B18+B22</f>
        <v>0</v>
      </c>
      <c r="C17" s="34">
        <f>C18+C22</f>
        <v>0</v>
      </c>
      <c r="D17" s="144">
        <f>D18+D22</f>
        <v>126075395</v>
      </c>
      <c r="E17" s="145"/>
      <c r="F17" s="145"/>
      <c r="G17" s="145"/>
      <c r="H17" s="146"/>
      <c r="I17" s="131">
        <f>I18+I22</f>
        <v>124829401</v>
      </c>
      <c r="J17" s="147"/>
      <c r="K17" s="147"/>
    </row>
    <row r="18" spans="1:12" ht="12.75">
      <c r="A18" s="35" t="s">
        <v>65</v>
      </c>
      <c r="B18" s="32">
        <f>B19+B20+B21</f>
        <v>0</v>
      </c>
      <c r="C18" s="34">
        <f>C19+C20+C21</f>
        <v>0</v>
      </c>
      <c r="D18" s="144">
        <f>D19+D20+D21</f>
        <v>126075395</v>
      </c>
      <c r="E18" s="145"/>
      <c r="F18" s="145"/>
      <c r="G18" s="145"/>
      <c r="H18" s="146"/>
      <c r="I18" s="131">
        <f>I19+I20+I21</f>
        <v>124829401</v>
      </c>
      <c r="J18" s="147"/>
      <c r="K18" s="147"/>
      <c r="L18" s="13"/>
    </row>
    <row r="19" spans="1:11" ht="12.75">
      <c r="A19" s="36" t="s">
        <v>66</v>
      </c>
      <c r="B19" s="32">
        <v>0</v>
      </c>
      <c r="C19" s="34">
        <v>0</v>
      </c>
      <c r="D19" s="144">
        <f>126075395</f>
        <v>126075395</v>
      </c>
      <c r="E19" s="145"/>
      <c r="F19" s="145"/>
      <c r="G19" s="145"/>
      <c r="H19" s="146"/>
      <c r="I19" s="131">
        <f>124829401</f>
        <v>124829401</v>
      </c>
      <c r="J19" s="147"/>
      <c r="K19" s="147"/>
    </row>
    <row r="20" spans="1:13" ht="12.75">
      <c r="A20" s="36" t="s">
        <v>67</v>
      </c>
      <c r="B20" s="32">
        <v>0</v>
      </c>
      <c r="C20" s="34">
        <v>0</v>
      </c>
      <c r="D20" s="144">
        <v>0</v>
      </c>
      <c r="E20" s="145"/>
      <c r="F20" s="145"/>
      <c r="G20" s="145"/>
      <c r="H20" s="146"/>
      <c r="I20" s="131">
        <v>0</v>
      </c>
      <c r="J20" s="147"/>
      <c r="K20" s="147"/>
      <c r="M20" s="16"/>
    </row>
    <row r="21" spans="1:11" ht="12.75">
      <c r="A21" s="36" t="s">
        <v>68</v>
      </c>
      <c r="B21" s="32">
        <v>0</v>
      </c>
      <c r="C21" s="34">
        <v>0</v>
      </c>
      <c r="D21" s="144">
        <v>0</v>
      </c>
      <c r="E21" s="145"/>
      <c r="F21" s="145"/>
      <c r="G21" s="145"/>
      <c r="H21" s="146"/>
      <c r="I21" s="131">
        <v>0</v>
      </c>
      <c r="J21" s="147"/>
      <c r="K21" s="147"/>
    </row>
    <row r="22" spans="1:11" ht="12.75">
      <c r="A22" s="35" t="s">
        <v>69</v>
      </c>
      <c r="B22" s="32">
        <f>B23+B24+B25</f>
        <v>0</v>
      </c>
      <c r="C22" s="34">
        <f>C23+C24+C25</f>
        <v>0</v>
      </c>
      <c r="D22" s="144">
        <f>D23+D24+D25</f>
        <v>0</v>
      </c>
      <c r="E22" s="145"/>
      <c r="F22" s="145"/>
      <c r="G22" s="145"/>
      <c r="H22" s="146"/>
      <c r="I22" s="131">
        <f>I23+I24+I25</f>
        <v>0</v>
      </c>
      <c r="J22" s="147"/>
      <c r="K22" s="147"/>
    </row>
    <row r="23" spans="1:11" ht="12.75">
      <c r="A23" s="36" t="s">
        <v>66</v>
      </c>
      <c r="B23" s="32">
        <v>0</v>
      </c>
      <c r="C23" s="34">
        <v>0</v>
      </c>
      <c r="D23" s="144">
        <v>0</v>
      </c>
      <c r="E23" s="145"/>
      <c r="F23" s="145"/>
      <c r="G23" s="145"/>
      <c r="H23" s="146"/>
      <c r="I23" s="131">
        <v>0</v>
      </c>
      <c r="J23" s="147"/>
      <c r="K23" s="147"/>
    </row>
    <row r="24" spans="1:11" ht="12.75">
      <c r="A24" s="36" t="s">
        <v>67</v>
      </c>
      <c r="B24" s="32">
        <v>0</v>
      </c>
      <c r="C24" s="34">
        <v>0</v>
      </c>
      <c r="D24" s="144">
        <v>0</v>
      </c>
      <c r="E24" s="145"/>
      <c r="F24" s="145"/>
      <c r="G24" s="145"/>
      <c r="H24" s="146"/>
      <c r="I24" s="131">
        <v>0</v>
      </c>
      <c r="J24" s="147"/>
      <c r="K24" s="147"/>
    </row>
    <row r="25" spans="1:11" ht="12.75">
      <c r="A25" s="36" t="s">
        <v>68</v>
      </c>
      <c r="B25" s="32">
        <v>0</v>
      </c>
      <c r="C25" s="34">
        <v>0</v>
      </c>
      <c r="D25" s="144">
        <v>0</v>
      </c>
      <c r="E25" s="145"/>
      <c r="F25" s="145"/>
      <c r="G25" s="145"/>
      <c r="H25" s="146"/>
      <c r="I25" s="131">
        <v>0</v>
      </c>
      <c r="J25" s="147"/>
      <c r="K25" s="147"/>
    </row>
    <row r="26" spans="1:11" ht="12.75">
      <c r="A26" s="37" t="s">
        <v>70</v>
      </c>
      <c r="B26" s="32">
        <f>B27+B31</f>
        <v>0</v>
      </c>
      <c r="C26" s="34">
        <f>C27+C31</f>
        <v>0</v>
      </c>
      <c r="D26" s="144">
        <f>D27+D31</f>
        <v>177009131</v>
      </c>
      <c r="E26" s="145"/>
      <c r="F26" s="145"/>
      <c r="G26" s="145"/>
      <c r="H26" s="146"/>
      <c r="I26" s="131">
        <f>I27+I31</f>
        <v>248349167</v>
      </c>
      <c r="J26" s="147"/>
      <c r="K26" s="147"/>
    </row>
    <row r="27" spans="1:11" ht="12.75">
      <c r="A27" s="35" t="s">
        <v>65</v>
      </c>
      <c r="B27" s="32">
        <f>B28+B29+B30</f>
        <v>0</v>
      </c>
      <c r="C27" s="34">
        <f>C28+C29+C30</f>
        <v>0</v>
      </c>
      <c r="D27" s="144">
        <f>D28+D29+D30</f>
        <v>177009131</v>
      </c>
      <c r="E27" s="145"/>
      <c r="F27" s="145"/>
      <c r="G27" s="145"/>
      <c r="H27" s="146"/>
      <c r="I27" s="131">
        <f>I28+I29+I30</f>
        <v>248349167</v>
      </c>
      <c r="J27" s="147"/>
      <c r="K27" s="147"/>
    </row>
    <row r="28" spans="1:11" ht="12.75">
      <c r="A28" s="36" t="s">
        <v>66</v>
      </c>
      <c r="B28" s="32">
        <v>0</v>
      </c>
      <c r="C28" s="34">
        <v>0</v>
      </c>
      <c r="D28" s="144">
        <f>177009131</f>
        <v>177009131</v>
      </c>
      <c r="E28" s="145"/>
      <c r="F28" s="145"/>
      <c r="G28" s="145"/>
      <c r="H28" s="146"/>
      <c r="I28" s="131">
        <f>248349167</f>
        <v>248349167</v>
      </c>
      <c r="J28" s="147"/>
      <c r="K28" s="147"/>
    </row>
    <row r="29" spans="1:11" ht="12.75">
      <c r="A29" s="36" t="s">
        <v>67</v>
      </c>
      <c r="B29" s="32">
        <v>0</v>
      </c>
      <c r="C29" s="34">
        <v>0</v>
      </c>
      <c r="D29" s="144">
        <v>0</v>
      </c>
      <c r="E29" s="145"/>
      <c r="F29" s="145"/>
      <c r="G29" s="145"/>
      <c r="H29" s="146"/>
      <c r="I29" s="131">
        <v>0</v>
      </c>
      <c r="J29" s="147"/>
      <c r="K29" s="147"/>
    </row>
    <row r="30" spans="1:14" ht="12.75">
      <c r="A30" s="36" t="s">
        <v>68</v>
      </c>
      <c r="B30" s="32">
        <v>0</v>
      </c>
      <c r="C30" s="34">
        <v>0</v>
      </c>
      <c r="D30" s="144">
        <v>0</v>
      </c>
      <c r="E30" s="145"/>
      <c r="F30" s="145"/>
      <c r="G30" s="145"/>
      <c r="H30" s="146"/>
      <c r="I30" s="131">
        <v>0</v>
      </c>
      <c r="J30" s="147"/>
      <c r="K30" s="147"/>
      <c r="L30" s="217"/>
      <c r="M30" s="217"/>
      <c r="N30" s="26"/>
    </row>
    <row r="31" spans="1:14" ht="12.75">
      <c r="A31" s="35" t="s">
        <v>69</v>
      </c>
      <c r="B31" s="32">
        <f>B32+B33+B34</f>
        <v>0</v>
      </c>
      <c r="C31" s="34">
        <f>C32+C33+C34</f>
        <v>0</v>
      </c>
      <c r="D31" s="144">
        <f>D32+D33+D34</f>
        <v>0</v>
      </c>
      <c r="E31" s="145"/>
      <c r="F31" s="145"/>
      <c r="G31" s="145"/>
      <c r="H31" s="146"/>
      <c r="I31" s="131">
        <f>I32+I33+I34</f>
        <v>0</v>
      </c>
      <c r="J31" s="147"/>
      <c r="K31" s="147"/>
      <c r="L31" s="217"/>
      <c r="M31" s="217"/>
      <c r="N31" s="26"/>
    </row>
    <row r="32" spans="1:14" ht="12.75">
      <c r="A32" s="36" t="s">
        <v>66</v>
      </c>
      <c r="B32" s="32">
        <v>0</v>
      </c>
      <c r="C32" s="34">
        <v>0</v>
      </c>
      <c r="D32" s="144">
        <v>0</v>
      </c>
      <c r="E32" s="145"/>
      <c r="F32" s="145"/>
      <c r="G32" s="145"/>
      <c r="H32" s="146"/>
      <c r="I32" s="131">
        <v>0</v>
      </c>
      <c r="J32" s="147"/>
      <c r="K32" s="147"/>
      <c r="L32" s="217"/>
      <c r="M32" s="217"/>
      <c r="N32" s="26"/>
    </row>
    <row r="33" spans="1:14" ht="12.75">
      <c r="A33" s="36" t="s">
        <v>67</v>
      </c>
      <c r="B33" s="32">
        <v>0</v>
      </c>
      <c r="C33" s="34">
        <v>0</v>
      </c>
      <c r="D33" s="144">
        <v>0</v>
      </c>
      <c r="E33" s="145"/>
      <c r="F33" s="145"/>
      <c r="G33" s="145"/>
      <c r="H33" s="146"/>
      <c r="I33" s="131">
        <v>0</v>
      </c>
      <c r="J33" s="147"/>
      <c r="K33" s="147"/>
      <c r="L33" s="217"/>
      <c r="M33" s="217"/>
      <c r="N33" s="26"/>
    </row>
    <row r="34" spans="1:13" ht="12.75">
      <c r="A34" s="36" t="s">
        <v>68</v>
      </c>
      <c r="B34" s="32">
        <v>0</v>
      </c>
      <c r="C34" s="34">
        <v>0</v>
      </c>
      <c r="D34" s="144">
        <v>0</v>
      </c>
      <c r="E34" s="145"/>
      <c r="F34" s="145"/>
      <c r="G34" s="145"/>
      <c r="H34" s="146"/>
      <c r="I34" s="131">
        <v>0</v>
      </c>
      <c r="J34" s="147"/>
      <c r="K34" s="147"/>
      <c r="L34" s="217"/>
      <c r="M34" s="217"/>
    </row>
    <row r="35" spans="1:13" ht="12.75">
      <c r="A35" s="33" t="s">
        <v>71</v>
      </c>
      <c r="B35" s="32">
        <f>B36+B37+B38</f>
        <v>0</v>
      </c>
      <c r="C35" s="34">
        <f>C36+C37+C38</f>
        <v>0</v>
      </c>
      <c r="D35" s="144">
        <f>D36+D37+D38</f>
        <v>172292715</v>
      </c>
      <c r="E35" s="145"/>
      <c r="F35" s="145"/>
      <c r="G35" s="145"/>
      <c r="H35" s="146"/>
      <c r="I35" s="131">
        <f>I36+I37+I38</f>
        <v>83930253</v>
      </c>
      <c r="J35" s="147"/>
      <c r="K35" s="147"/>
      <c r="L35" s="217"/>
      <c r="M35" s="217"/>
    </row>
    <row r="36" spans="1:11" ht="12.75">
      <c r="A36" s="35" t="s">
        <v>72</v>
      </c>
      <c r="B36" s="32">
        <v>0</v>
      </c>
      <c r="C36" s="34">
        <v>0</v>
      </c>
      <c r="D36" s="144">
        <v>0</v>
      </c>
      <c r="E36" s="145"/>
      <c r="F36" s="145"/>
      <c r="G36" s="145"/>
      <c r="H36" s="146"/>
      <c r="I36" s="131">
        <v>0</v>
      </c>
      <c r="J36" s="147"/>
      <c r="K36" s="147"/>
    </row>
    <row r="37" spans="1:11" ht="12.75">
      <c r="A37" s="35" t="s">
        <v>73</v>
      </c>
      <c r="B37" s="32">
        <v>0</v>
      </c>
      <c r="C37" s="34">
        <v>0</v>
      </c>
      <c r="D37" s="144">
        <f>172292715</f>
        <v>172292715</v>
      </c>
      <c r="E37" s="145"/>
      <c r="F37" s="145"/>
      <c r="G37" s="145"/>
      <c r="H37" s="146"/>
      <c r="I37" s="131">
        <f>83930253</f>
        <v>83930253</v>
      </c>
      <c r="J37" s="147"/>
      <c r="K37" s="147"/>
    </row>
    <row r="38" spans="1:11" ht="12.75">
      <c r="A38" s="35" t="s">
        <v>74</v>
      </c>
      <c r="B38" s="32">
        <v>0</v>
      </c>
      <c r="C38" s="34">
        <v>0</v>
      </c>
      <c r="D38" s="144">
        <v>0</v>
      </c>
      <c r="E38" s="145"/>
      <c r="F38" s="145"/>
      <c r="G38" s="145"/>
      <c r="H38" s="146"/>
      <c r="I38" s="131">
        <v>0</v>
      </c>
      <c r="J38" s="147"/>
      <c r="K38" s="147"/>
    </row>
    <row r="39" spans="1:11" ht="12.75">
      <c r="A39" s="33" t="s">
        <v>19</v>
      </c>
      <c r="B39" s="32">
        <v>0</v>
      </c>
      <c r="C39" s="34">
        <v>0</v>
      </c>
      <c r="D39" s="144">
        <v>0</v>
      </c>
      <c r="E39" s="145"/>
      <c r="F39" s="145"/>
      <c r="G39" s="145"/>
      <c r="H39" s="146"/>
      <c r="I39" s="131">
        <v>0</v>
      </c>
      <c r="J39" s="147"/>
      <c r="K39" s="147"/>
    </row>
    <row r="40" spans="1:11" ht="12.75">
      <c r="A40" s="33" t="s">
        <v>76</v>
      </c>
      <c r="B40" s="32">
        <f>SUM(B41:B43)</f>
        <v>0</v>
      </c>
      <c r="C40" s="34">
        <f>SUM(C41:C43)</f>
        <v>0</v>
      </c>
      <c r="D40" s="144">
        <f>D41+D42+D43</f>
        <v>67193</v>
      </c>
      <c r="E40" s="145"/>
      <c r="F40" s="145"/>
      <c r="G40" s="145"/>
      <c r="H40" s="146"/>
      <c r="I40" s="131">
        <f>I41+I42+I43</f>
        <v>470302</v>
      </c>
      <c r="J40" s="147"/>
      <c r="K40" s="147"/>
    </row>
    <row r="41" spans="1:11" ht="12.75">
      <c r="A41" s="35" t="s">
        <v>77</v>
      </c>
      <c r="B41" s="32">
        <v>0</v>
      </c>
      <c r="C41" s="34">
        <v>0</v>
      </c>
      <c r="D41" s="144">
        <v>0</v>
      </c>
      <c r="E41" s="145"/>
      <c r="F41" s="145"/>
      <c r="G41" s="145"/>
      <c r="H41" s="146"/>
      <c r="I41" s="131">
        <v>0</v>
      </c>
      <c r="J41" s="147"/>
      <c r="K41" s="147"/>
    </row>
    <row r="42" spans="1:11" ht="15.75">
      <c r="A42" s="93" t="s">
        <v>122</v>
      </c>
      <c r="B42" s="32">
        <v>0</v>
      </c>
      <c r="C42" s="34">
        <v>0</v>
      </c>
      <c r="D42" s="144">
        <v>0</v>
      </c>
      <c r="E42" s="145"/>
      <c r="F42" s="145"/>
      <c r="G42" s="145"/>
      <c r="H42" s="146"/>
      <c r="I42" s="131">
        <v>0</v>
      </c>
      <c r="J42" s="147"/>
      <c r="K42" s="147"/>
    </row>
    <row r="43" spans="1:12" ht="12.75">
      <c r="A43" s="35" t="s">
        <v>78</v>
      </c>
      <c r="B43" s="32">
        <v>0</v>
      </c>
      <c r="C43" s="34">
        <v>0</v>
      </c>
      <c r="D43" s="144">
        <f>67193</f>
        <v>67193</v>
      </c>
      <c r="E43" s="145"/>
      <c r="F43" s="145"/>
      <c r="G43" s="145"/>
      <c r="H43" s="146"/>
      <c r="I43" s="131">
        <f>470302</f>
        <v>470302</v>
      </c>
      <c r="J43" s="147"/>
      <c r="K43" s="147"/>
      <c r="L43" s="16"/>
    </row>
    <row r="44" spans="1:11" ht="12.75">
      <c r="A44" s="37" t="s">
        <v>79</v>
      </c>
      <c r="B44" s="32">
        <f>B45+B46+B47</f>
        <v>0</v>
      </c>
      <c r="C44" s="34">
        <f>C45+C46+C47</f>
        <v>0</v>
      </c>
      <c r="D44" s="144">
        <f>D45+D46+D47</f>
        <v>0</v>
      </c>
      <c r="E44" s="145"/>
      <c r="F44" s="145"/>
      <c r="G44" s="145"/>
      <c r="H44" s="146"/>
      <c r="I44" s="131">
        <f>I45+I46+I47</f>
        <v>0</v>
      </c>
      <c r="J44" s="147"/>
      <c r="K44" s="147"/>
    </row>
    <row r="45" spans="1:13" ht="12.75">
      <c r="A45" s="33" t="s">
        <v>20</v>
      </c>
      <c r="B45" s="32">
        <v>0</v>
      </c>
      <c r="C45" s="34">
        <v>0</v>
      </c>
      <c r="D45" s="144">
        <v>0</v>
      </c>
      <c r="E45" s="145"/>
      <c r="F45" s="145"/>
      <c r="G45" s="145"/>
      <c r="H45" s="146"/>
      <c r="I45" s="131">
        <v>0</v>
      </c>
      <c r="J45" s="147"/>
      <c r="K45" s="147"/>
      <c r="L45" s="22"/>
      <c r="M45" s="22"/>
    </row>
    <row r="46" spans="1:13" ht="12.75">
      <c r="A46" s="33" t="s">
        <v>21</v>
      </c>
      <c r="B46" s="32">
        <v>0</v>
      </c>
      <c r="C46" s="34">
        <v>0</v>
      </c>
      <c r="D46" s="144">
        <v>0</v>
      </c>
      <c r="E46" s="145"/>
      <c r="F46" s="145"/>
      <c r="G46" s="145"/>
      <c r="H46" s="146"/>
      <c r="I46" s="131">
        <v>0</v>
      </c>
      <c r="J46" s="147"/>
      <c r="K46" s="147"/>
      <c r="L46" s="22"/>
      <c r="M46" s="22"/>
    </row>
    <row r="47" spans="1:13" ht="12.75">
      <c r="A47" s="33" t="s">
        <v>80</v>
      </c>
      <c r="B47" s="32">
        <v>0</v>
      </c>
      <c r="C47" s="34">
        <v>0</v>
      </c>
      <c r="D47" s="144">
        <v>0</v>
      </c>
      <c r="E47" s="145"/>
      <c r="F47" s="145"/>
      <c r="G47" s="145"/>
      <c r="H47" s="146"/>
      <c r="I47" s="131">
        <v>0</v>
      </c>
      <c r="J47" s="147"/>
      <c r="K47" s="147"/>
      <c r="L47" s="22"/>
      <c r="M47" s="22"/>
    </row>
    <row r="48" spans="1:19" ht="12.75">
      <c r="A48" s="38" t="s">
        <v>108</v>
      </c>
      <c r="B48" s="39">
        <f>B16+B44-B42</f>
        <v>0</v>
      </c>
      <c r="C48" s="40">
        <f>C16+C44-C42</f>
        <v>0</v>
      </c>
      <c r="D48" s="181">
        <f>D16+D44-D42</f>
        <v>475444434</v>
      </c>
      <c r="E48" s="182" t="e">
        <f>E16+E44</f>
        <v>#REF!</v>
      </c>
      <c r="F48" s="182" t="e">
        <f>F16+F44</f>
        <v>#REF!</v>
      </c>
      <c r="G48" s="182" t="e">
        <f>G16+G44</f>
        <v>#REF!</v>
      </c>
      <c r="H48" s="183" t="e">
        <f>H16+H44</f>
        <v>#REF!</v>
      </c>
      <c r="I48" s="120">
        <f>I16+I44-I42</f>
        <v>457579123</v>
      </c>
      <c r="J48" s="120" t="e">
        <f>J16+J44</f>
        <v>#REF!</v>
      </c>
      <c r="K48" s="120" t="e">
        <f>K16+K44</f>
        <v>#REF!</v>
      </c>
      <c r="L48" s="114"/>
      <c r="M48" s="113"/>
      <c r="N48" s="17"/>
      <c r="O48" s="17"/>
      <c r="P48" s="17"/>
      <c r="Q48" s="17"/>
      <c r="S48" s="17"/>
    </row>
    <row r="49" spans="1:13" ht="12.75">
      <c r="A49" s="41"/>
      <c r="B49" s="42"/>
      <c r="C49" s="42"/>
      <c r="D49" s="42"/>
      <c r="E49" s="42"/>
      <c r="F49" s="42"/>
      <c r="G49" s="42"/>
      <c r="H49" s="89"/>
      <c r="I49" s="43"/>
      <c r="J49" s="43"/>
      <c r="K49" s="28"/>
      <c r="L49" s="22"/>
      <c r="M49" s="22"/>
    </row>
    <row r="50" spans="1:14" ht="33.75" customHeight="1">
      <c r="A50" s="154" t="s">
        <v>82</v>
      </c>
      <c r="B50" s="123" t="s">
        <v>23</v>
      </c>
      <c r="C50" s="201" t="s">
        <v>24</v>
      </c>
      <c r="D50" s="121" t="s">
        <v>57</v>
      </c>
      <c r="E50" s="139"/>
      <c r="F50" s="139"/>
      <c r="G50" s="139"/>
      <c r="H50" s="121" t="s">
        <v>22</v>
      </c>
      <c r="I50" s="122"/>
      <c r="J50" s="127" t="s">
        <v>130</v>
      </c>
      <c r="K50" s="128"/>
      <c r="L50" s="117"/>
      <c r="M50" s="116"/>
      <c r="N50" s="18"/>
    </row>
    <row r="51" spans="1:14" ht="25.5" customHeight="1">
      <c r="A51" s="155"/>
      <c r="B51" s="200"/>
      <c r="C51" s="202"/>
      <c r="D51" s="125" t="str">
        <f>D15</f>
        <v>Jan a Dez 2019</v>
      </c>
      <c r="E51" s="133"/>
      <c r="F51" s="125" t="str">
        <f>I15</f>
        <v>Jan a Dez 2018</v>
      </c>
      <c r="G51" s="133"/>
      <c r="H51" s="123" t="str">
        <f>D51</f>
        <v>Jan a Dez 2019</v>
      </c>
      <c r="I51" s="125" t="str">
        <f>F51</f>
        <v>Jan a Dez 2018</v>
      </c>
      <c r="J51" s="129" t="s">
        <v>131</v>
      </c>
      <c r="K51" s="125" t="s">
        <v>132</v>
      </c>
      <c r="L51" s="118"/>
      <c r="M51" s="118"/>
      <c r="N51" s="11"/>
    </row>
    <row r="52" spans="1:13" ht="11.25">
      <c r="A52" s="156"/>
      <c r="B52" s="124"/>
      <c r="C52" s="203"/>
      <c r="D52" s="126"/>
      <c r="E52" s="134"/>
      <c r="F52" s="126"/>
      <c r="G52" s="134"/>
      <c r="H52" s="124"/>
      <c r="I52" s="126"/>
      <c r="J52" s="130"/>
      <c r="K52" s="126"/>
      <c r="L52" s="1"/>
      <c r="M52" s="19"/>
    </row>
    <row r="53" spans="1:14" ht="15" customHeight="1">
      <c r="A53" s="44" t="s">
        <v>109</v>
      </c>
      <c r="B53" s="32">
        <f>B54+B55</f>
        <v>0</v>
      </c>
      <c r="C53" s="32">
        <f>D53</f>
        <v>4599164</v>
      </c>
      <c r="D53" s="135">
        <f>D54+D55</f>
        <v>4599164</v>
      </c>
      <c r="E53" s="136"/>
      <c r="F53" s="135">
        <f>F54+F55</f>
        <v>14762310</v>
      </c>
      <c r="G53" s="136"/>
      <c r="H53" s="100">
        <f>H54+H55</f>
        <v>2646044</v>
      </c>
      <c r="I53" s="105">
        <f>I54+I55</f>
        <v>13226846</v>
      </c>
      <c r="J53" s="100">
        <f>J54+J55</f>
        <v>1953120</v>
      </c>
      <c r="K53" s="34">
        <f>K54+K55</f>
        <v>1535464</v>
      </c>
      <c r="L53" s="17"/>
      <c r="M53" s="17"/>
      <c r="N53" s="17"/>
    </row>
    <row r="54" spans="1:14" ht="12.75">
      <c r="A54" s="45" t="s">
        <v>83</v>
      </c>
      <c r="B54" s="32">
        <v>0</v>
      </c>
      <c r="C54" s="32">
        <f aca="true" t="shared" si="0" ref="C54:C68">D54</f>
        <v>4599164</v>
      </c>
      <c r="D54" s="131">
        <f>4599164</f>
        <v>4599164</v>
      </c>
      <c r="E54" s="132"/>
      <c r="F54" s="131">
        <f>14762310</f>
        <v>14762310</v>
      </c>
      <c r="G54" s="132"/>
      <c r="H54" s="101">
        <v>2646044</v>
      </c>
      <c r="I54" s="72">
        <v>13226846</v>
      </c>
      <c r="J54" s="101">
        <f>D54-H54</f>
        <v>1953120</v>
      </c>
      <c r="K54" s="46">
        <f>F54-I54</f>
        <v>1535464</v>
      </c>
      <c r="L54" s="17"/>
      <c r="M54" s="17"/>
      <c r="N54" s="17"/>
    </row>
    <row r="55" spans="1:13" ht="15" customHeight="1">
      <c r="A55" s="45" t="s">
        <v>11</v>
      </c>
      <c r="B55" s="32">
        <v>0</v>
      </c>
      <c r="C55" s="32">
        <f t="shared" si="0"/>
        <v>0</v>
      </c>
      <c r="D55" s="131">
        <v>0</v>
      </c>
      <c r="E55" s="132"/>
      <c r="F55" s="131">
        <v>0</v>
      </c>
      <c r="G55" s="132"/>
      <c r="H55" s="101">
        <v>0</v>
      </c>
      <c r="I55" s="72">
        <v>0</v>
      </c>
      <c r="J55" s="101">
        <f>D55-H55</f>
        <v>0</v>
      </c>
      <c r="K55" s="46">
        <f>F55-I55</f>
        <v>0</v>
      </c>
      <c r="L55" s="17"/>
      <c r="M55" s="17"/>
    </row>
    <row r="56" spans="1:13" ht="15" customHeight="1">
      <c r="A56" s="45" t="s">
        <v>110</v>
      </c>
      <c r="B56" s="32">
        <f>B57+B61+B65</f>
        <v>0</v>
      </c>
      <c r="C56" s="32">
        <f t="shared" si="0"/>
        <v>2142367</v>
      </c>
      <c r="D56" s="131">
        <f>D57+D61+D65</f>
        <v>2142367</v>
      </c>
      <c r="E56" s="132"/>
      <c r="F56" s="131">
        <f>F57+F61+F65</f>
        <v>1563170</v>
      </c>
      <c r="G56" s="132"/>
      <c r="H56" s="101">
        <f>H57+H61+H65</f>
        <v>2142367</v>
      </c>
      <c r="I56" s="72">
        <f>I57+I61+I65</f>
        <v>1563170</v>
      </c>
      <c r="J56" s="101">
        <f>J57+J61+J65</f>
        <v>0</v>
      </c>
      <c r="K56" s="46">
        <f>K57+K61+K65</f>
        <v>0</v>
      </c>
      <c r="L56" s="17"/>
      <c r="M56" s="17"/>
    </row>
    <row r="57" spans="1:13" ht="15" customHeight="1">
      <c r="A57" s="47" t="s">
        <v>84</v>
      </c>
      <c r="B57" s="32">
        <f>B58+B59+B60</f>
        <v>0</v>
      </c>
      <c r="C57" s="32">
        <f t="shared" si="0"/>
        <v>1934479</v>
      </c>
      <c r="D57" s="131">
        <f>SUM(D58:E60)</f>
        <v>1934479</v>
      </c>
      <c r="E57" s="132"/>
      <c r="F57" s="131">
        <f>SUM(F58:G60)</f>
        <v>1563170</v>
      </c>
      <c r="G57" s="132"/>
      <c r="H57" s="101">
        <f>SUM(H58:H60)</f>
        <v>1934479</v>
      </c>
      <c r="I57" s="72">
        <f>SUM(I58:I60)</f>
        <v>1563170</v>
      </c>
      <c r="J57" s="101">
        <f>J58+J59+J60</f>
        <v>0</v>
      </c>
      <c r="K57" s="46">
        <f>K58+K59+K60</f>
        <v>0</v>
      </c>
      <c r="L57" s="17"/>
      <c r="M57" s="17"/>
    </row>
    <row r="58" spans="1:13" ht="15" customHeight="1">
      <c r="A58" s="45" t="s">
        <v>85</v>
      </c>
      <c r="B58" s="32">
        <v>0</v>
      </c>
      <c r="C58" s="32">
        <f t="shared" si="0"/>
        <v>0</v>
      </c>
      <c r="D58" s="131">
        <v>0</v>
      </c>
      <c r="E58" s="132"/>
      <c r="F58" s="131">
        <v>0</v>
      </c>
      <c r="G58" s="132"/>
      <c r="H58" s="101">
        <v>0</v>
      </c>
      <c r="I58" s="72">
        <v>0</v>
      </c>
      <c r="J58" s="101">
        <f>D58-H58</f>
        <v>0</v>
      </c>
      <c r="K58" s="46">
        <f>F58-I58</f>
        <v>0</v>
      </c>
      <c r="L58" s="17"/>
      <c r="M58" s="17"/>
    </row>
    <row r="59" spans="1:13" ht="12.75">
      <c r="A59" s="45" t="s">
        <v>86</v>
      </c>
      <c r="B59" s="32">
        <v>0</v>
      </c>
      <c r="C59" s="32">
        <f t="shared" si="0"/>
        <v>1934479</v>
      </c>
      <c r="D59" s="131">
        <f>1934479</f>
        <v>1934479</v>
      </c>
      <c r="E59" s="132"/>
      <c r="F59" s="131">
        <f>1563170</f>
        <v>1563170</v>
      </c>
      <c r="G59" s="132"/>
      <c r="H59" s="101">
        <v>1934479</v>
      </c>
      <c r="I59" s="72">
        <v>1563170</v>
      </c>
      <c r="J59" s="101">
        <f>D59-H59</f>
        <v>0</v>
      </c>
      <c r="K59" s="46">
        <f>F59-I59</f>
        <v>0</v>
      </c>
      <c r="L59" s="17"/>
      <c r="M59" s="17"/>
    </row>
    <row r="60" spans="1:13" ht="15" customHeight="1">
      <c r="A60" s="45" t="s">
        <v>87</v>
      </c>
      <c r="B60" s="32">
        <v>0</v>
      </c>
      <c r="C60" s="32">
        <f t="shared" si="0"/>
        <v>0</v>
      </c>
      <c r="D60" s="131">
        <v>0</v>
      </c>
      <c r="E60" s="132"/>
      <c r="F60" s="131">
        <v>0</v>
      </c>
      <c r="G60" s="132"/>
      <c r="H60" s="101">
        <v>0</v>
      </c>
      <c r="I60" s="72">
        <v>0</v>
      </c>
      <c r="J60" s="101">
        <f>D60-H60</f>
        <v>0</v>
      </c>
      <c r="K60" s="46">
        <f>F60-I60</f>
        <v>0</v>
      </c>
      <c r="L60" s="17"/>
      <c r="M60" s="17"/>
    </row>
    <row r="61" spans="1:13" ht="15" customHeight="1">
      <c r="A61" s="45" t="s">
        <v>88</v>
      </c>
      <c r="B61" s="32">
        <f>B62+B63+B64</f>
        <v>0</v>
      </c>
      <c r="C61" s="32">
        <f t="shared" si="0"/>
        <v>0</v>
      </c>
      <c r="D61" s="131">
        <f>SUM(D62:E64)</f>
        <v>0</v>
      </c>
      <c r="E61" s="132"/>
      <c r="F61" s="131">
        <f>SUM(F62:G64)</f>
        <v>0</v>
      </c>
      <c r="G61" s="132"/>
      <c r="H61" s="101">
        <f>SUM(H62:H64)</f>
        <v>0</v>
      </c>
      <c r="I61" s="72">
        <f>SUM(I62:I64)</f>
        <v>0</v>
      </c>
      <c r="J61" s="101">
        <f>J62+J63+J64</f>
        <v>0</v>
      </c>
      <c r="K61" s="46">
        <f>K62+K63+K64</f>
        <v>0</v>
      </c>
      <c r="L61" s="17"/>
      <c r="M61" s="17"/>
    </row>
    <row r="62" spans="1:13" ht="15" customHeight="1">
      <c r="A62" s="45" t="s">
        <v>89</v>
      </c>
      <c r="B62" s="32">
        <v>0</v>
      </c>
      <c r="C62" s="32">
        <f t="shared" si="0"/>
        <v>0</v>
      </c>
      <c r="D62" s="131">
        <v>0</v>
      </c>
      <c r="E62" s="132"/>
      <c r="F62" s="131">
        <v>0</v>
      </c>
      <c r="G62" s="132"/>
      <c r="H62" s="101">
        <v>0</v>
      </c>
      <c r="I62" s="72">
        <v>0</v>
      </c>
      <c r="J62" s="101">
        <f>D62-H62</f>
        <v>0</v>
      </c>
      <c r="K62" s="46">
        <f>F62-I62</f>
        <v>0</v>
      </c>
      <c r="L62" s="17"/>
      <c r="M62" s="17"/>
    </row>
    <row r="63" spans="1:13" ht="15" customHeight="1">
      <c r="A63" s="45" t="s">
        <v>86</v>
      </c>
      <c r="B63" s="32">
        <v>0</v>
      </c>
      <c r="C63" s="32">
        <f t="shared" si="0"/>
        <v>0</v>
      </c>
      <c r="D63" s="131">
        <v>0</v>
      </c>
      <c r="E63" s="132"/>
      <c r="F63" s="131">
        <v>0</v>
      </c>
      <c r="G63" s="132"/>
      <c r="H63" s="101">
        <v>0</v>
      </c>
      <c r="I63" s="72">
        <v>0</v>
      </c>
      <c r="J63" s="101">
        <f>D63-H63</f>
        <v>0</v>
      </c>
      <c r="K63" s="46">
        <f>F63-I63</f>
        <v>0</v>
      </c>
      <c r="L63" s="17"/>
      <c r="M63" s="17"/>
    </row>
    <row r="64" spans="1:13" ht="15" customHeight="1">
      <c r="A64" s="45" t="s">
        <v>87</v>
      </c>
      <c r="B64" s="32">
        <v>0</v>
      </c>
      <c r="C64" s="32">
        <f t="shared" si="0"/>
        <v>0</v>
      </c>
      <c r="D64" s="131">
        <v>0</v>
      </c>
      <c r="E64" s="132"/>
      <c r="F64" s="131">
        <v>0</v>
      </c>
      <c r="G64" s="132"/>
      <c r="H64" s="101">
        <v>0</v>
      </c>
      <c r="I64" s="72">
        <v>0</v>
      </c>
      <c r="J64" s="101">
        <f>D64-H64</f>
        <v>0</v>
      </c>
      <c r="K64" s="46">
        <f>F64-I64</f>
        <v>0</v>
      </c>
      <c r="L64" s="17"/>
      <c r="M64" s="17"/>
    </row>
    <row r="65" spans="1:13" ht="15" customHeight="1">
      <c r="A65" s="45" t="s">
        <v>90</v>
      </c>
      <c r="B65" s="32">
        <f>B66+B67</f>
        <v>0</v>
      </c>
      <c r="C65" s="32">
        <f t="shared" si="0"/>
        <v>207888</v>
      </c>
      <c r="D65" s="131">
        <f>SUM(D66:E67)</f>
        <v>207888</v>
      </c>
      <c r="E65" s="132"/>
      <c r="F65" s="131">
        <f>SUM(F66:G67)</f>
        <v>0</v>
      </c>
      <c r="G65" s="132"/>
      <c r="H65" s="101">
        <f>SUM(H66:H67)</f>
        <v>207888</v>
      </c>
      <c r="I65" s="72">
        <f>SUM(I66:I67)</f>
        <v>0</v>
      </c>
      <c r="J65" s="101">
        <f>J66+J67</f>
        <v>0</v>
      </c>
      <c r="K65" s="46">
        <f>K66+K67</f>
        <v>0</v>
      </c>
      <c r="L65" s="17"/>
      <c r="M65" s="17"/>
    </row>
    <row r="66" spans="1:13" ht="15" customHeight="1">
      <c r="A66" s="45" t="s">
        <v>91</v>
      </c>
      <c r="B66" s="32">
        <v>0</v>
      </c>
      <c r="C66" s="34">
        <f t="shared" si="0"/>
        <v>0</v>
      </c>
      <c r="D66" s="131">
        <v>0</v>
      </c>
      <c r="E66" s="132"/>
      <c r="F66" s="131">
        <v>0</v>
      </c>
      <c r="G66" s="132"/>
      <c r="H66" s="101">
        <v>0</v>
      </c>
      <c r="I66" s="72">
        <v>0</v>
      </c>
      <c r="J66" s="101">
        <f>D66-H66</f>
        <v>0</v>
      </c>
      <c r="K66" s="46">
        <f>F66-I66</f>
        <v>0</v>
      </c>
      <c r="L66" s="113"/>
      <c r="M66" s="17"/>
    </row>
    <row r="67" spans="1:13" ht="15" customHeight="1">
      <c r="A67" s="45" t="s">
        <v>92</v>
      </c>
      <c r="B67" s="32">
        <v>0</v>
      </c>
      <c r="C67" s="34">
        <f t="shared" si="0"/>
        <v>207888</v>
      </c>
      <c r="D67" s="137">
        <f>207888</f>
        <v>207888</v>
      </c>
      <c r="E67" s="138"/>
      <c r="F67" s="137">
        <v>0</v>
      </c>
      <c r="G67" s="138"/>
      <c r="H67" s="102">
        <v>207888</v>
      </c>
      <c r="I67" s="106">
        <v>0</v>
      </c>
      <c r="J67" s="102">
        <f>D67-H67</f>
        <v>0</v>
      </c>
      <c r="K67" s="46">
        <f>F67-I67</f>
        <v>0</v>
      </c>
      <c r="L67" s="113"/>
      <c r="M67" s="17"/>
    </row>
    <row r="68" spans="1:14" ht="15" customHeight="1">
      <c r="A68" s="48" t="s">
        <v>111</v>
      </c>
      <c r="B68" s="49">
        <f>B53+B56</f>
        <v>0</v>
      </c>
      <c r="C68" s="50">
        <f t="shared" si="0"/>
        <v>6741531</v>
      </c>
      <c r="D68" s="119">
        <f>D53+D56</f>
        <v>6741531</v>
      </c>
      <c r="E68" s="140"/>
      <c r="F68" s="119">
        <f>F53+F56</f>
        <v>16325480</v>
      </c>
      <c r="G68" s="120"/>
      <c r="H68" s="104">
        <f>H53+H56</f>
        <v>4788411</v>
      </c>
      <c r="I68" s="104">
        <f>I53+I56</f>
        <v>14790016</v>
      </c>
      <c r="J68" s="103">
        <f>J53+J56</f>
        <v>1953120</v>
      </c>
      <c r="K68" s="51">
        <f>K53+K56</f>
        <v>1535464</v>
      </c>
      <c r="L68" s="114"/>
      <c r="M68" s="17"/>
      <c r="N68" s="16"/>
    </row>
    <row r="69" spans="1:14" ht="12.7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99"/>
      <c r="L69" s="113"/>
      <c r="M69" s="17"/>
      <c r="N69" s="16"/>
    </row>
    <row r="70" spans="1:14" ht="15.75">
      <c r="A70" s="52" t="s">
        <v>123</v>
      </c>
      <c r="B70" s="53">
        <f>B48-B68</f>
        <v>0</v>
      </c>
      <c r="C70" s="54">
        <f>C48-C68</f>
        <v>-6741531</v>
      </c>
      <c r="D70" s="119">
        <f>D48-D68</f>
        <v>468702903</v>
      </c>
      <c r="E70" s="140"/>
      <c r="F70" s="120">
        <f>I48-F68</f>
        <v>441253643</v>
      </c>
      <c r="G70" s="120"/>
      <c r="H70" s="104">
        <f>D48-H68</f>
        <v>470656023</v>
      </c>
      <c r="I70" s="81">
        <f>I48-I68</f>
        <v>442789107</v>
      </c>
      <c r="J70" s="109" t="s">
        <v>133</v>
      </c>
      <c r="K70" s="109" t="s">
        <v>133</v>
      </c>
      <c r="L70" s="114"/>
      <c r="M70" s="16"/>
      <c r="N70" s="16"/>
    </row>
    <row r="71" spans="1:14" ht="12.75">
      <c r="A71" s="55"/>
      <c r="B71" s="56"/>
      <c r="C71" s="56"/>
      <c r="D71" s="57"/>
      <c r="E71" s="57"/>
      <c r="F71" s="57"/>
      <c r="G71" s="57"/>
      <c r="H71" s="57"/>
      <c r="I71" s="57"/>
      <c r="J71" s="57"/>
      <c r="K71" s="58"/>
      <c r="L71" s="21"/>
      <c r="M71" s="16"/>
      <c r="N71" s="16"/>
    </row>
    <row r="72" spans="1:14" ht="30" customHeight="1">
      <c r="A72" s="128" t="s">
        <v>93</v>
      </c>
      <c r="B72" s="128"/>
      <c r="C72" s="141"/>
      <c r="D72" s="121" t="s">
        <v>7</v>
      </c>
      <c r="E72" s="139"/>
      <c r="F72" s="139"/>
      <c r="G72" s="139"/>
      <c r="H72" s="139"/>
      <c r="I72" s="139"/>
      <c r="J72" s="139"/>
      <c r="K72" s="139"/>
      <c r="L72" s="21"/>
      <c r="M72" s="16"/>
      <c r="N72" s="16"/>
    </row>
    <row r="73" spans="1:14" ht="12.75">
      <c r="A73" s="194" t="s">
        <v>14</v>
      </c>
      <c r="B73" s="195"/>
      <c r="C73" s="195"/>
      <c r="D73" s="179">
        <v>0</v>
      </c>
      <c r="E73" s="180"/>
      <c r="F73" s="180"/>
      <c r="G73" s="180"/>
      <c r="H73" s="180"/>
      <c r="I73" s="180"/>
      <c r="J73" s="180"/>
      <c r="K73" s="180"/>
      <c r="L73" s="16"/>
      <c r="M73" s="16"/>
      <c r="N73" s="16"/>
    </row>
    <row r="74" spans="1:14" ht="12.75">
      <c r="A74" s="55"/>
      <c r="B74" s="56"/>
      <c r="C74" s="56"/>
      <c r="D74" s="57"/>
      <c r="E74" s="57"/>
      <c r="F74" s="57"/>
      <c r="G74" s="57"/>
      <c r="H74" s="57"/>
      <c r="I74" s="57"/>
      <c r="J74" s="57"/>
      <c r="K74" s="58"/>
      <c r="L74" s="16"/>
      <c r="M74" s="16"/>
      <c r="N74" s="16"/>
    </row>
    <row r="75" spans="1:14" ht="30" customHeight="1">
      <c r="A75" s="128" t="s">
        <v>6</v>
      </c>
      <c r="B75" s="128"/>
      <c r="C75" s="141"/>
      <c r="D75" s="121" t="s">
        <v>7</v>
      </c>
      <c r="E75" s="139"/>
      <c r="F75" s="139"/>
      <c r="G75" s="139"/>
      <c r="H75" s="139"/>
      <c r="I75" s="139"/>
      <c r="J75" s="139"/>
      <c r="K75" s="139"/>
      <c r="L75" s="16"/>
      <c r="M75" s="16"/>
      <c r="N75" s="16"/>
    </row>
    <row r="76" spans="1:14" ht="12.75">
      <c r="A76" s="194" t="s">
        <v>14</v>
      </c>
      <c r="B76" s="195"/>
      <c r="C76" s="195"/>
      <c r="D76" s="179">
        <v>0</v>
      </c>
      <c r="E76" s="180"/>
      <c r="F76" s="180"/>
      <c r="G76" s="180"/>
      <c r="H76" s="180"/>
      <c r="I76" s="180"/>
      <c r="J76" s="180"/>
      <c r="K76" s="180"/>
      <c r="L76" s="16"/>
      <c r="M76" s="16"/>
      <c r="N76" s="16"/>
    </row>
    <row r="77" spans="1:11" ht="12.75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28"/>
    </row>
    <row r="78" spans="1:13" ht="11.25">
      <c r="A78" s="172" t="s">
        <v>94</v>
      </c>
      <c r="B78" s="172"/>
      <c r="C78" s="169"/>
      <c r="D78" s="171" t="s">
        <v>56</v>
      </c>
      <c r="E78" s="172"/>
      <c r="F78" s="172"/>
      <c r="G78" s="172"/>
      <c r="H78" s="172"/>
      <c r="I78" s="172"/>
      <c r="J78" s="172"/>
      <c r="K78" s="172"/>
      <c r="L78" s="210"/>
      <c r="M78" s="210"/>
    </row>
    <row r="79" spans="1:13" ht="11.25">
      <c r="A79" s="174"/>
      <c r="B79" s="174"/>
      <c r="C79" s="170"/>
      <c r="D79" s="173"/>
      <c r="E79" s="174"/>
      <c r="F79" s="174"/>
      <c r="G79" s="174"/>
      <c r="H79" s="174"/>
      <c r="I79" s="174"/>
      <c r="J79" s="174"/>
      <c r="K79" s="174"/>
      <c r="L79" s="210"/>
      <c r="M79" s="210"/>
    </row>
    <row r="80" spans="1:12" ht="12.75">
      <c r="A80" s="192" t="s">
        <v>95</v>
      </c>
      <c r="B80" s="192"/>
      <c r="C80" s="193"/>
      <c r="D80" s="61"/>
      <c r="E80" s="61"/>
      <c r="F80" s="61"/>
      <c r="G80" s="61"/>
      <c r="H80" s="61"/>
      <c r="I80" s="61"/>
      <c r="J80" s="61"/>
      <c r="K80" s="62">
        <v>0</v>
      </c>
      <c r="L80" s="18"/>
    </row>
    <row r="81" spans="1:11" ht="12.75">
      <c r="A81" s="186" t="s">
        <v>96</v>
      </c>
      <c r="B81" s="186"/>
      <c r="C81" s="187"/>
      <c r="D81" s="63"/>
      <c r="E81" s="63"/>
      <c r="F81" s="63"/>
      <c r="G81" s="63"/>
      <c r="H81" s="63"/>
      <c r="I81" s="63"/>
      <c r="J81" s="63"/>
      <c r="K81" s="64">
        <v>0</v>
      </c>
    </row>
    <row r="82" spans="1:11" ht="12.75">
      <c r="A82" s="186" t="s">
        <v>97</v>
      </c>
      <c r="B82" s="186"/>
      <c r="C82" s="187"/>
      <c r="D82" s="63"/>
      <c r="E82" s="63"/>
      <c r="F82" s="63"/>
      <c r="G82" s="63"/>
      <c r="H82" s="63"/>
      <c r="I82" s="63"/>
      <c r="J82" s="63"/>
      <c r="K82" s="64">
        <v>0</v>
      </c>
    </row>
    <row r="83" spans="1:11" ht="12.75">
      <c r="A83" s="190" t="s">
        <v>98</v>
      </c>
      <c r="B83" s="190"/>
      <c r="C83" s="191"/>
      <c r="D83" s="65"/>
      <c r="E83" s="65"/>
      <c r="F83" s="65"/>
      <c r="G83" s="65"/>
      <c r="H83" s="65"/>
      <c r="I83" s="65"/>
      <c r="J83" s="65"/>
      <c r="K83" s="66">
        <v>0</v>
      </c>
    </row>
    <row r="84" spans="1:11" ht="12.75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28"/>
    </row>
    <row r="85" spans="1:11" ht="12.75">
      <c r="A85" s="188" t="s">
        <v>8</v>
      </c>
      <c r="B85" s="184" t="s">
        <v>9</v>
      </c>
      <c r="C85" s="185"/>
      <c r="D85" s="185"/>
      <c r="E85" s="185"/>
      <c r="F85" s="185"/>
      <c r="G85" s="185"/>
      <c r="H85" s="185"/>
      <c r="I85" s="185"/>
      <c r="J85" s="185"/>
      <c r="K85" s="185"/>
    </row>
    <row r="86" spans="1:13" ht="12.75">
      <c r="A86" s="189"/>
      <c r="B86" s="208" t="s">
        <v>134</v>
      </c>
      <c r="C86" s="209"/>
      <c r="D86" s="209"/>
      <c r="E86" s="209"/>
      <c r="F86" s="209"/>
      <c r="G86" s="212"/>
      <c r="H86" s="208" t="s">
        <v>135</v>
      </c>
      <c r="I86" s="209"/>
      <c r="J86" s="209"/>
      <c r="K86" s="209"/>
      <c r="L86" s="115"/>
      <c r="M86" s="22"/>
    </row>
    <row r="87" spans="1:15" ht="15" customHeight="1">
      <c r="A87" s="67" t="s">
        <v>99</v>
      </c>
      <c r="B87" s="135">
        <f>88492723</f>
        <v>88492723</v>
      </c>
      <c r="C87" s="213"/>
      <c r="D87" s="213"/>
      <c r="E87" s="213"/>
      <c r="F87" s="213"/>
      <c r="G87" s="136"/>
      <c r="H87" s="204">
        <f>99253597</f>
        <v>99253597</v>
      </c>
      <c r="I87" s="205"/>
      <c r="J87" s="205"/>
      <c r="K87" s="205"/>
      <c r="L87" s="113"/>
      <c r="M87" s="113"/>
      <c r="N87" s="17"/>
      <c r="O87" s="17"/>
    </row>
    <row r="88" spans="1:15" ht="15" customHeight="1">
      <c r="A88" s="67" t="s">
        <v>100</v>
      </c>
      <c r="B88" s="131">
        <f>2143072365</f>
        <v>2143072365</v>
      </c>
      <c r="C88" s="147"/>
      <c r="D88" s="147"/>
      <c r="E88" s="147"/>
      <c r="F88" s="147"/>
      <c r="G88" s="132"/>
      <c r="H88" s="144">
        <f>1757518795</f>
        <v>1757518795</v>
      </c>
      <c r="I88" s="145"/>
      <c r="J88" s="145"/>
      <c r="K88" s="145"/>
      <c r="L88" s="113"/>
      <c r="M88" s="113"/>
      <c r="N88" s="17"/>
      <c r="O88" s="17"/>
    </row>
    <row r="89" spans="1:15" ht="15" customHeight="1">
      <c r="A89" s="68" t="s">
        <v>101</v>
      </c>
      <c r="B89" s="137">
        <f>14369498819</f>
        <v>14369498819</v>
      </c>
      <c r="C89" s="214"/>
      <c r="D89" s="214"/>
      <c r="E89" s="214"/>
      <c r="F89" s="214"/>
      <c r="G89" s="138"/>
      <c r="H89" s="197">
        <f>192124226563</f>
        <v>192124226563</v>
      </c>
      <c r="I89" s="198"/>
      <c r="J89" s="198"/>
      <c r="K89" s="198"/>
      <c r="L89" s="114"/>
      <c r="M89" s="113"/>
      <c r="N89" s="17"/>
      <c r="O89" s="17"/>
    </row>
    <row r="90" spans="1:13" ht="12.75">
      <c r="A90" s="69"/>
      <c r="B90" s="211"/>
      <c r="C90" s="211"/>
      <c r="D90" s="211"/>
      <c r="E90" s="211"/>
      <c r="F90" s="211"/>
      <c r="G90" s="211"/>
      <c r="H90" s="41"/>
      <c r="I90" s="166" t="s">
        <v>61</v>
      </c>
      <c r="J90" s="166"/>
      <c r="K90" s="166"/>
      <c r="L90" s="22"/>
      <c r="M90" s="22"/>
    </row>
    <row r="91" spans="1:14" ht="12.75">
      <c r="A91" s="70"/>
      <c r="B91" s="41"/>
      <c r="C91" s="70"/>
      <c r="D91" s="196"/>
      <c r="E91" s="151"/>
      <c r="F91" s="151"/>
      <c r="G91" s="41"/>
      <c r="H91" s="41"/>
      <c r="I91" s="71"/>
      <c r="J91" s="71"/>
      <c r="K91" s="96"/>
      <c r="L91" s="116"/>
      <c r="M91" s="22"/>
      <c r="N91" s="12"/>
    </row>
    <row r="92" spans="1:13" ht="12.75">
      <c r="A92" s="41"/>
      <c r="B92" s="41"/>
      <c r="C92" s="70"/>
      <c r="D92" s="165"/>
      <c r="E92" s="151"/>
      <c r="F92" s="151"/>
      <c r="G92" s="41"/>
      <c r="H92" s="151"/>
      <c r="I92" s="151"/>
      <c r="J92" s="160"/>
      <c r="K92" s="161"/>
      <c r="L92" s="22"/>
      <c r="M92" s="22"/>
    </row>
    <row r="93" spans="1:11" ht="12.75">
      <c r="A93" s="41"/>
      <c r="B93" s="41"/>
      <c r="C93" s="70"/>
      <c r="D93" s="151"/>
      <c r="E93" s="151"/>
      <c r="F93" s="151"/>
      <c r="G93" s="41"/>
      <c r="H93" s="151"/>
      <c r="I93" s="151"/>
      <c r="J93" s="161"/>
      <c r="K93" s="161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178" t="s">
        <v>15</v>
      </c>
      <c r="J96" s="178"/>
      <c r="K96" s="178"/>
    </row>
    <row r="97" spans="1:11" ht="12.75">
      <c r="A97" s="164" t="s">
        <v>12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</row>
    <row r="98" spans="1:11" ht="12.75">
      <c r="A98" s="164" t="s">
        <v>0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</row>
    <row r="99" spans="1:11" ht="12.75">
      <c r="A99" s="167" t="s">
        <v>13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</row>
    <row r="100" spans="1:11" ht="12.75">
      <c r="A100" s="164" t="s">
        <v>1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</row>
    <row r="101" spans="1:11" ht="12.75">
      <c r="A101" s="164" t="str">
        <f>A9</f>
        <v>JANEIRO A DEZEMBRO 2019/BIMESTRE NOVEMBRO-DEZEMBRO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</row>
    <row r="102" spans="1:11" ht="12.75">
      <c r="A102" s="27"/>
      <c r="B102" s="27"/>
      <c r="C102" s="27"/>
      <c r="D102" s="27"/>
      <c r="E102" s="27"/>
      <c r="F102" s="27"/>
      <c r="G102" s="30"/>
      <c r="H102" s="30"/>
      <c r="I102" s="30"/>
      <c r="J102" s="30"/>
      <c r="K102" s="30"/>
    </row>
    <row r="103" spans="1:11" ht="12.75">
      <c r="A103" s="27"/>
      <c r="B103" s="27"/>
      <c r="C103" s="27"/>
      <c r="D103" s="27"/>
      <c r="E103" s="27"/>
      <c r="F103" s="27"/>
      <c r="G103" s="30"/>
      <c r="H103" s="30"/>
      <c r="I103" s="30"/>
      <c r="J103" s="30"/>
      <c r="K103" s="30" t="str">
        <f>K11</f>
        <v>Emissão: 16/03/2020</v>
      </c>
    </row>
    <row r="104" spans="1:11" ht="12.75">
      <c r="A104" s="28" t="s">
        <v>16</v>
      </c>
      <c r="B104" s="28"/>
      <c r="C104" s="28"/>
      <c r="D104" s="28"/>
      <c r="E104" s="28"/>
      <c r="F104" s="30"/>
      <c r="G104" s="28"/>
      <c r="H104" s="28"/>
      <c r="I104" s="168">
        <v>1</v>
      </c>
      <c r="J104" s="168"/>
      <c r="K104" s="168"/>
    </row>
    <row r="105" spans="1:19" s="111" customFormat="1" ht="30" customHeight="1">
      <c r="A105" s="139" t="s">
        <v>17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10"/>
      <c r="M105" s="110"/>
      <c r="N105" s="110"/>
      <c r="O105" s="110"/>
      <c r="P105" s="110"/>
      <c r="Q105" s="110"/>
      <c r="R105" s="110"/>
      <c r="S105" s="110"/>
    </row>
    <row r="106" spans="1:11" ht="12.75">
      <c r="A106" s="133" t="s">
        <v>81</v>
      </c>
      <c r="B106" s="94" t="s">
        <v>2</v>
      </c>
      <c r="C106" s="94" t="s">
        <v>2</v>
      </c>
      <c r="D106" s="162" t="s">
        <v>3</v>
      </c>
      <c r="E106" s="163"/>
      <c r="F106" s="163"/>
      <c r="G106" s="163"/>
      <c r="H106" s="163"/>
      <c r="I106" s="163"/>
      <c r="J106" s="163"/>
      <c r="K106" s="163"/>
    </row>
    <row r="107" spans="1:12" ht="12.75">
      <c r="A107" s="134"/>
      <c r="B107" s="91" t="s">
        <v>4</v>
      </c>
      <c r="C107" s="91" t="s">
        <v>5</v>
      </c>
      <c r="D107" s="148" t="str">
        <f>D15</f>
        <v>Jan a Dez 2019</v>
      </c>
      <c r="E107" s="149"/>
      <c r="F107" s="149"/>
      <c r="G107" s="149"/>
      <c r="H107" s="150"/>
      <c r="I107" s="148" t="str">
        <f>I15</f>
        <v>Jan a Dez 2018</v>
      </c>
      <c r="J107" s="149"/>
      <c r="K107" s="149"/>
      <c r="L107" s="15"/>
    </row>
    <row r="108" spans="1:11" ht="12.75">
      <c r="A108" s="31" t="s">
        <v>112</v>
      </c>
      <c r="B108" s="72">
        <f aca="true" t="shared" si="1" ref="B108:K108">B109+B118+B127+B131+B132+B133</f>
        <v>18693837502</v>
      </c>
      <c r="C108" s="63">
        <f t="shared" si="1"/>
        <v>17906075554</v>
      </c>
      <c r="D108" s="144">
        <f t="shared" si="1"/>
        <v>19100980051</v>
      </c>
      <c r="E108" s="145">
        <f t="shared" si="1"/>
        <v>0</v>
      </c>
      <c r="F108" s="145">
        <f t="shared" si="1"/>
        <v>0</v>
      </c>
      <c r="G108" s="145">
        <f t="shared" si="1"/>
        <v>0</v>
      </c>
      <c r="H108" s="146">
        <f t="shared" si="1"/>
        <v>0</v>
      </c>
      <c r="I108" s="131">
        <f t="shared" si="1"/>
        <v>17540040560</v>
      </c>
      <c r="J108" s="147">
        <f t="shared" si="1"/>
        <v>0</v>
      </c>
      <c r="K108" s="147">
        <f t="shared" si="1"/>
        <v>0</v>
      </c>
    </row>
    <row r="109" spans="1:11" ht="12.75">
      <c r="A109" s="33" t="s">
        <v>64</v>
      </c>
      <c r="B109" s="32">
        <f>B110+B114</f>
        <v>2355003677</v>
      </c>
      <c r="C109" s="34">
        <f>C110+C114</f>
        <v>2355003677</v>
      </c>
      <c r="D109" s="144">
        <f>D110+D114</f>
        <v>2847823917</v>
      </c>
      <c r="E109" s="145"/>
      <c r="F109" s="145"/>
      <c r="G109" s="145"/>
      <c r="H109" s="146"/>
      <c r="I109" s="131">
        <f>I110+I114</f>
        <v>2733994556</v>
      </c>
      <c r="J109" s="147"/>
      <c r="K109" s="147"/>
    </row>
    <row r="110" spans="1:11" ht="12.75">
      <c r="A110" s="35" t="s">
        <v>65</v>
      </c>
      <c r="B110" s="32">
        <f>B111+B112+B113</f>
        <v>1931658677</v>
      </c>
      <c r="C110" s="34">
        <f>C111+C112+C113</f>
        <v>1931658677</v>
      </c>
      <c r="D110" s="144">
        <f>D111+D112+D113</f>
        <v>2059992182</v>
      </c>
      <c r="E110" s="145"/>
      <c r="F110" s="145"/>
      <c r="G110" s="145"/>
      <c r="H110" s="146"/>
      <c r="I110" s="131">
        <f>I111+I112+I113</f>
        <v>1843039615</v>
      </c>
      <c r="J110" s="147"/>
      <c r="K110" s="147"/>
    </row>
    <row r="111" spans="1:11" ht="12.75">
      <c r="A111" s="36" t="s">
        <v>66</v>
      </c>
      <c r="B111" s="32">
        <v>1527852677</v>
      </c>
      <c r="C111" s="34">
        <v>1527852677</v>
      </c>
      <c r="D111" s="144">
        <f>1340018585</f>
        <v>1340018585</v>
      </c>
      <c r="E111" s="145"/>
      <c r="F111" s="145"/>
      <c r="G111" s="145"/>
      <c r="H111" s="146"/>
      <c r="I111" s="131">
        <f>1446096970</f>
        <v>1446096970</v>
      </c>
      <c r="J111" s="147"/>
      <c r="K111" s="147"/>
    </row>
    <row r="112" spans="1:11" ht="12.75">
      <c r="A112" s="36" t="s">
        <v>67</v>
      </c>
      <c r="B112" s="32">
        <v>403806000</v>
      </c>
      <c r="C112" s="34">
        <v>403806000</v>
      </c>
      <c r="D112" s="144">
        <f>658330435</f>
        <v>658330435</v>
      </c>
      <c r="E112" s="145"/>
      <c r="F112" s="145"/>
      <c r="G112" s="145"/>
      <c r="H112" s="146"/>
      <c r="I112" s="131">
        <f>396940960</f>
        <v>396940960</v>
      </c>
      <c r="J112" s="147"/>
      <c r="K112" s="147"/>
    </row>
    <row r="113" spans="1:11" ht="12.75">
      <c r="A113" s="36" t="s">
        <v>68</v>
      </c>
      <c r="B113" s="32">
        <v>0</v>
      </c>
      <c r="C113" s="34">
        <v>0</v>
      </c>
      <c r="D113" s="144">
        <f>61643162</f>
        <v>61643162</v>
      </c>
      <c r="E113" s="145"/>
      <c r="F113" s="145"/>
      <c r="G113" s="145"/>
      <c r="H113" s="146"/>
      <c r="I113" s="131">
        <v>1685</v>
      </c>
      <c r="J113" s="147"/>
      <c r="K113" s="147"/>
    </row>
    <row r="114" spans="1:11" ht="12.75">
      <c r="A114" s="35" t="s">
        <v>69</v>
      </c>
      <c r="B114" s="32">
        <f>B115+B116+B117</f>
        <v>423345000</v>
      </c>
      <c r="C114" s="34">
        <f>C115+C116+C117</f>
        <v>423345000</v>
      </c>
      <c r="D114" s="144">
        <f>D115+D116+D117</f>
        <v>787831735</v>
      </c>
      <c r="E114" s="145"/>
      <c r="F114" s="145"/>
      <c r="G114" s="145"/>
      <c r="H114" s="146"/>
      <c r="I114" s="131">
        <f>I115+I116+I117</f>
        <v>890954941</v>
      </c>
      <c r="J114" s="147"/>
      <c r="K114" s="147"/>
    </row>
    <row r="115" spans="1:11" ht="12.75">
      <c r="A115" s="36" t="s">
        <v>66</v>
      </c>
      <c r="B115" s="32">
        <v>130260000</v>
      </c>
      <c r="C115" s="34">
        <v>130260000</v>
      </c>
      <c r="D115" s="144">
        <f>516418732</f>
        <v>516418732</v>
      </c>
      <c r="E115" s="145"/>
      <c r="F115" s="145"/>
      <c r="G115" s="145"/>
      <c r="H115" s="146"/>
      <c r="I115" s="131">
        <f>573892677</f>
        <v>573892677</v>
      </c>
      <c r="J115" s="147"/>
      <c r="K115" s="147"/>
    </row>
    <row r="116" spans="1:11" ht="12.75">
      <c r="A116" s="36" t="s">
        <v>67</v>
      </c>
      <c r="B116" s="32">
        <v>136773000</v>
      </c>
      <c r="C116" s="34">
        <v>136773000</v>
      </c>
      <c r="D116" s="144">
        <f>166152125</f>
        <v>166152125</v>
      </c>
      <c r="E116" s="145"/>
      <c r="F116" s="145"/>
      <c r="G116" s="145"/>
      <c r="H116" s="146"/>
      <c r="I116" s="131">
        <f>145125810</f>
        <v>145125810</v>
      </c>
      <c r="J116" s="147"/>
      <c r="K116" s="147"/>
    </row>
    <row r="117" spans="1:11" ht="12.75">
      <c r="A117" s="36" t="s">
        <v>68</v>
      </c>
      <c r="B117" s="32">
        <v>156312000</v>
      </c>
      <c r="C117" s="34">
        <v>156312000</v>
      </c>
      <c r="D117" s="144">
        <f>105260878</f>
        <v>105260878</v>
      </c>
      <c r="E117" s="145"/>
      <c r="F117" s="145"/>
      <c r="G117" s="145"/>
      <c r="H117" s="146"/>
      <c r="I117" s="131">
        <f>171936454</f>
        <v>171936454</v>
      </c>
      <c r="J117" s="147"/>
      <c r="K117" s="147"/>
    </row>
    <row r="118" spans="1:14" ht="12.75">
      <c r="A118" s="73" t="s">
        <v>70</v>
      </c>
      <c r="B118" s="74">
        <f>B119+B123</f>
        <v>3615777044</v>
      </c>
      <c r="C118" s="75">
        <f>C119+C123</f>
        <v>3615777044</v>
      </c>
      <c r="D118" s="157">
        <f>D119+D123</f>
        <v>3626574365</v>
      </c>
      <c r="E118" s="158"/>
      <c r="F118" s="158"/>
      <c r="G118" s="158"/>
      <c r="H118" s="159"/>
      <c r="I118" s="152">
        <f>I119+I123</f>
        <v>3881089970</v>
      </c>
      <c r="J118" s="153"/>
      <c r="K118" s="153"/>
      <c r="L118" s="143"/>
      <c r="M118" s="143"/>
      <c r="N118" s="143"/>
    </row>
    <row r="119" spans="1:14" ht="12.75">
      <c r="A119" s="76" t="s">
        <v>65</v>
      </c>
      <c r="B119" s="74">
        <f>B120+B121+B122</f>
        <v>2757777044</v>
      </c>
      <c r="C119" s="75">
        <f>C120+C121+C122</f>
        <v>2757777044</v>
      </c>
      <c r="D119" s="157">
        <f>D120+D121+D122</f>
        <v>2504176888</v>
      </c>
      <c r="E119" s="158"/>
      <c r="F119" s="158"/>
      <c r="G119" s="158"/>
      <c r="H119" s="159"/>
      <c r="I119" s="152">
        <f>I120+I121+I122</f>
        <v>2772230967</v>
      </c>
      <c r="J119" s="153"/>
      <c r="K119" s="153"/>
      <c r="L119" s="143"/>
      <c r="M119" s="143"/>
      <c r="N119" s="143"/>
    </row>
    <row r="120" spans="1:14" ht="14.25">
      <c r="A120" s="77" t="s">
        <v>66</v>
      </c>
      <c r="B120" s="74">
        <v>2757777044</v>
      </c>
      <c r="C120" s="75">
        <v>2757777044</v>
      </c>
      <c r="D120" s="157">
        <f>2504176888</f>
        <v>2504176888</v>
      </c>
      <c r="E120" s="158"/>
      <c r="F120" s="158"/>
      <c r="G120" s="158"/>
      <c r="H120" s="159"/>
      <c r="I120" s="152">
        <f>2772230967</f>
        <v>2772230967</v>
      </c>
      <c r="J120" s="153"/>
      <c r="K120" s="153"/>
      <c r="L120" s="143"/>
      <c r="M120" s="143"/>
      <c r="N120" s="143"/>
    </row>
    <row r="121" spans="1:11" ht="14.25">
      <c r="A121" s="36" t="s">
        <v>67</v>
      </c>
      <c r="B121" s="32">
        <v>0</v>
      </c>
      <c r="C121" s="34">
        <v>0</v>
      </c>
      <c r="D121" s="144">
        <v>0</v>
      </c>
      <c r="E121" s="145"/>
      <c r="F121" s="145"/>
      <c r="G121" s="145"/>
      <c r="H121" s="146"/>
      <c r="I121" s="131">
        <v>0</v>
      </c>
      <c r="J121" s="147"/>
      <c r="K121" s="147"/>
    </row>
    <row r="122" spans="1:11" ht="14.25">
      <c r="A122" s="36" t="s">
        <v>68</v>
      </c>
      <c r="B122" s="32">
        <v>0</v>
      </c>
      <c r="C122" s="34">
        <v>0</v>
      </c>
      <c r="D122" s="144">
        <v>0</v>
      </c>
      <c r="E122" s="145"/>
      <c r="F122" s="145"/>
      <c r="G122" s="145"/>
      <c r="H122" s="146"/>
      <c r="I122" s="131">
        <v>0</v>
      </c>
      <c r="J122" s="147"/>
      <c r="K122" s="147"/>
    </row>
    <row r="123" spans="1:11" ht="14.25">
      <c r="A123" s="35" t="s">
        <v>69</v>
      </c>
      <c r="B123" s="32">
        <f>B124+B125+B126</f>
        <v>858000000</v>
      </c>
      <c r="C123" s="34">
        <f>C124+C125+C126</f>
        <v>858000000</v>
      </c>
      <c r="D123" s="144">
        <f>D124+D125+D126</f>
        <v>1122397477</v>
      </c>
      <c r="E123" s="145"/>
      <c r="F123" s="145"/>
      <c r="G123" s="145"/>
      <c r="H123" s="146"/>
      <c r="I123" s="131">
        <f>I124+I125+I126</f>
        <v>1108859003</v>
      </c>
      <c r="J123" s="147"/>
      <c r="K123" s="147"/>
    </row>
    <row r="124" spans="1:11" ht="14.25">
      <c r="A124" s="36" t="s">
        <v>66</v>
      </c>
      <c r="B124" s="32">
        <v>858000000</v>
      </c>
      <c r="C124" s="34">
        <v>858000000</v>
      </c>
      <c r="D124" s="144">
        <f>1122397477</f>
        <v>1122397477</v>
      </c>
      <c r="E124" s="145"/>
      <c r="F124" s="145"/>
      <c r="G124" s="145"/>
      <c r="H124" s="146"/>
      <c r="I124" s="131">
        <f>1108859003</f>
        <v>1108859003</v>
      </c>
      <c r="J124" s="147"/>
      <c r="K124" s="147"/>
    </row>
    <row r="125" spans="1:11" ht="14.25">
      <c r="A125" s="36" t="s">
        <v>67</v>
      </c>
      <c r="B125" s="32">
        <v>0</v>
      </c>
      <c r="C125" s="34">
        <v>0</v>
      </c>
      <c r="D125" s="144">
        <v>0</v>
      </c>
      <c r="E125" s="145"/>
      <c r="F125" s="145"/>
      <c r="G125" s="145"/>
      <c r="H125" s="146"/>
      <c r="I125" s="131">
        <v>0</v>
      </c>
      <c r="J125" s="147"/>
      <c r="K125" s="147"/>
    </row>
    <row r="126" spans="1:11" ht="14.25">
      <c r="A126" s="36" t="s">
        <v>68</v>
      </c>
      <c r="B126" s="32">
        <v>0</v>
      </c>
      <c r="C126" s="34">
        <v>0</v>
      </c>
      <c r="D126" s="144">
        <v>0</v>
      </c>
      <c r="E126" s="145"/>
      <c r="F126" s="145"/>
      <c r="G126" s="145"/>
      <c r="H126" s="146"/>
      <c r="I126" s="131">
        <v>0</v>
      </c>
      <c r="J126" s="147"/>
      <c r="K126" s="147"/>
    </row>
    <row r="127" spans="1:11" ht="14.25">
      <c r="A127" s="33" t="s">
        <v>71</v>
      </c>
      <c r="B127" s="32">
        <f>B128+B129+B130</f>
        <v>12160513717</v>
      </c>
      <c r="C127" s="34">
        <f>C128+C129+C130</f>
        <v>11372751769</v>
      </c>
      <c r="D127" s="144">
        <f>D128+D129+D130</f>
        <v>10857512070</v>
      </c>
      <c r="E127" s="145"/>
      <c r="F127" s="145"/>
      <c r="G127" s="145"/>
      <c r="H127" s="146"/>
      <c r="I127" s="131">
        <f>I128+I129+I130</f>
        <v>10659088769</v>
      </c>
      <c r="J127" s="147"/>
      <c r="K127" s="147"/>
    </row>
    <row r="128" spans="1:11" ht="14.25">
      <c r="A128" s="35" t="s">
        <v>72</v>
      </c>
      <c r="B128" s="32">
        <v>14290761</v>
      </c>
      <c r="C128" s="34">
        <v>14290761</v>
      </c>
      <c r="D128" s="144">
        <f>13905893</f>
        <v>13905893</v>
      </c>
      <c r="E128" s="145"/>
      <c r="F128" s="145"/>
      <c r="G128" s="145"/>
      <c r="H128" s="146"/>
      <c r="I128" s="131">
        <f>13278840</f>
        <v>13278840</v>
      </c>
      <c r="J128" s="147"/>
      <c r="K128" s="147"/>
    </row>
    <row r="129" spans="1:11" ht="14.25">
      <c r="A129" s="35" t="s">
        <v>73</v>
      </c>
      <c r="B129" s="32">
        <v>85674330</v>
      </c>
      <c r="C129" s="34">
        <v>85674330</v>
      </c>
      <c r="D129" s="144">
        <f>38268979</f>
        <v>38268979</v>
      </c>
      <c r="E129" s="145"/>
      <c r="F129" s="145"/>
      <c r="G129" s="145"/>
      <c r="H129" s="146"/>
      <c r="I129" s="131">
        <f>26495566</f>
        <v>26495566</v>
      </c>
      <c r="J129" s="147"/>
      <c r="K129" s="147"/>
    </row>
    <row r="130" spans="1:11" ht="14.25">
      <c r="A130" s="35" t="s">
        <v>74</v>
      </c>
      <c r="B130" s="32">
        <v>12060548626</v>
      </c>
      <c r="C130" s="34">
        <v>11272786678</v>
      </c>
      <c r="D130" s="144">
        <f>10805337198</f>
        <v>10805337198</v>
      </c>
      <c r="E130" s="145"/>
      <c r="F130" s="145"/>
      <c r="G130" s="145"/>
      <c r="H130" s="146"/>
      <c r="I130" s="131">
        <f>10619314363</f>
        <v>10619314363</v>
      </c>
      <c r="J130" s="147"/>
      <c r="K130" s="147"/>
    </row>
    <row r="131" spans="1:11" ht="14.25">
      <c r="A131" s="33" t="s">
        <v>19</v>
      </c>
      <c r="B131" s="32">
        <v>0</v>
      </c>
      <c r="C131" s="34">
        <v>0</v>
      </c>
      <c r="D131" s="144">
        <v>0</v>
      </c>
      <c r="E131" s="145"/>
      <c r="F131" s="145"/>
      <c r="G131" s="145"/>
      <c r="H131" s="146"/>
      <c r="I131" s="131">
        <v>0</v>
      </c>
      <c r="J131" s="147"/>
      <c r="K131" s="147"/>
    </row>
    <row r="132" spans="1:11" ht="14.25">
      <c r="A132" s="33" t="s">
        <v>75</v>
      </c>
      <c r="B132" s="32">
        <v>0</v>
      </c>
      <c r="C132" s="34">
        <v>0</v>
      </c>
      <c r="D132" s="144">
        <v>0</v>
      </c>
      <c r="E132" s="145"/>
      <c r="F132" s="145"/>
      <c r="G132" s="145"/>
      <c r="H132" s="146"/>
      <c r="I132" s="131">
        <v>0</v>
      </c>
      <c r="J132" s="147"/>
      <c r="K132" s="147"/>
    </row>
    <row r="133" spans="1:11" ht="14.25">
      <c r="A133" s="33" t="s">
        <v>76</v>
      </c>
      <c r="B133" s="32">
        <f>B134+B135</f>
        <v>562543064</v>
      </c>
      <c r="C133" s="34">
        <f>C134+C135</f>
        <v>562543064</v>
      </c>
      <c r="D133" s="144">
        <f>D134+D135</f>
        <v>1769069699</v>
      </c>
      <c r="E133" s="145"/>
      <c r="F133" s="145"/>
      <c r="G133" s="145"/>
      <c r="H133" s="146"/>
      <c r="I133" s="131">
        <f>I134+I135</f>
        <v>265867265</v>
      </c>
      <c r="J133" s="147"/>
      <c r="K133" s="147"/>
    </row>
    <row r="134" spans="1:11" ht="14.25">
      <c r="A134" s="35" t="s">
        <v>77</v>
      </c>
      <c r="B134" s="32">
        <v>107936682</v>
      </c>
      <c r="C134" s="34">
        <v>107936682</v>
      </c>
      <c r="D134" s="144">
        <f>128896584</f>
        <v>128896584</v>
      </c>
      <c r="E134" s="145"/>
      <c r="F134" s="145"/>
      <c r="G134" s="145"/>
      <c r="H134" s="146"/>
      <c r="I134" s="131">
        <f>105840963</f>
        <v>105840963</v>
      </c>
      <c r="J134" s="147"/>
      <c r="K134" s="147"/>
    </row>
    <row r="135" spans="1:11" ht="14.25">
      <c r="A135" s="35" t="s">
        <v>78</v>
      </c>
      <c r="B135" s="32">
        <v>454606382</v>
      </c>
      <c r="C135" s="34">
        <v>454606382</v>
      </c>
      <c r="D135" s="144">
        <f>1640173115</f>
        <v>1640173115</v>
      </c>
      <c r="E135" s="145"/>
      <c r="F135" s="145"/>
      <c r="G135" s="145"/>
      <c r="H135" s="146"/>
      <c r="I135" s="131">
        <f>160026302</f>
        <v>160026302</v>
      </c>
      <c r="J135" s="147"/>
      <c r="K135" s="147"/>
    </row>
    <row r="136" spans="1:11" ht="14.25">
      <c r="A136" s="37" t="s">
        <v>113</v>
      </c>
      <c r="B136" s="32">
        <f>B137+B138+B139</f>
        <v>191918757</v>
      </c>
      <c r="C136" s="34">
        <f>C137+C138+C139</f>
        <v>191918757</v>
      </c>
      <c r="D136" s="144">
        <f>D137+D138+D139</f>
        <v>94130816</v>
      </c>
      <c r="E136" s="145"/>
      <c r="F136" s="145"/>
      <c r="G136" s="145"/>
      <c r="H136" s="146"/>
      <c r="I136" s="131">
        <f>I137+I138+I139</f>
        <v>1939721663</v>
      </c>
      <c r="J136" s="147"/>
      <c r="K136" s="147"/>
    </row>
    <row r="137" spans="1:11" ht="14.25">
      <c r="A137" s="33" t="s">
        <v>20</v>
      </c>
      <c r="B137" s="32">
        <v>150000000</v>
      </c>
      <c r="C137" s="34">
        <v>150000000</v>
      </c>
      <c r="D137" s="144">
        <f>5028000</f>
        <v>5028000</v>
      </c>
      <c r="E137" s="145"/>
      <c r="F137" s="145"/>
      <c r="G137" s="145"/>
      <c r="H137" s="146"/>
      <c r="I137" s="131">
        <f>1874550858</f>
        <v>1874550858</v>
      </c>
      <c r="J137" s="147"/>
      <c r="K137" s="147"/>
    </row>
    <row r="138" spans="1:17" ht="14.25" customHeight="1">
      <c r="A138" s="33" t="s">
        <v>21</v>
      </c>
      <c r="B138" s="32">
        <v>41918757</v>
      </c>
      <c r="C138" s="34">
        <v>41918757</v>
      </c>
      <c r="D138" s="144">
        <f>89102816</f>
        <v>89102816</v>
      </c>
      <c r="E138" s="145"/>
      <c r="F138" s="145"/>
      <c r="G138" s="145"/>
      <c r="H138" s="146"/>
      <c r="I138" s="131">
        <f>65170805</f>
        <v>65170805</v>
      </c>
      <c r="J138" s="147"/>
      <c r="K138" s="147"/>
      <c r="L138" s="97"/>
      <c r="M138" s="97"/>
      <c r="N138" s="97"/>
      <c r="O138" s="97"/>
      <c r="P138" s="97"/>
      <c r="Q138" s="97"/>
    </row>
    <row r="139" spans="1:18" ht="14.25" customHeight="1">
      <c r="A139" s="33" t="s">
        <v>80</v>
      </c>
      <c r="B139" s="32">
        <v>0</v>
      </c>
      <c r="C139" s="34">
        <v>0</v>
      </c>
      <c r="D139" s="144">
        <v>0</v>
      </c>
      <c r="E139" s="145"/>
      <c r="F139" s="145"/>
      <c r="G139" s="145"/>
      <c r="H139" s="146"/>
      <c r="I139" s="131">
        <v>0</v>
      </c>
      <c r="J139" s="147"/>
      <c r="K139" s="147"/>
      <c r="L139" s="97"/>
      <c r="M139" s="97"/>
      <c r="N139" s="97"/>
      <c r="O139" s="97"/>
      <c r="P139" s="97"/>
      <c r="Q139" s="97"/>
      <c r="R139" s="16"/>
    </row>
    <row r="140" spans="1:16" ht="14.25">
      <c r="A140" s="38" t="s">
        <v>114</v>
      </c>
      <c r="B140" s="39">
        <f aca="true" t="shared" si="2" ref="B140:K140">B108+B136</f>
        <v>18885756259</v>
      </c>
      <c r="C140" s="40">
        <f t="shared" si="2"/>
        <v>18097994311</v>
      </c>
      <c r="D140" s="181">
        <f t="shared" si="2"/>
        <v>19195110867</v>
      </c>
      <c r="E140" s="182">
        <f t="shared" si="2"/>
        <v>0</v>
      </c>
      <c r="F140" s="182">
        <f t="shared" si="2"/>
        <v>0</v>
      </c>
      <c r="G140" s="182">
        <f t="shared" si="2"/>
        <v>0</v>
      </c>
      <c r="H140" s="183">
        <f t="shared" si="2"/>
        <v>0</v>
      </c>
      <c r="I140" s="120">
        <f t="shared" si="2"/>
        <v>19479762223</v>
      </c>
      <c r="J140" s="120">
        <f t="shared" si="2"/>
        <v>0</v>
      </c>
      <c r="K140" s="120">
        <f t="shared" si="2"/>
        <v>0</v>
      </c>
      <c r="L140" s="21"/>
      <c r="M140" s="21"/>
      <c r="N140" s="21"/>
      <c r="O140" s="21"/>
      <c r="P140" s="114"/>
    </row>
    <row r="141" spans="1:15" ht="14.25">
      <c r="A141" s="41"/>
      <c r="B141" s="42"/>
      <c r="C141" s="42"/>
      <c r="D141" s="42"/>
      <c r="E141" s="42"/>
      <c r="F141" s="42"/>
      <c r="G141" s="42"/>
      <c r="H141" s="42"/>
      <c r="I141" s="43"/>
      <c r="J141" s="43"/>
      <c r="K141" s="28"/>
      <c r="L141" s="22"/>
      <c r="M141" s="22"/>
      <c r="N141" s="22"/>
      <c r="O141" s="22"/>
    </row>
    <row r="142" spans="1:16" ht="33.75" customHeight="1">
      <c r="A142" s="154" t="s">
        <v>82</v>
      </c>
      <c r="B142" s="123" t="s">
        <v>23</v>
      </c>
      <c r="C142" s="201" t="s">
        <v>24</v>
      </c>
      <c r="D142" s="127" t="s">
        <v>57</v>
      </c>
      <c r="E142" s="128"/>
      <c r="F142" s="128"/>
      <c r="G142" s="141"/>
      <c r="H142" s="127" t="s">
        <v>22</v>
      </c>
      <c r="I142" s="141"/>
      <c r="J142" s="127" t="s">
        <v>130</v>
      </c>
      <c r="K142" s="128"/>
      <c r="L142" s="113"/>
      <c r="M142" s="113"/>
      <c r="N142" s="113"/>
      <c r="O142" s="113"/>
      <c r="P142" s="25"/>
    </row>
    <row r="143" spans="1:15" ht="25.5" customHeight="1">
      <c r="A143" s="155"/>
      <c r="B143" s="200"/>
      <c r="C143" s="202"/>
      <c r="D143" s="171" t="str">
        <f>D51</f>
        <v>Jan a Dez 2019</v>
      </c>
      <c r="E143" s="172"/>
      <c r="F143" s="125" t="str">
        <f>F51</f>
        <v>Jan a Dez 2018</v>
      </c>
      <c r="G143" s="133"/>
      <c r="H143" s="123" t="str">
        <f>D143</f>
        <v>Jan a Dez 2019</v>
      </c>
      <c r="I143" s="123" t="str">
        <f>F143</f>
        <v>Jan a Dez 2018</v>
      </c>
      <c r="J143" s="129" t="str">
        <f>J51</f>
        <v>Em 2019</v>
      </c>
      <c r="K143" s="125" t="str">
        <f>K51</f>
        <v>Em 2018</v>
      </c>
      <c r="L143" s="23"/>
      <c r="M143" s="24"/>
      <c r="N143" s="24"/>
      <c r="O143" s="24"/>
    </row>
    <row r="144" spans="1:13" ht="14.25" customHeight="1">
      <c r="A144" s="156"/>
      <c r="B144" s="124"/>
      <c r="C144" s="203"/>
      <c r="D144" s="173"/>
      <c r="E144" s="174"/>
      <c r="F144" s="126"/>
      <c r="G144" s="134"/>
      <c r="H144" s="124"/>
      <c r="I144" s="124"/>
      <c r="J144" s="130"/>
      <c r="K144" s="126"/>
      <c r="L144" s="1"/>
      <c r="M144" s="19"/>
    </row>
    <row r="145" spans="1:11" ht="15" customHeight="1">
      <c r="A145" s="44" t="s">
        <v>10</v>
      </c>
      <c r="B145" s="32">
        <f>B146+B147</f>
        <v>3014409539</v>
      </c>
      <c r="C145" s="32">
        <f>C146+C147</f>
        <v>2578002597</v>
      </c>
      <c r="D145" s="135">
        <f>D146+D147</f>
        <v>2559755318</v>
      </c>
      <c r="E145" s="136"/>
      <c r="F145" s="135">
        <f>F146+F147</f>
        <v>2786159927</v>
      </c>
      <c r="G145" s="136"/>
      <c r="H145" s="100">
        <f>H146+H147</f>
        <v>2531029820</v>
      </c>
      <c r="I145" s="99">
        <f>I146+I147</f>
        <v>2762094046</v>
      </c>
      <c r="J145" s="105">
        <f>J146+J147</f>
        <v>28725498</v>
      </c>
      <c r="K145" s="34">
        <f>K146+K147</f>
        <v>24065881</v>
      </c>
    </row>
    <row r="146" spans="1:12" ht="14.25">
      <c r="A146" s="45" t="s">
        <v>83</v>
      </c>
      <c r="B146" s="32">
        <v>2919209089</v>
      </c>
      <c r="C146" s="32">
        <v>2576194740</v>
      </c>
      <c r="D146" s="131">
        <f>2557947461</f>
        <v>2557947461</v>
      </c>
      <c r="E146" s="132"/>
      <c r="F146" s="131">
        <f>2782639904</f>
        <v>2782639904</v>
      </c>
      <c r="G146" s="132"/>
      <c r="H146" s="101">
        <v>2529384373</v>
      </c>
      <c r="I146" s="72">
        <v>2758937770</v>
      </c>
      <c r="J146" s="72">
        <f>D146-H146</f>
        <v>28563088</v>
      </c>
      <c r="K146" s="46">
        <f>F146-I146</f>
        <v>23702134</v>
      </c>
      <c r="L146" s="16"/>
    </row>
    <row r="147" spans="1:12" ht="14.25">
      <c r="A147" s="45" t="s">
        <v>11</v>
      </c>
      <c r="B147" s="32">
        <v>95200450</v>
      </c>
      <c r="C147" s="32">
        <v>1807857</v>
      </c>
      <c r="D147" s="131">
        <f>1807857</f>
        <v>1807857</v>
      </c>
      <c r="E147" s="132"/>
      <c r="F147" s="131">
        <f>3520023</f>
        <v>3520023</v>
      </c>
      <c r="G147" s="132"/>
      <c r="H147" s="101">
        <v>1645447</v>
      </c>
      <c r="I147" s="72">
        <v>3156276</v>
      </c>
      <c r="J147" s="101">
        <f>D147-H147</f>
        <v>162410</v>
      </c>
      <c r="K147" s="46">
        <f>F147-I147</f>
        <v>363747</v>
      </c>
      <c r="L147" s="16"/>
    </row>
    <row r="148" spans="1:13" ht="15" customHeight="1">
      <c r="A148" s="45" t="s">
        <v>115</v>
      </c>
      <c r="B148" s="32">
        <f>B149+B153+B157</f>
        <v>19794830125</v>
      </c>
      <c r="C148" s="32">
        <f>C149+C153+C157</f>
        <v>22060020320</v>
      </c>
      <c r="D148" s="131">
        <f>D149+D153+D157</f>
        <v>19082390658</v>
      </c>
      <c r="E148" s="132"/>
      <c r="F148" s="131">
        <f>F149+F153+F157</f>
        <v>18905926571</v>
      </c>
      <c r="G148" s="132"/>
      <c r="H148" s="101">
        <f>H149+H153+H157</f>
        <v>19082390658</v>
      </c>
      <c r="I148" s="72">
        <f>I149+I153+I157</f>
        <v>18905926571</v>
      </c>
      <c r="J148" s="107">
        <f>J149+J153+J157</f>
        <v>0</v>
      </c>
      <c r="K148" s="46">
        <f>K149+K153+K157</f>
        <v>0</v>
      </c>
      <c r="L148" s="142"/>
      <c r="M148" s="142"/>
    </row>
    <row r="149" spans="1:14" ht="15" customHeight="1">
      <c r="A149" s="47" t="s">
        <v>84</v>
      </c>
      <c r="B149" s="32">
        <f>B150+B151+B152</f>
        <v>19188020125</v>
      </c>
      <c r="C149" s="32">
        <f>C150+C151+C152</f>
        <v>16122622281</v>
      </c>
      <c r="D149" s="131">
        <f>SUM(D150:E152)</f>
        <v>13152219829</v>
      </c>
      <c r="E149" s="132"/>
      <c r="F149" s="131">
        <f>SUM(F150:G152)</f>
        <v>12698335091</v>
      </c>
      <c r="G149" s="132"/>
      <c r="H149" s="101">
        <f>SUM(H150:H152)</f>
        <v>13152219829</v>
      </c>
      <c r="I149" s="72">
        <f>SUM(I150:I152)</f>
        <v>12698335091</v>
      </c>
      <c r="J149" s="101">
        <f>J150+J151+J152</f>
        <v>0</v>
      </c>
      <c r="K149" s="46">
        <f>K150+K151+K152</f>
        <v>0</v>
      </c>
      <c r="L149" s="20"/>
      <c r="M149" s="20"/>
      <c r="N149" s="20"/>
    </row>
    <row r="150" spans="1:14" ht="14.25">
      <c r="A150" s="45" t="s">
        <v>85</v>
      </c>
      <c r="B150" s="32">
        <v>19188020125</v>
      </c>
      <c r="C150" s="74">
        <f>24644764448-C145-C151-C153-C157-C68</f>
        <v>12519660215</v>
      </c>
      <c r="D150" s="131">
        <f>9549257763</f>
        <v>9549257763</v>
      </c>
      <c r="E150" s="132"/>
      <c r="F150" s="131">
        <f>9055241561</f>
        <v>9055241561</v>
      </c>
      <c r="G150" s="132"/>
      <c r="H150" s="101">
        <v>9549257763</v>
      </c>
      <c r="I150" s="72">
        <v>9055241561</v>
      </c>
      <c r="J150" s="101">
        <f>D150-H150</f>
        <v>0</v>
      </c>
      <c r="K150" s="46">
        <f>F150-I150</f>
        <v>0</v>
      </c>
      <c r="L150" s="20"/>
      <c r="M150" s="20"/>
      <c r="N150" s="20"/>
    </row>
    <row r="151" spans="1:14" ht="14.25">
      <c r="A151" s="45" t="s">
        <v>86</v>
      </c>
      <c r="B151" s="32">
        <v>0</v>
      </c>
      <c r="C151" s="32">
        <f>D151</f>
        <v>3602962066</v>
      </c>
      <c r="D151" s="131">
        <f>3602962066</f>
        <v>3602962066</v>
      </c>
      <c r="E151" s="132"/>
      <c r="F151" s="131">
        <f>3643093530</f>
        <v>3643093530</v>
      </c>
      <c r="G151" s="132"/>
      <c r="H151" s="101">
        <v>3602962066</v>
      </c>
      <c r="I151" s="72">
        <v>3643093530</v>
      </c>
      <c r="J151" s="101">
        <f>D151-H151</f>
        <v>0</v>
      </c>
      <c r="K151" s="78">
        <f>F151-I151</f>
        <v>0</v>
      </c>
      <c r="L151" s="20"/>
      <c r="M151" s="20"/>
      <c r="N151" s="20"/>
    </row>
    <row r="152" spans="1:13" ht="15" customHeight="1">
      <c r="A152" s="45" t="s">
        <v>87</v>
      </c>
      <c r="B152" s="32">
        <v>0</v>
      </c>
      <c r="C152" s="32">
        <v>0</v>
      </c>
      <c r="D152" s="131">
        <v>0</v>
      </c>
      <c r="E152" s="132"/>
      <c r="F152" s="131">
        <v>0</v>
      </c>
      <c r="G152" s="132"/>
      <c r="H152" s="101">
        <v>0</v>
      </c>
      <c r="I152" s="72">
        <v>0</v>
      </c>
      <c r="J152" s="101">
        <f>D152-H152</f>
        <v>0</v>
      </c>
      <c r="K152" s="46">
        <f>F152-I152</f>
        <v>0</v>
      </c>
      <c r="M152" s="16"/>
    </row>
    <row r="153" spans="1:11" ht="15" customHeight="1">
      <c r="A153" s="45" t="s">
        <v>88</v>
      </c>
      <c r="B153" s="32">
        <f>B154+B155+B156</f>
        <v>0</v>
      </c>
      <c r="C153" s="32">
        <f>C154+C155+C156</f>
        <v>5926888039</v>
      </c>
      <c r="D153" s="131">
        <f>SUM(D154:E156)</f>
        <v>5926888039</v>
      </c>
      <c r="E153" s="132"/>
      <c r="F153" s="131">
        <f>SUM(F154:G156)</f>
        <v>5390890360</v>
      </c>
      <c r="G153" s="132"/>
      <c r="H153" s="101">
        <f>SUM(H154:H156)</f>
        <v>5926888039</v>
      </c>
      <c r="I153" s="72">
        <f>SUM(I154:I156)</f>
        <v>5390890360</v>
      </c>
      <c r="J153" s="107">
        <f>J154+J155+J156</f>
        <v>0</v>
      </c>
      <c r="K153" s="108">
        <f>K154+K155+K156</f>
        <v>0</v>
      </c>
    </row>
    <row r="154" spans="1:11" ht="14.25">
      <c r="A154" s="45" t="s">
        <v>89</v>
      </c>
      <c r="B154" s="32">
        <v>0</v>
      </c>
      <c r="C154" s="32">
        <f>D154</f>
        <v>5070541994</v>
      </c>
      <c r="D154" s="131">
        <f>5070541994</f>
        <v>5070541994</v>
      </c>
      <c r="E154" s="132"/>
      <c r="F154" s="131">
        <f>4683087649</f>
        <v>4683087649</v>
      </c>
      <c r="G154" s="132"/>
      <c r="H154" s="101">
        <v>5070541994</v>
      </c>
      <c r="I154" s="72">
        <v>4683087649</v>
      </c>
      <c r="J154" s="107">
        <f>D154-H154</f>
        <v>0</v>
      </c>
      <c r="K154" s="108">
        <f>F154-I154</f>
        <v>0</v>
      </c>
    </row>
    <row r="155" spans="1:11" ht="14.25">
      <c r="A155" s="45" t="s">
        <v>86</v>
      </c>
      <c r="B155" s="32">
        <v>0</v>
      </c>
      <c r="C155" s="32">
        <f>D155</f>
        <v>856346045</v>
      </c>
      <c r="D155" s="131">
        <f>856346045</f>
        <v>856346045</v>
      </c>
      <c r="E155" s="132"/>
      <c r="F155" s="131">
        <f>707802711</f>
        <v>707802711</v>
      </c>
      <c r="G155" s="132"/>
      <c r="H155" s="101">
        <v>856346045</v>
      </c>
      <c r="I155" s="72">
        <v>707802711</v>
      </c>
      <c r="J155" s="107">
        <f>D155-H155</f>
        <v>0</v>
      </c>
      <c r="K155" s="108">
        <f>F155-I155</f>
        <v>0</v>
      </c>
    </row>
    <row r="156" spans="1:11" ht="15" customHeight="1">
      <c r="A156" s="45" t="s">
        <v>87</v>
      </c>
      <c r="B156" s="32">
        <v>0</v>
      </c>
      <c r="C156" s="32">
        <v>0</v>
      </c>
      <c r="D156" s="131">
        <v>0</v>
      </c>
      <c r="E156" s="132"/>
      <c r="F156" s="131">
        <v>0</v>
      </c>
      <c r="G156" s="132"/>
      <c r="H156" s="101">
        <v>0</v>
      </c>
      <c r="I156" s="72">
        <v>0</v>
      </c>
      <c r="J156" s="107">
        <f>D156-H156</f>
        <v>0</v>
      </c>
      <c r="K156" s="108">
        <f>F156-I156</f>
        <v>0</v>
      </c>
    </row>
    <row r="157" spans="1:17" ht="15" customHeight="1">
      <c r="A157" s="45" t="s">
        <v>90</v>
      </c>
      <c r="B157" s="32">
        <f>SUM(B158:B159)</f>
        <v>606810000</v>
      </c>
      <c r="C157" s="32">
        <f>SUM(C158:C159)</f>
        <v>10510000</v>
      </c>
      <c r="D157" s="131">
        <f>D159+D158</f>
        <v>3282790</v>
      </c>
      <c r="E157" s="132"/>
      <c r="F157" s="131">
        <f>F159+F158</f>
        <v>816701120</v>
      </c>
      <c r="G157" s="132"/>
      <c r="H157" s="101">
        <f>H159+H158</f>
        <v>3282790</v>
      </c>
      <c r="I157" s="72">
        <f>I159+I158</f>
        <v>816701120</v>
      </c>
      <c r="J157" s="107">
        <f>J158+J159</f>
        <v>0</v>
      </c>
      <c r="K157" s="108">
        <f>K158+K159</f>
        <v>0</v>
      </c>
      <c r="L157" s="207"/>
      <c r="M157" s="207"/>
      <c r="N157" s="207"/>
      <c r="O157" s="207"/>
      <c r="P157" s="207"/>
      <c r="Q157" s="207"/>
    </row>
    <row r="158" spans="1:17" ht="15" customHeight="1">
      <c r="A158" s="45" t="s">
        <v>91</v>
      </c>
      <c r="B158" s="32">
        <v>0</v>
      </c>
      <c r="C158" s="34">
        <v>0</v>
      </c>
      <c r="D158" s="131">
        <v>0</v>
      </c>
      <c r="E158" s="132"/>
      <c r="F158" s="131">
        <v>0</v>
      </c>
      <c r="G158" s="132"/>
      <c r="H158" s="101">
        <v>0</v>
      </c>
      <c r="I158" s="72">
        <v>0</v>
      </c>
      <c r="J158" s="101">
        <f>D158-H158</f>
        <v>0</v>
      </c>
      <c r="K158" s="46">
        <f>F158-I158</f>
        <v>0</v>
      </c>
      <c r="L158" s="207"/>
      <c r="M158" s="207"/>
      <c r="N158" s="207"/>
      <c r="O158" s="207"/>
      <c r="P158" s="207"/>
      <c r="Q158" s="207"/>
    </row>
    <row r="159" spans="1:13" ht="14.25">
      <c r="A159" s="45" t="s">
        <v>92</v>
      </c>
      <c r="B159" s="32">
        <v>606810000</v>
      </c>
      <c r="C159" s="34">
        <v>10510000</v>
      </c>
      <c r="D159" s="137">
        <f>3282790</f>
        <v>3282790</v>
      </c>
      <c r="E159" s="138"/>
      <c r="F159" s="137">
        <f>816701120</f>
        <v>816701120</v>
      </c>
      <c r="G159" s="138"/>
      <c r="H159" s="102">
        <v>3282790</v>
      </c>
      <c r="I159" s="106">
        <v>816701120</v>
      </c>
      <c r="J159" s="102">
        <f>D159-H159</f>
        <v>0</v>
      </c>
      <c r="K159" s="46">
        <f>F159-I159</f>
        <v>0</v>
      </c>
      <c r="L159" s="16"/>
      <c r="M159" s="16"/>
    </row>
    <row r="160" spans="1:17" ht="15" customHeight="1">
      <c r="A160" s="79" t="s">
        <v>116</v>
      </c>
      <c r="B160" s="39">
        <f>B145+B148</f>
        <v>22809239664</v>
      </c>
      <c r="C160" s="80">
        <f>C145+C148</f>
        <v>24638022917</v>
      </c>
      <c r="D160" s="119">
        <f>D145+D148</f>
        <v>21642145976</v>
      </c>
      <c r="E160" s="120"/>
      <c r="F160" s="119">
        <f>F145+F148</f>
        <v>21692086498</v>
      </c>
      <c r="G160" s="140"/>
      <c r="H160" s="103">
        <f>H145+H148</f>
        <v>21613420478</v>
      </c>
      <c r="I160" s="104">
        <f>I145+I148</f>
        <v>21668020617</v>
      </c>
      <c r="J160" s="103">
        <f>J145+J148</f>
        <v>28725498</v>
      </c>
      <c r="K160" s="81">
        <f>K145+K148</f>
        <v>24065881</v>
      </c>
      <c r="L160" s="21"/>
      <c r="M160" s="21"/>
      <c r="N160" s="21"/>
      <c r="O160" s="21"/>
      <c r="P160" s="21"/>
      <c r="Q160" s="21"/>
    </row>
    <row r="161" spans="1:17" ht="14.25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21"/>
      <c r="M161" s="22"/>
      <c r="N161" s="22"/>
      <c r="O161" s="22"/>
      <c r="P161" s="22"/>
      <c r="Q161" s="22"/>
    </row>
    <row r="162" spans="1:20" ht="15.75">
      <c r="A162" s="82" t="s">
        <v>124</v>
      </c>
      <c r="B162" s="39">
        <f>B140-B160</f>
        <v>-3923483405</v>
      </c>
      <c r="C162" s="40">
        <f>C140-C160</f>
        <v>-6540028606</v>
      </c>
      <c r="D162" s="119">
        <f>D140-D160</f>
        <v>-2447035109</v>
      </c>
      <c r="E162" s="120"/>
      <c r="F162" s="119">
        <f>I140-F160</f>
        <v>-2212324275</v>
      </c>
      <c r="G162" s="140"/>
      <c r="H162" s="103">
        <f>D140-H160</f>
        <v>-2418309611</v>
      </c>
      <c r="I162" s="81">
        <f>I140-I160</f>
        <v>-2188258394</v>
      </c>
      <c r="J162" s="109" t="s">
        <v>133</v>
      </c>
      <c r="K162" s="109" t="s">
        <v>133</v>
      </c>
      <c r="L162" s="218"/>
      <c r="M162" s="218"/>
      <c r="N162" s="218"/>
      <c r="O162" s="218"/>
      <c r="P162" s="218"/>
      <c r="Q162" s="218"/>
      <c r="R162" s="25"/>
      <c r="T162" s="10"/>
    </row>
    <row r="163" spans="1:11" ht="14.25">
      <c r="A163" s="59"/>
      <c r="B163" s="60"/>
      <c r="C163" s="60"/>
      <c r="D163" s="60"/>
      <c r="E163" s="60"/>
      <c r="F163" s="60"/>
      <c r="G163" s="60"/>
      <c r="H163" s="60"/>
      <c r="I163" s="60"/>
      <c r="J163" s="60"/>
      <c r="K163" s="28"/>
    </row>
    <row r="164" spans="1:17" ht="14.25">
      <c r="A164" s="169" t="s">
        <v>102</v>
      </c>
      <c r="B164" s="171" t="s">
        <v>56</v>
      </c>
      <c r="C164" s="172"/>
      <c r="D164" s="172"/>
      <c r="E164" s="172"/>
      <c r="F164" s="172"/>
      <c r="G164" s="172"/>
      <c r="H164" s="172"/>
      <c r="I164" s="172"/>
      <c r="J164" s="172"/>
      <c r="K164" s="172"/>
      <c r="L164" s="17">
        <f aca="true" t="shared" si="3" ref="L164:Q164">L160-L162</f>
        <v>0</v>
      </c>
      <c r="M164" s="17">
        <f t="shared" si="3"/>
        <v>0</v>
      </c>
      <c r="N164" s="17">
        <f>N160-N162</f>
        <v>0</v>
      </c>
      <c r="O164" s="17">
        <f t="shared" si="3"/>
        <v>0</v>
      </c>
      <c r="P164" s="17">
        <f t="shared" si="3"/>
        <v>0</v>
      </c>
      <c r="Q164" s="17">
        <f t="shared" si="3"/>
        <v>0</v>
      </c>
    </row>
    <row r="165" spans="1:12" ht="14.25">
      <c r="A165" s="170"/>
      <c r="B165" s="173"/>
      <c r="C165" s="174"/>
      <c r="D165" s="174"/>
      <c r="E165" s="174"/>
      <c r="F165" s="174"/>
      <c r="G165" s="174"/>
      <c r="H165" s="174"/>
      <c r="I165" s="174"/>
      <c r="J165" s="174"/>
      <c r="K165" s="174"/>
      <c r="L165" s="16"/>
    </row>
    <row r="166" spans="1:13" ht="15" customHeight="1">
      <c r="A166" s="83" t="s">
        <v>103</v>
      </c>
      <c r="B166" s="84"/>
      <c r="C166" s="85"/>
      <c r="D166" s="61"/>
      <c r="E166" s="61"/>
      <c r="F166" s="61"/>
      <c r="G166" s="61"/>
      <c r="H166" s="61"/>
      <c r="I166" s="61"/>
      <c r="J166" s="61"/>
      <c r="K166" s="61">
        <f>2308011306.46</f>
        <v>2308011306.46</v>
      </c>
      <c r="L166" s="98"/>
      <c r="M166" s="17"/>
    </row>
    <row r="167" spans="1:11" ht="14.25">
      <c r="A167" s="86" t="s">
        <v>104</v>
      </c>
      <c r="B167" s="87"/>
      <c r="C167" s="88"/>
      <c r="D167" s="65"/>
      <c r="E167" s="65"/>
      <c r="F167" s="65"/>
      <c r="G167" s="65"/>
      <c r="H167" s="65"/>
      <c r="I167" s="65"/>
      <c r="J167" s="65"/>
      <c r="K167" s="66">
        <v>0</v>
      </c>
    </row>
    <row r="168" spans="1:11" ht="14.25">
      <c r="A168" s="41" t="s">
        <v>121</v>
      </c>
      <c r="B168" s="41"/>
      <c r="C168" s="89"/>
      <c r="D168" s="41"/>
      <c r="E168" s="41"/>
      <c r="F168" s="41"/>
      <c r="G168" s="41"/>
      <c r="H168" s="41"/>
      <c r="I168" s="176" t="s">
        <v>62</v>
      </c>
      <c r="J168" s="176"/>
      <c r="K168" s="176"/>
    </row>
    <row r="169" spans="1:11" ht="14.25">
      <c r="A169" s="206" t="s">
        <v>125</v>
      </c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</row>
    <row r="170" spans="1:11" ht="18" customHeight="1">
      <c r="A170" s="206" t="s">
        <v>126</v>
      </c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</row>
    <row r="171" spans="1:11" ht="14.25">
      <c r="A171" s="206" t="s">
        <v>117</v>
      </c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</row>
    <row r="172" spans="1:11" ht="14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28"/>
    </row>
    <row r="173" spans="1:11" ht="14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28"/>
    </row>
    <row r="174" spans="1:11" ht="14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28"/>
    </row>
    <row r="175" spans="1:11" ht="14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28"/>
    </row>
    <row r="176" spans="1:11" ht="14.25">
      <c r="A176" s="90" t="s">
        <v>58</v>
      </c>
      <c r="B176" s="151" t="s">
        <v>105</v>
      </c>
      <c r="C176" s="151"/>
      <c r="D176" s="151"/>
      <c r="E176" s="151"/>
      <c r="F176" s="41"/>
      <c r="G176" s="161" t="s">
        <v>120</v>
      </c>
      <c r="H176" s="161"/>
      <c r="I176" s="161"/>
      <c r="J176" s="161"/>
      <c r="K176" s="161"/>
    </row>
    <row r="177" spans="1:11" ht="14.25">
      <c r="A177" s="90" t="s">
        <v>59</v>
      </c>
      <c r="B177" s="151" t="s">
        <v>106</v>
      </c>
      <c r="C177" s="151"/>
      <c r="D177" s="151"/>
      <c r="E177" s="151"/>
      <c r="F177" s="41"/>
      <c r="G177" s="161" t="s">
        <v>119</v>
      </c>
      <c r="H177" s="161"/>
      <c r="I177" s="161"/>
      <c r="J177" s="161"/>
      <c r="K177" s="161"/>
    </row>
    <row r="178" spans="1:11" ht="14.25">
      <c r="A178" s="90" t="s">
        <v>60</v>
      </c>
      <c r="B178" s="151" t="s">
        <v>107</v>
      </c>
      <c r="C178" s="151"/>
      <c r="D178" s="151"/>
      <c r="E178" s="151"/>
      <c r="F178" s="41"/>
      <c r="G178" s="151" t="s">
        <v>118</v>
      </c>
      <c r="H178" s="151"/>
      <c r="I178" s="151"/>
      <c r="J178" s="151"/>
      <c r="K178" s="151"/>
    </row>
    <row r="179" spans="1:11" ht="14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28"/>
    </row>
    <row r="180" spans="1:11" ht="14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28"/>
    </row>
    <row r="181" spans="1:11" ht="14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28"/>
    </row>
    <row r="182" spans="1:11" ht="14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28"/>
    </row>
    <row r="183" spans="1:11" ht="14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28"/>
    </row>
    <row r="184" spans="1:11" ht="14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28"/>
    </row>
    <row r="185" spans="1:11" ht="14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28"/>
    </row>
    <row r="186" spans="1:11" ht="14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28"/>
    </row>
    <row r="187" spans="1:11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0" ht="14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4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4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4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</sheetData>
  <sheetProtection/>
  <mergeCells count="299">
    <mergeCell ref="L78:M79"/>
    <mergeCell ref="B90:G90"/>
    <mergeCell ref="C50:C52"/>
    <mergeCell ref="B50:B52"/>
    <mergeCell ref="B86:G86"/>
    <mergeCell ref="B87:G87"/>
    <mergeCell ref="B88:G88"/>
    <mergeCell ref="B89:G89"/>
    <mergeCell ref="A72:C72"/>
    <mergeCell ref="A73:C73"/>
    <mergeCell ref="A50:A52"/>
    <mergeCell ref="A75:C75"/>
    <mergeCell ref="L157:Q158"/>
    <mergeCell ref="D42:H42"/>
    <mergeCell ref="I42:K42"/>
    <mergeCell ref="G176:K176"/>
    <mergeCell ref="D135:H135"/>
    <mergeCell ref="I135:K135"/>
    <mergeCell ref="I139:K139"/>
    <mergeCell ref="H86:K86"/>
    <mergeCell ref="H87:K87"/>
    <mergeCell ref="H88:K88"/>
    <mergeCell ref="I134:K134"/>
    <mergeCell ref="D140:H140"/>
    <mergeCell ref="D138:H138"/>
    <mergeCell ref="G178:K178"/>
    <mergeCell ref="D139:H139"/>
    <mergeCell ref="A170:K170"/>
    <mergeCell ref="A169:K169"/>
    <mergeCell ref="A171:K171"/>
    <mergeCell ref="G177:K177"/>
    <mergeCell ref="B176:E176"/>
    <mergeCell ref="D136:H136"/>
    <mergeCell ref="I136:K136"/>
    <mergeCell ref="D137:H137"/>
    <mergeCell ref="K143:K144"/>
    <mergeCell ref="I138:K138"/>
    <mergeCell ref="F151:G151"/>
    <mergeCell ref="D151:E151"/>
    <mergeCell ref="F152:G152"/>
    <mergeCell ref="B178:E178"/>
    <mergeCell ref="B177:E177"/>
    <mergeCell ref="B142:B144"/>
    <mergeCell ref="C142:C144"/>
    <mergeCell ref="F159:G159"/>
    <mergeCell ref="D134:H134"/>
    <mergeCell ref="D160:E160"/>
    <mergeCell ref="F160:G160"/>
    <mergeCell ref="F156:G156"/>
    <mergeCell ref="F157:G157"/>
    <mergeCell ref="I133:K133"/>
    <mergeCell ref="I137:K137"/>
    <mergeCell ref="I126:K126"/>
    <mergeCell ref="D127:H127"/>
    <mergeCell ref="I127:K127"/>
    <mergeCell ref="D128:H128"/>
    <mergeCell ref="I128:K128"/>
    <mergeCell ref="I129:K129"/>
    <mergeCell ref="D126:H126"/>
    <mergeCell ref="A105:K105"/>
    <mergeCell ref="D123:H123"/>
    <mergeCell ref="D130:H130"/>
    <mergeCell ref="I130:K130"/>
    <mergeCell ref="D131:H131"/>
    <mergeCell ref="I131:K131"/>
    <mergeCell ref="D129:H129"/>
    <mergeCell ref="A106:A107"/>
    <mergeCell ref="D112:H112"/>
    <mergeCell ref="I109:K109"/>
    <mergeCell ref="D108:H108"/>
    <mergeCell ref="D114:H114"/>
    <mergeCell ref="I114:K114"/>
    <mergeCell ref="D111:H111"/>
    <mergeCell ref="I108:K108"/>
    <mergeCell ref="D117:H117"/>
    <mergeCell ref="F154:G154"/>
    <mergeCell ref="F155:G155"/>
    <mergeCell ref="F153:G153"/>
    <mergeCell ref="J142:K142"/>
    <mergeCell ref="J143:J144"/>
    <mergeCell ref="F150:G150"/>
    <mergeCell ref="D73:K73"/>
    <mergeCell ref="A69:K69"/>
    <mergeCell ref="I121:K121"/>
    <mergeCell ref="D132:H132"/>
    <mergeCell ref="I132:K132"/>
    <mergeCell ref="D133:H133"/>
    <mergeCell ref="I107:K107"/>
    <mergeCell ref="D115:H115"/>
    <mergeCell ref="I120:K120"/>
    <mergeCell ref="D109:H109"/>
    <mergeCell ref="D41:H41"/>
    <mergeCell ref="D38:H38"/>
    <mergeCell ref="D43:H43"/>
    <mergeCell ref="D44:H44"/>
    <mergeCell ref="I44:K44"/>
    <mergeCell ref="D93:F93"/>
    <mergeCell ref="I47:K47"/>
    <mergeCell ref="D91:F91"/>
    <mergeCell ref="H93:I93"/>
    <mergeCell ref="H89:K89"/>
    <mergeCell ref="D18:H18"/>
    <mergeCell ref="D19:H19"/>
    <mergeCell ref="D20:H20"/>
    <mergeCell ref="I20:K20"/>
    <mergeCell ref="I24:K24"/>
    <mergeCell ref="I41:K41"/>
    <mergeCell ref="I37:K37"/>
    <mergeCell ref="I38:K38"/>
    <mergeCell ref="I39:K39"/>
    <mergeCell ref="I40:K40"/>
    <mergeCell ref="A76:C76"/>
    <mergeCell ref="D39:H39"/>
    <mergeCell ref="D40:H40"/>
    <mergeCell ref="D75:K75"/>
    <mergeCell ref="I43:K43"/>
    <mergeCell ref="I27:K27"/>
    <mergeCell ref="I28:K28"/>
    <mergeCell ref="D31:H31"/>
    <mergeCell ref="D35:H35"/>
    <mergeCell ref="I29:K29"/>
    <mergeCell ref="D33:H33"/>
    <mergeCell ref="D36:H36"/>
    <mergeCell ref="D37:H37"/>
    <mergeCell ref="F158:G158"/>
    <mergeCell ref="B85:K85"/>
    <mergeCell ref="A82:C82"/>
    <mergeCell ref="A85:A86"/>
    <mergeCell ref="A83:C83"/>
    <mergeCell ref="A80:C80"/>
    <mergeCell ref="A81:C81"/>
    <mergeCell ref="I104:K104"/>
    <mergeCell ref="D118:H118"/>
    <mergeCell ref="D32:H32"/>
    <mergeCell ref="A98:K98"/>
    <mergeCell ref="A99:K99"/>
    <mergeCell ref="D47:H47"/>
    <mergeCell ref="D48:H48"/>
    <mergeCell ref="D57:E57"/>
    <mergeCell ref="F56:G56"/>
    <mergeCell ref="F57:G57"/>
    <mergeCell ref="A97:K97"/>
    <mergeCell ref="A78:C79"/>
    <mergeCell ref="D45:H45"/>
    <mergeCell ref="I45:K45"/>
    <mergeCell ref="I48:K48"/>
    <mergeCell ref="I46:K46"/>
    <mergeCell ref="D46:H46"/>
    <mergeCell ref="D76:K76"/>
    <mergeCell ref="D78:K79"/>
    <mergeCell ref="D62:E62"/>
    <mergeCell ref="I140:K140"/>
    <mergeCell ref="I124:K124"/>
    <mergeCell ref="D125:H125"/>
    <mergeCell ref="I123:K123"/>
    <mergeCell ref="I17:K17"/>
    <mergeCell ref="I18:K18"/>
    <mergeCell ref="I19:K19"/>
    <mergeCell ref="D30:H30"/>
    <mergeCell ref="I33:K33"/>
    <mergeCell ref="I34:K34"/>
    <mergeCell ref="I16:K16"/>
    <mergeCell ref="I23:K23"/>
    <mergeCell ref="I21:K21"/>
    <mergeCell ref="I22:K22"/>
    <mergeCell ref="D21:H21"/>
    <mergeCell ref="D29:H29"/>
    <mergeCell ref="I26:K26"/>
    <mergeCell ref="D25:H25"/>
    <mergeCell ref="D16:H16"/>
    <mergeCell ref="D17:H17"/>
    <mergeCell ref="I31:K31"/>
    <mergeCell ref="I32:K32"/>
    <mergeCell ref="I168:K168"/>
    <mergeCell ref="A101:K101"/>
    <mergeCell ref="I96:K96"/>
    <mergeCell ref="I113:K113"/>
    <mergeCell ref="I118:K118"/>
    <mergeCell ref="I125:K125"/>
    <mergeCell ref="D159:E159"/>
    <mergeCell ref="K51:K52"/>
    <mergeCell ref="F145:G145"/>
    <mergeCell ref="F146:G146"/>
    <mergeCell ref="F147:G147"/>
    <mergeCell ref="F148:G148"/>
    <mergeCell ref="F149:G149"/>
    <mergeCell ref="I117:K117"/>
    <mergeCell ref="D124:H124"/>
    <mergeCell ref="D119:H119"/>
    <mergeCell ref="D143:E144"/>
    <mergeCell ref="F143:G144"/>
    <mergeCell ref="A164:A165"/>
    <mergeCell ref="B164:K165"/>
    <mergeCell ref="D152:E152"/>
    <mergeCell ref="D153:E153"/>
    <mergeCell ref="D154:E154"/>
    <mergeCell ref="D155:E155"/>
    <mergeCell ref="D156:E156"/>
    <mergeCell ref="D157:E157"/>
    <mergeCell ref="D158:E158"/>
    <mergeCell ref="A161:K161"/>
    <mergeCell ref="A5:K5"/>
    <mergeCell ref="A6:K6"/>
    <mergeCell ref="A14:A15"/>
    <mergeCell ref="D14:K14"/>
    <mergeCell ref="I15:K15"/>
    <mergeCell ref="A7:K7"/>
    <mergeCell ref="A8:K8"/>
    <mergeCell ref="A9:K9"/>
    <mergeCell ref="I12:K12"/>
    <mergeCell ref="A13:K13"/>
    <mergeCell ref="I35:K35"/>
    <mergeCell ref="I36:K36"/>
    <mergeCell ref="I30:K30"/>
    <mergeCell ref="D113:H113"/>
    <mergeCell ref="D110:H110"/>
    <mergeCell ref="I110:K110"/>
    <mergeCell ref="I111:K111"/>
    <mergeCell ref="I112:K112"/>
    <mergeCell ref="I90:K90"/>
    <mergeCell ref="D72:K72"/>
    <mergeCell ref="H142:I142"/>
    <mergeCell ref="H143:H144"/>
    <mergeCell ref="I143:I144"/>
    <mergeCell ref="D92:F92"/>
    <mergeCell ref="D122:H122"/>
    <mergeCell ref="I122:K122"/>
    <mergeCell ref="D116:H116"/>
    <mergeCell ref="I115:K115"/>
    <mergeCell ref="I116:K116"/>
    <mergeCell ref="D121:H121"/>
    <mergeCell ref="D120:H120"/>
    <mergeCell ref="J92:K92"/>
    <mergeCell ref="D162:E162"/>
    <mergeCell ref="F162:G162"/>
    <mergeCell ref="D148:E148"/>
    <mergeCell ref="D149:E149"/>
    <mergeCell ref="D150:E150"/>
    <mergeCell ref="J93:K93"/>
    <mergeCell ref="D106:K106"/>
    <mergeCell ref="A100:K100"/>
    <mergeCell ref="I119:K119"/>
    <mergeCell ref="A142:A144"/>
    <mergeCell ref="D147:E147"/>
    <mergeCell ref="D28:H28"/>
    <mergeCell ref="D22:H22"/>
    <mergeCell ref="D23:H23"/>
    <mergeCell ref="D24:H24"/>
    <mergeCell ref="D56:E56"/>
    <mergeCell ref="D26:H26"/>
    <mergeCell ref="D27:H27"/>
    <mergeCell ref="D142:G142"/>
    <mergeCell ref="L148:M148"/>
    <mergeCell ref="L30:M35"/>
    <mergeCell ref="L118:N120"/>
    <mergeCell ref="D34:H34"/>
    <mergeCell ref="I25:K25"/>
    <mergeCell ref="D107:H107"/>
    <mergeCell ref="H92:I92"/>
    <mergeCell ref="D145:E145"/>
    <mergeCell ref="D146:E146"/>
    <mergeCell ref="D63:E63"/>
    <mergeCell ref="D50:G50"/>
    <mergeCell ref="D51:E52"/>
    <mergeCell ref="D53:E53"/>
    <mergeCell ref="D54:E54"/>
    <mergeCell ref="D55:E55"/>
    <mergeCell ref="F54:G54"/>
    <mergeCell ref="F55:G55"/>
    <mergeCell ref="D58:E58"/>
    <mergeCell ref="D59:E59"/>
    <mergeCell ref="D60:E60"/>
    <mergeCell ref="D61:E61"/>
    <mergeCell ref="D15:H15"/>
    <mergeCell ref="D70:E70"/>
    <mergeCell ref="F70:G70"/>
    <mergeCell ref="D64:E64"/>
    <mergeCell ref="D65:E65"/>
    <mergeCell ref="D66:E66"/>
    <mergeCell ref="D67:E67"/>
    <mergeCell ref="D68:E68"/>
    <mergeCell ref="F51:G52"/>
    <mergeCell ref="F53:G53"/>
    <mergeCell ref="F66:G66"/>
    <mergeCell ref="F67:G67"/>
    <mergeCell ref="F58:G58"/>
    <mergeCell ref="F59:G59"/>
    <mergeCell ref="F60:G60"/>
    <mergeCell ref="F61:G61"/>
    <mergeCell ref="F68:G68"/>
    <mergeCell ref="H50:I50"/>
    <mergeCell ref="H51:H52"/>
    <mergeCell ref="I51:I52"/>
    <mergeCell ref="J50:K50"/>
    <mergeCell ref="J51:J52"/>
    <mergeCell ref="F62:G62"/>
    <mergeCell ref="F63:G63"/>
    <mergeCell ref="F64:G64"/>
    <mergeCell ref="F65:G65"/>
  </mergeCells>
  <printOptions horizontalCentered="1"/>
  <pageMargins left="0.35433070866141736" right="0.15748031496062992" top="0.1968503937007874" bottom="0.2362204724409449" header="0.15748031496062992" footer="0.15748031496062992"/>
  <pageSetup fitToHeight="0" fitToWidth="1" horizontalDpi="600" verticalDpi="600" orientation="portrait" paperSize="9" scale="50" r:id="rId4"/>
  <rowBreaks count="1" manualBreakCount="1">
    <brk id="92" max="10" man="1"/>
  </rowBreaks>
  <ignoredErrors>
    <ignoredError sqref="B157:C157" formulaRange="1"/>
    <ignoredError sqref="B86 H86" numberStoredAsText="1"/>
    <ignoredError sqref="C53:C68 J65 K61:K67 J61 J153:J159" formula="1"/>
    <ignoredError sqref="K151:K152" unlockedFormula="1"/>
    <ignoredError sqref="K153:K159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6" bestFit="1" customWidth="1"/>
    <col min="2" max="2" width="27.140625" style="6" bestFit="1" customWidth="1"/>
    <col min="3" max="3" width="10.28125" style="6" bestFit="1" customWidth="1"/>
    <col min="4" max="4" width="34.00390625" style="6" bestFit="1" customWidth="1"/>
    <col min="5" max="5" width="18.00390625" style="6" bestFit="1" customWidth="1"/>
    <col min="6" max="6" width="15.28125" style="6" bestFit="1" customWidth="1"/>
  </cols>
  <sheetData>
    <row r="2" spans="1:6" ht="15">
      <c r="A2" s="2" t="s">
        <v>25</v>
      </c>
      <c r="B2" s="2" t="s">
        <v>26</v>
      </c>
      <c r="C2" s="2" t="s">
        <v>27</v>
      </c>
      <c r="D2" s="2" t="s">
        <v>28</v>
      </c>
      <c r="E2" s="3" t="s">
        <v>29</v>
      </c>
      <c r="F2" s="3" t="s">
        <v>30</v>
      </c>
    </row>
    <row r="3" spans="1:6" ht="15">
      <c r="A3" s="4" t="s">
        <v>32</v>
      </c>
      <c r="B3" s="4" t="s">
        <v>33</v>
      </c>
      <c r="C3" s="4" t="s">
        <v>32</v>
      </c>
      <c r="D3" s="4" t="s">
        <v>31</v>
      </c>
      <c r="E3" s="5">
        <v>9500625048</v>
      </c>
      <c r="F3" s="5">
        <v>0</v>
      </c>
    </row>
    <row r="4" spans="1:6" ht="15">
      <c r="A4" s="4" t="s">
        <v>32</v>
      </c>
      <c r="B4" s="4" t="s">
        <v>33</v>
      </c>
      <c r="C4" s="4" t="s">
        <v>36</v>
      </c>
      <c r="D4" s="4" t="s">
        <v>37</v>
      </c>
      <c r="E4" s="5">
        <v>0</v>
      </c>
      <c r="F4" s="5">
        <v>39042173.44</v>
      </c>
    </row>
    <row r="5" spans="1:6" ht="15">
      <c r="A5" s="4" t="s">
        <v>32</v>
      </c>
      <c r="B5" s="4" t="s">
        <v>33</v>
      </c>
      <c r="C5" s="4" t="s">
        <v>38</v>
      </c>
      <c r="D5" s="4" t="s">
        <v>39</v>
      </c>
      <c r="E5" s="5">
        <v>0</v>
      </c>
      <c r="F5" s="5">
        <v>3253514.45</v>
      </c>
    </row>
    <row r="6" spans="1:6" ht="15">
      <c r="A6" s="4" t="s">
        <v>32</v>
      </c>
      <c r="B6" s="4" t="s">
        <v>33</v>
      </c>
      <c r="C6" s="4" t="s">
        <v>36</v>
      </c>
      <c r="D6" s="4" t="s">
        <v>37</v>
      </c>
      <c r="E6" s="5">
        <v>0</v>
      </c>
      <c r="F6" s="5">
        <v>46498885.94</v>
      </c>
    </row>
    <row r="7" spans="1:6" ht="15">
      <c r="A7" s="4" t="s">
        <v>32</v>
      </c>
      <c r="B7" s="4" t="s">
        <v>33</v>
      </c>
      <c r="C7" s="4" t="s">
        <v>38</v>
      </c>
      <c r="D7" s="4" t="s">
        <v>39</v>
      </c>
      <c r="E7" s="5">
        <v>0</v>
      </c>
      <c r="F7" s="5">
        <v>3874902.13</v>
      </c>
    </row>
    <row r="8" spans="1:6" ht="15">
      <c r="A8" s="4" t="s">
        <v>32</v>
      </c>
      <c r="B8" s="4" t="s">
        <v>33</v>
      </c>
      <c r="C8" s="4" t="s">
        <v>36</v>
      </c>
      <c r="D8" s="4" t="s">
        <v>37</v>
      </c>
      <c r="E8" s="5">
        <v>0</v>
      </c>
      <c r="F8" s="5">
        <v>193092994.06</v>
      </c>
    </row>
    <row r="9" spans="1:6" ht="15">
      <c r="A9" s="4" t="s">
        <v>32</v>
      </c>
      <c r="B9" s="4" t="s">
        <v>33</v>
      </c>
      <c r="C9" s="4" t="s">
        <v>38</v>
      </c>
      <c r="D9" s="4" t="s">
        <v>39</v>
      </c>
      <c r="E9" s="5">
        <v>0</v>
      </c>
      <c r="F9" s="5">
        <v>16091082.84</v>
      </c>
    </row>
    <row r="10" spans="1:6" ht="15">
      <c r="A10" s="4" t="s">
        <v>32</v>
      </c>
      <c r="B10" s="4" t="s">
        <v>33</v>
      </c>
      <c r="C10" s="4" t="s">
        <v>36</v>
      </c>
      <c r="D10" s="4" t="s">
        <v>37</v>
      </c>
      <c r="E10" s="5">
        <v>0</v>
      </c>
      <c r="F10" s="5">
        <v>759794916.27</v>
      </c>
    </row>
    <row r="11" spans="1:6" ht="15">
      <c r="A11" s="4" t="s">
        <v>32</v>
      </c>
      <c r="B11" s="4" t="s">
        <v>33</v>
      </c>
      <c r="C11" s="4" t="s">
        <v>38</v>
      </c>
      <c r="D11" s="4" t="s">
        <v>39</v>
      </c>
      <c r="E11" s="5">
        <v>0</v>
      </c>
      <c r="F11" s="5">
        <v>63315599.52</v>
      </c>
    </row>
    <row r="12" spans="1:6" ht="15">
      <c r="A12" s="4" t="s">
        <v>32</v>
      </c>
      <c r="B12" s="4" t="s">
        <v>33</v>
      </c>
      <c r="C12" s="4" t="s">
        <v>36</v>
      </c>
      <c r="D12" s="4" t="s">
        <v>37</v>
      </c>
      <c r="E12" s="5">
        <v>0</v>
      </c>
      <c r="F12" s="5">
        <v>46279776.21</v>
      </c>
    </row>
    <row r="13" spans="1:6" ht="15">
      <c r="A13" s="4" t="s">
        <v>32</v>
      </c>
      <c r="B13" s="4" t="s">
        <v>33</v>
      </c>
      <c r="C13" s="4" t="s">
        <v>38</v>
      </c>
      <c r="D13" s="4" t="s">
        <v>39</v>
      </c>
      <c r="E13" s="5">
        <v>0</v>
      </c>
      <c r="F13" s="5">
        <v>3856648.02</v>
      </c>
    </row>
    <row r="14" spans="1:6" ht="15">
      <c r="A14" s="4"/>
      <c r="B14" s="4"/>
      <c r="C14" s="4"/>
      <c r="D14" s="4"/>
      <c r="E14" s="5"/>
      <c r="F14" s="5"/>
    </row>
    <row r="15" spans="1:6" ht="15">
      <c r="A15" s="4" t="s">
        <v>34</v>
      </c>
      <c r="B15" s="4" t="s">
        <v>35</v>
      </c>
      <c r="C15" s="4" t="s">
        <v>44</v>
      </c>
      <c r="D15" s="4" t="s">
        <v>45</v>
      </c>
      <c r="E15" s="5">
        <v>0</v>
      </c>
      <c r="F15" s="5">
        <v>372209104.38</v>
      </c>
    </row>
    <row r="16" spans="1:6" ht="15">
      <c r="A16" s="4" t="s">
        <v>34</v>
      </c>
      <c r="B16" s="4" t="s">
        <v>35</v>
      </c>
      <c r="C16" s="4" t="s">
        <v>46</v>
      </c>
      <c r="D16" s="4" t="s">
        <v>47</v>
      </c>
      <c r="E16" s="5">
        <v>0</v>
      </c>
      <c r="F16" s="5">
        <v>31096474.67</v>
      </c>
    </row>
    <row r="20" spans="1:6" ht="15">
      <c r="A20" s="4" t="s">
        <v>34</v>
      </c>
      <c r="B20" s="4" t="s">
        <v>35</v>
      </c>
      <c r="C20" s="4" t="s">
        <v>34</v>
      </c>
      <c r="D20" s="4" t="s">
        <v>31</v>
      </c>
      <c r="E20" s="5">
        <v>2501428954</v>
      </c>
      <c r="F20" s="5">
        <v>0</v>
      </c>
    </row>
    <row r="21" spans="1:7" ht="15">
      <c r="A21" s="4" t="s">
        <v>32</v>
      </c>
      <c r="B21" s="4" t="s">
        <v>33</v>
      </c>
      <c r="C21" s="4" t="s">
        <v>40</v>
      </c>
      <c r="D21" s="4" t="s">
        <v>41</v>
      </c>
      <c r="E21" s="5">
        <v>0</v>
      </c>
      <c r="F21" s="5">
        <v>399391087.05</v>
      </c>
      <c r="G21" s="215" t="s">
        <v>52</v>
      </c>
    </row>
    <row r="22" spans="1:7" ht="15">
      <c r="A22" s="4" t="s">
        <v>32</v>
      </c>
      <c r="B22" s="4" t="s">
        <v>33</v>
      </c>
      <c r="C22" s="4" t="s">
        <v>42</v>
      </c>
      <c r="D22" s="4" t="s">
        <v>43</v>
      </c>
      <c r="E22" s="5">
        <v>0</v>
      </c>
      <c r="F22" s="5">
        <v>33280438.89</v>
      </c>
      <c r="G22" s="216"/>
    </row>
    <row r="23" spans="1:6" ht="15">
      <c r="A23" s="4"/>
      <c r="B23" s="4"/>
      <c r="C23" s="4"/>
      <c r="D23" s="4"/>
      <c r="E23" s="5"/>
      <c r="F23" s="5"/>
    </row>
    <row r="24" spans="1:7" ht="15">
      <c r="A24" s="4" t="s">
        <v>34</v>
      </c>
      <c r="B24" s="4" t="s">
        <v>35</v>
      </c>
      <c r="C24" s="4" t="s">
        <v>48</v>
      </c>
      <c r="D24" s="4" t="s">
        <v>49</v>
      </c>
      <c r="E24" s="5">
        <v>0</v>
      </c>
      <c r="F24" s="5">
        <v>6323248.66</v>
      </c>
      <c r="G24" s="215" t="s">
        <v>53</v>
      </c>
    </row>
    <row r="25" spans="1:7" ht="15">
      <c r="A25" s="4" t="s">
        <v>34</v>
      </c>
      <c r="B25" s="4" t="s">
        <v>35</v>
      </c>
      <c r="C25" s="4" t="s">
        <v>50</v>
      </c>
      <c r="D25" s="4" t="s">
        <v>51</v>
      </c>
      <c r="E25" s="5">
        <v>0</v>
      </c>
      <c r="F25" s="5">
        <v>75878983.98</v>
      </c>
      <c r="G25" s="216"/>
    </row>
    <row r="27" spans="4:5" ht="15">
      <c r="D27" s="4" t="s">
        <v>54</v>
      </c>
      <c r="E27" s="7">
        <f>SUM(E20,E3)-SUM(F21:F25)</f>
        <v>11487180243.42</v>
      </c>
    </row>
    <row r="28" spans="4:5" ht="15">
      <c r="D28" s="4" t="s">
        <v>55</v>
      </c>
      <c r="E28" s="7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2020-01-15T20:44:21Z</cp:lastPrinted>
  <dcterms:created xsi:type="dcterms:W3CDTF">2011-09-16T14:41:22Z</dcterms:created>
  <dcterms:modified xsi:type="dcterms:W3CDTF">2020-09-09T19:36:12Z</dcterms:modified>
  <cp:category/>
  <cp:version/>
  <cp:contentType/>
  <cp:contentStatus/>
</cp:coreProperties>
</file>