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5" windowWidth="7680" windowHeight="7365" activeTab="0"/>
  </bookViews>
  <sheets>
    <sheet name="Anexo II - 6º BIM" sheetId="1" r:id="rId1"/>
  </sheets>
  <definedNames>
    <definedName name="_xlnm.Print_Area" localSheetId="0">'Anexo II - 6º BIM'!$A$1:$M$454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<sst xmlns="http://schemas.openxmlformats.org/spreadsheetml/2006/main" count="826" uniqueCount="288">
  <si>
    <t>RELATÓRIO RESUMIDO DA EXECUÇÃO ORÇAMENTÁRIA</t>
  </si>
  <si>
    <t>DEMONSTRATIVO DA EXECUÇÃO DAS DESPESAS POR FUNÇÃO/SUBFUNÇÃO</t>
  </si>
  <si>
    <t>ORÇAMENTOS FISCAL E DA SEGURIDADE SOCIAL</t>
  </si>
  <si>
    <t>DOTAÇÃO</t>
  </si>
  <si>
    <t>DESPESAS EMPENHADAS</t>
  </si>
  <si>
    <t>DESPESAS LIQUIDADAS</t>
  </si>
  <si>
    <t>FUNÇÃO/SUBFUNÇÃO</t>
  </si>
  <si>
    <t>INICIAL</t>
  </si>
  <si>
    <t>ATUALIZADA</t>
  </si>
  <si>
    <t>No Bimestre</t>
  </si>
  <si>
    <t>Até o Bimestre</t>
  </si>
  <si>
    <t>%</t>
  </si>
  <si>
    <t>(a)</t>
  </si>
  <si>
    <t>(b)</t>
  </si>
  <si>
    <t>GOVERNO DO ESTADO DO RIO DE JANEIRO</t>
  </si>
  <si>
    <t>DESPESAS (EXCETO INTRA-ORÇAMENTÁRIAS) (I)</t>
  </si>
  <si>
    <t>DESPESAS (INTRA-ORÇAMENTÁRIAS) (II)</t>
  </si>
  <si>
    <t>(b/total b)</t>
  </si>
  <si>
    <t>SALDO</t>
  </si>
  <si>
    <t>(c) = (a - b)</t>
  </si>
  <si>
    <t>(d)</t>
  </si>
  <si>
    <t>(d/total d)</t>
  </si>
  <si>
    <t>(e) = (a - d)</t>
  </si>
  <si>
    <t>COD</t>
  </si>
  <si>
    <t>Legislativa</t>
  </si>
  <si>
    <t>01</t>
  </si>
  <si>
    <t>031</t>
  </si>
  <si>
    <t>032</t>
  </si>
  <si>
    <t>122</t>
  </si>
  <si>
    <t>128</t>
  </si>
  <si>
    <t>542</t>
  </si>
  <si>
    <t>Ação Legislativa</t>
  </si>
  <si>
    <t>Controle Externo</t>
  </si>
  <si>
    <t>Administração Geral</t>
  </si>
  <si>
    <t>Formação de Recursos Humanos</t>
  </si>
  <si>
    <t>Controle Ambiental</t>
  </si>
  <si>
    <t>02</t>
  </si>
  <si>
    <t>Judiciária</t>
  </si>
  <si>
    <t>061</t>
  </si>
  <si>
    <t>123</t>
  </si>
  <si>
    <t>Ação Judiciária</t>
  </si>
  <si>
    <t>Administração Financeira</t>
  </si>
  <si>
    <t>03</t>
  </si>
  <si>
    <t>Essencial à Justiça</t>
  </si>
  <si>
    <t>091</t>
  </si>
  <si>
    <t>Defesa da Ordem Jurídica</t>
  </si>
  <si>
    <t>04</t>
  </si>
  <si>
    <t>Administração</t>
  </si>
  <si>
    <t>121</t>
  </si>
  <si>
    <t>125</t>
  </si>
  <si>
    <t>126</t>
  </si>
  <si>
    <t>127</t>
  </si>
  <si>
    <t>241</t>
  </si>
  <si>
    <t>422</t>
  </si>
  <si>
    <t>694</t>
  </si>
  <si>
    <t>Planejamento e Orçamento</t>
  </si>
  <si>
    <t>Normatização e Fiscalização</t>
  </si>
  <si>
    <t>Tecnologia da Informação</t>
  </si>
  <si>
    <t>Ordenamento Territorial</t>
  </si>
  <si>
    <t>Assistência ao Idoso</t>
  </si>
  <si>
    <t>Direitos Individuais, Coletivos e Difusos</t>
  </si>
  <si>
    <t>Serviços Financeiros</t>
  </si>
  <si>
    <t>Segurança Pública</t>
  </si>
  <si>
    <t>06</t>
  </si>
  <si>
    <t>181</t>
  </si>
  <si>
    <t>182</t>
  </si>
  <si>
    <t>183</t>
  </si>
  <si>
    <t>302</t>
  </si>
  <si>
    <t>306</t>
  </si>
  <si>
    <t>421</t>
  </si>
  <si>
    <t>781</t>
  </si>
  <si>
    <t>782</t>
  </si>
  <si>
    <t>Policiamento</t>
  </si>
  <si>
    <t>Defesa Civil</t>
  </si>
  <si>
    <t>Informação e Inteligência</t>
  </si>
  <si>
    <t>Assistência Hospitalar e Ambulatorial</t>
  </si>
  <si>
    <t>Alimentação e Nutrição</t>
  </si>
  <si>
    <t>Custódia e Reintegração Social</t>
  </si>
  <si>
    <t>Transporte Aéreo</t>
  </si>
  <si>
    <t>Transporte Rodoviário</t>
  </si>
  <si>
    <t>Assistência Social</t>
  </si>
  <si>
    <t>08</t>
  </si>
  <si>
    <t>243</t>
  </si>
  <si>
    <t>244</t>
  </si>
  <si>
    <t>Assistência à Criança e ao Adolescente</t>
  </si>
  <si>
    <t>Assistência Comunitária</t>
  </si>
  <si>
    <t>Previdência Social</t>
  </si>
  <si>
    <t>09</t>
  </si>
  <si>
    <t>272</t>
  </si>
  <si>
    <t>Previdência do Regime Estatutário</t>
  </si>
  <si>
    <t>10</t>
  </si>
  <si>
    <t>Saúde</t>
  </si>
  <si>
    <t>301</t>
  </si>
  <si>
    <t>303</t>
  </si>
  <si>
    <t>304</t>
  </si>
  <si>
    <t>305</t>
  </si>
  <si>
    <t>571</t>
  </si>
  <si>
    <t>573</t>
  </si>
  <si>
    <t>Atenção Básica</t>
  </si>
  <si>
    <t>Suporte Profilático e Terapêutico</t>
  </si>
  <si>
    <t>Vigilância Sanitária</t>
  </si>
  <si>
    <t>Vigilância Epidemiológica</t>
  </si>
  <si>
    <t>Desenvolvimento Científico</t>
  </si>
  <si>
    <t>Trabalho</t>
  </si>
  <si>
    <t>11</t>
  </si>
  <si>
    <t>333</t>
  </si>
  <si>
    <t>334</t>
  </si>
  <si>
    <t>Empregabilidade</t>
  </si>
  <si>
    <t>Fomento ao Trabalho</t>
  </si>
  <si>
    <t>12</t>
  </si>
  <si>
    <t>Educação</t>
  </si>
  <si>
    <t>361</t>
  </si>
  <si>
    <t>362</t>
  </si>
  <si>
    <t>363</t>
  </si>
  <si>
    <t>364</t>
  </si>
  <si>
    <t>366</t>
  </si>
  <si>
    <t>367</t>
  </si>
  <si>
    <t>392</t>
  </si>
  <si>
    <t>Ensino Fundamental</t>
  </si>
  <si>
    <t>Ensino Médio</t>
  </si>
  <si>
    <t>Ensino Profissional</t>
  </si>
  <si>
    <t>Ensino Superior</t>
  </si>
  <si>
    <t>Educação de Jovens e Adultos</t>
  </si>
  <si>
    <t>Educação Especial</t>
  </si>
  <si>
    <t>Difusão Cultural</t>
  </si>
  <si>
    <t>13</t>
  </si>
  <si>
    <t>Cultura</t>
  </si>
  <si>
    <t>391</t>
  </si>
  <si>
    <t>Patrimônio Histór, Artístico e Arqueológico</t>
  </si>
  <si>
    <t>14</t>
  </si>
  <si>
    <t>Direitos da Cidadania</t>
  </si>
  <si>
    <t>242</t>
  </si>
  <si>
    <t>Assistência ao Portador de Deficiência</t>
  </si>
  <si>
    <t>15</t>
  </si>
  <si>
    <t>Urbanismo</t>
  </si>
  <si>
    <t>451</t>
  </si>
  <si>
    <t>Infraestrutura Urbana</t>
  </si>
  <si>
    <t>Habitação</t>
  </si>
  <si>
    <t>16</t>
  </si>
  <si>
    <t>482</t>
  </si>
  <si>
    <t>Habitação Urbana</t>
  </si>
  <si>
    <t>17</t>
  </si>
  <si>
    <t>Saneamento</t>
  </si>
  <si>
    <t>512</t>
  </si>
  <si>
    <t>Saneamento Básico Urbano</t>
  </si>
  <si>
    <t>543</t>
  </si>
  <si>
    <t>Recuperação de Áreas Degradadas</t>
  </si>
  <si>
    <t>544</t>
  </si>
  <si>
    <t>Recursos Hídricos</t>
  </si>
  <si>
    <t>18</t>
  </si>
  <si>
    <t>Gestão Ambiental</t>
  </si>
  <si>
    <t>453</t>
  </si>
  <si>
    <t>Transportes Coletivos Urbanos</t>
  </si>
  <si>
    <t>541</t>
  </si>
  <si>
    <t>Preservação e Conservação Ambiental</t>
  </si>
  <si>
    <t>601</t>
  </si>
  <si>
    <t>Promoção da Produção Vegetal</t>
  </si>
  <si>
    <t>Continuação</t>
  </si>
  <si>
    <t>19</t>
  </si>
  <si>
    <t>Ciência e Tecnologia</t>
  </si>
  <si>
    <t>572</t>
  </si>
  <si>
    <t>Desenvolvimento Tecnológico e Engenharia</t>
  </si>
  <si>
    <t>20</t>
  </si>
  <si>
    <t>Agricultura</t>
  </si>
  <si>
    <t>131</t>
  </si>
  <si>
    <t>Comunicação Social</t>
  </si>
  <si>
    <t>602</t>
  </si>
  <si>
    <t>Promoção da Produção Animal</t>
  </si>
  <si>
    <t>604</t>
  </si>
  <si>
    <t>Defesa Sanitária Animal</t>
  </si>
  <si>
    <t>605</t>
  </si>
  <si>
    <t>Abastecimento</t>
  </si>
  <si>
    <t>606</t>
  </si>
  <si>
    <t>Extensão Rural</t>
  </si>
  <si>
    <t>Organização Agrária</t>
  </si>
  <si>
    <t>21</t>
  </si>
  <si>
    <t>631</t>
  </si>
  <si>
    <t>Reforma Agrária</t>
  </si>
  <si>
    <t>22</t>
  </si>
  <si>
    <t>Indústria</t>
  </si>
  <si>
    <t>661</t>
  </si>
  <si>
    <t>Promoção Industrial</t>
  </si>
  <si>
    <t>663</t>
  </si>
  <si>
    <t>Mineração</t>
  </si>
  <si>
    <t>665</t>
  </si>
  <si>
    <t>695</t>
  </si>
  <si>
    <t>Turismo</t>
  </si>
  <si>
    <t>751</t>
  </si>
  <si>
    <t>Conservação de Energia</t>
  </si>
  <si>
    <t>23</t>
  </si>
  <si>
    <t>Comércio e Serviços</t>
  </si>
  <si>
    <t>691</t>
  </si>
  <si>
    <t>Promoção Comercial</t>
  </si>
  <si>
    <t>24</t>
  </si>
  <si>
    <t>Comunicações</t>
  </si>
  <si>
    <t>26</t>
  </si>
  <si>
    <t>Transporte</t>
  </si>
  <si>
    <t>783</t>
  </si>
  <si>
    <t>Transporte Ferroviário</t>
  </si>
  <si>
    <t>784</t>
  </si>
  <si>
    <t>Transporte Hidroviário</t>
  </si>
  <si>
    <t>785</t>
  </si>
  <si>
    <t>Transportes Especiais</t>
  </si>
  <si>
    <t>27</t>
  </si>
  <si>
    <t>Desporto e Lazer</t>
  </si>
  <si>
    <t>811</t>
  </si>
  <si>
    <t>Desporto de Rendimento</t>
  </si>
  <si>
    <t>812</t>
  </si>
  <si>
    <t>Desporto Comunitário</t>
  </si>
  <si>
    <t>813</t>
  </si>
  <si>
    <t>Lazer</t>
  </si>
  <si>
    <t>28</t>
  </si>
  <si>
    <t>Encargos Especiais</t>
  </si>
  <si>
    <t>841</t>
  </si>
  <si>
    <t>Refinanciamento da Dívida Interna</t>
  </si>
  <si>
    <t>843</t>
  </si>
  <si>
    <t>Serviço da Dívida Interna</t>
  </si>
  <si>
    <t>844</t>
  </si>
  <si>
    <t>Serviço da Dívida Externa</t>
  </si>
  <si>
    <t>846</t>
  </si>
  <si>
    <t>Outros Encargos Especiais</t>
  </si>
  <si>
    <t>99</t>
  </si>
  <si>
    <t>Reserva de Contingência</t>
  </si>
  <si>
    <t>999</t>
  </si>
  <si>
    <t>Reserva de Contingência do RPPS</t>
  </si>
  <si>
    <t>TOTAL (III) = (I) + (II)</t>
  </si>
  <si>
    <t>Continua (2/3)</t>
  </si>
  <si>
    <t>(3/3)</t>
  </si>
  <si>
    <t>Continua (1/3)</t>
  </si>
  <si>
    <t>092</t>
  </si>
  <si>
    <t>Representação Judicial e Extrajudicial</t>
  </si>
  <si>
    <t>Controle Interno</t>
  </si>
  <si>
    <t>124</t>
  </si>
  <si>
    <t>129</t>
  </si>
  <si>
    <t>Administração de Receitas</t>
  </si>
  <si>
    <t>Administração de Concessões</t>
  </si>
  <si>
    <t>130</t>
  </si>
  <si>
    <t>Difusão do Conhecimento Científico e Tecnológico</t>
  </si>
  <si>
    <t>332</t>
  </si>
  <si>
    <t>Relações de Trabalho</t>
  </si>
  <si>
    <t>RREO - Anexo 2 (LRF, Art 52, inciso II, alínea "c")</t>
  </si>
  <si>
    <t>Difusão do Conhecimento Científ e Tecnológ</t>
  </si>
  <si>
    <t>331</t>
  </si>
  <si>
    <t>Proteção e Benefícios ao Trabalhador</t>
  </si>
  <si>
    <t>692</t>
  </si>
  <si>
    <t>Comercialização</t>
  </si>
  <si>
    <t>997</t>
  </si>
  <si>
    <t>Reserva do Regime Próprio de Previdência do Servidor - RPPS</t>
  </si>
  <si>
    <t xml:space="preserve">     Contador - CRC-RJ-097281/O-6</t>
  </si>
  <si>
    <t xml:space="preserve">Contador - CRC-RJ-079208/O-8 </t>
  </si>
  <si>
    <t>Normalização e Qualidade</t>
  </si>
  <si>
    <t>368</t>
  </si>
  <si>
    <t>Educação Básica</t>
  </si>
  <si>
    <t>752</t>
  </si>
  <si>
    <t>Energia Elétrica</t>
  </si>
  <si>
    <t>Renato Ferreira Costa</t>
  </si>
  <si>
    <t>Coordenador - ID: 4.284.985-3</t>
  </si>
  <si>
    <t>Ronald Marcio G. Rodrigues</t>
  </si>
  <si>
    <t>Superintendente - ID: 1.943.584-3</t>
  </si>
  <si>
    <t>FONTE: Siafe-Rio - Secretaria de Estado de Fazenda.</t>
  </si>
  <si>
    <t>Obs.:  1 - Excluídas a Imprensa Oficial, a CEDAE e a AGERIO por não se enquadrarem no conceito de Empresa Dependente.</t>
  </si>
  <si>
    <t>481</t>
  </si>
  <si>
    <t>Habitação Rural</t>
  </si>
  <si>
    <t xml:space="preserve"> Formação de Recursos Humanos</t>
  </si>
  <si>
    <t xml:space="preserve"> Assistência Comunitária</t>
  </si>
  <si>
    <t>FUNÇÃO/SUBFUNÇÃO - INTRA-ORÇAMENTÁRIAS</t>
  </si>
  <si>
    <t>(b/III b)</t>
  </si>
  <si>
    <t>(d/III d)</t>
  </si>
  <si>
    <t xml:space="preserve"> Tecnologia da Informação</t>
  </si>
  <si>
    <t>Patrimônio Histórico, Artístico e Arqueológico</t>
  </si>
  <si>
    <t>608</t>
  </si>
  <si>
    <t>609</t>
  </si>
  <si>
    <t>Promoção da Produção Agropecuária</t>
  </si>
  <si>
    <t>Defesa Agropecuária</t>
  </si>
  <si>
    <t>693</t>
  </si>
  <si>
    <t>Comércio Exterior</t>
  </si>
  <si>
    <t>753</t>
  </si>
  <si>
    <t>Petróleo</t>
  </si>
  <si>
    <t>25</t>
  </si>
  <si>
    <t>Energia</t>
  </si>
  <si>
    <t>Yasmim da Costa Monteiro</t>
  </si>
  <si>
    <t>Subsecretária de Contabilidade Geral - ID: 4.461.243-5</t>
  </si>
  <si>
    <t>Contadora - CRC-RJ-114428/O-0</t>
  </si>
  <si>
    <t xml:space="preserve">          2 - Imprensa Oficial, CEDAE e AGERIO não constam nos Orçamentos Fiscal e da Seguridade Social no exercício de 2022.</t>
  </si>
  <si>
    <t>Ação judiciária</t>
  </si>
  <si>
    <t>INSCRITAS EM RESTOS A PAGAR NÃO PROCESSADOS (f)</t>
  </si>
  <si>
    <t>JANEIRO A DEZEMBRO 2022/BIMESTRE NOVEMBRO - DEZEMBRO</t>
  </si>
  <si>
    <t>Emissão: 25/01/2023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</si>
</sst>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</numFmts>
  <fonts count="50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rgb="FF000000"/>
        <bgColor rgb="FFFFFFF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4" fontId="2" fillId="0" borderId="0" xfId="63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172" fontId="4" fillId="34" borderId="0" xfId="0" applyNumberFormat="1" applyFont="1" applyFill="1" applyAlignment="1">
      <alignment/>
    </xf>
    <xf numFmtId="167" fontId="4" fillId="34" borderId="0" xfId="0" applyNumberFormat="1" applyFont="1" applyFill="1" applyAlignment="1">
      <alignment horizontal="right"/>
    </xf>
    <xf numFmtId="49" fontId="4" fillId="34" borderId="0" xfId="0" applyNumberFormat="1" applyFont="1" applyFill="1" applyBorder="1" applyAlignment="1">
      <alignment horizontal="center"/>
    </xf>
    <xf numFmtId="174" fontId="4" fillId="34" borderId="0" xfId="63" applyNumberFormat="1" applyFont="1" applyFill="1" applyBorder="1" applyAlignment="1">
      <alignment/>
    </xf>
    <xf numFmtId="171" fontId="4" fillId="34" borderId="0" xfId="63" applyFont="1" applyFill="1" applyBorder="1" applyAlignment="1">
      <alignment/>
    </xf>
    <xf numFmtId="49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74" fontId="5" fillId="34" borderId="0" xfId="63" applyNumberFormat="1" applyFont="1" applyFill="1" applyBorder="1" applyAlignment="1">
      <alignment/>
    </xf>
    <xf numFmtId="171" fontId="5" fillId="34" borderId="0" xfId="63" applyFont="1" applyFill="1" applyBorder="1" applyAlignment="1">
      <alignment/>
    </xf>
    <xf numFmtId="49" fontId="1" fillId="34" borderId="0" xfId="0" applyNumberFormat="1" applyFont="1" applyFill="1" applyAlignment="1">
      <alignment horizontal="center"/>
    </xf>
    <xf numFmtId="171" fontId="4" fillId="34" borderId="0" xfId="63" applyFont="1" applyFill="1" applyAlignment="1">
      <alignment horizontal="center"/>
    </xf>
    <xf numFmtId="174" fontId="4" fillId="34" borderId="0" xfId="0" applyNumberFormat="1" applyFont="1" applyFill="1" applyBorder="1" applyAlignment="1">
      <alignment/>
    </xf>
    <xf numFmtId="174" fontId="4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174" fontId="48" fillId="34" borderId="0" xfId="0" applyNumberFormat="1" applyFont="1" applyFill="1" applyAlignment="1">
      <alignment/>
    </xf>
    <xf numFmtId="174" fontId="4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 horizontal="center"/>
    </xf>
    <xf numFmtId="0" fontId="6" fillId="34" borderId="11" xfId="0" applyFont="1" applyFill="1" applyBorder="1" applyAlignment="1">
      <alignment/>
    </xf>
    <xf numFmtId="171" fontId="6" fillId="34" borderId="14" xfId="63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171" fontId="6" fillId="34" borderId="14" xfId="63" applyFont="1" applyFill="1" applyBorder="1" applyAlignment="1">
      <alignment/>
    </xf>
    <xf numFmtId="49" fontId="7" fillId="34" borderId="0" xfId="0" applyNumberFormat="1" applyFont="1" applyFill="1" applyAlignment="1">
      <alignment horizontal="center"/>
    </xf>
    <xf numFmtId="0" fontId="7" fillId="34" borderId="14" xfId="0" applyFont="1" applyFill="1" applyBorder="1" applyAlignment="1">
      <alignment/>
    </xf>
    <xf numFmtId="174" fontId="7" fillId="34" borderId="14" xfId="63" applyNumberFormat="1" applyFont="1" applyFill="1" applyBorder="1" applyAlignment="1">
      <alignment/>
    </xf>
    <xf numFmtId="171" fontId="7" fillId="34" borderId="14" xfId="63" applyFont="1" applyFill="1" applyBorder="1" applyAlignment="1">
      <alignment horizontal="center"/>
    </xf>
    <xf numFmtId="171" fontId="7" fillId="34" borderId="14" xfId="63" applyFont="1" applyFill="1" applyBorder="1" applyAlignment="1">
      <alignment/>
    </xf>
    <xf numFmtId="174" fontId="7" fillId="34" borderId="15" xfId="63" applyNumberFormat="1" applyFont="1" applyFill="1" applyBorder="1" applyAlignment="1">
      <alignment/>
    </xf>
    <xf numFmtId="49" fontId="7" fillId="34" borderId="19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171" fontId="7" fillId="34" borderId="17" xfId="63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174" fontId="7" fillId="34" borderId="0" xfId="63" applyNumberFormat="1" applyFont="1" applyFill="1" applyBorder="1" applyAlignment="1">
      <alignment/>
    </xf>
    <xf numFmtId="171" fontId="7" fillId="34" borderId="0" xfId="63" applyFont="1" applyFill="1" applyBorder="1" applyAlignment="1">
      <alignment/>
    </xf>
    <xf numFmtId="174" fontId="7" fillId="34" borderId="0" xfId="63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171" fontId="7" fillId="34" borderId="15" xfId="63" applyFont="1" applyFill="1" applyBorder="1" applyAlignment="1">
      <alignment/>
    </xf>
    <xf numFmtId="49" fontId="7" fillId="34" borderId="13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171" fontId="6" fillId="34" borderId="0" xfId="63" applyFont="1" applyFill="1" applyBorder="1" applyAlignment="1">
      <alignment/>
    </xf>
    <xf numFmtId="0" fontId="6" fillId="34" borderId="15" xfId="0" applyFont="1" applyFill="1" applyBorder="1" applyAlignment="1">
      <alignment/>
    </xf>
    <xf numFmtId="171" fontId="6" fillId="34" borderId="11" xfId="63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9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7" fillId="34" borderId="0" xfId="0" applyFont="1" applyFill="1" applyAlignment="1">
      <alignment horizontal="right"/>
    </xf>
    <xf numFmtId="171" fontId="6" fillId="34" borderId="14" xfId="63" applyNumberFormat="1" applyFont="1" applyFill="1" applyBorder="1" applyAlignment="1">
      <alignment/>
    </xf>
    <xf numFmtId="171" fontId="6" fillId="34" borderId="14" xfId="63" applyNumberFormat="1" applyFont="1" applyFill="1" applyBorder="1" applyAlignment="1">
      <alignment horizontal="center"/>
    </xf>
    <xf numFmtId="171" fontId="6" fillId="34" borderId="14" xfId="63" applyNumberFormat="1" applyFont="1" applyFill="1" applyBorder="1" applyAlignment="1">
      <alignment/>
    </xf>
    <xf numFmtId="171" fontId="7" fillId="34" borderId="14" xfId="63" applyNumberFormat="1" applyFont="1" applyFill="1" applyBorder="1" applyAlignment="1">
      <alignment/>
    </xf>
    <xf numFmtId="171" fontId="7" fillId="34" borderId="17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/>
    </xf>
    <xf numFmtId="171" fontId="7" fillId="34" borderId="15" xfId="63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7" fillId="34" borderId="18" xfId="63" applyNumberFormat="1" applyFont="1" applyFill="1" applyBorder="1" applyAlignment="1">
      <alignment/>
    </xf>
    <xf numFmtId="171" fontId="7" fillId="34" borderId="13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 applyProtection="1">
      <alignment/>
      <protection locked="0"/>
    </xf>
    <xf numFmtId="171" fontId="6" fillId="34" borderId="11" xfId="63" applyNumberFormat="1" applyFont="1" applyFill="1" applyBorder="1" applyAlignment="1">
      <alignment/>
    </xf>
    <xf numFmtId="171" fontId="6" fillId="34" borderId="0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>
      <alignment/>
    </xf>
    <xf numFmtId="171" fontId="6" fillId="34" borderId="17" xfId="63" applyNumberFormat="1" applyFont="1" applyFill="1" applyBorder="1" applyAlignment="1">
      <alignment/>
    </xf>
    <xf numFmtId="171" fontId="6" fillId="34" borderId="18" xfId="63" applyNumberFormat="1" applyFont="1" applyFill="1" applyBorder="1" applyAlignment="1">
      <alignment/>
    </xf>
    <xf numFmtId="171" fontId="6" fillId="34" borderId="20" xfId="63" applyNumberFormat="1" applyFont="1" applyFill="1" applyBorder="1" applyAlignment="1">
      <alignment/>
    </xf>
    <xf numFmtId="171" fontId="6" fillId="34" borderId="21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 horizontal="center"/>
    </xf>
    <xf numFmtId="171" fontId="7" fillId="0" borderId="14" xfId="63" applyNumberFormat="1" applyFont="1" applyFill="1" applyBorder="1" applyAlignment="1">
      <alignment/>
    </xf>
    <xf numFmtId="43" fontId="7" fillId="34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71" fontId="7" fillId="0" borderId="0" xfId="63" applyFont="1" applyFill="1" applyBorder="1" applyAlignment="1">
      <alignment/>
    </xf>
    <xf numFmtId="171" fontId="7" fillId="0" borderId="14" xfId="63" applyFont="1" applyFill="1" applyBorder="1" applyAlignment="1">
      <alignment/>
    </xf>
    <xf numFmtId="171" fontId="7" fillId="0" borderId="0" xfId="63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43" fontId="4" fillId="34" borderId="0" xfId="0" applyNumberFormat="1" applyFont="1" applyFill="1" applyAlignment="1">
      <alignment/>
    </xf>
    <xf numFmtId="171" fontId="3" fillId="35" borderId="14" xfId="63" applyFont="1" applyFill="1" applyBorder="1" applyAlignment="1">
      <alignment/>
    </xf>
    <xf numFmtId="171" fontId="3" fillId="35" borderId="17" xfId="63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34" borderId="0" xfId="0" applyFont="1" applyFill="1" applyAlignment="1">
      <alignment horizontal="right" vertical="top"/>
    </xf>
    <xf numFmtId="171" fontId="6" fillId="34" borderId="15" xfId="63" applyFont="1" applyFill="1" applyBorder="1" applyAlignment="1">
      <alignment/>
    </xf>
    <xf numFmtId="171" fontId="6" fillId="34" borderId="15" xfId="63" applyFont="1" applyFill="1" applyBorder="1" applyAlignment="1">
      <alignment/>
    </xf>
    <xf numFmtId="171" fontId="7" fillId="34" borderId="18" xfId="63" applyFont="1" applyFill="1" applyBorder="1" applyAlignment="1">
      <alignment/>
    </xf>
    <xf numFmtId="171" fontId="6" fillId="0" borderId="14" xfId="63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1" fontId="6" fillId="34" borderId="21" xfId="63" applyFont="1" applyFill="1" applyBorder="1" applyAlignment="1">
      <alignment/>
    </xf>
    <xf numFmtId="43" fontId="3" fillId="0" borderId="0" xfId="0" applyNumberFormat="1" applyFont="1" applyFill="1" applyAlignment="1">
      <alignment/>
    </xf>
    <xf numFmtId="0" fontId="5" fillId="33" borderId="12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49" fontId="6" fillId="34" borderId="22" xfId="0" applyNumberFormat="1" applyFont="1" applyFill="1" applyBorder="1" applyAlignment="1">
      <alignment horizontal="left"/>
    </xf>
    <xf numFmtId="49" fontId="6" fillId="34" borderId="23" xfId="0" applyNumberFormat="1" applyFont="1" applyFill="1" applyBorder="1" applyAlignment="1">
      <alignment horizontal="left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4" fillId="34" borderId="0" xfId="49" applyFont="1" applyFill="1" applyAlignment="1">
      <alignment horizontal="center"/>
      <protection/>
    </xf>
    <xf numFmtId="0" fontId="5" fillId="34" borderId="0" xfId="0" applyFont="1" applyFill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4 2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1114425</xdr:colOff>
      <xdr:row>0</xdr:row>
      <xdr:rowOff>95250</xdr:rowOff>
    </xdr:from>
    <xdr:to>
      <xdr:col>5</xdr:col>
      <xdr:colOff>66675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952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1114425</xdr:colOff>
      <xdr:row>149</xdr:row>
      <xdr:rowOff>57150</xdr:rowOff>
    </xdr:from>
    <xdr:to>
      <xdr:col>5</xdr:col>
      <xdr:colOff>66675</xdr:colOff>
      <xdr:row>152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289274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298</xdr:row>
      <xdr:rowOff>47625</xdr:rowOff>
    </xdr:from>
    <xdr:to>
      <xdr:col>5</xdr:col>
      <xdr:colOff>66675</xdr:colOff>
      <xdr:row>300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57740550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9"/>
  <sheetViews>
    <sheetView tabSelected="1" zoomScale="80" zoomScaleNormal="80" zoomScalePageLayoutView="0" workbookViewId="0" topLeftCell="A403">
      <selection activeCell="O370" sqref="O370"/>
    </sheetView>
  </sheetViews>
  <sheetFormatPr defaultColWidth="9.140625" defaultRowHeight="12.75"/>
  <cols>
    <col min="1" max="1" width="5.8515625" style="1" customWidth="1"/>
    <col min="2" max="2" width="62.28125" style="2" customWidth="1"/>
    <col min="3" max="3" width="21.7109375" style="2" bestFit="1" customWidth="1"/>
    <col min="4" max="4" width="21.7109375" style="2" customWidth="1"/>
    <col min="5" max="5" width="22.8515625" style="2" customWidth="1"/>
    <col min="6" max="6" width="21.7109375" style="2" customWidth="1"/>
    <col min="7" max="7" width="11.140625" style="2" customWidth="1"/>
    <col min="8" max="8" width="23.140625" style="2" customWidth="1"/>
    <col min="9" max="9" width="22.8515625" style="2" customWidth="1"/>
    <col min="10" max="10" width="21.7109375" style="2" customWidth="1"/>
    <col min="11" max="11" width="10.421875" style="2" customWidth="1"/>
    <col min="12" max="12" width="21.28125" style="2" customWidth="1"/>
    <col min="13" max="13" width="18.7109375" style="2" customWidth="1"/>
    <col min="14" max="14" width="8.421875" style="2" customWidth="1"/>
    <col min="15" max="15" width="13.8515625" style="2" bestFit="1" customWidth="1"/>
    <col min="16" max="16384" width="9.140625" style="2" customWidth="1"/>
  </cols>
  <sheetData>
    <row r="1" spans="1:13" ht="15.75">
      <c r="A1" s="20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32"/>
    </row>
    <row r="2" spans="1:13" ht="15.75">
      <c r="A2" s="2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32"/>
    </row>
    <row r="3" spans="1:13" ht="15.75">
      <c r="A3" s="20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32"/>
    </row>
    <row r="4" spans="1:13" s="3" customFormat="1" ht="15.75">
      <c r="A4" s="124" t="s">
        <v>14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22"/>
    </row>
    <row r="5" spans="1:13" s="3" customFormat="1" ht="15.75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22"/>
    </row>
    <row r="6" spans="1:13" s="3" customFormat="1" ht="15.75">
      <c r="A6" s="131" t="s">
        <v>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22"/>
    </row>
    <row r="7" spans="1:13" s="3" customFormat="1" ht="15.75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22"/>
    </row>
    <row r="8" spans="1:13" s="3" customFormat="1" ht="15.75">
      <c r="A8" s="124" t="s">
        <v>286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22"/>
    </row>
    <row r="9" spans="1:13" ht="15.75">
      <c r="A9" s="105"/>
      <c r="B9" s="20"/>
      <c r="C9" s="36"/>
      <c r="D9" s="36"/>
      <c r="E9" s="36"/>
      <c r="F9" s="36"/>
      <c r="G9" s="36"/>
      <c r="H9" s="36"/>
      <c r="I9" s="36"/>
      <c r="J9" s="36"/>
      <c r="K9" s="20"/>
      <c r="L9" s="21"/>
      <c r="M9" s="111" t="s">
        <v>287</v>
      </c>
    </row>
    <row r="10" spans="1:13" s="4" customFormat="1" ht="15.75">
      <c r="A10" s="23" t="s">
        <v>240</v>
      </c>
      <c r="B10" s="22"/>
      <c r="C10" s="37"/>
      <c r="D10" s="37"/>
      <c r="E10" s="37"/>
      <c r="F10" s="37"/>
      <c r="G10" s="37"/>
      <c r="H10" s="37"/>
      <c r="I10" s="37"/>
      <c r="J10" s="37"/>
      <c r="K10" s="38"/>
      <c r="L10" s="26"/>
      <c r="M10" s="26">
        <v>1</v>
      </c>
    </row>
    <row r="11" spans="1:13" s="4" customFormat="1" ht="15.75" customHeight="1">
      <c r="A11" s="7"/>
      <c r="B11" s="8"/>
      <c r="C11" s="9" t="s">
        <v>3</v>
      </c>
      <c r="D11" s="9" t="s">
        <v>3</v>
      </c>
      <c r="E11" s="127" t="s">
        <v>4</v>
      </c>
      <c r="F11" s="128"/>
      <c r="G11" s="129"/>
      <c r="H11" s="9" t="s">
        <v>18</v>
      </c>
      <c r="I11" s="127" t="s">
        <v>5</v>
      </c>
      <c r="J11" s="128"/>
      <c r="K11" s="128"/>
      <c r="L11" s="10" t="s">
        <v>18</v>
      </c>
      <c r="M11" s="120" t="s">
        <v>285</v>
      </c>
    </row>
    <row r="12" spans="1:13" s="4" customFormat="1" ht="15.75">
      <c r="A12" s="11" t="s">
        <v>23</v>
      </c>
      <c r="B12" s="12" t="s">
        <v>6</v>
      </c>
      <c r="C12" s="12" t="s">
        <v>7</v>
      </c>
      <c r="D12" s="12" t="s">
        <v>8</v>
      </c>
      <c r="E12" s="12" t="s">
        <v>9</v>
      </c>
      <c r="F12" s="12" t="s">
        <v>10</v>
      </c>
      <c r="G12" s="12" t="s">
        <v>11</v>
      </c>
      <c r="H12" s="13"/>
      <c r="I12" s="12" t="s">
        <v>9</v>
      </c>
      <c r="J12" s="12" t="s">
        <v>10</v>
      </c>
      <c r="K12" s="12" t="s">
        <v>11</v>
      </c>
      <c r="L12" s="14"/>
      <c r="M12" s="121"/>
    </row>
    <row r="13" spans="1:13" s="4" customFormat="1" ht="45.75" customHeight="1">
      <c r="A13" s="15"/>
      <c r="B13" s="16"/>
      <c r="C13" s="16"/>
      <c r="D13" s="17" t="s">
        <v>12</v>
      </c>
      <c r="E13" s="17"/>
      <c r="F13" s="17" t="s">
        <v>13</v>
      </c>
      <c r="G13" s="17" t="s">
        <v>17</v>
      </c>
      <c r="H13" s="18" t="s">
        <v>19</v>
      </c>
      <c r="I13" s="17"/>
      <c r="J13" s="17" t="s">
        <v>20</v>
      </c>
      <c r="K13" s="17" t="s">
        <v>21</v>
      </c>
      <c r="L13" s="19" t="s">
        <v>22</v>
      </c>
      <c r="M13" s="122"/>
    </row>
    <row r="14" spans="1:13" s="4" customFormat="1" ht="15">
      <c r="A14" s="43"/>
      <c r="B14" s="44" t="s">
        <v>15</v>
      </c>
      <c r="C14" s="75">
        <f>C15+C26+C29+C35+C59+C83+C97+C103+C115+C124+C143+C163+C171+C179+C185+C190+C201+C211+C230+C234+C249+C260+C264+C266+C279+C285+C291</f>
        <v>87436734039</v>
      </c>
      <c r="D14" s="75">
        <f>D15+D26+D29+D35+D59+D83+D97+D103+D115+D124+D143+D163+D171+D179+D185+D190+D201+D211+D230+D234+D249+D260+D264+D266+D279+D285+D291</f>
        <v>105552128216.33002</v>
      </c>
      <c r="E14" s="75">
        <f>E15+E26+E29+E35+E59+E83+E97+E103+E115+E124+E143+E163+E171+E179+E185+E190+E201+E211+E230+E234+E249+E260+E264+E266+E279+E285+E291</f>
        <v>13711182494.98</v>
      </c>
      <c r="F14" s="75">
        <f>F15+F26+F29+F35+F59+F83+F97+F103+F115+F124+F143+F163+F171+F179+F185+F190+F201+F211+F230+F234+F249+F260+F264+F266+F279+F285+F291</f>
        <v>87815495927.62</v>
      </c>
      <c r="G14" s="45">
        <f aca="true" t="shared" si="0" ref="G14:G45">(F14/$F$296)*100</f>
        <v>93.23692868291936</v>
      </c>
      <c r="H14" s="76">
        <f>D14-F14</f>
        <v>17736632288.710022</v>
      </c>
      <c r="I14" s="76">
        <f>I15+I26+I29+I35+I59+I83+I97+I103+I115+I124+I143+I163+I171+I179+I185+I190+I201+I211+I230+I234+I249+I260+I264+I266+I279+I285+I291</f>
        <v>19688973944.71</v>
      </c>
      <c r="J14" s="76">
        <f>J15+J26+J29+J35+J59+J83+J97+J103+J115+J124+J143+J163+J171+J179+J185+J190+J201+J211+J230+J234+J249+J260+J264+J266+J279+J285+J291</f>
        <v>86542009514.32004</v>
      </c>
      <c r="K14" s="45">
        <f aca="true" t="shared" si="1" ref="K14:K45">(J14/$J$296)*100</f>
        <v>93.16626936529588</v>
      </c>
      <c r="L14" s="93">
        <f>D14-J14</f>
        <v>19010118702.00998</v>
      </c>
      <c r="M14" s="112">
        <f>M15+M26+M29+M35+M59+M83+M97+M103+M115+M124+M143+M163+M171+M179+M185+M190+M201+M211+M230+M234+M249+M260+M264+M266+M279+M285+M291</f>
        <v>1273486413.2999966</v>
      </c>
    </row>
    <row r="15" spans="1:13" s="4" customFormat="1" ht="15">
      <c r="A15" s="43" t="s">
        <v>25</v>
      </c>
      <c r="B15" s="46" t="s">
        <v>24</v>
      </c>
      <c r="C15" s="77">
        <f>SUM(C16:C25)</f>
        <v>2335536456</v>
      </c>
      <c r="D15" s="77">
        <f>SUM(D16:D25)</f>
        <v>2032345933.38</v>
      </c>
      <c r="E15" s="77">
        <f>SUM(E16:E25)</f>
        <v>145530745.3899999</v>
      </c>
      <c r="F15" s="77">
        <f>SUM(F16:F25)</f>
        <v>1582937794.23</v>
      </c>
      <c r="G15" s="45">
        <f t="shared" si="0"/>
        <v>1.680663038693838</v>
      </c>
      <c r="H15" s="77">
        <f>D15-F15</f>
        <v>449408139.1500001</v>
      </c>
      <c r="I15" s="77">
        <f>SUM(I16:I25)</f>
        <v>296377256.28999996</v>
      </c>
      <c r="J15" s="77">
        <f>SUM(J16:J25)</f>
        <v>1536507708.97</v>
      </c>
      <c r="K15" s="47">
        <f t="shared" si="1"/>
        <v>1.654117946869094</v>
      </c>
      <c r="L15" s="80">
        <f>D15-J15</f>
        <v>495838224.4100001</v>
      </c>
      <c r="M15" s="113">
        <f>F15-J15</f>
        <v>46430085.25999999</v>
      </c>
    </row>
    <row r="16" spans="1:13" s="4" customFormat="1" ht="15">
      <c r="A16" s="48" t="s">
        <v>26</v>
      </c>
      <c r="B16" s="49" t="s">
        <v>31</v>
      </c>
      <c r="C16" s="78">
        <v>14774020</v>
      </c>
      <c r="D16" s="78">
        <v>211039669.78</v>
      </c>
      <c r="E16" s="78">
        <f>F16-123599644.48</f>
        <v>48015.589999988675</v>
      </c>
      <c r="F16" s="78">
        <v>123647660.07</v>
      </c>
      <c r="G16" s="51">
        <f t="shared" si="0"/>
        <v>0.1312812498748351</v>
      </c>
      <c r="H16" s="78">
        <f aca="true" t="shared" si="2" ref="H16:H147">D16-F16</f>
        <v>87392009.71000001</v>
      </c>
      <c r="I16" s="78">
        <f>J16-122989298.44</f>
        <v>155819.06000000238</v>
      </c>
      <c r="J16" s="78">
        <v>123145117.5</v>
      </c>
      <c r="K16" s="52">
        <f t="shared" si="1"/>
        <v>0.1325711206893987</v>
      </c>
      <c r="L16" s="81">
        <f aca="true" t="shared" si="3" ref="L16:L147">D16-J16</f>
        <v>87894552.28</v>
      </c>
      <c r="M16" s="63">
        <f aca="true" t="shared" si="4" ref="M16:M79">F16-J16</f>
        <v>502542.56999999285</v>
      </c>
    </row>
    <row r="17" spans="1:13" s="4" customFormat="1" ht="15">
      <c r="A17" s="48" t="s">
        <v>27</v>
      </c>
      <c r="B17" s="49" t="s">
        <v>32</v>
      </c>
      <c r="C17" s="78">
        <v>40584247</v>
      </c>
      <c r="D17" s="78">
        <v>39465692</v>
      </c>
      <c r="E17" s="78">
        <f>F17-6851452.91</f>
        <v>2049963.8599999994</v>
      </c>
      <c r="F17" s="78">
        <v>8901416.77</v>
      </c>
      <c r="G17" s="52">
        <f t="shared" si="0"/>
        <v>0.009450960241066028</v>
      </c>
      <c r="H17" s="78">
        <f t="shared" si="2"/>
        <v>30564275.23</v>
      </c>
      <c r="I17" s="78">
        <f>J17-3737024.69</f>
        <v>151336.79000000004</v>
      </c>
      <c r="J17" s="78">
        <v>3888361.48</v>
      </c>
      <c r="K17" s="52">
        <f t="shared" si="1"/>
        <v>0.004185991694303989</v>
      </c>
      <c r="L17" s="81">
        <f t="shared" si="3"/>
        <v>35577330.52</v>
      </c>
      <c r="M17" s="63">
        <f t="shared" si="4"/>
        <v>5013055.289999999</v>
      </c>
    </row>
    <row r="18" spans="1:13" s="4" customFormat="1" ht="15">
      <c r="A18" s="48" t="s">
        <v>28</v>
      </c>
      <c r="B18" s="49" t="s">
        <v>33</v>
      </c>
      <c r="C18" s="78">
        <v>2243980724</v>
      </c>
      <c r="D18" s="78">
        <v>1748040906.89</v>
      </c>
      <c r="E18" s="78">
        <f>F18-1291340149.73</f>
        <v>139655437.07999992</v>
      </c>
      <c r="F18" s="78">
        <v>1430995586.81</v>
      </c>
      <c r="G18" s="52">
        <f t="shared" si="0"/>
        <v>1.51934043147631</v>
      </c>
      <c r="H18" s="78">
        <f t="shared" si="2"/>
        <v>317045320.08000016</v>
      </c>
      <c r="I18" s="78">
        <f>J18-1106683346.64</f>
        <v>291322967.0799999</v>
      </c>
      <c r="J18" s="78">
        <v>1398006313.72</v>
      </c>
      <c r="K18" s="52">
        <f t="shared" si="1"/>
        <v>1.5050151195861703</v>
      </c>
      <c r="L18" s="81">
        <f t="shared" si="3"/>
        <v>350034593.1700001</v>
      </c>
      <c r="M18" s="63">
        <f t="shared" si="4"/>
        <v>32989273.089999914</v>
      </c>
    </row>
    <row r="19" spans="1:13" s="4" customFormat="1" ht="15">
      <c r="A19" s="48" t="s">
        <v>50</v>
      </c>
      <c r="B19" s="49" t="s">
        <v>57</v>
      </c>
      <c r="C19" s="78">
        <v>27415353</v>
      </c>
      <c r="D19" s="78">
        <v>27415353</v>
      </c>
      <c r="E19" s="78">
        <f>F19-12748439.34</f>
        <v>3323427.790000001</v>
      </c>
      <c r="F19" s="78">
        <v>16071867.13</v>
      </c>
      <c r="G19" s="52">
        <f t="shared" si="0"/>
        <v>0.01706409003982924</v>
      </c>
      <c r="H19" s="78">
        <f>D19-F19</f>
        <v>11343485.87</v>
      </c>
      <c r="I19" s="78">
        <f>J19-5698767.28</f>
        <v>3460139.2199999997</v>
      </c>
      <c r="J19" s="78">
        <v>9158906.5</v>
      </c>
      <c r="K19" s="52">
        <f t="shared" si="1"/>
        <v>0.0098599645982263</v>
      </c>
      <c r="L19" s="81">
        <f>D19-J19</f>
        <v>18256446.5</v>
      </c>
      <c r="M19" s="63">
        <f t="shared" si="4"/>
        <v>6912960.630000001</v>
      </c>
    </row>
    <row r="20" spans="1:13" s="4" customFormat="1" ht="15">
      <c r="A20" s="48" t="s">
        <v>29</v>
      </c>
      <c r="B20" s="49" t="s">
        <v>34</v>
      </c>
      <c r="C20" s="78">
        <v>6412941</v>
      </c>
      <c r="D20" s="78">
        <v>5911104</v>
      </c>
      <c r="E20" s="78">
        <f>F20-2516404.12</f>
        <v>453901.06999999983</v>
      </c>
      <c r="F20" s="78">
        <v>2970305.19</v>
      </c>
      <c r="G20" s="52">
        <f t="shared" si="0"/>
        <v>0.003153681821654788</v>
      </c>
      <c r="H20" s="78">
        <f t="shared" si="2"/>
        <v>2940798.81</v>
      </c>
      <c r="I20" s="78">
        <f>J20-1015106.11</f>
        <v>958931.34</v>
      </c>
      <c r="J20" s="78">
        <v>1974037.45</v>
      </c>
      <c r="K20" s="52">
        <f t="shared" si="1"/>
        <v>0.0021251379051170486</v>
      </c>
      <c r="L20" s="81">
        <f t="shared" si="3"/>
        <v>3937066.55</v>
      </c>
      <c r="M20" s="63">
        <f t="shared" si="4"/>
        <v>996267.74</v>
      </c>
    </row>
    <row r="21" spans="1:13" s="4" customFormat="1" ht="15">
      <c r="A21" s="48" t="s">
        <v>164</v>
      </c>
      <c r="B21" s="49" t="s">
        <v>165</v>
      </c>
      <c r="C21" s="78">
        <v>100000</v>
      </c>
      <c r="D21" s="78">
        <v>0</v>
      </c>
      <c r="E21" s="78">
        <f>F21-0</f>
        <v>0</v>
      </c>
      <c r="F21" s="78">
        <v>0</v>
      </c>
      <c r="G21" s="52">
        <f t="shared" si="0"/>
        <v>0</v>
      </c>
      <c r="H21" s="78">
        <f t="shared" si="2"/>
        <v>0</v>
      </c>
      <c r="I21" s="78">
        <f>J21-0</f>
        <v>0</v>
      </c>
      <c r="J21" s="78">
        <v>0</v>
      </c>
      <c r="K21" s="52">
        <f t="shared" si="1"/>
        <v>0</v>
      </c>
      <c r="L21" s="81">
        <f t="shared" si="3"/>
        <v>0</v>
      </c>
      <c r="M21" s="63">
        <f t="shared" si="4"/>
        <v>0</v>
      </c>
    </row>
    <row r="22" spans="1:13" s="4" customFormat="1" ht="15">
      <c r="A22" s="48" t="s">
        <v>117</v>
      </c>
      <c r="B22" s="49" t="s">
        <v>124</v>
      </c>
      <c r="C22" s="78">
        <v>541734</v>
      </c>
      <c r="D22" s="78">
        <v>343207.71</v>
      </c>
      <c r="E22" s="78">
        <f>F22-343207.71</f>
        <v>0</v>
      </c>
      <c r="F22" s="78">
        <v>343207.71</v>
      </c>
      <c r="G22" s="52">
        <f t="shared" si="0"/>
        <v>0.0003643961973075124</v>
      </c>
      <c r="H22" s="78">
        <f t="shared" si="2"/>
        <v>0</v>
      </c>
      <c r="I22" s="78">
        <f>J22-6612.51</f>
        <v>328062.8</v>
      </c>
      <c r="J22" s="78">
        <v>334675.31</v>
      </c>
      <c r="K22" s="52">
        <f t="shared" si="1"/>
        <v>0.0003602926515845983</v>
      </c>
      <c r="L22" s="81">
        <f t="shared" si="3"/>
        <v>8532.400000000023</v>
      </c>
      <c r="M22" s="63">
        <f t="shared" si="4"/>
        <v>8532.400000000023</v>
      </c>
    </row>
    <row r="23" spans="1:13" s="4" customFormat="1" ht="15">
      <c r="A23" s="48" t="s">
        <v>53</v>
      </c>
      <c r="B23" s="49" t="s">
        <v>60</v>
      </c>
      <c r="C23" s="78">
        <v>1497437</v>
      </c>
      <c r="D23" s="78">
        <v>0</v>
      </c>
      <c r="E23" s="78">
        <v>0</v>
      </c>
      <c r="F23" s="78">
        <v>0</v>
      </c>
      <c r="G23" s="52">
        <f t="shared" si="0"/>
        <v>0</v>
      </c>
      <c r="H23" s="78">
        <f t="shared" si="2"/>
        <v>0</v>
      </c>
      <c r="I23" s="78">
        <f>J23-0</f>
        <v>0</v>
      </c>
      <c r="J23" s="78">
        <v>0</v>
      </c>
      <c r="K23" s="52">
        <f t="shared" si="1"/>
        <v>0</v>
      </c>
      <c r="L23" s="81">
        <f t="shared" si="3"/>
        <v>0</v>
      </c>
      <c r="M23" s="63">
        <f t="shared" si="4"/>
        <v>0</v>
      </c>
    </row>
    <row r="24" spans="1:13" s="4" customFormat="1" ht="15">
      <c r="A24" s="48" t="s">
        <v>30</v>
      </c>
      <c r="B24" s="49" t="s">
        <v>35</v>
      </c>
      <c r="C24" s="78">
        <v>130000</v>
      </c>
      <c r="D24" s="78">
        <v>130000</v>
      </c>
      <c r="E24" s="78">
        <f>F24-7750.55</f>
        <v>0</v>
      </c>
      <c r="F24" s="78">
        <v>7750.55</v>
      </c>
      <c r="G24" s="52">
        <f t="shared" si="0"/>
        <v>8.229042835435545E-06</v>
      </c>
      <c r="H24" s="78">
        <f t="shared" si="2"/>
        <v>122249.45</v>
      </c>
      <c r="I24" s="78">
        <f>J24-297.01</f>
        <v>0</v>
      </c>
      <c r="J24" s="78">
        <v>297.01</v>
      </c>
      <c r="K24" s="52">
        <f t="shared" si="1"/>
        <v>3.197442931991055E-07</v>
      </c>
      <c r="L24" s="81">
        <f t="shared" si="3"/>
        <v>129702.99</v>
      </c>
      <c r="M24" s="63">
        <f t="shared" si="4"/>
        <v>7453.54</v>
      </c>
    </row>
    <row r="25" spans="1:13" s="4" customFormat="1" ht="15">
      <c r="A25" s="48" t="s">
        <v>160</v>
      </c>
      <c r="B25" s="49" t="s">
        <v>161</v>
      </c>
      <c r="C25" s="78">
        <v>100000</v>
      </c>
      <c r="D25" s="78">
        <v>0</v>
      </c>
      <c r="E25" s="78">
        <f>F25-0</f>
        <v>0</v>
      </c>
      <c r="F25" s="78">
        <v>0</v>
      </c>
      <c r="G25" s="52">
        <f t="shared" si="0"/>
        <v>0</v>
      </c>
      <c r="H25" s="78">
        <f t="shared" si="2"/>
        <v>0</v>
      </c>
      <c r="I25" s="78">
        <f>J25-0</f>
        <v>0</v>
      </c>
      <c r="J25" s="78">
        <v>0</v>
      </c>
      <c r="K25" s="52">
        <f t="shared" si="1"/>
        <v>0</v>
      </c>
      <c r="L25" s="81">
        <f t="shared" si="3"/>
        <v>0</v>
      </c>
      <c r="M25" s="63">
        <f t="shared" si="4"/>
        <v>0</v>
      </c>
    </row>
    <row r="26" spans="1:13" s="4" customFormat="1" ht="15">
      <c r="A26" s="43" t="s">
        <v>36</v>
      </c>
      <c r="B26" s="46" t="s">
        <v>37</v>
      </c>
      <c r="C26" s="77">
        <f>SUM(C27:C28)</f>
        <v>5317396368</v>
      </c>
      <c r="D26" s="77">
        <f>SUM(D27:D28)</f>
        <v>5679258996</v>
      </c>
      <c r="E26" s="77">
        <f>SUM(E27:E28)</f>
        <v>1165838580.8499997</v>
      </c>
      <c r="F26" s="77">
        <f>SUM(F27:F28)</f>
        <v>5571946133.5199995</v>
      </c>
      <c r="G26" s="52">
        <f t="shared" si="0"/>
        <v>5.915939308755577</v>
      </c>
      <c r="H26" s="77">
        <f t="shared" si="2"/>
        <v>107312862.4800005</v>
      </c>
      <c r="I26" s="77">
        <f>SUM(I27:I28)</f>
        <v>1348899302.8999999</v>
      </c>
      <c r="J26" s="77">
        <f>SUM(J27:J28)</f>
        <v>5427346617.21</v>
      </c>
      <c r="K26" s="47">
        <f t="shared" si="1"/>
        <v>5.8427767013446275</v>
      </c>
      <c r="L26" s="80">
        <f t="shared" si="3"/>
        <v>251912378.78999996</v>
      </c>
      <c r="M26" s="113">
        <f t="shared" si="4"/>
        <v>144599516.30999947</v>
      </c>
    </row>
    <row r="27" spans="1:13" s="4" customFormat="1" ht="15">
      <c r="A27" s="48" t="s">
        <v>38</v>
      </c>
      <c r="B27" s="49" t="s">
        <v>40</v>
      </c>
      <c r="C27" s="78">
        <v>1743806773</v>
      </c>
      <c r="D27" s="78">
        <v>1886169401</v>
      </c>
      <c r="E27" s="78">
        <f>F27-1606039732.13</f>
        <v>180511078.72999978</v>
      </c>
      <c r="F27" s="78">
        <v>1786550810.86</v>
      </c>
      <c r="G27" s="52">
        <f t="shared" si="0"/>
        <v>1.8968464367366247</v>
      </c>
      <c r="H27" s="78">
        <f t="shared" si="2"/>
        <v>99618590.1400001</v>
      </c>
      <c r="I27" s="78">
        <f>J27-1278379493.77</f>
        <v>363571800.78</v>
      </c>
      <c r="J27" s="78">
        <v>1641951294.55</v>
      </c>
      <c r="K27" s="52">
        <f t="shared" si="1"/>
        <v>1.7676325919775298</v>
      </c>
      <c r="L27" s="81">
        <f t="shared" si="3"/>
        <v>244218106.45000005</v>
      </c>
      <c r="M27" s="63">
        <f t="shared" si="4"/>
        <v>144599516.30999994</v>
      </c>
    </row>
    <row r="28" spans="1:13" s="4" customFormat="1" ht="15">
      <c r="A28" s="48" t="s">
        <v>28</v>
      </c>
      <c r="B28" s="49" t="s">
        <v>33</v>
      </c>
      <c r="C28" s="78">
        <v>3573589595</v>
      </c>
      <c r="D28" s="78">
        <v>3793089595</v>
      </c>
      <c r="E28" s="78">
        <f>F28-2800067820.54</f>
        <v>985327502.1199999</v>
      </c>
      <c r="F28" s="78">
        <v>3785395322.66</v>
      </c>
      <c r="G28" s="52">
        <f t="shared" si="0"/>
        <v>4.019092872018953</v>
      </c>
      <c r="H28" s="78">
        <f t="shared" si="2"/>
        <v>7694272.340000153</v>
      </c>
      <c r="I28" s="78">
        <f>J28-2800067820.54</f>
        <v>985327502.1199999</v>
      </c>
      <c r="J28" s="78">
        <v>3785395322.66</v>
      </c>
      <c r="K28" s="52">
        <f t="shared" si="1"/>
        <v>4.075144109367098</v>
      </c>
      <c r="L28" s="81">
        <f t="shared" si="3"/>
        <v>7694272.340000153</v>
      </c>
      <c r="M28" s="63">
        <f t="shared" si="4"/>
        <v>0</v>
      </c>
    </row>
    <row r="29" spans="1:13" s="4" customFormat="1" ht="15">
      <c r="A29" s="43" t="s">
        <v>42</v>
      </c>
      <c r="B29" s="46" t="s">
        <v>43</v>
      </c>
      <c r="C29" s="77">
        <f>SUM(C30:C34)</f>
        <v>3224327166</v>
      </c>
      <c r="D29" s="77">
        <f>SUM(D30:D34)</f>
        <v>3740872863.77</v>
      </c>
      <c r="E29" s="77">
        <f>SUM(E30:E34)</f>
        <v>440425348.13000023</v>
      </c>
      <c r="F29" s="77">
        <f>SUM(F30:F34)</f>
        <v>3151313972.94</v>
      </c>
      <c r="G29" s="47">
        <f t="shared" si="0"/>
        <v>3.345865476802269</v>
      </c>
      <c r="H29" s="77">
        <f t="shared" si="2"/>
        <v>589558890.8299999</v>
      </c>
      <c r="I29" s="77">
        <f>SUM(I30:I34)</f>
        <v>649874688.1400002</v>
      </c>
      <c r="J29" s="77">
        <f>SUM(J30:J34)</f>
        <v>2940721144.06</v>
      </c>
      <c r="K29" s="47">
        <f t="shared" si="1"/>
        <v>3.165815304882427</v>
      </c>
      <c r="L29" s="80">
        <f t="shared" si="3"/>
        <v>800151719.71</v>
      </c>
      <c r="M29" s="113">
        <f t="shared" si="4"/>
        <v>210592828.8800001</v>
      </c>
    </row>
    <row r="30" spans="1:13" s="4" customFormat="1" ht="15">
      <c r="A30" s="48" t="s">
        <v>44</v>
      </c>
      <c r="B30" s="49" t="s">
        <v>45</v>
      </c>
      <c r="C30" s="78">
        <v>32171260</v>
      </c>
      <c r="D30" s="78">
        <v>137909600</v>
      </c>
      <c r="E30" s="78">
        <f>F30-19803843.51</f>
        <v>6345331.859999999</v>
      </c>
      <c r="F30" s="78">
        <v>26149175.37</v>
      </c>
      <c r="G30" s="52">
        <f t="shared" si="0"/>
        <v>0.02776353732716338</v>
      </c>
      <c r="H30" s="78">
        <f t="shared" si="2"/>
        <v>111760424.63</v>
      </c>
      <c r="I30" s="78">
        <f>J30-14396142.61</f>
        <v>3168107.629999999</v>
      </c>
      <c r="J30" s="78">
        <v>17564250.24</v>
      </c>
      <c r="K30" s="52">
        <f t="shared" si="1"/>
        <v>0.018908685830648867</v>
      </c>
      <c r="L30" s="81">
        <f t="shared" si="3"/>
        <v>120345349.76</v>
      </c>
      <c r="M30" s="63">
        <f t="shared" si="4"/>
        <v>8584925.130000003</v>
      </c>
    </row>
    <row r="31" spans="1:13" s="4" customFormat="1" ht="15">
      <c r="A31" s="48" t="s">
        <v>229</v>
      </c>
      <c r="B31" s="49" t="s">
        <v>230</v>
      </c>
      <c r="C31" s="78">
        <v>1150000</v>
      </c>
      <c r="D31" s="78">
        <v>1375989.73</v>
      </c>
      <c r="E31" s="78">
        <f>F31-210000</f>
        <v>-3629.4899999999907</v>
      </c>
      <c r="F31" s="78">
        <v>206370.51</v>
      </c>
      <c r="G31" s="52">
        <f t="shared" si="0"/>
        <v>0.00021911112975991117</v>
      </c>
      <c r="H31" s="78">
        <f>D31-F31</f>
        <v>1169619.22</v>
      </c>
      <c r="I31" s="78">
        <f>J31-116976.93</f>
        <v>67096.28</v>
      </c>
      <c r="J31" s="78">
        <v>184073.21</v>
      </c>
      <c r="K31" s="52">
        <f t="shared" si="1"/>
        <v>0.0001981628848467746</v>
      </c>
      <c r="L31" s="81">
        <f>D31-J31</f>
        <v>1191916.52</v>
      </c>
      <c r="M31" s="63">
        <f t="shared" si="4"/>
        <v>22297.300000000017</v>
      </c>
    </row>
    <row r="32" spans="1:13" s="4" customFormat="1" ht="15">
      <c r="A32" s="48" t="s">
        <v>28</v>
      </c>
      <c r="B32" s="49" t="s">
        <v>33</v>
      </c>
      <c r="C32" s="78">
        <v>3047126824</v>
      </c>
      <c r="D32" s="78">
        <v>3268686372.67</v>
      </c>
      <c r="E32" s="78">
        <f>F32-2581668059.68</f>
        <v>427673932.5300002</v>
      </c>
      <c r="F32" s="78">
        <v>3009341992.21</v>
      </c>
      <c r="G32" s="52">
        <f t="shared" si="0"/>
        <v>3.1951286244680737</v>
      </c>
      <c r="H32" s="78">
        <f t="shared" si="2"/>
        <v>259344380.46000004</v>
      </c>
      <c r="I32" s="78">
        <f>J32-2186613627.21</f>
        <v>622072149.3000002</v>
      </c>
      <c r="J32" s="78">
        <v>2808685776.51</v>
      </c>
      <c r="K32" s="52">
        <f t="shared" si="1"/>
        <v>3.023673440047712</v>
      </c>
      <c r="L32" s="81">
        <f>D32-J32</f>
        <v>460000596.15999985</v>
      </c>
      <c r="M32" s="63">
        <f t="shared" si="4"/>
        <v>200656215.6999998</v>
      </c>
    </row>
    <row r="33" spans="1:13" s="4" customFormat="1" ht="15">
      <c r="A33" s="48" t="s">
        <v>50</v>
      </c>
      <c r="B33" s="49" t="s">
        <v>268</v>
      </c>
      <c r="C33" s="78">
        <v>26837031</v>
      </c>
      <c r="D33" s="78">
        <v>92272467</v>
      </c>
      <c r="E33" s="78">
        <f>F33-29890863.17</f>
        <v>-12265740.46</v>
      </c>
      <c r="F33" s="78">
        <v>17625122.71</v>
      </c>
      <c r="G33" s="52">
        <f t="shared" si="0"/>
        <v>0.01871323838442405</v>
      </c>
      <c r="H33" s="78">
        <f t="shared" si="2"/>
        <v>74647344.28999999</v>
      </c>
      <c r="I33" s="78">
        <f>J33-13419875.18</f>
        <v>3346505.2300000004</v>
      </c>
      <c r="J33" s="78">
        <v>16766380.41</v>
      </c>
      <c r="K33" s="52">
        <f t="shared" si="1"/>
        <v>0.01804974396048207</v>
      </c>
      <c r="L33" s="81">
        <f>D33-J33</f>
        <v>75506086.59</v>
      </c>
      <c r="M33" s="63">
        <f t="shared" si="4"/>
        <v>858742.3000000007</v>
      </c>
    </row>
    <row r="34" spans="1:13" s="4" customFormat="1" ht="15">
      <c r="A34" s="48" t="s">
        <v>29</v>
      </c>
      <c r="B34" s="49" t="s">
        <v>34</v>
      </c>
      <c r="C34" s="78">
        <v>117042051</v>
      </c>
      <c r="D34" s="78">
        <v>240628434.37</v>
      </c>
      <c r="E34" s="78">
        <f>F34-79315858.45</f>
        <v>18675453.689999998</v>
      </c>
      <c r="F34" s="78">
        <v>97991312.14</v>
      </c>
      <c r="G34" s="52">
        <f t="shared" si="0"/>
        <v>0.10404096549284828</v>
      </c>
      <c r="H34" s="78">
        <f t="shared" si="2"/>
        <v>142637122.23000002</v>
      </c>
      <c r="I34" s="78">
        <f>J34-76299833.99</f>
        <v>21220829.700000003</v>
      </c>
      <c r="J34" s="78">
        <v>97520663.69</v>
      </c>
      <c r="K34" s="52">
        <f t="shared" si="1"/>
        <v>0.10498527215873783</v>
      </c>
      <c r="L34" s="81">
        <f t="shared" si="3"/>
        <v>143107770.68</v>
      </c>
      <c r="M34" s="63">
        <f t="shared" si="4"/>
        <v>470648.450000003</v>
      </c>
    </row>
    <row r="35" spans="1:13" s="4" customFormat="1" ht="15">
      <c r="A35" s="43" t="s">
        <v>46</v>
      </c>
      <c r="B35" s="46" t="s">
        <v>47</v>
      </c>
      <c r="C35" s="77">
        <f>SUM(C36:C58)</f>
        <v>5096490201</v>
      </c>
      <c r="D35" s="77">
        <f>SUM(D36:D58)</f>
        <v>6753632172.280001</v>
      </c>
      <c r="E35" s="77">
        <f>SUM(E36:E58)</f>
        <v>1402375251.0999994</v>
      </c>
      <c r="F35" s="77">
        <f>SUM(F36:F58)</f>
        <v>5492962207.91</v>
      </c>
      <c r="G35" s="47">
        <f t="shared" si="0"/>
        <v>5.832079181776777</v>
      </c>
      <c r="H35" s="77">
        <f t="shared" si="2"/>
        <v>1260669964.3700008</v>
      </c>
      <c r="I35" s="77">
        <f>SUM(I36:I58)</f>
        <v>1590127336.64</v>
      </c>
      <c r="J35" s="77">
        <f>SUM(J36:J58)</f>
        <v>5489828562.37</v>
      </c>
      <c r="K35" s="47">
        <f t="shared" si="1"/>
        <v>5.910041256049484</v>
      </c>
      <c r="L35" s="80">
        <f t="shared" si="3"/>
        <v>1263803609.9100008</v>
      </c>
      <c r="M35" s="113">
        <f t="shared" si="4"/>
        <v>3133645.539999962</v>
      </c>
    </row>
    <row r="36" spans="1:13" s="4" customFormat="1" ht="15">
      <c r="A36" s="48" t="s">
        <v>48</v>
      </c>
      <c r="B36" s="49" t="s">
        <v>55</v>
      </c>
      <c r="C36" s="78">
        <v>138943790</v>
      </c>
      <c r="D36" s="78">
        <v>34684832.81</v>
      </c>
      <c r="E36" s="78">
        <f>F36-0</f>
        <v>0</v>
      </c>
      <c r="F36" s="78">
        <v>0</v>
      </c>
      <c r="G36" s="52">
        <f t="shared" si="0"/>
        <v>0</v>
      </c>
      <c r="H36" s="78">
        <f t="shared" si="2"/>
        <v>34684832.81</v>
      </c>
      <c r="I36" s="78">
        <f>J36-0</f>
        <v>0</v>
      </c>
      <c r="J36" s="78">
        <v>0</v>
      </c>
      <c r="K36" s="52">
        <f t="shared" si="1"/>
        <v>0</v>
      </c>
      <c r="L36" s="81">
        <f t="shared" si="3"/>
        <v>34684832.81</v>
      </c>
      <c r="M36" s="63">
        <f t="shared" si="4"/>
        <v>0</v>
      </c>
    </row>
    <row r="37" spans="1:13" s="4" customFormat="1" ht="15">
      <c r="A37" s="48" t="s">
        <v>28</v>
      </c>
      <c r="B37" s="49" t="s">
        <v>33</v>
      </c>
      <c r="C37" s="78">
        <v>3251469438</v>
      </c>
      <c r="D37" s="78">
        <v>4042428595.73</v>
      </c>
      <c r="E37" s="78">
        <f>F37-2454748799.19</f>
        <v>1079329308.0499997</v>
      </c>
      <c r="F37" s="78">
        <v>3534078107.24</v>
      </c>
      <c r="G37" s="52">
        <f t="shared" si="0"/>
        <v>3.7522601787296295</v>
      </c>
      <c r="H37" s="78">
        <f t="shared" si="2"/>
        <v>508350488.49000025</v>
      </c>
      <c r="I37" s="78">
        <f>J37-2322133213.83</f>
        <v>1210157060.9700003</v>
      </c>
      <c r="J37" s="78">
        <v>3532290274.8</v>
      </c>
      <c r="K37" s="52">
        <f t="shared" si="1"/>
        <v>3.8026654230160615</v>
      </c>
      <c r="L37" s="81">
        <f t="shared" si="3"/>
        <v>510138320.9299998</v>
      </c>
      <c r="M37" s="63">
        <f t="shared" si="4"/>
        <v>1787832.4399995804</v>
      </c>
    </row>
    <row r="38" spans="1:13" s="4" customFormat="1" ht="15">
      <c r="A38" s="48" t="s">
        <v>39</v>
      </c>
      <c r="B38" s="49" t="s">
        <v>41</v>
      </c>
      <c r="C38" s="78">
        <v>50430289</v>
      </c>
      <c r="D38" s="78">
        <v>42498815.5</v>
      </c>
      <c r="E38" s="78">
        <f>F38-8834539.35</f>
        <v>-483712.1299999999</v>
      </c>
      <c r="F38" s="78">
        <v>8350827.22</v>
      </c>
      <c r="G38" s="52">
        <f t="shared" si="0"/>
        <v>0.008866379147892876</v>
      </c>
      <c r="H38" s="78">
        <f t="shared" si="2"/>
        <v>34147988.28</v>
      </c>
      <c r="I38" s="78">
        <f>J38-7791540.41</f>
        <v>559286.8099999996</v>
      </c>
      <c r="J38" s="78">
        <v>8350827.22</v>
      </c>
      <c r="K38" s="52">
        <f t="shared" si="1"/>
        <v>0.008990031807301948</v>
      </c>
      <c r="L38" s="81">
        <f t="shared" si="3"/>
        <v>34147988.28</v>
      </c>
      <c r="M38" s="63">
        <f t="shared" si="4"/>
        <v>0</v>
      </c>
    </row>
    <row r="39" spans="1:13" s="4" customFormat="1" ht="15">
      <c r="A39" s="48" t="s">
        <v>232</v>
      </c>
      <c r="B39" s="49" t="s">
        <v>231</v>
      </c>
      <c r="C39" s="78">
        <v>6236742</v>
      </c>
      <c r="D39" s="78">
        <v>12646930.29</v>
      </c>
      <c r="E39" s="78">
        <f>F39-14253.28</f>
        <v>31506.559999999998</v>
      </c>
      <c r="F39" s="78">
        <v>45759.84</v>
      </c>
      <c r="G39" s="52">
        <f t="shared" si="0"/>
        <v>4.858489829788555E-05</v>
      </c>
      <c r="H39" s="78">
        <f t="shared" si="2"/>
        <v>12601170.45</v>
      </c>
      <c r="I39" s="78">
        <f>J39-14253.28</f>
        <v>31506.559999999998</v>
      </c>
      <c r="J39" s="78">
        <v>45759.84</v>
      </c>
      <c r="K39" s="52">
        <f t="shared" si="1"/>
        <v>4.926247499311187E-05</v>
      </c>
      <c r="L39" s="81">
        <f t="shared" si="3"/>
        <v>12601170.45</v>
      </c>
      <c r="M39" s="63">
        <f t="shared" si="4"/>
        <v>0</v>
      </c>
    </row>
    <row r="40" spans="1:13" s="4" customFormat="1" ht="15">
      <c r="A40" s="48" t="s">
        <v>49</v>
      </c>
      <c r="B40" s="49" t="s">
        <v>56</v>
      </c>
      <c r="C40" s="78">
        <v>2811765</v>
      </c>
      <c r="D40" s="78">
        <v>4018608.18</v>
      </c>
      <c r="E40" s="78">
        <f>F40-3461484.39</f>
        <v>-345154.9500000002</v>
      </c>
      <c r="F40" s="78">
        <v>3116329.44</v>
      </c>
      <c r="G40" s="52">
        <f t="shared" si="0"/>
        <v>0.00330872111670641</v>
      </c>
      <c r="H40" s="78">
        <f t="shared" si="2"/>
        <v>902278.7400000002</v>
      </c>
      <c r="I40" s="78">
        <f>J40-2217397.92</f>
        <v>898931.52</v>
      </c>
      <c r="J40" s="78">
        <v>3116329.44</v>
      </c>
      <c r="K40" s="52">
        <f t="shared" si="1"/>
        <v>0.003354865338434276</v>
      </c>
      <c r="L40" s="81">
        <f t="shared" si="3"/>
        <v>902278.7400000002</v>
      </c>
      <c r="M40" s="63">
        <f t="shared" si="4"/>
        <v>0</v>
      </c>
    </row>
    <row r="41" spans="1:13" s="4" customFormat="1" ht="15">
      <c r="A41" s="48" t="s">
        <v>50</v>
      </c>
      <c r="B41" s="49" t="s">
        <v>57</v>
      </c>
      <c r="C41" s="78">
        <v>133138578</v>
      </c>
      <c r="D41" s="78">
        <v>139119578</v>
      </c>
      <c r="E41" s="78">
        <f>F41-50868293.46</f>
        <v>-2673012.6400000006</v>
      </c>
      <c r="F41" s="78">
        <v>48195280.82</v>
      </c>
      <c r="G41" s="52">
        <f t="shared" si="0"/>
        <v>0.05117069502598204</v>
      </c>
      <c r="H41" s="78">
        <f t="shared" si="2"/>
        <v>90924297.18</v>
      </c>
      <c r="I41" s="78">
        <f>J41-12351135.03</f>
        <v>35844145.79</v>
      </c>
      <c r="J41" s="78">
        <v>48195280.82</v>
      </c>
      <c r="K41" s="52">
        <f t="shared" si="1"/>
        <v>0.0518843338652682</v>
      </c>
      <c r="L41" s="81">
        <f t="shared" si="3"/>
        <v>90924297.18</v>
      </c>
      <c r="M41" s="63">
        <f t="shared" si="4"/>
        <v>0</v>
      </c>
    </row>
    <row r="42" spans="1:13" s="4" customFormat="1" ht="15">
      <c r="A42" s="48" t="s">
        <v>51</v>
      </c>
      <c r="B42" s="49" t="s">
        <v>58</v>
      </c>
      <c r="C42" s="78">
        <v>6006000</v>
      </c>
      <c r="D42" s="78">
        <v>6006000</v>
      </c>
      <c r="E42" s="78">
        <f>F42-0</f>
        <v>0</v>
      </c>
      <c r="F42" s="78">
        <v>0</v>
      </c>
      <c r="G42" s="52">
        <f t="shared" si="0"/>
        <v>0</v>
      </c>
      <c r="H42" s="78">
        <f t="shared" si="2"/>
        <v>6006000</v>
      </c>
      <c r="I42" s="78">
        <f aca="true" t="shared" si="5" ref="I42:I58">J42-0</f>
        <v>0</v>
      </c>
      <c r="J42" s="78">
        <v>0</v>
      </c>
      <c r="K42" s="52">
        <f t="shared" si="1"/>
        <v>0</v>
      </c>
      <c r="L42" s="81">
        <f t="shared" si="3"/>
        <v>6006000</v>
      </c>
      <c r="M42" s="63">
        <f t="shared" si="4"/>
        <v>0</v>
      </c>
    </row>
    <row r="43" spans="1:13" s="4" customFormat="1" ht="15">
      <c r="A43" s="48" t="s">
        <v>29</v>
      </c>
      <c r="B43" s="49" t="s">
        <v>34</v>
      </c>
      <c r="C43" s="78">
        <v>6957082</v>
      </c>
      <c r="D43" s="78">
        <v>6929282</v>
      </c>
      <c r="E43" s="78">
        <f>F43-3153030.97</f>
        <v>42781.939999999944</v>
      </c>
      <c r="F43" s="78">
        <v>3195812.91</v>
      </c>
      <c r="G43" s="52">
        <f t="shared" si="0"/>
        <v>0.0033931116282622424</v>
      </c>
      <c r="H43" s="78">
        <f t="shared" si="2"/>
        <v>3733469.09</v>
      </c>
      <c r="I43" s="78">
        <f>J43-1177960.69</f>
        <v>2017852.2200000002</v>
      </c>
      <c r="J43" s="78">
        <v>3195812.91</v>
      </c>
      <c r="K43" s="52">
        <f t="shared" si="1"/>
        <v>0.003440432780393006</v>
      </c>
      <c r="L43" s="81">
        <f t="shared" si="3"/>
        <v>3733469.09</v>
      </c>
      <c r="M43" s="63">
        <f t="shared" si="4"/>
        <v>0</v>
      </c>
    </row>
    <row r="44" spans="1:13" s="4" customFormat="1" ht="15">
      <c r="A44" s="48" t="s">
        <v>233</v>
      </c>
      <c r="B44" s="49" t="s">
        <v>234</v>
      </c>
      <c r="C44" s="78">
        <v>0</v>
      </c>
      <c r="D44" s="78">
        <v>0</v>
      </c>
      <c r="E44" s="78">
        <f>F44-0</f>
        <v>0</v>
      </c>
      <c r="F44" s="78">
        <v>0</v>
      </c>
      <c r="G44" s="52">
        <f t="shared" si="0"/>
        <v>0</v>
      </c>
      <c r="H44" s="78">
        <f t="shared" si="2"/>
        <v>0</v>
      </c>
      <c r="I44" s="78">
        <f t="shared" si="5"/>
        <v>0</v>
      </c>
      <c r="J44" s="78">
        <v>0</v>
      </c>
      <c r="K44" s="52">
        <f t="shared" si="1"/>
        <v>0</v>
      </c>
      <c r="L44" s="81">
        <f t="shared" si="3"/>
        <v>0</v>
      </c>
      <c r="M44" s="63">
        <f t="shared" si="4"/>
        <v>0</v>
      </c>
    </row>
    <row r="45" spans="1:13" s="4" customFormat="1" ht="15">
      <c r="A45" s="48" t="s">
        <v>236</v>
      </c>
      <c r="B45" s="49" t="s">
        <v>235</v>
      </c>
      <c r="C45" s="78">
        <v>8918558</v>
      </c>
      <c r="D45" s="78">
        <v>7347708</v>
      </c>
      <c r="E45" s="78">
        <f>F45-4276109.2</f>
        <v>186307.58000000007</v>
      </c>
      <c r="F45" s="78">
        <v>4462416.78</v>
      </c>
      <c r="G45" s="52">
        <f t="shared" si="0"/>
        <v>0.004737911352379684</v>
      </c>
      <c r="H45" s="78">
        <f t="shared" si="2"/>
        <v>2885291.2199999997</v>
      </c>
      <c r="I45" s="78">
        <f>J45-2252468.16</f>
        <v>864135.52</v>
      </c>
      <c r="J45" s="78">
        <v>3116603.68</v>
      </c>
      <c r="K45" s="52">
        <f t="shared" si="1"/>
        <v>0.0033551605698236803</v>
      </c>
      <c r="L45" s="81">
        <f t="shared" si="3"/>
        <v>4231104.32</v>
      </c>
      <c r="M45" s="63">
        <f t="shared" si="4"/>
        <v>1345813.1</v>
      </c>
    </row>
    <row r="46" spans="1:13" s="4" customFormat="1" ht="15">
      <c r="A46" s="48" t="s">
        <v>164</v>
      </c>
      <c r="B46" s="49" t="s">
        <v>165</v>
      </c>
      <c r="C46" s="78">
        <v>5011382</v>
      </c>
      <c r="D46" s="78">
        <v>37927323.1</v>
      </c>
      <c r="E46" s="78">
        <f>F46-30009757.91</f>
        <v>-297346.6799999997</v>
      </c>
      <c r="F46" s="78">
        <v>29712411.23</v>
      </c>
      <c r="G46" s="52">
        <f aca="true" t="shared" si="6" ref="G46:G77">(F46/$F$296)*100</f>
        <v>0.03154675536003847</v>
      </c>
      <c r="H46" s="78">
        <f t="shared" si="2"/>
        <v>8214911.870000001</v>
      </c>
      <c r="I46" s="78">
        <f>J46-28496318.38</f>
        <v>1216092.8500000015</v>
      </c>
      <c r="J46" s="78">
        <v>29712411.23</v>
      </c>
      <c r="K46" s="52">
        <f aca="true" t="shared" si="7" ref="K46:K77">(J46/$J$296)*100</f>
        <v>0.03198671400955361</v>
      </c>
      <c r="L46" s="81">
        <f t="shared" si="3"/>
        <v>8214911.870000001</v>
      </c>
      <c r="M46" s="63">
        <f t="shared" si="4"/>
        <v>0</v>
      </c>
    </row>
    <row r="47" spans="1:13" s="4" customFormat="1" ht="15">
      <c r="A47" s="48" t="s">
        <v>66</v>
      </c>
      <c r="B47" s="49" t="s">
        <v>74</v>
      </c>
      <c r="C47" s="78">
        <v>807000</v>
      </c>
      <c r="D47" s="78">
        <v>807000</v>
      </c>
      <c r="E47" s="78">
        <f>F47-0</f>
        <v>0</v>
      </c>
      <c r="F47" s="78">
        <v>0</v>
      </c>
      <c r="G47" s="52">
        <f t="shared" si="6"/>
        <v>0</v>
      </c>
      <c r="H47" s="78">
        <f t="shared" si="2"/>
        <v>807000</v>
      </c>
      <c r="I47" s="78">
        <f t="shared" si="5"/>
        <v>0</v>
      </c>
      <c r="J47" s="78">
        <v>0</v>
      </c>
      <c r="K47" s="52">
        <f t="shared" si="7"/>
        <v>0</v>
      </c>
      <c r="L47" s="81">
        <f t="shared" si="3"/>
        <v>807000</v>
      </c>
      <c r="M47" s="63">
        <f t="shared" si="4"/>
        <v>0</v>
      </c>
    </row>
    <row r="48" spans="1:13" s="4" customFormat="1" ht="15">
      <c r="A48" s="48" t="s">
        <v>53</v>
      </c>
      <c r="B48" s="49" t="s">
        <v>60</v>
      </c>
      <c r="C48" s="78">
        <v>70070000</v>
      </c>
      <c r="D48" s="78">
        <v>65687676.72</v>
      </c>
      <c r="E48" s="78">
        <f>F48-43141450</f>
        <v>10814214</v>
      </c>
      <c r="F48" s="78">
        <v>53955664</v>
      </c>
      <c r="G48" s="52">
        <f t="shared" si="6"/>
        <v>0.0572867048493807</v>
      </c>
      <c r="H48" s="78">
        <f t="shared" si="2"/>
        <v>11732012.719999999</v>
      </c>
      <c r="I48" s="78">
        <f>J48-33281584</f>
        <v>20674080</v>
      </c>
      <c r="J48" s="78">
        <v>53955664</v>
      </c>
      <c r="K48" s="52">
        <f t="shared" si="7"/>
        <v>0.058085639034943015</v>
      </c>
      <c r="L48" s="81">
        <f t="shared" si="3"/>
        <v>11732012.719999999</v>
      </c>
      <c r="M48" s="63">
        <f t="shared" si="4"/>
        <v>0</v>
      </c>
    </row>
    <row r="49" spans="1:13" s="4" customFormat="1" ht="15">
      <c r="A49" s="97" t="s">
        <v>135</v>
      </c>
      <c r="B49" s="49" t="s">
        <v>136</v>
      </c>
      <c r="C49" s="78">
        <v>0</v>
      </c>
      <c r="D49" s="78">
        <v>0</v>
      </c>
      <c r="E49" s="78">
        <f>F49-0</f>
        <v>0</v>
      </c>
      <c r="F49" s="78">
        <v>0</v>
      </c>
      <c r="G49" s="52">
        <f t="shared" si="6"/>
        <v>0</v>
      </c>
      <c r="H49" s="78">
        <f t="shared" si="2"/>
        <v>0</v>
      </c>
      <c r="I49" s="78">
        <f t="shared" si="5"/>
        <v>0</v>
      </c>
      <c r="J49" s="78">
        <v>0</v>
      </c>
      <c r="K49" s="52">
        <f t="shared" si="7"/>
        <v>0</v>
      </c>
      <c r="L49" s="81">
        <f aca="true" t="shared" si="8" ref="L49:L56">D49-J49</f>
        <v>0</v>
      </c>
      <c r="M49" s="63">
        <f t="shared" si="4"/>
        <v>0</v>
      </c>
    </row>
    <row r="50" spans="1:13" s="4" customFormat="1" ht="15">
      <c r="A50" s="48" t="s">
        <v>151</v>
      </c>
      <c r="B50" s="49" t="s">
        <v>152</v>
      </c>
      <c r="C50" s="78">
        <v>36511000</v>
      </c>
      <c r="D50" s="78">
        <v>38511816.67</v>
      </c>
      <c r="E50" s="78">
        <f>F50-0</f>
        <v>0</v>
      </c>
      <c r="F50" s="78">
        <v>0</v>
      </c>
      <c r="G50" s="52">
        <f t="shared" si="6"/>
        <v>0</v>
      </c>
      <c r="H50" s="78">
        <f t="shared" si="2"/>
        <v>38511816.67</v>
      </c>
      <c r="I50" s="78">
        <f t="shared" si="5"/>
        <v>0</v>
      </c>
      <c r="J50" s="78">
        <v>0</v>
      </c>
      <c r="K50" s="52">
        <f t="shared" si="7"/>
        <v>0</v>
      </c>
      <c r="L50" s="81">
        <f t="shared" si="8"/>
        <v>38511816.67</v>
      </c>
      <c r="M50" s="63">
        <f t="shared" si="4"/>
        <v>0</v>
      </c>
    </row>
    <row r="51" spans="1:13" s="4" customFormat="1" ht="15">
      <c r="A51" s="48" t="s">
        <v>139</v>
      </c>
      <c r="B51" s="49" t="s">
        <v>140</v>
      </c>
      <c r="C51" s="78">
        <v>6300000</v>
      </c>
      <c r="D51" s="78">
        <v>6300000</v>
      </c>
      <c r="E51" s="78">
        <f>F51-0</f>
        <v>0</v>
      </c>
      <c r="F51" s="78">
        <v>0</v>
      </c>
      <c r="G51" s="52">
        <f t="shared" si="6"/>
        <v>0</v>
      </c>
      <c r="H51" s="78">
        <f t="shared" si="2"/>
        <v>6300000</v>
      </c>
      <c r="I51" s="78">
        <f t="shared" si="5"/>
        <v>0</v>
      </c>
      <c r="J51" s="78">
        <v>0</v>
      </c>
      <c r="K51" s="52">
        <f t="shared" si="7"/>
        <v>0</v>
      </c>
      <c r="L51" s="81">
        <f t="shared" si="8"/>
        <v>6300000</v>
      </c>
      <c r="M51" s="63">
        <f t="shared" si="4"/>
        <v>0</v>
      </c>
    </row>
    <row r="52" spans="1:13" s="4" customFormat="1" ht="15">
      <c r="A52" s="48" t="s">
        <v>143</v>
      </c>
      <c r="B52" s="49" t="s">
        <v>144</v>
      </c>
      <c r="C52" s="78">
        <v>55016831</v>
      </c>
      <c r="D52" s="78">
        <v>35692475.01</v>
      </c>
      <c r="E52" s="78">
        <f>F52-2587886.04</f>
        <v>-801818.23</v>
      </c>
      <c r="F52" s="78">
        <v>1786067.81</v>
      </c>
      <c r="G52" s="52">
        <f t="shared" si="6"/>
        <v>0.001896333617031379</v>
      </c>
      <c r="H52" s="78">
        <f t="shared" si="2"/>
        <v>33906407.199999996</v>
      </c>
      <c r="I52" s="78">
        <f>J52-974215.31</f>
        <v>811852.5</v>
      </c>
      <c r="J52" s="78">
        <v>1786067.81</v>
      </c>
      <c r="K52" s="52">
        <f t="shared" si="7"/>
        <v>0.0019227803424602685</v>
      </c>
      <c r="L52" s="81">
        <f t="shared" si="8"/>
        <v>33906407.199999996</v>
      </c>
      <c r="M52" s="63">
        <f t="shared" si="4"/>
        <v>0</v>
      </c>
    </row>
    <row r="53" spans="1:13" s="4" customFormat="1" ht="15">
      <c r="A53" s="48" t="s">
        <v>96</v>
      </c>
      <c r="B53" s="49" t="s">
        <v>102</v>
      </c>
      <c r="C53" s="78">
        <v>5000</v>
      </c>
      <c r="D53" s="78">
        <v>259958043.88</v>
      </c>
      <c r="E53" s="78">
        <f>F53-245539706.67</f>
        <v>-363262.59999999404</v>
      </c>
      <c r="F53" s="78">
        <v>245176444.07</v>
      </c>
      <c r="G53" s="52">
        <f t="shared" si="6"/>
        <v>0.26031281141232515</v>
      </c>
      <c r="H53" s="78">
        <f t="shared" si="2"/>
        <v>14781599.810000002</v>
      </c>
      <c r="I53" s="78">
        <f>J53-245059492.37</f>
        <v>116951.69999998808</v>
      </c>
      <c r="J53" s="78">
        <v>245176444.07</v>
      </c>
      <c r="K53" s="52">
        <f t="shared" si="7"/>
        <v>0.26394319658675525</v>
      </c>
      <c r="L53" s="81">
        <f t="shared" si="8"/>
        <v>14781599.810000002</v>
      </c>
      <c r="M53" s="63">
        <f t="shared" si="4"/>
        <v>0</v>
      </c>
    </row>
    <row r="54" spans="1:13" s="4" customFormat="1" ht="15">
      <c r="A54" s="48" t="s">
        <v>97</v>
      </c>
      <c r="B54" s="49" t="s">
        <v>237</v>
      </c>
      <c r="C54" s="78">
        <v>17326316</v>
      </c>
      <c r="D54" s="78">
        <v>20791467.73</v>
      </c>
      <c r="E54" s="78">
        <f>F54-0</f>
        <v>0</v>
      </c>
      <c r="F54" s="78">
        <v>0</v>
      </c>
      <c r="G54" s="52">
        <f t="shared" si="6"/>
        <v>0</v>
      </c>
      <c r="H54" s="78">
        <f t="shared" si="2"/>
        <v>20791467.73</v>
      </c>
      <c r="I54" s="78">
        <f t="shared" si="5"/>
        <v>0</v>
      </c>
      <c r="J54" s="78">
        <v>0</v>
      </c>
      <c r="K54" s="52">
        <f t="shared" si="7"/>
        <v>0</v>
      </c>
      <c r="L54" s="81">
        <f t="shared" si="8"/>
        <v>20791467.73</v>
      </c>
      <c r="M54" s="63">
        <f t="shared" si="4"/>
        <v>0</v>
      </c>
    </row>
    <row r="55" spans="1:13" s="4" customFormat="1" ht="15">
      <c r="A55" s="48" t="s">
        <v>180</v>
      </c>
      <c r="B55" s="49" t="s">
        <v>181</v>
      </c>
      <c r="C55" s="78">
        <v>0</v>
      </c>
      <c r="D55" s="78">
        <v>0</v>
      </c>
      <c r="E55" s="78">
        <f>F55-0</f>
        <v>0</v>
      </c>
      <c r="F55" s="78">
        <v>0</v>
      </c>
      <c r="G55" s="52">
        <f t="shared" si="6"/>
        <v>0</v>
      </c>
      <c r="H55" s="78">
        <f t="shared" si="2"/>
        <v>0</v>
      </c>
      <c r="I55" s="78">
        <v>0</v>
      </c>
      <c r="J55" s="78">
        <v>0</v>
      </c>
      <c r="K55" s="52">
        <f t="shared" si="7"/>
        <v>0</v>
      </c>
      <c r="L55" s="81">
        <f t="shared" si="8"/>
        <v>0</v>
      </c>
      <c r="M55" s="63">
        <f t="shared" si="4"/>
        <v>0</v>
      </c>
    </row>
    <row r="56" spans="1:13" s="4" customFormat="1" ht="15">
      <c r="A56" s="48" t="s">
        <v>54</v>
      </c>
      <c r="B56" s="49" t="s">
        <v>61</v>
      </c>
      <c r="C56" s="78">
        <v>1300530430</v>
      </c>
      <c r="D56" s="78">
        <v>1992276018.66</v>
      </c>
      <c r="E56" s="78">
        <f>F56-1243951646.35</f>
        <v>316935440.20000005</v>
      </c>
      <c r="F56" s="78">
        <v>1560887086.55</v>
      </c>
      <c r="G56" s="52">
        <f t="shared" si="6"/>
        <v>1.6572509946388498</v>
      </c>
      <c r="H56" s="78">
        <f t="shared" si="2"/>
        <v>431388932.11000013</v>
      </c>
      <c r="I56" s="78">
        <f>J56-1243951646.35</f>
        <v>316935440.20000005</v>
      </c>
      <c r="J56" s="78">
        <v>1560887086.55</v>
      </c>
      <c r="K56" s="52">
        <f t="shared" si="7"/>
        <v>1.680363416223497</v>
      </c>
      <c r="L56" s="81">
        <f t="shared" si="8"/>
        <v>431388932.11000013</v>
      </c>
      <c r="M56" s="63">
        <f t="shared" si="4"/>
        <v>0</v>
      </c>
    </row>
    <row r="57" spans="1:13" s="4" customFormat="1" ht="15">
      <c r="A57" s="48" t="s">
        <v>185</v>
      </c>
      <c r="B57" s="49" t="s">
        <v>186</v>
      </c>
      <c r="C57" s="78">
        <v>0</v>
      </c>
      <c r="D57" s="78">
        <v>0</v>
      </c>
      <c r="E57" s="78">
        <f>F57-0</f>
        <v>0</v>
      </c>
      <c r="F57" s="78">
        <v>0</v>
      </c>
      <c r="G57" s="52">
        <f t="shared" si="6"/>
        <v>0</v>
      </c>
      <c r="H57" s="78">
        <f t="shared" si="2"/>
        <v>0</v>
      </c>
      <c r="I57" s="78">
        <f t="shared" si="5"/>
        <v>0</v>
      </c>
      <c r="J57" s="78">
        <v>0</v>
      </c>
      <c r="K57" s="52">
        <f t="shared" si="7"/>
        <v>0</v>
      </c>
      <c r="L57" s="81">
        <f t="shared" si="3"/>
        <v>0</v>
      </c>
      <c r="M57" s="63">
        <f t="shared" si="4"/>
        <v>0</v>
      </c>
    </row>
    <row r="58" spans="1:13" s="4" customFormat="1" ht="15">
      <c r="A58" s="48" t="s">
        <v>209</v>
      </c>
      <c r="B58" s="49" t="s">
        <v>210</v>
      </c>
      <c r="C58" s="78">
        <v>0</v>
      </c>
      <c r="D58" s="78">
        <v>0</v>
      </c>
      <c r="E58" s="78">
        <f>F58-0</f>
        <v>0</v>
      </c>
      <c r="F58" s="78">
        <v>0</v>
      </c>
      <c r="G58" s="52">
        <f t="shared" si="6"/>
        <v>0</v>
      </c>
      <c r="H58" s="78">
        <f>D58-F58</f>
        <v>0</v>
      </c>
      <c r="I58" s="78">
        <f t="shared" si="5"/>
        <v>0</v>
      </c>
      <c r="J58" s="78">
        <v>0</v>
      </c>
      <c r="K58" s="52">
        <f t="shared" si="7"/>
        <v>0</v>
      </c>
      <c r="L58" s="81">
        <f>D58-J58</f>
        <v>0</v>
      </c>
      <c r="M58" s="63">
        <f t="shared" si="4"/>
        <v>0</v>
      </c>
    </row>
    <row r="59" spans="1:13" s="4" customFormat="1" ht="15">
      <c r="A59" s="99" t="s">
        <v>63</v>
      </c>
      <c r="B59" s="100" t="s">
        <v>62</v>
      </c>
      <c r="C59" s="77">
        <f>SUM(C60:C82)</f>
        <v>12513246588</v>
      </c>
      <c r="D59" s="77">
        <f>SUM(D60:D82)</f>
        <v>15805184276.72</v>
      </c>
      <c r="E59" s="77">
        <f>SUM(E60:E82)</f>
        <v>2262475426.0900006</v>
      </c>
      <c r="F59" s="77">
        <f>SUM(F60:F82)</f>
        <v>13891833966.32</v>
      </c>
      <c r="G59" s="47">
        <f t="shared" si="6"/>
        <v>14.749468975957287</v>
      </c>
      <c r="H59" s="77">
        <f t="shared" si="2"/>
        <v>1913350310.3999996</v>
      </c>
      <c r="I59" s="77">
        <f>SUM(I60:I82)</f>
        <v>2828267180.7300005</v>
      </c>
      <c r="J59" s="77">
        <f>SUM(J60:J82)</f>
        <v>13651511239.35</v>
      </c>
      <c r="K59" s="47">
        <f t="shared" si="7"/>
        <v>14.696450666057073</v>
      </c>
      <c r="L59" s="80">
        <f t="shared" si="3"/>
        <v>2153673037.369999</v>
      </c>
      <c r="M59" s="113">
        <f t="shared" si="4"/>
        <v>240322726.9699993</v>
      </c>
    </row>
    <row r="60" spans="1:13" s="4" customFormat="1" ht="15">
      <c r="A60" s="48" t="s">
        <v>38</v>
      </c>
      <c r="B60" s="49" t="s">
        <v>284</v>
      </c>
      <c r="C60" s="78">
        <v>5000000</v>
      </c>
      <c r="D60" s="78">
        <v>5000000</v>
      </c>
      <c r="E60" s="78">
        <f>F60-0</f>
        <v>0</v>
      </c>
      <c r="F60" s="78">
        <v>0</v>
      </c>
      <c r="G60" s="52">
        <f t="shared" si="6"/>
        <v>0</v>
      </c>
      <c r="H60" s="78">
        <f t="shared" si="2"/>
        <v>5000000</v>
      </c>
      <c r="I60" s="78">
        <f>J60-0</f>
        <v>0</v>
      </c>
      <c r="J60" s="78">
        <v>0</v>
      </c>
      <c r="K60" s="52">
        <f t="shared" si="7"/>
        <v>0</v>
      </c>
      <c r="L60" s="81">
        <f t="shared" si="3"/>
        <v>5000000</v>
      </c>
      <c r="M60" s="63">
        <f t="shared" si="4"/>
        <v>0</v>
      </c>
    </row>
    <row r="61" spans="1:13" s="4" customFormat="1" ht="15">
      <c r="A61" s="48" t="s">
        <v>28</v>
      </c>
      <c r="B61" s="49" t="s">
        <v>33</v>
      </c>
      <c r="C61" s="78">
        <v>10828383683</v>
      </c>
      <c r="D61" s="78">
        <v>13053319928.01</v>
      </c>
      <c r="E61" s="78">
        <f>F61-10221562002.01</f>
        <v>2123158262.8199997</v>
      </c>
      <c r="F61" s="78">
        <v>12344720264.83</v>
      </c>
      <c r="G61" s="52">
        <f t="shared" si="6"/>
        <v>13.106841688751803</v>
      </c>
      <c r="H61" s="78">
        <f>D61-F61</f>
        <v>708599663.1800003</v>
      </c>
      <c r="I61" s="78">
        <f>J61-9984669852.74</f>
        <v>2306722220.1000004</v>
      </c>
      <c r="J61" s="78">
        <v>12291392072.84</v>
      </c>
      <c r="K61" s="52">
        <f t="shared" si="7"/>
        <v>13.232222722343742</v>
      </c>
      <c r="L61" s="81">
        <f>D61-J61</f>
        <v>761927855.1700001</v>
      </c>
      <c r="M61" s="63">
        <f t="shared" si="4"/>
        <v>53328191.98999977</v>
      </c>
    </row>
    <row r="62" spans="1:13" s="4" customFormat="1" ht="15">
      <c r="A62" s="48" t="s">
        <v>49</v>
      </c>
      <c r="B62" s="49" t="s">
        <v>56</v>
      </c>
      <c r="C62" s="78">
        <v>202256273</v>
      </c>
      <c r="D62" s="78">
        <v>263321773</v>
      </c>
      <c r="E62" s="78">
        <f>F62-150728267.61</f>
        <v>34120932.79999998</v>
      </c>
      <c r="F62" s="78">
        <v>184849200.41</v>
      </c>
      <c r="G62" s="52">
        <f t="shared" si="6"/>
        <v>0.1962611670487771</v>
      </c>
      <c r="H62" s="78">
        <f t="shared" si="2"/>
        <v>78472572.59</v>
      </c>
      <c r="I62" s="78">
        <f>J62-120781249.59</f>
        <v>49801970.859999985</v>
      </c>
      <c r="J62" s="78">
        <v>170583220.45</v>
      </c>
      <c r="K62" s="52">
        <f t="shared" si="7"/>
        <v>0.18364031936437308</v>
      </c>
      <c r="L62" s="81">
        <f t="shared" si="3"/>
        <v>92738552.55000001</v>
      </c>
      <c r="M62" s="63">
        <f t="shared" si="4"/>
        <v>14265979.960000008</v>
      </c>
    </row>
    <row r="63" spans="1:13" s="4" customFormat="1" ht="15">
      <c r="A63" s="97" t="s">
        <v>50</v>
      </c>
      <c r="B63" s="98" t="s">
        <v>57</v>
      </c>
      <c r="C63" s="78">
        <v>147074319</v>
      </c>
      <c r="D63" s="78">
        <v>140222712.66</v>
      </c>
      <c r="E63" s="78">
        <f>F63-74462311.26</f>
        <v>15949314.280000001</v>
      </c>
      <c r="F63" s="78">
        <v>90411625.54</v>
      </c>
      <c r="G63" s="52">
        <f t="shared" si="6"/>
        <v>0.09599333458787032</v>
      </c>
      <c r="H63" s="78">
        <f>D63-F63</f>
        <v>49811087.11999999</v>
      </c>
      <c r="I63" s="78">
        <f>J63-34345665.64</f>
        <v>37171155.84</v>
      </c>
      <c r="J63" s="78">
        <v>71516821.48</v>
      </c>
      <c r="K63" s="52">
        <f t="shared" si="7"/>
        <v>0.07699099537378946</v>
      </c>
      <c r="L63" s="81">
        <f t="shared" si="3"/>
        <v>68705891.17999999</v>
      </c>
      <c r="M63" s="63">
        <f t="shared" si="4"/>
        <v>18894804.060000002</v>
      </c>
    </row>
    <row r="64" spans="1:13" s="4" customFormat="1" ht="15">
      <c r="A64" s="48" t="s">
        <v>29</v>
      </c>
      <c r="B64" s="49" t="s">
        <v>34</v>
      </c>
      <c r="C64" s="78">
        <v>3974660</v>
      </c>
      <c r="D64" s="78">
        <v>20927121.72</v>
      </c>
      <c r="E64" s="78">
        <f>F64-8009046.58</f>
        <v>2709112.630000001</v>
      </c>
      <c r="F64" s="78">
        <v>10718159.21</v>
      </c>
      <c r="G64" s="52">
        <f t="shared" si="6"/>
        <v>0.011379862236371356</v>
      </c>
      <c r="H64" s="78">
        <f t="shared" si="2"/>
        <v>10208962.509999998</v>
      </c>
      <c r="I64" s="78">
        <f>J64-4613536.79</f>
        <v>2252359.08</v>
      </c>
      <c r="J64" s="78">
        <v>6865895.87</v>
      </c>
      <c r="K64" s="52">
        <f t="shared" si="7"/>
        <v>0.007391438073235944</v>
      </c>
      <c r="L64" s="81">
        <f t="shared" si="3"/>
        <v>14061225.849999998</v>
      </c>
      <c r="M64" s="63">
        <f t="shared" si="4"/>
        <v>3852263.340000001</v>
      </c>
    </row>
    <row r="65" spans="1:13" s="4" customFormat="1" ht="15">
      <c r="A65" s="48" t="s">
        <v>64</v>
      </c>
      <c r="B65" s="49" t="s">
        <v>72</v>
      </c>
      <c r="C65" s="78">
        <v>567023526</v>
      </c>
      <c r="D65" s="78">
        <v>848666577.22</v>
      </c>
      <c r="E65" s="78">
        <f>F65-552257641.01</f>
        <v>-28167427.849999964</v>
      </c>
      <c r="F65" s="78">
        <v>524090213.16</v>
      </c>
      <c r="G65" s="52">
        <f t="shared" si="6"/>
        <v>0.5564457765869758</v>
      </c>
      <c r="H65" s="78">
        <f t="shared" si="2"/>
        <v>324576364.06</v>
      </c>
      <c r="I65" s="78">
        <f>J65-241559596.71</f>
        <v>227344171.81999996</v>
      </c>
      <c r="J65" s="78">
        <v>468903768.53</v>
      </c>
      <c r="K65" s="52">
        <f t="shared" si="7"/>
        <v>0.5047954750581524</v>
      </c>
      <c r="L65" s="81">
        <f t="shared" si="3"/>
        <v>379762808.69000006</v>
      </c>
      <c r="M65" s="63">
        <f t="shared" si="4"/>
        <v>55186444.630000055</v>
      </c>
    </row>
    <row r="66" spans="1:13" s="4" customFormat="1" ht="15">
      <c r="A66" s="48" t="s">
        <v>65</v>
      </c>
      <c r="B66" s="49" t="s">
        <v>73</v>
      </c>
      <c r="C66" s="78">
        <v>110856678</v>
      </c>
      <c r="D66" s="78">
        <v>353494252.34</v>
      </c>
      <c r="E66" s="78">
        <f>F66-196273531.93</f>
        <v>-13189585.02000001</v>
      </c>
      <c r="F66" s="78">
        <v>183083946.91</v>
      </c>
      <c r="G66" s="52">
        <f t="shared" si="6"/>
        <v>0.19438693274709498</v>
      </c>
      <c r="H66" s="78">
        <f t="shared" si="2"/>
        <v>170410305.42999998</v>
      </c>
      <c r="I66" s="78">
        <f>J66-90666444.19</f>
        <v>56770535.52000001</v>
      </c>
      <c r="J66" s="78">
        <v>147436979.71</v>
      </c>
      <c r="K66" s="52">
        <f t="shared" si="7"/>
        <v>0.15872237590917754</v>
      </c>
      <c r="L66" s="81">
        <f t="shared" si="3"/>
        <v>206057272.62999997</v>
      </c>
      <c r="M66" s="63">
        <f t="shared" si="4"/>
        <v>35646967.19999999</v>
      </c>
    </row>
    <row r="67" spans="1:13" s="4" customFormat="1" ht="15">
      <c r="A67" s="48" t="s">
        <v>66</v>
      </c>
      <c r="B67" s="49" t="s">
        <v>74</v>
      </c>
      <c r="C67" s="78">
        <v>6435348</v>
      </c>
      <c r="D67" s="78">
        <v>6335019.36</v>
      </c>
      <c r="E67" s="78">
        <f>F67-4293146.97</f>
        <v>-991559.4099999997</v>
      </c>
      <c r="F67" s="78">
        <v>3301587.56</v>
      </c>
      <c r="G67" s="52">
        <f t="shared" si="6"/>
        <v>0.0035054164486624977</v>
      </c>
      <c r="H67" s="78">
        <f t="shared" si="2"/>
        <v>3033431.8000000003</v>
      </c>
      <c r="I67" s="78">
        <f>J67-2387409.07</f>
        <v>914178.4900000002</v>
      </c>
      <c r="J67" s="78">
        <v>3301587.56</v>
      </c>
      <c r="K67" s="52">
        <f t="shared" si="7"/>
        <v>0.0035543038308715517</v>
      </c>
      <c r="L67" s="81">
        <f t="shared" si="3"/>
        <v>3033431.8000000003</v>
      </c>
      <c r="M67" s="63">
        <f t="shared" si="4"/>
        <v>0</v>
      </c>
    </row>
    <row r="68" spans="1:13" s="4" customFormat="1" ht="15">
      <c r="A68" s="48" t="s">
        <v>131</v>
      </c>
      <c r="B68" s="49" t="s">
        <v>132</v>
      </c>
      <c r="C68" s="78">
        <v>600000</v>
      </c>
      <c r="D68" s="78">
        <v>600000</v>
      </c>
      <c r="E68" s="78">
        <f>F68-0</f>
        <v>0</v>
      </c>
      <c r="F68" s="78">
        <v>0</v>
      </c>
      <c r="G68" s="52">
        <f t="shared" si="6"/>
        <v>0</v>
      </c>
      <c r="H68" s="78">
        <f t="shared" si="2"/>
        <v>600000</v>
      </c>
      <c r="I68" s="78">
        <f>J68-0</f>
        <v>0</v>
      </c>
      <c r="J68" s="78">
        <v>0</v>
      </c>
      <c r="K68" s="52">
        <f t="shared" si="7"/>
        <v>0</v>
      </c>
      <c r="L68" s="81">
        <f t="shared" si="3"/>
        <v>600000</v>
      </c>
      <c r="M68" s="63">
        <f t="shared" si="4"/>
        <v>0</v>
      </c>
    </row>
    <row r="69" spans="1:13" s="4" customFormat="1" ht="15">
      <c r="A69" s="48" t="s">
        <v>82</v>
      </c>
      <c r="B69" s="49" t="s">
        <v>84</v>
      </c>
      <c r="C69" s="78">
        <v>1400000</v>
      </c>
      <c r="D69" s="78">
        <v>1400000</v>
      </c>
      <c r="E69" s="78">
        <f>F69-0</f>
        <v>0</v>
      </c>
      <c r="F69" s="78">
        <v>0</v>
      </c>
      <c r="G69" s="52">
        <f t="shared" si="6"/>
        <v>0</v>
      </c>
      <c r="H69" s="78">
        <f t="shared" si="2"/>
        <v>1400000</v>
      </c>
      <c r="I69" s="78">
        <f>J69-0</f>
        <v>0</v>
      </c>
      <c r="J69" s="78">
        <v>0</v>
      </c>
      <c r="K69" s="52">
        <f t="shared" si="7"/>
        <v>0</v>
      </c>
      <c r="L69" s="81">
        <f t="shared" si="3"/>
        <v>1400000</v>
      </c>
      <c r="M69" s="63">
        <f t="shared" si="4"/>
        <v>0</v>
      </c>
    </row>
    <row r="70" spans="1:13" s="4" customFormat="1" ht="15">
      <c r="A70" s="48" t="s">
        <v>83</v>
      </c>
      <c r="B70" s="49" t="s">
        <v>85</v>
      </c>
      <c r="C70" s="78">
        <v>12136528</v>
      </c>
      <c r="D70" s="78">
        <v>46990239</v>
      </c>
      <c r="E70" s="78">
        <f>F70-30793344.04</f>
        <v>-654854.2199999988</v>
      </c>
      <c r="F70" s="78">
        <v>30138489.82</v>
      </c>
      <c r="G70" s="52">
        <f t="shared" si="6"/>
        <v>0.03199913860617867</v>
      </c>
      <c r="H70" s="78">
        <f t="shared" si="2"/>
        <v>16851749.18</v>
      </c>
      <c r="I70" s="78">
        <f>J70-29515985.76</f>
        <v>622504.0599999987</v>
      </c>
      <c r="J70" s="78">
        <v>30138489.82</v>
      </c>
      <c r="K70" s="52">
        <f t="shared" si="7"/>
        <v>0.0324454063014186</v>
      </c>
      <c r="L70" s="81">
        <f t="shared" si="3"/>
        <v>16851749.18</v>
      </c>
      <c r="M70" s="63">
        <f t="shared" si="4"/>
        <v>0</v>
      </c>
    </row>
    <row r="71" spans="1:13" s="4" customFormat="1" ht="15">
      <c r="A71" s="48" t="s">
        <v>92</v>
      </c>
      <c r="B71" s="49" t="s">
        <v>98</v>
      </c>
      <c r="C71" s="78">
        <v>1000000</v>
      </c>
      <c r="D71" s="78">
        <v>1000000</v>
      </c>
      <c r="E71" s="78">
        <f>F71-0</f>
        <v>0</v>
      </c>
      <c r="F71" s="78">
        <v>0</v>
      </c>
      <c r="G71" s="52">
        <f t="shared" si="6"/>
        <v>0</v>
      </c>
      <c r="H71" s="78">
        <f t="shared" si="2"/>
        <v>1000000</v>
      </c>
      <c r="I71" s="78">
        <f>J71-0</f>
        <v>0</v>
      </c>
      <c r="J71" s="78">
        <v>0</v>
      </c>
      <c r="K71" s="52">
        <f t="shared" si="7"/>
        <v>0</v>
      </c>
      <c r="L71" s="81">
        <f t="shared" si="3"/>
        <v>1000000</v>
      </c>
      <c r="M71" s="63">
        <f t="shared" si="4"/>
        <v>0</v>
      </c>
    </row>
    <row r="72" spans="1:13" s="4" customFormat="1" ht="15">
      <c r="A72" s="48" t="s">
        <v>67</v>
      </c>
      <c r="B72" s="49" t="s">
        <v>75</v>
      </c>
      <c r="C72" s="78">
        <v>163321559</v>
      </c>
      <c r="D72" s="78">
        <v>473996099.23</v>
      </c>
      <c r="E72" s="78">
        <f>F72-106339853.22</f>
        <v>31705026.810000002</v>
      </c>
      <c r="F72" s="78">
        <v>138044880.03</v>
      </c>
      <c r="G72" s="52">
        <f t="shared" si="6"/>
        <v>0.14656730567242723</v>
      </c>
      <c r="H72" s="78">
        <f t="shared" si="2"/>
        <v>335951219.20000005</v>
      </c>
      <c r="I72" s="78">
        <f>J72-55026470.61</f>
        <v>42287776.11</v>
      </c>
      <c r="J72" s="78">
        <v>97314246.72</v>
      </c>
      <c r="K72" s="52">
        <f t="shared" si="7"/>
        <v>0.10476305523615291</v>
      </c>
      <c r="L72" s="81">
        <f t="shared" si="3"/>
        <v>376681852.51</v>
      </c>
      <c r="M72" s="63">
        <f t="shared" si="4"/>
        <v>40730633.31</v>
      </c>
    </row>
    <row r="73" spans="1:13" s="4" customFormat="1" ht="15">
      <c r="A73" s="48" t="s">
        <v>68</v>
      </c>
      <c r="B73" s="49" t="s">
        <v>76</v>
      </c>
      <c r="C73" s="78">
        <v>250000000</v>
      </c>
      <c r="D73" s="78">
        <v>299694932.61</v>
      </c>
      <c r="E73" s="78">
        <f>F73-145626381.11</f>
        <v>45565591.089999974</v>
      </c>
      <c r="F73" s="78">
        <v>191191972.2</v>
      </c>
      <c r="G73" s="52">
        <f t="shared" si="6"/>
        <v>0.20299552019214145</v>
      </c>
      <c r="H73" s="78">
        <f t="shared" si="2"/>
        <v>108502960.41000003</v>
      </c>
      <c r="I73" s="78">
        <f>J73-137953492.01</f>
        <v>53238480.19</v>
      </c>
      <c r="J73" s="78">
        <v>191191972.2</v>
      </c>
      <c r="K73" s="52">
        <f t="shared" si="7"/>
        <v>0.20582654461611408</v>
      </c>
      <c r="L73" s="81">
        <f t="shared" si="3"/>
        <v>108502960.41000003</v>
      </c>
      <c r="M73" s="63">
        <f t="shared" si="4"/>
        <v>0</v>
      </c>
    </row>
    <row r="74" spans="1:13" s="4" customFormat="1" ht="15">
      <c r="A74" s="48" t="s">
        <v>238</v>
      </c>
      <c r="B74" s="49" t="s">
        <v>239</v>
      </c>
      <c r="C74" s="78">
        <v>0</v>
      </c>
      <c r="D74" s="78">
        <v>0</v>
      </c>
      <c r="E74" s="78">
        <f>F74-0</f>
        <v>0</v>
      </c>
      <c r="F74" s="78">
        <v>0</v>
      </c>
      <c r="G74" s="52">
        <f t="shared" si="6"/>
        <v>0</v>
      </c>
      <c r="H74" s="78">
        <f>D74-F74</f>
        <v>0</v>
      </c>
      <c r="I74" s="78">
        <f>J74-0</f>
        <v>0</v>
      </c>
      <c r="J74" s="78">
        <v>0</v>
      </c>
      <c r="K74" s="52">
        <f t="shared" si="7"/>
        <v>0</v>
      </c>
      <c r="L74" s="81">
        <f t="shared" si="3"/>
        <v>0</v>
      </c>
      <c r="M74" s="63">
        <f t="shared" si="4"/>
        <v>0</v>
      </c>
    </row>
    <row r="75" spans="1:13" s="4" customFormat="1" ht="15">
      <c r="A75" s="48" t="s">
        <v>106</v>
      </c>
      <c r="B75" s="49" t="s">
        <v>108</v>
      </c>
      <c r="C75" s="78">
        <v>0</v>
      </c>
      <c r="D75" s="78">
        <v>0</v>
      </c>
      <c r="E75" s="78">
        <f>F75-0</f>
        <v>0</v>
      </c>
      <c r="F75" s="78">
        <v>0</v>
      </c>
      <c r="G75" s="52">
        <f t="shared" si="6"/>
        <v>0</v>
      </c>
      <c r="H75" s="78">
        <f>D75-F75</f>
        <v>0</v>
      </c>
      <c r="I75" s="78">
        <f>J75-0</f>
        <v>0</v>
      </c>
      <c r="J75" s="78">
        <v>0</v>
      </c>
      <c r="K75" s="52">
        <f t="shared" si="7"/>
        <v>0</v>
      </c>
      <c r="L75" s="81">
        <f t="shared" si="3"/>
        <v>0</v>
      </c>
      <c r="M75" s="63">
        <f t="shared" si="4"/>
        <v>0</v>
      </c>
    </row>
    <row r="76" spans="1:13" s="4" customFormat="1" ht="15">
      <c r="A76" s="48" t="s">
        <v>115</v>
      </c>
      <c r="B76" s="49" t="s">
        <v>122</v>
      </c>
      <c r="C76" s="78">
        <v>0</v>
      </c>
      <c r="D76" s="78">
        <v>0</v>
      </c>
      <c r="E76" s="78">
        <f>F76-0</f>
        <v>0</v>
      </c>
      <c r="F76" s="78">
        <v>0</v>
      </c>
      <c r="G76" s="52">
        <f t="shared" si="6"/>
        <v>0</v>
      </c>
      <c r="H76" s="78">
        <f>D76-F76</f>
        <v>0</v>
      </c>
      <c r="I76" s="78">
        <f>J76-0</f>
        <v>0</v>
      </c>
      <c r="J76" s="78">
        <v>0</v>
      </c>
      <c r="K76" s="52">
        <f t="shared" si="7"/>
        <v>0</v>
      </c>
      <c r="L76" s="81">
        <f t="shared" si="3"/>
        <v>0</v>
      </c>
      <c r="M76" s="63">
        <f t="shared" si="4"/>
        <v>0</v>
      </c>
    </row>
    <row r="77" spans="1:13" s="4" customFormat="1" ht="15">
      <c r="A77" s="48" t="s">
        <v>69</v>
      </c>
      <c r="B77" s="49" t="s">
        <v>77</v>
      </c>
      <c r="C77" s="78">
        <v>39081295</v>
      </c>
      <c r="D77" s="78">
        <v>101246136.61</v>
      </c>
      <c r="E77" s="78">
        <f>F77-45999822.46</f>
        <v>27407803.509999998</v>
      </c>
      <c r="F77" s="78">
        <v>73407625.97</v>
      </c>
      <c r="G77" s="52">
        <f t="shared" si="6"/>
        <v>0.07793956539274771</v>
      </c>
      <c r="H77" s="78">
        <f t="shared" si="2"/>
        <v>27838510.64</v>
      </c>
      <c r="I77" s="78">
        <f>J77-41059672.5</f>
        <v>21811830.83</v>
      </c>
      <c r="J77" s="78">
        <v>62871503.33</v>
      </c>
      <c r="K77" s="52">
        <f t="shared" si="7"/>
        <v>0.0676839311626412</v>
      </c>
      <c r="L77" s="81">
        <f t="shared" si="3"/>
        <v>38374633.28</v>
      </c>
      <c r="M77" s="63">
        <f t="shared" si="4"/>
        <v>10536122.64</v>
      </c>
    </row>
    <row r="78" spans="1:13" s="4" customFormat="1" ht="15">
      <c r="A78" s="48" t="s">
        <v>53</v>
      </c>
      <c r="B78" s="49" t="s">
        <v>60</v>
      </c>
      <c r="C78" s="78">
        <v>102559939</v>
      </c>
      <c r="D78" s="78">
        <v>132259939</v>
      </c>
      <c r="E78" s="78">
        <f>F78-86974303.74</f>
        <v>25442883.46000001</v>
      </c>
      <c r="F78" s="78">
        <v>112417187.2</v>
      </c>
      <c r="G78" s="52">
        <f>(F78/$F$296)*100</f>
        <v>0.11935744545973853</v>
      </c>
      <c r="H78" s="78">
        <f t="shared" si="2"/>
        <v>19842751.799999997</v>
      </c>
      <c r="I78" s="78">
        <f>J78-77137273.3</f>
        <v>27398594.060000002</v>
      </c>
      <c r="J78" s="78">
        <v>104535867.36</v>
      </c>
      <c r="K78" s="52">
        <f>(J78/$J$296)*100</f>
        <v>0.11253744662798777</v>
      </c>
      <c r="L78" s="81">
        <f t="shared" si="3"/>
        <v>27724071.64</v>
      </c>
      <c r="M78" s="63">
        <f t="shared" si="4"/>
        <v>7881319.840000004</v>
      </c>
    </row>
    <row r="79" spans="1:13" s="4" customFormat="1" ht="15">
      <c r="A79" s="48" t="s">
        <v>70</v>
      </c>
      <c r="B79" s="49" t="s">
        <v>78</v>
      </c>
      <c r="C79" s="78">
        <v>13482000</v>
      </c>
      <c r="D79" s="78">
        <v>14734265.96</v>
      </c>
      <c r="E79" s="78">
        <f>F79-5516614.35</f>
        <v>-548482.3499999996</v>
      </c>
      <c r="F79" s="78">
        <v>4968132</v>
      </c>
      <c r="G79" s="52">
        <f>(F79/$F$296)*100</f>
        <v>0.00527484772565793</v>
      </c>
      <c r="H79" s="78">
        <f t="shared" si="2"/>
        <v>9766133.96</v>
      </c>
      <c r="I79" s="78">
        <f>J79-3043052.18</f>
        <v>1925079.8199999998</v>
      </c>
      <c r="J79" s="78">
        <v>4968132</v>
      </c>
      <c r="K79" s="52">
        <f>(J79/$J$296)*100</f>
        <v>0.005348412022692363</v>
      </c>
      <c r="L79" s="81">
        <f t="shared" si="3"/>
        <v>9766133.96</v>
      </c>
      <c r="M79" s="63">
        <f t="shared" si="4"/>
        <v>0</v>
      </c>
    </row>
    <row r="80" spans="1:13" s="4" customFormat="1" ht="15">
      <c r="A80" s="48" t="s">
        <v>71</v>
      </c>
      <c r="B80" s="49" t="s">
        <v>79</v>
      </c>
      <c r="C80" s="78">
        <v>57155780</v>
      </c>
      <c r="D80" s="78">
        <v>40475280</v>
      </c>
      <c r="E80" s="78">
        <f>F80-522273.94</f>
        <v>-31592.46000000002</v>
      </c>
      <c r="F80" s="78">
        <v>490681.48</v>
      </c>
      <c r="G80" s="52">
        <f>(F80/$F$296)*100</f>
        <v>0.0005209745008386385</v>
      </c>
      <c r="H80" s="78">
        <f t="shared" si="2"/>
        <v>39984598.52</v>
      </c>
      <c r="I80" s="78">
        <f>J80-484357.53</f>
        <v>6323.949999999953</v>
      </c>
      <c r="J80" s="78">
        <v>490681.48</v>
      </c>
      <c r="K80" s="52">
        <f>(J80/$J$296)*100</f>
        <v>0.0005282401367243225</v>
      </c>
      <c r="L80" s="81">
        <f t="shared" si="3"/>
        <v>39984598.52</v>
      </c>
      <c r="M80" s="63">
        <f aca="true" t="shared" si="9" ref="M80:M142">F80-J80</f>
        <v>0</v>
      </c>
    </row>
    <row r="81" spans="1:13" s="4" customFormat="1" ht="15">
      <c r="A81" s="48" t="s">
        <v>199</v>
      </c>
      <c r="B81" s="49" t="s">
        <v>200</v>
      </c>
      <c r="C81" s="78">
        <v>5000</v>
      </c>
      <c r="D81" s="78">
        <v>0</v>
      </c>
      <c r="E81" s="78">
        <f>F81-0</f>
        <v>0</v>
      </c>
      <c r="F81" s="78">
        <v>0</v>
      </c>
      <c r="G81" s="52">
        <f>(F81/$F$296)*100</f>
        <v>0</v>
      </c>
      <c r="H81" s="78">
        <f t="shared" si="2"/>
        <v>0</v>
      </c>
      <c r="I81" s="78">
        <f>J81-0</f>
        <v>0</v>
      </c>
      <c r="J81" s="78">
        <v>0</v>
      </c>
      <c r="K81" s="52">
        <f>(J81/$J$296)*100</f>
        <v>0</v>
      </c>
      <c r="L81" s="81">
        <f t="shared" si="3"/>
        <v>0</v>
      </c>
      <c r="M81" s="63">
        <f t="shared" si="9"/>
        <v>0</v>
      </c>
    </row>
    <row r="82" spans="1:13" s="4" customFormat="1" ht="15">
      <c r="A82" s="48" t="s">
        <v>207</v>
      </c>
      <c r="B82" s="49" t="s">
        <v>208</v>
      </c>
      <c r="C82" s="78">
        <v>1500000</v>
      </c>
      <c r="D82" s="78">
        <v>1500000</v>
      </c>
      <c r="E82" s="78">
        <f>F82-0</f>
        <v>0</v>
      </c>
      <c r="F82" s="78">
        <v>0</v>
      </c>
      <c r="G82" s="52">
        <f>(F82/$F$296)*100</f>
        <v>0</v>
      </c>
      <c r="H82" s="78">
        <f t="shared" si="2"/>
        <v>1500000</v>
      </c>
      <c r="I82" s="78">
        <f>J82-0</f>
        <v>0</v>
      </c>
      <c r="J82" s="78">
        <v>0</v>
      </c>
      <c r="K82" s="52">
        <f>(J82/$J$296)*100</f>
        <v>0</v>
      </c>
      <c r="L82" s="81">
        <f t="shared" si="3"/>
        <v>1500000</v>
      </c>
      <c r="M82" s="63">
        <f t="shared" si="9"/>
        <v>0</v>
      </c>
    </row>
    <row r="83" spans="1:13" s="4" customFormat="1" ht="15">
      <c r="A83" s="43" t="s">
        <v>81</v>
      </c>
      <c r="B83" s="46" t="s">
        <v>80</v>
      </c>
      <c r="C83" s="77">
        <f>SUM(C84:C96)</f>
        <v>1389698503</v>
      </c>
      <c r="D83" s="77">
        <f>SUM(D84:D96)</f>
        <v>1153567813.1100001</v>
      </c>
      <c r="E83" s="77">
        <f>SUM(E84:E96)</f>
        <v>78213206.12</v>
      </c>
      <c r="F83" s="115">
        <f>SUM(F84:F96)</f>
        <v>854142787.36</v>
      </c>
      <c r="G83" s="47">
        <f aca="true" t="shared" si="10" ref="G83:G91">(F83/$F$296)*100</f>
        <v>0.9068746843467566</v>
      </c>
      <c r="H83" s="77">
        <f>D83-F83</f>
        <v>299425025.7500001</v>
      </c>
      <c r="I83" s="77">
        <f>SUM(I84:I96)</f>
        <v>170663628.72999996</v>
      </c>
      <c r="J83" s="77">
        <f>SUM(J84:J96)</f>
        <v>854142787.36</v>
      </c>
      <c r="K83" s="47">
        <f aca="true" t="shared" si="11" ref="K83:K115">(J83/$J$296)*100</f>
        <v>0.9195221771507259</v>
      </c>
      <c r="L83" s="80">
        <f>D83-J83</f>
        <v>299425025.7500001</v>
      </c>
      <c r="M83" s="63">
        <f t="shared" si="9"/>
        <v>0</v>
      </c>
    </row>
    <row r="84" spans="1:13" s="4" customFormat="1" ht="15">
      <c r="A84" s="48" t="s">
        <v>28</v>
      </c>
      <c r="B84" s="49" t="s">
        <v>33</v>
      </c>
      <c r="C84" s="78">
        <v>242441915</v>
      </c>
      <c r="D84" s="78">
        <v>136839334.66</v>
      </c>
      <c r="E84" s="78">
        <f>F84-80687081.11</f>
        <v>20228614.33</v>
      </c>
      <c r="F84" s="78">
        <v>100915695.44</v>
      </c>
      <c r="G84" s="52">
        <f t="shared" si="10"/>
        <v>0.10714589036178433</v>
      </c>
      <c r="H84" s="78">
        <f t="shared" si="2"/>
        <v>35923639.22</v>
      </c>
      <c r="I84" s="78">
        <f>J84-76969396.97</f>
        <v>23946298.47</v>
      </c>
      <c r="J84" s="78">
        <v>100915695.44</v>
      </c>
      <c r="K84" s="52">
        <f t="shared" si="11"/>
        <v>0.1086401727590283</v>
      </c>
      <c r="L84" s="81">
        <f t="shared" si="3"/>
        <v>35923639.22</v>
      </c>
      <c r="M84" s="63">
        <f t="shared" si="9"/>
        <v>0</v>
      </c>
    </row>
    <row r="85" spans="1:13" s="4" customFormat="1" ht="15">
      <c r="A85" s="48" t="s">
        <v>29</v>
      </c>
      <c r="B85" s="49" t="s">
        <v>34</v>
      </c>
      <c r="C85" s="78">
        <v>100000</v>
      </c>
      <c r="D85" s="78">
        <v>0</v>
      </c>
      <c r="E85" s="78">
        <f>F85-0</f>
        <v>0</v>
      </c>
      <c r="F85" s="78">
        <v>0</v>
      </c>
      <c r="G85" s="52">
        <f t="shared" si="10"/>
        <v>0</v>
      </c>
      <c r="H85" s="78"/>
      <c r="I85" s="78">
        <f>J85-0</f>
        <v>0</v>
      </c>
      <c r="J85" s="78">
        <v>0</v>
      </c>
      <c r="K85" s="52">
        <f t="shared" si="11"/>
        <v>0</v>
      </c>
      <c r="L85" s="81">
        <f t="shared" si="3"/>
        <v>0</v>
      </c>
      <c r="M85" s="63">
        <f t="shared" si="9"/>
        <v>0</v>
      </c>
    </row>
    <row r="86" spans="1:13" s="4" customFormat="1" ht="15">
      <c r="A86" s="48" t="s">
        <v>164</v>
      </c>
      <c r="B86" s="49" t="s">
        <v>165</v>
      </c>
      <c r="C86" s="78">
        <v>0</v>
      </c>
      <c r="D86" s="78">
        <v>0</v>
      </c>
      <c r="E86" s="78">
        <f>F86-0</f>
        <v>0</v>
      </c>
      <c r="F86" s="78">
        <v>0</v>
      </c>
      <c r="G86" s="52">
        <f t="shared" si="10"/>
        <v>0</v>
      </c>
      <c r="H86" s="78">
        <f t="shared" si="2"/>
        <v>0</v>
      </c>
      <c r="I86" s="78">
        <f>J86-0</f>
        <v>0</v>
      </c>
      <c r="J86" s="78">
        <v>0</v>
      </c>
      <c r="K86" s="52">
        <f t="shared" si="11"/>
        <v>0</v>
      </c>
      <c r="L86" s="81">
        <f t="shared" si="3"/>
        <v>0</v>
      </c>
      <c r="M86" s="63">
        <f t="shared" si="9"/>
        <v>0</v>
      </c>
    </row>
    <row r="87" spans="1:13" s="4" customFormat="1" ht="15">
      <c r="A87" s="48" t="s">
        <v>64</v>
      </c>
      <c r="B87" s="49" t="s">
        <v>72</v>
      </c>
      <c r="C87" s="78">
        <v>0</v>
      </c>
      <c r="D87" s="78">
        <v>0</v>
      </c>
      <c r="E87" s="78">
        <f>F87-0</f>
        <v>0</v>
      </c>
      <c r="F87" s="78">
        <v>0</v>
      </c>
      <c r="G87" s="52">
        <f t="shared" si="10"/>
        <v>0</v>
      </c>
      <c r="H87" s="78">
        <f t="shared" si="2"/>
        <v>0</v>
      </c>
      <c r="I87" s="78">
        <v>0</v>
      </c>
      <c r="J87" s="78">
        <v>0</v>
      </c>
      <c r="K87" s="52">
        <f t="shared" si="11"/>
        <v>0</v>
      </c>
      <c r="L87" s="81">
        <f t="shared" si="3"/>
        <v>0</v>
      </c>
      <c r="M87" s="63">
        <f t="shared" si="9"/>
        <v>0</v>
      </c>
    </row>
    <row r="88" spans="1:13" s="4" customFormat="1" ht="15">
      <c r="A88" s="48" t="s">
        <v>52</v>
      </c>
      <c r="B88" s="49" t="s">
        <v>59</v>
      </c>
      <c r="C88" s="78">
        <v>22397550</v>
      </c>
      <c r="D88" s="78">
        <v>49651072.49</v>
      </c>
      <c r="E88" s="78">
        <f>F88-42410562.61</f>
        <v>-10875502.509999998</v>
      </c>
      <c r="F88" s="78">
        <v>31535060.1</v>
      </c>
      <c r="G88" s="52">
        <f t="shared" si="10"/>
        <v>0.033481928428425636</v>
      </c>
      <c r="H88" s="78">
        <f t="shared" si="2"/>
        <v>18116012.39</v>
      </c>
      <c r="I88" s="78">
        <f>J88-21508539.38</f>
        <v>10026520.720000003</v>
      </c>
      <c r="J88" s="78">
        <v>31535060.1</v>
      </c>
      <c r="K88" s="52">
        <f t="shared" si="11"/>
        <v>0.03394887546771427</v>
      </c>
      <c r="L88" s="81">
        <f t="shared" si="3"/>
        <v>18116012.39</v>
      </c>
      <c r="M88" s="63">
        <f t="shared" si="9"/>
        <v>0</v>
      </c>
    </row>
    <row r="89" spans="1:13" s="4" customFormat="1" ht="15">
      <c r="A89" s="48" t="s">
        <v>131</v>
      </c>
      <c r="B89" s="49" t="s">
        <v>132</v>
      </c>
      <c r="C89" s="78">
        <v>5097</v>
      </c>
      <c r="D89" s="78">
        <v>5097</v>
      </c>
      <c r="E89" s="78">
        <f>F89-0</f>
        <v>0</v>
      </c>
      <c r="F89" s="78">
        <v>0</v>
      </c>
      <c r="G89" s="52">
        <f t="shared" si="10"/>
        <v>0</v>
      </c>
      <c r="H89" s="78">
        <f>D89-F89</f>
        <v>5097</v>
      </c>
      <c r="I89" s="78">
        <f>J89-0</f>
        <v>0</v>
      </c>
      <c r="J89" s="78">
        <v>0</v>
      </c>
      <c r="K89" s="52">
        <f t="shared" si="11"/>
        <v>0</v>
      </c>
      <c r="L89" s="81">
        <f t="shared" si="3"/>
        <v>5097</v>
      </c>
      <c r="M89" s="63">
        <f t="shared" si="9"/>
        <v>0</v>
      </c>
    </row>
    <row r="90" spans="1:13" s="4" customFormat="1" ht="15">
      <c r="A90" s="48" t="s">
        <v>82</v>
      </c>
      <c r="B90" s="49" t="s">
        <v>84</v>
      </c>
      <c r="C90" s="78">
        <v>56004424</v>
      </c>
      <c r="D90" s="78">
        <v>66882806.31</v>
      </c>
      <c r="E90" s="78">
        <f>F90-45237945.19</f>
        <v>6698773.150000006</v>
      </c>
      <c r="F90" s="78">
        <v>51936718.34</v>
      </c>
      <c r="G90" s="52">
        <f t="shared" si="10"/>
        <v>0.0551431162887551</v>
      </c>
      <c r="H90" s="78">
        <f t="shared" si="2"/>
        <v>14946087.969999999</v>
      </c>
      <c r="I90" s="78">
        <f>J90-38861275.83</f>
        <v>13075442.510000005</v>
      </c>
      <c r="J90" s="78">
        <v>51936718.34</v>
      </c>
      <c r="K90" s="52">
        <f t="shared" si="11"/>
        <v>0.05591215547188419</v>
      </c>
      <c r="L90" s="81">
        <f t="shared" si="3"/>
        <v>14946087.969999999</v>
      </c>
      <c r="M90" s="63">
        <f t="shared" si="9"/>
        <v>0</v>
      </c>
    </row>
    <row r="91" spans="1:13" s="4" customFormat="1" ht="15">
      <c r="A91" s="48" t="s">
        <v>83</v>
      </c>
      <c r="B91" s="49" t="s">
        <v>85</v>
      </c>
      <c r="C91" s="78">
        <v>804558193</v>
      </c>
      <c r="D91" s="78">
        <v>785372935.87</v>
      </c>
      <c r="E91" s="78">
        <f>F91-569041814.79</f>
        <v>74985873.5</v>
      </c>
      <c r="F91" s="78">
        <v>644027688.29</v>
      </c>
      <c r="G91" s="52">
        <f t="shared" si="10"/>
        <v>0.6837877872079969</v>
      </c>
      <c r="H91" s="78">
        <f t="shared" si="2"/>
        <v>141345247.58000004</v>
      </c>
      <c r="I91" s="78">
        <f>J91-531962089.38</f>
        <v>112065598.90999997</v>
      </c>
      <c r="J91" s="78">
        <v>644027688.29</v>
      </c>
      <c r="K91" s="52">
        <f t="shared" si="11"/>
        <v>0.6933240564053059</v>
      </c>
      <c r="L91" s="81">
        <f t="shared" si="3"/>
        <v>141345247.58000004</v>
      </c>
      <c r="M91" s="113">
        <f t="shared" si="9"/>
        <v>0</v>
      </c>
    </row>
    <row r="92" spans="1:13" s="4" customFormat="1" ht="15">
      <c r="A92" s="48" t="s">
        <v>67</v>
      </c>
      <c r="B92" s="49" t="s">
        <v>75</v>
      </c>
      <c r="C92" s="78">
        <v>0</v>
      </c>
      <c r="D92" s="78">
        <v>0</v>
      </c>
      <c r="E92" s="78">
        <f>F92-0</f>
        <v>0</v>
      </c>
      <c r="F92" s="78">
        <v>0</v>
      </c>
      <c r="G92" s="52">
        <f aca="true" t="shared" si="12" ref="G92:G123">(F92/$F$296)*100</f>
        <v>0</v>
      </c>
      <c r="H92" s="78">
        <f t="shared" si="2"/>
        <v>0</v>
      </c>
      <c r="I92" s="94">
        <f>J92-0</f>
        <v>0</v>
      </c>
      <c r="J92" s="94">
        <v>0</v>
      </c>
      <c r="K92" s="52">
        <f t="shared" si="11"/>
        <v>0</v>
      </c>
      <c r="L92" s="81">
        <f t="shared" si="3"/>
        <v>0</v>
      </c>
      <c r="M92" s="63">
        <f t="shared" si="9"/>
        <v>0</v>
      </c>
    </row>
    <row r="93" spans="1:13" s="4" customFormat="1" ht="15">
      <c r="A93" s="48" t="s">
        <v>93</v>
      </c>
      <c r="B93" s="49" t="s">
        <v>99</v>
      </c>
      <c r="C93" s="78">
        <v>0</v>
      </c>
      <c r="D93" s="78">
        <v>0</v>
      </c>
      <c r="E93" s="78">
        <f>F93-0</f>
        <v>0</v>
      </c>
      <c r="F93" s="78">
        <v>0</v>
      </c>
      <c r="G93" s="52">
        <f t="shared" si="12"/>
        <v>0</v>
      </c>
      <c r="H93" s="78">
        <f t="shared" si="2"/>
        <v>0</v>
      </c>
      <c r="I93" s="78">
        <f>J93-0</f>
        <v>0</v>
      </c>
      <c r="J93" s="78">
        <v>0</v>
      </c>
      <c r="K93" s="52">
        <f t="shared" si="11"/>
        <v>0</v>
      </c>
      <c r="L93" s="81">
        <f t="shared" si="3"/>
        <v>0</v>
      </c>
      <c r="M93" s="63">
        <f t="shared" si="9"/>
        <v>0</v>
      </c>
    </row>
    <row r="94" spans="1:13" s="4" customFormat="1" ht="15">
      <c r="A94" s="48" t="s">
        <v>68</v>
      </c>
      <c r="B94" s="49" t="s">
        <v>76</v>
      </c>
      <c r="C94" s="78">
        <v>260200155</v>
      </c>
      <c r="D94" s="78">
        <v>111660281.08</v>
      </c>
      <c r="E94" s="78">
        <f>F94-38552177.54</f>
        <v>-12824552.349999998</v>
      </c>
      <c r="F94" s="78">
        <v>25727625.19</v>
      </c>
      <c r="G94" s="52">
        <f t="shared" si="12"/>
        <v>0.027315962059794537</v>
      </c>
      <c r="H94" s="78">
        <f>D94-F94</f>
        <v>85932655.89</v>
      </c>
      <c r="I94" s="78">
        <f>J94-14177857.07</f>
        <v>11549768.120000001</v>
      </c>
      <c r="J94" s="78">
        <v>25727625.19</v>
      </c>
      <c r="K94" s="52">
        <f t="shared" si="11"/>
        <v>0.02769691704679322</v>
      </c>
      <c r="L94" s="81">
        <f t="shared" si="3"/>
        <v>85932655.89</v>
      </c>
      <c r="M94" s="63">
        <f t="shared" si="9"/>
        <v>0</v>
      </c>
    </row>
    <row r="95" spans="1:13" s="4" customFormat="1" ht="15">
      <c r="A95" s="48" t="s">
        <v>53</v>
      </c>
      <c r="B95" s="49" t="s">
        <v>60</v>
      </c>
      <c r="C95" s="78">
        <v>3991169</v>
      </c>
      <c r="D95" s="78">
        <v>3156285.7</v>
      </c>
      <c r="E95" s="78">
        <f>F95-0</f>
        <v>0</v>
      </c>
      <c r="F95" s="78">
        <v>0</v>
      </c>
      <c r="G95" s="52">
        <f t="shared" si="12"/>
        <v>0</v>
      </c>
      <c r="H95" s="78">
        <f t="shared" si="2"/>
        <v>3156285.7</v>
      </c>
      <c r="I95" s="78">
        <f>J95-0</f>
        <v>0</v>
      </c>
      <c r="J95" s="78">
        <v>0</v>
      </c>
      <c r="K95" s="52">
        <f t="shared" si="11"/>
        <v>0</v>
      </c>
      <c r="L95" s="81">
        <f t="shared" si="3"/>
        <v>3156285.7</v>
      </c>
      <c r="M95" s="63">
        <f t="shared" si="9"/>
        <v>0</v>
      </c>
    </row>
    <row r="96" spans="1:13" s="4" customFormat="1" ht="15">
      <c r="A96" s="48" t="s">
        <v>96</v>
      </c>
      <c r="B96" s="49" t="s">
        <v>102</v>
      </c>
      <c r="C96" s="78">
        <v>0</v>
      </c>
      <c r="D96" s="78">
        <v>0</v>
      </c>
      <c r="E96" s="78">
        <f>F96-0</f>
        <v>0</v>
      </c>
      <c r="F96" s="78">
        <v>0</v>
      </c>
      <c r="G96" s="52">
        <f t="shared" si="12"/>
        <v>0</v>
      </c>
      <c r="H96" s="78">
        <f t="shared" si="2"/>
        <v>0</v>
      </c>
      <c r="I96" s="78">
        <f>J96-0</f>
        <v>0</v>
      </c>
      <c r="J96" s="78">
        <v>0</v>
      </c>
      <c r="K96" s="52">
        <f t="shared" si="11"/>
        <v>0</v>
      </c>
      <c r="L96" s="81">
        <f t="shared" si="3"/>
        <v>0</v>
      </c>
      <c r="M96" s="63">
        <f t="shared" si="9"/>
        <v>0</v>
      </c>
    </row>
    <row r="97" spans="1:13" s="4" customFormat="1" ht="15">
      <c r="A97" s="43" t="s">
        <v>87</v>
      </c>
      <c r="B97" s="46" t="s">
        <v>86</v>
      </c>
      <c r="C97" s="77">
        <f>SUM(C98:C102)</f>
        <v>25974947061</v>
      </c>
      <c r="D97" s="77">
        <f>SUM(D98:D102)</f>
        <v>29872736946.57</v>
      </c>
      <c r="E97" s="77">
        <f>SUM(E98:E102)</f>
        <v>4821271926.84</v>
      </c>
      <c r="F97" s="77">
        <f>SUM(F98:F102)</f>
        <v>27099382933.28</v>
      </c>
      <c r="G97" s="47">
        <f t="shared" si="12"/>
        <v>28.772407502929738</v>
      </c>
      <c r="H97" s="77">
        <f t="shared" si="2"/>
        <v>2773354013.290001</v>
      </c>
      <c r="I97" s="77">
        <f>SUM(I98:I102)</f>
        <v>4919495722.99</v>
      </c>
      <c r="J97" s="77">
        <f>SUM(J98:J102)</f>
        <v>26800276785.72</v>
      </c>
      <c r="K97" s="47">
        <f t="shared" si="11"/>
        <v>28.851673540926022</v>
      </c>
      <c r="L97" s="80">
        <f t="shared" si="3"/>
        <v>3072460160.8499985</v>
      </c>
      <c r="M97" s="113">
        <f t="shared" si="9"/>
        <v>299106147.55999756</v>
      </c>
    </row>
    <row r="98" spans="1:13" s="4" customFormat="1" ht="15">
      <c r="A98" s="48" t="s">
        <v>28</v>
      </c>
      <c r="B98" s="49" t="s">
        <v>33</v>
      </c>
      <c r="C98" s="78">
        <v>10376933829</v>
      </c>
      <c r="D98" s="78">
        <v>12091317761.24</v>
      </c>
      <c r="E98" s="78">
        <f>F98-9682268536.07</f>
        <v>1968101459.8400002</v>
      </c>
      <c r="F98" s="78">
        <v>11650369995.91</v>
      </c>
      <c r="G98" s="52">
        <f t="shared" si="12"/>
        <v>12.369624574387164</v>
      </c>
      <c r="H98" s="78">
        <f t="shared" si="2"/>
        <v>440947765.3299999</v>
      </c>
      <c r="I98" s="78">
        <f>J98-9472274325.01</f>
        <v>1919429006.75</v>
      </c>
      <c r="J98" s="78">
        <v>11391703331.76</v>
      </c>
      <c r="K98" s="52">
        <f t="shared" si="11"/>
        <v>12.26366832816234</v>
      </c>
      <c r="L98" s="81">
        <f>D98-J98</f>
        <v>699614429.4799995</v>
      </c>
      <c r="M98" s="63">
        <f t="shared" si="9"/>
        <v>258666664.14999962</v>
      </c>
    </row>
    <row r="99" spans="1:13" s="4" customFormat="1" ht="15">
      <c r="A99" s="48" t="s">
        <v>39</v>
      </c>
      <c r="B99" s="49" t="s">
        <v>41</v>
      </c>
      <c r="C99" s="78">
        <v>0</v>
      </c>
      <c r="D99" s="78">
        <v>0</v>
      </c>
      <c r="E99" s="78">
        <f>F99-0</f>
        <v>0</v>
      </c>
      <c r="F99" s="78">
        <v>0</v>
      </c>
      <c r="G99" s="52">
        <f t="shared" si="12"/>
        <v>0</v>
      </c>
      <c r="H99" s="78">
        <f t="shared" si="2"/>
        <v>0</v>
      </c>
      <c r="I99" s="78">
        <f>J99-0</f>
        <v>0</v>
      </c>
      <c r="J99" s="78">
        <v>0</v>
      </c>
      <c r="K99" s="52">
        <f t="shared" si="11"/>
        <v>0</v>
      </c>
      <c r="L99" s="81">
        <f>D99-J99</f>
        <v>0</v>
      </c>
      <c r="M99" s="63">
        <f t="shared" si="9"/>
        <v>0</v>
      </c>
    </row>
    <row r="100" spans="1:13" s="4" customFormat="1" ht="15">
      <c r="A100" s="48" t="s">
        <v>232</v>
      </c>
      <c r="B100" s="49" t="s">
        <v>231</v>
      </c>
      <c r="C100" s="78">
        <v>500000</v>
      </c>
      <c r="D100" s="78">
        <v>500000</v>
      </c>
      <c r="E100" s="78">
        <f>F100-0</f>
        <v>0</v>
      </c>
      <c r="F100" s="78">
        <v>0</v>
      </c>
      <c r="G100" s="52">
        <f t="shared" si="12"/>
        <v>0</v>
      </c>
      <c r="H100" s="78">
        <f t="shared" si="2"/>
        <v>500000</v>
      </c>
      <c r="I100" s="78">
        <f>J100-0</f>
        <v>0</v>
      </c>
      <c r="J100" s="78">
        <v>0</v>
      </c>
      <c r="K100" s="52">
        <f t="shared" si="11"/>
        <v>0</v>
      </c>
      <c r="L100" s="81">
        <f>D100-J100</f>
        <v>500000</v>
      </c>
      <c r="M100" s="63">
        <f t="shared" si="9"/>
        <v>0</v>
      </c>
    </row>
    <row r="101" spans="1:13" s="4" customFormat="1" ht="15">
      <c r="A101" s="48" t="s">
        <v>49</v>
      </c>
      <c r="B101" s="49" t="s">
        <v>56</v>
      </c>
      <c r="C101" s="78">
        <v>0</v>
      </c>
      <c r="D101" s="78">
        <v>0</v>
      </c>
      <c r="E101" s="78">
        <f>F101-0</f>
        <v>0</v>
      </c>
      <c r="F101" s="78">
        <v>0</v>
      </c>
      <c r="G101" s="52">
        <f t="shared" si="12"/>
        <v>0</v>
      </c>
      <c r="H101" s="78">
        <f t="shared" si="2"/>
        <v>0</v>
      </c>
      <c r="I101" s="78">
        <f>J101-0</f>
        <v>0</v>
      </c>
      <c r="J101" s="78">
        <v>0</v>
      </c>
      <c r="K101" s="52">
        <f t="shared" si="11"/>
        <v>0</v>
      </c>
      <c r="L101" s="81">
        <f t="shared" si="3"/>
        <v>0</v>
      </c>
      <c r="M101" s="63">
        <f t="shared" si="9"/>
        <v>0</v>
      </c>
    </row>
    <row r="102" spans="1:13" s="4" customFormat="1" ht="15">
      <c r="A102" s="48" t="s">
        <v>88</v>
      </c>
      <c r="B102" s="49" t="s">
        <v>89</v>
      </c>
      <c r="C102" s="78">
        <v>15597513232</v>
      </c>
      <c r="D102" s="78">
        <v>17780919185.33</v>
      </c>
      <c r="E102" s="78">
        <f>F102-12595842470.37</f>
        <v>2853170467</v>
      </c>
      <c r="F102" s="78">
        <v>15449012937.37</v>
      </c>
      <c r="G102" s="52">
        <f t="shared" si="12"/>
        <v>16.40278292854257</v>
      </c>
      <c r="H102" s="78">
        <f t="shared" si="2"/>
        <v>2331906247.960001</v>
      </c>
      <c r="I102" s="78">
        <f>J102-12408506737.72</f>
        <v>3000066716.24</v>
      </c>
      <c r="J102" s="78">
        <v>15408573453.96</v>
      </c>
      <c r="K102" s="52">
        <f t="shared" si="11"/>
        <v>16.58800521276368</v>
      </c>
      <c r="L102" s="81">
        <f t="shared" si="3"/>
        <v>2372345731.3700027</v>
      </c>
      <c r="M102" s="63">
        <f t="shared" si="9"/>
        <v>40439483.410001755</v>
      </c>
    </row>
    <row r="103" spans="1:13" s="4" customFormat="1" ht="15">
      <c r="A103" s="43" t="s">
        <v>90</v>
      </c>
      <c r="B103" s="46" t="s">
        <v>91</v>
      </c>
      <c r="C103" s="77">
        <f>SUM(C104:C114)</f>
        <v>7926646849</v>
      </c>
      <c r="D103" s="77">
        <f>SUM(D104:D114)</f>
        <v>10261229906.41</v>
      </c>
      <c r="E103" s="77">
        <f>SUM(E104:E114)</f>
        <v>1944450908.150001</v>
      </c>
      <c r="F103" s="77">
        <f>SUM(F104:F114)</f>
        <v>9358225544.730001</v>
      </c>
      <c r="G103" s="47">
        <f t="shared" si="12"/>
        <v>9.935970849971978</v>
      </c>
      <c r="H103" s="77">
        <f t="shared" si="2"/>
        <v>903004361.6799984</v>
      </c>
      <c r="I103" s="77">
        <f>SUM(I104:I114)</f>
        <v>2731175951.4</v>
      </c>
      <c r="J103" s="77">
        <f>SUM(J104:J114)</f>
        <v>9274124141.13</v>
      </c>
      <c r="K103" s="47">
        <f t="shared" si="11"/>
        <v>9.9840014428685</v>
      </c>
      <c r="L103" s="80">
        <f t="shared" si="3"/>
        <v>987105765.2800007</v>
      </c>
      <c r="M103" s="113">
        <f t="shared" si="9"/>
        <v>84101403.60000229</v>
      </c>
    </row>
    <row r="104" spans="1:13" s="4" customFormat="1" ht="15">
      <c r="A104" s="48" t="s">
        <v>28</v>
      </c>
      <c r="B104" s="49" t="s">
        <v>33</v>
      </c>
      <c r="C104" s="78">
        <v>1831346470</v>
      </c>
      <c r="D104" s="78">
        <v>1413496158.02</v>
      </c>
      <c r="E104" s="78">
        <f>F104-1149930475.32</f>
        <v>41908334.880000114</v>
      </c>
      <c r="F104" s="78">
        <v>1191838810.2</v>
      </c>
      <c r="G104" s="52">
        <f t="shared" si="12"/>
        <v>1.2654189215049687</v>
      </c>
      <c r="H104" s="78">
        <f t="shared" si="2"/>
        <v>221657347.81999993</v>
      </c>
      <c r="I104" s="78">
        <f>J104-914177171.05</f>
        <v>277062194.8900001</v>
      </c>
      <c r="J104" s="78">
        <v>1191239365.94</v>
      </c>
      <c r="K104" s="52">
        <f t="shared" si="11"/>
        <v>1.2824214305694621</v>
      </c>
      <c r="L104" s="81">
        <f t="shared" si="3"/>
        <v>222256792.07999992</v>
      </c>
      <c r="M104" s="63">
        <f t="shared" si="9"/>
        <v>599444.2599999905</v>
      </c>
    </row>
    <row r="105" spans="1:13" s="4" customFormat="1" ht="15">
      <c r="A105" s="48" t="s">
        <v>29</v>
      </c>
      <c r="B105" s="49" t="s">
        <v>34</v>
      </c>
      <c r="C105" s="78">
        <v>29386821</v>
      </c>
      <c r="D105" s="78">
        <v>21302746</v>
      </c>
      <c r="E105" s="78">
        <f>F105-19543659.87</f>
        <v>-4092770.7700000014</v>
      </c>
      <c r="F105" s="78">
        <v>15450889.1</v>
      </c>
      <c r="G105" s="52">
        <f t="shared" si="12"/>
        <v>0.016404774919130144</v>
      </c>
      <c r="H105" s="78">
        <f t="shared" si="2"/>
        <v>5851856.9</v>
      </c>
      <c r="I105" s="78">
        <f>J105-12609596.22</f>
        <v>2840482.879999999</v>
      </c>
      <c r="J105" s="78">
        <v>15450079.1</v>
      </c>
      <c r="K105" s="52">
        <f t="shared" si="11"/>
        <v>0.016632687861350703</v>
      </c>
      <c r="L105" s="81">
        <f t="shared" si="3"/>
        <v>5852666.9</v>
      </c>
      <c r="M105" s="63">
        <f t="shared" si="9"/>
        <v>810</v>
      </c>
    </row>
    <row r="106" spans="1:13" s="4" customFormat="1" ht="15">
      <c r="A106" s="48" t="s">
        <v>65</v>
      </c>
      <c r="B106" s="49" t="s">
        <v>73</v>
      </c>
      <c r="C106" s="78">
        <v>111299620</v>
      </c>
      <c r="D106" s="78">
        <v>173240759.78</v>
      </c>
      <c r="E106" s="78">
        <f>F106-137786064.3</f>
        <v>34967290.44</v>
      </c>
      <c r="F106" s="78">
        <v>172753354.74</v>
      </c>
      <c r="G106" s="52">
        <f t="shared" si="12"/>
        <v>0.18341856463356176</v>
      </c>
      <c r="H106" s="78">
        <f t="shared" si="2"/>
        <v>487405.03999999166</v>
      </c>
      <c r="I106" s="78">
        <f>J106-137786064.3</f>
        <v>34967290.44</v>
      </c>
      <c r="J106" s="78">
        <v>172753354.74</v>
      </c>
      <c r="K106" s="52">
        <f t="shared" si="11"/>
        <v>0.18597656411944263</v>
      </c>
      <c r="L106" s="81">
        <f t="shared" si="3"/>
        <v>487405.03999999166</v>
      </c>
      <c r="M106" s="63">
        <f t="shared" si="9"/>
        <v>0</v>
      </c>
    </row>
    <row r="107" spans="1:13" s="4" customFormat="1" ht="15">
      <c r="A107" s="48" t="s">
        <v>83</v>
      </c>
      <c r="B107" s="49" t="s">
        <v>85</v>
      </c>
      <c r="C107" s="78">
        <v>0</v>
      </c>
      <c r="D107" s="78">
        <v>0</v>
      </c>
      <c r="E107" s="78">
        <f>F107-0</f>
        <v>0</v>
      </c>
      <c r="F107" s="78">
        <v>0</v>
      </c>
      <c r="G107" s="52">
        <f t="shared" si="12"/>
        <v>0</v>
      </c>
      <c r="H107" s="78">
        <f t="shared" si="2"/>
        <v>0</v>
      </c>
      <c r="I107" s="78">
        <f>J107-0</f>
        <v>0</v>
      </c>
      <c r="J107" s="78">
        <v>0</v>
      </c>
      <c r="K107" s="52">
        <f t="shared" si="11"/>
        <v>0</v>
      </c>
      <c r="L107" s="81">
        <f t="shared" si="3"/>
        <v>0</v>
      </c>
      <c r="M107" s="63">
        <f t="shared" si="9"/>
        <v>0</v>
      </c>
    </row>
    <row r="108" spans="1:13" s="4" customFormat="1" ht="15">
      <c r="A108" s="48" t="s">
        <v>92</v>
      </c>
      <c r="B108" s="49" t="s">
        <v>98</v>
      </c>
      <c r="C108" s="78">
        <v>412418980</v>
      </c>
      <c r="D108" s="78">
        <v>321900869.94</v>
      </c>
      <c r="E108" s="78">
        <f>F108-226998772.42</f>
        <v>70345416.22999999</v>
      </c>
      <c r="F108" s="78">
        <v>297344188.65</v>
      </c>
      <c r="G108" s="52">
        <f t="shared" si="12"/>
        <v>0.31570121672251356</v>
      </c>
      <c r="H108" s="78">
        <f t="shared" si="2"/>
        <v>24556681.29000002</v>
      </c>
      <c r="I108" s="78">
        <f>J108-226549525.1</f>
        <v>70794663.54999998</v>
      </c>
      <c r="J108" s="78">
        <v>297344188.65</v>
      </c>
      <c r="K108" s="52">
        <f t="shared" si="11"/>
        <v>0.320104061939853</v>
      </c>
      <c r="L108" s="81">
        <f t="shared" si="3"/>
        <v>24556681.29000002</v>
      </c>
      <c r="M108" s="63">
        <f t="shared" si="9"/>
        <v>0</v>
      </c>
    </row>
    <row r="109" spans="1:13" s="4" customFormat="1" ht="15">
      <c r="A109" s="48" t="s">
        <v>67</v>
      </c>
      <c r="B109" s="49" t="s">
        <v>75</v>
      </c>
      <c r="C109" s="78">
        <v>5238006630</v>
      </c>
      <c r="D109" s="78">
        <v>7865191555.51</v>
      </c>
      <c r="E109" s="78">
        <f>F109-5561919570.11</f>
        <v>1769683539.7400007</v>
      </c>
      <c r="F109" s="78">
        <v>7331603109.85</v>
      </c>
      <c r="G109" s="52">
        <f t="shared" si="12"/>
        <v>7.784231576258215</v>
      </c>
      <c r="H109" s="78">
        <f t="shared" si="2"/>
        <v>533588445.65999985</v>
      </c>
      <c r="I109" s="78">
        <f>J109-4973323258.92</f>
        <v>2280084757.4700003</v>
      </c>
      <c r="J109" s="78">
        <v>7253408016.39</v>
      </c>
      <c r="K109" s="52">
        <f t="shared" si="11"/>
        <v>7.808611896856492</v>
      </c>
      <c r="L109" s="81">
        <f t="shared" si="3"/>
        <v>611783539.1199999</v>
      </c>
      <c r="M109" s="63">
        <f t="shared" si="9"/>
        <v>78195093.46000004</v>
      </c>
    </row>
    <row r="110" spans="1:13" s="4" customFormat="1" ht="15">
      <c r="A110" s="48" t="s">
        <v>93</v>
      </c>
      <c r="B110" s="49" t="s">
        <v>99</v>
      </c>
      <c r="C110" s="78">
        <v>171955551</v>
      </c>
      <c r="D110" s="78">
        <v>314938461.64</v>
      </c>
      <c r="E110" s="78">
        <f>F110-200754815.4</f>
        <v>17558776.629999995</v>
      </c>
      <c r="F110" s="78">
        <v>218313592.03</v>
      </c>
      <c r="G110" s="52">
        <f t="shared" si="12"/>
        <v>0.23179153742285</v>
      </c>
      <c r="H110" s="78">
        <f t="shared" si="2"/>
        <v>96624869.60999998</v>
      </c>
      <c r="I110" s="78">
        <f>J110-181188735.5</f>
        <v>34972306.889999986</v>
      </c>
      <c r="J110" s="78">
        <v>216161042.39</v>
      </c>
      <c r="K110" s="52">
        <f t="shared" si="11"/>
        <v>0.23270684393176133</v>
      </c>
      <c r="L110" s="81">
        <f t="shared" si="3"/>
        <v>98777419.25</v>
      </c>
      <c r="M110" s="63">
        <f t="shared" si="9"/>
        <v>2152549.6400000155</v>
      </c>
    </row>
    <row r="111" spans="1:13" s="4" customFormat="1" ht="15">
      <c r="A111" s="48" t="s">
        <v>94</v>
      </c>
      <c r="B111" s="49" t="s">
        <v>100</v>
      </c>
      <c r="C111" s="78">
        <v>9072924</v>
      </c>
      <c r="D111" s="78">
        <v>9060975.74</v>
      </c>
      <c r="E111" s="78">
        <f>F111-1126846.46</f>
        <v>2425957.4</v>
      </c>
      <c r="F111" s="78">
        <v>3552803.86</v>
      </c>
      <c r="G111" s="52">
        <f t="shared" si="12"/>
        <v>0.0037721419963539036</v>
      </c>
      <c r="H111" s="78">
        <f t="shared" si="2"/>
        <v>5508171.880000001</v>
      </c>
      <c r="I111" s="78">
        <f>J111-680262.37</f>
        <v>2571620.6599999997</v>
      </c>
      <c r="J111" s="78">
        <v>3251883.03</v>
      </c>
      <c r="K111" s="52">
        <f t="shared" si="11"/>
        <v>0.0035007947240615323</v>
      </c>
      <c r="L111" s="81">
        <f t="shared" si="3"/>
        <v>5809092.710000001</v>
      </c>
      <c r="M111" s="63">
        <f t="shared" si="9"/>
        <v>300920.8300000001</v>
      </c>
    </row>
    <row r="112" spans="1:13" s="4" customFormat="1" ht="15">
      <c r="A112" s="48" t="s">
        <v>95</v>
      </c>
      <c r="B112" s="49" t="s">
        <v>101</v>
      </c>
      <c r="C112" s="78">
        <v>122639853</v>
      </c>
      <c r="D112" s="78">
        <v>141888379.78</v>
      </c>
      <c r="E112" s="78">
        <f>F112-115714390.7</f>
        <v>11654321.599999994</v>
      </c>
      <c r="F112" s="78">
        <v>127368712.3</v>
      </c>
      <c r="G112" s="52">
        <f t="shared" si="12"/>
        <v>0.13523202732850778</v>
      </c>
      <c r="H112" s="78">
        <f t="shared" si="2"/>
        <v>14519667.480000004</v>
      </c>
      <c r="I112" s="78">
        <f>J112-96633576.27</f>
        <v>27882550.620000005</v>
      </c>
      <c r="J112" s="78">
        <v>124516126.89</v>
      </c>
      <c r="K112" s="52">
        <f t="shared" si="11"/>
        <v>0.13404707243639336</v>
      </c>
      <c r="L112" s="81">
        <f t="shared" si="3"/>
        <v>17372252.89</v>
      </c>
      <c r="M112" s="63">
        <f t="shared" si="9"/>
        <v>2852585.4099999964</v>
      </c>
    </row>
    <row r="113" spans="1:13" s="4" customFormat="1" ht="15">
      <c r="A113" s="48" t="s">
        <v>68</v>
      </c>
      <c r="B113" s="49" t="s">
        <v>76</v>
      </c>
      <c r="C113" s="78">
        <v>515000</v>
      </c>
      <c r="D113" s="78">
        <v>205000</v>
      </c>
      <c r="E113" s="78">
        <f>F113-42</f>
        <v>42</v>
      </c>
      <c r="F113" s="78">
        <v>84</v>
      </c>
      <c r="G113" s="52">
        <f t="shared" si="12"/>
        <v>8.91858768960378E-08</v>
      </c>
      <c r="H113" s="78">
        <f t="shared" si="2"/>
        <v>204916</v>
      </c>
      <c r="I113" s="78">
        <f>J113-0</f>
        <v>84</v>
      </c>
      <c r="J113" s="78">
        <v>84</v>
      </c>
      <c r="K113" s="52">
        <f t="shared" si="11"/>
        <v>9.042968461912011E-08</v>
      </c>
      <c r="L113" s="81">
        <f t="shared" si="3"/>
        <v>204916</v>
      </c>
      <c r="M113" s="63">
        <f t="shared" si="9"/>
        <v>0</v>
      </c>
    </row>
    <row r="114" spans="1:13" s="4" customFormat="1" ht="15">
      <c r="A114" s="48" t="s">
        <v>97</v>
      </c>
      <c r="B114" s="49" t="s">
        <v>241</v>
      </c>
      <c r="C114" s="78">
        <v>5000</v>
      </c>
      <c r="D114" s="78">
        <v>5000</v>
      </c>
      <c r="E114" s="78">
        <f>F114-0</f>
        <v>0</v>
      </c>
      <c r="F114" s="78">
        <v>0</v>
      </c>
      <c r="G114" s="52">
        <f t="shared" si="12"/>
        <v>0</v>
      </c>
      <c r="H114" s="78">
        <f t="shared" si="2"/>
        <v>5000</v>
      </c>
      <c r="I114" s="78">
        <f>J114-0</f>
        <v>0</v>
      </c>
      <c r="J114" s="78">
        <v>0</v>
      </c>
      <c r="K114" s="52">
        <f t="shared" si="11"/>
        <v>0</v>
      </c>
      <c r="L114" s="81">
        <f t="shared" si="3"/>
        <v>5000</v>
      </c>
      <c r="M114" s="63">
        <f t="shared" si="9"/>
        <v>0</v>
      </c>
    </row>
    <row r="115" spans="1:16" s="4" customFormat="1" ht="15">
      <c r="A115" s="43" t="s">
        <v>104</v>
      </c>
      <c r="B115" s="46" t="s">
        <v>103</v>
      </c>
      <c r="C115" s="77">
        <f>SUM(C116:C123)</f>
        <v>97477743</v>
      </c>
      <c r="D115" s="77">
        <f>SUM(D116:D123)</f>
        <v>119503491.28</v>
      </c>
      <c r="E115" s="77">
        <f>SUM(E116:E123)</f>
        <v>7157976.200000003</v>
      </c>
      <c r="F115" s="77">
        <f>SUM(F116:F123)</f>
        <v>108745796.64</v>
      </c>
      <c r="G115" s="47">
        <f t="shared" si="12"/>
        <v>0.11545939562019764</v>
      </c>
      <c r="H115" s="77">
        <f t="shared" si="2"/>
        <v>10757694.64</v>
      </c>
      <c r="I115" s="77">
        <f>SUM(I116:I123)</f>
        <v>9034167.450000003</v>
      </c>
      <c r="J115" s="77">
        <f>SUM(J116:J123)</f>
        <v>108745796.64</v>
      </c>
      <c r="K115" s="47">
        <f t="shared" si="11"/>
        <v>0.1170696201644068</v>
      </c>
      <c r="L115" s="80">
        <f>D115-J115</f>
        <v>10757694.64</v>
      </c>
      <c r="M115" s="113">
        <f t="shared" si="9"/>
        <v>0</v>
      </c>
      <c r="N115" s="82"/>
      <c r="O115" s="82"/>
      <c r="P115" s="82"/>
    </row>
    <row r="116" spans="1:16" s="4" customFormat="1" ht="15">
      <c r="A116" s="48" t="s">
        <v>48</v>
      </c>
      <c r="B116" s="49" t="s">
        <v>55</v>
      </c>
      <c r="C116" s="78">
        <v>55000</v>
      </c>
      <c r="D116" s="78">
        <v>55000</v>
      </c>
      <c r="E116" s="78">
        <f aca="true" t="shared" si="13" ref="E116:E123">F116-0</f>
        <v>0</v>
      </c>
      <c r="F116" s="78">
        <v>0</v>
      </c>
      <c r="G116" s="47">
        <f t="shared" si="12"/>
        <v>0</v>
      </c>
      <c r="H116" s="78">
        <f t="shared" si="2"/>
        <v>55000</v>
      </c>
      <c r="I116" s="78">
        <f aca="true" t="shared" si="14" ref="I116:I123">J116-0</f>
        <v>0</v>
      </c>
      <c r="J116" s="78">
        <v>0</v>
      </c>
      <c r="K116" s="47">
        <f aca="true" t="shared" si="15" ref="K116:K147">(J116/$J$296)*100</f>
        <v>0</v>
      </c>
      <c r="L116" s="81">
        <f t="shared" si="3"/>
        <v>55000</v>
      </c>
      <c r="M116" s="63">
        <f t="shared" si="9"/>
        <v>0</v>
      </c>
      <c r="N116" s="82"/>
      <c r="O116" s="82"/>
      <c r="P116" s="82"/>
    </row>
    <row r="117" spans="1:13" s="4" customFormat="1" ht="15">
      <c r="A117" s="48" t="s">
        <v>28</v>
      </c>
      <c r="B117" s="49" t="s">
        <v>33</v>
      </c>
      <c r="C117" s="78">
        <v>16151817</v>
      </c>
      <c r="D117" s="78">
        <v>16985100.87</v>
      </c>
      <c r="E117" s="78">
        <f>F117-11173138.61</f>
        <v>2565533.1900000013</v>
      </c>
      <c r="F117" s="78">
        <v>13738671.8</v>
      </c>
      <c r="G117" s="52">
        <f t="shared" si="12"/>
        <v>0.014586851093688883</v>
      </c>
      <c r="H117" s="78">
        <f t="shared" si="2"/>
        <v>3246429.0700000003</v>
      </c>
      <c r="I117" s="78">
        <f>J117-10858469.51</f>
        <v>2880202.290000001</v>
      </c>
      <c r="J117" s="78">
        <v>13738671.8</v>
      </c>
      <c r="K117" s="52">
        <f t="shared" si="15"/>
        <v>0.014790282832852374</v>
      </c>
      <c r="L117" s="81">
        <f t="shared" si="3"/>
        <v>3246429.0700000003</v>
      </c>
      <c r="M117" s="63">
        <f t="shared" si="9"/>
        <v>0</v>
      </c>
    </row>
    <row r="118" spans="1:13" s="4" customFormat="1" ht="15">
      <c r="A118" s="48" t="s">
        <v>50</v>
      </c>
      <c r="B118" s="49" t="s">
        <v>57</v>
      </c>
      <c r="C118" s="78">
        <v>5000</v>
      </c>
      <c r="D118" s="78">
        <v>10000</v>
      </c>
      <c r="E118" s="78">
        <f t="shared" si="13"/>
        <v>0</v>
      </c>
      <c r="F118" s="78">
        <v>0</v>
      </c>
      <c r="G118" s="52">
        <f t="shared" si="12"/>
        <v>0</v>
      </c>
      <c r="H118" s="78">
        <f t="shared" si="2"/>
        <v>10000</v>
      </c>
      <c r="I118" s="78">
        <f t="shared" si="14"/>
        <v>0</v>
      </c>
      <c r="J118" s="78">
        <v>0</v>
      </c>
      <c r="K118" s="52">
        <f t="shared" si="15"/>
        <v>0</v>
      </c>
      <c r="L118" s="81">
        <f t="shared" si="3"/>
        <v>10000</v>
      </c>
      <c r="M118" s="63">
        <f t="shared" si="9"/>
        <v>0</v>
      </c>
    </row>
    <row r="119" spans="1:13" s="4" customFormat="1" ht="15">
      <c r="A119" s="48" t="s">
        <v>131</v>
      </c>
      <c r="B119" s="49" t="s">
        <v>132</v>
      </c>
      <c r="C119" s="78">
        <v>5000</v>
      </c>
      <c r="D119" s="78">
        <v>1000</v>
      </c>
      <c r="E119" s="78">
        <f t="shared" si="13"/>
        <v>0</v>
      </c>
      <c r="F119" s="78">
        <v>0</v>
      </c>
      <c r="G119" s="52">
        <f t="shared" si="12"/>
        <v>0</v>
      </c>
      <c r="H119" s="78">
        <f t="shared" si="2"/>
        <v>1000</v>
      </c>
      <c r="I119" s="78">
        <f t="shared" si="14"/>
        <v>0</v>
      </c>
      <c r="J119" s="78">
        <v>0</v>
      </c>
      <c r="K119" s="52">
        <f t="shared" si="15"/>
        <v>0</v>
      </c>
      <c r="L119" s="81">
        <f t="shared" si="3"/>
        <v>1000</v>
      </c>
      <c r="M119" s="63">
        <f t="shared" si="9"/>
        <v>0</v>
      </c>
    </row>
    <row r="120" spans="1:13" s="4" customFormat="1" ht="15">
      <c r="A120" s="48" t="s">
        <v>242</v>
      </c>
      <c r="B120" s="49" t="s">
        <v>243</v>
      </c>
      <c r="C120" s="78">
        <v>0</v>
      </c>
      <c r="D120" s="78">
        <v>101888542.42</v>
      </c>
      <c r="E120" s="78">
        <f t="shared" si="13"/>
        <v>94991715.84</v>
      </c>
      <c r="F120" s="78">
        <v>94991715.84</v>
      </c>
      <c r="G120" s="52">
        <f t="shared" si="12"/>
        <v>0.10085618422678148</v>
      </c>
      <c r="H120" s="78">
        <f>D120-F120</f>
        <v>6896826.579999998</v>
      </c>
      <c r="I120" s="78">
        <f t="shared" si="14"/>
        <v>94991715.84</v>
      </c>
      <c r="J120" s="78">
        <v>94991715.84</v>
      </c>
      <c r="K120" s="52">
        <f t="shared" si="15"/>
        <v>0.10226274886714615</v>
      </c>
      <c r="L120" s="81">
        <f>D120-J120</f>
        <v>6896826.579999998</v>
      </c>
      <c r="M120" s="63">
        <f t="shared" si="9"/>
        <v>0</v>
      </c>
    </row>
    <row r="121" spans="1:13" s="4" customFormat="1" ht="15">
      <c r="A121" s="48" t="s">
        <v>105</v>
      </c>
      <c r="B121" s="49" t="s">
        <v>107</v>
      </c>
      <c r="C121" s="78">
        <v>80729089</v>
      </c>
      <c r="D121" s="78">
        <v>563847.99</v>
      </c>
      <c r="E121" s="78">
        <f>F121-90414597.83</f>
        <v>-90399188.83</v>
      </c>
      <c r="F121" s="78">
        <v>15409</v>
      </c>
      <c r="G121" s="52">
        <f t="shared" si="12"/>
        <v>1.6360299727274364E-05</v>
      </c>
      <c r="H121" s="78">
        <f t="shared" si="2"/>
        <v>548438.99</v>
      </c>
      <c r="I121" s="78">
        <f>J121-88853075.68</f>
        <v>-88837666.68</v>
      </c>
      <c r="J121" s="78">
        <v>15409</v>
      </c>
      <c r="K121" s="52">
        <f t="shared" si="15"/>
        <v>1.6588464408285975E-05</v>
      </c>
      <c r="L121" s="81">
        <f t="shared" si="3"/>
        <v>548438.99</v>
      </c>
      <c r="M121" s="63">
        <f t="shared" si="9"/>
        <v>0</v>
      </c>
    </row>
    <row r="122" spans="1:13" s="4" customFormat="1" ht="15">
      <c r="A122" s="48" t="s">
        <v>106</v>
      </c>
      <c r="B122" s="49" t="s">
        <v>108</v>
      </c>
      <c r="C122" s="78">
        <v>531837</v>
      </c>
      <c r="D122" s="78">
        <v>0</v>
      </c>
      <c r="E122" s="78">
        <f>F122-84</f>
        <v>-84</v>
      </c>
      <c r="F122" s="78"/>
      <c r="G122" s="52">
        <f t="shared" si="12"/>
        <v>0</v>
      </c>
      <c r="H122" s="78">
        <f t="shared" si="2"/>
        <v>0</v>
      </c>
      <c r="I122" s="78">
        <f>J122-84</f>
        <v>-84</v>
      </c>
      <c r="J122" s="78"/>
      <c r="K122" s="52">
        <f t="shared" si="15"/>
        <v>0</v>
      </c>
      <c r="L122" s="81">
        <f t="shared" si="3"/>
        <v>0</v>
      </c>
      <c r="M122" s="63">
        <f t="shared" si="9"/>
        <v>0</v>
      </c>
    </row>
    <row r="123" spans="1:13" s="4" customFormat="1" ht="15">
      <c r="A123" s="48" t="s">
        <v>53</v>
      </c>
      <c r="B123" s="49" t="s">
        <v>60</v>
      </c>
      <c r="C123" s="78">
        <v>0</v>
      </c>
      <c r="D123" s="78">
        <v>0</v>
      </c>
      <c r="E123" s="78">
        <f t="shared" si="13"/>
        <v>0</v>
      </c>
      <c r="F123" s="78">
        <v>0</v>
      </c>
      <c r="G123" s="52">
        <f t="shared" si="12"/>
        <v>0</v>
      </c>
      <c r="H123" s="78">
        <f t="shared" si="2"/>
        <v>0</v>
      </c>
      <c r="I123" s="78">
        <f t="shared" si="14"/>
        <v>0</v>
      </c>
      <c r="J123" s="78">
        <v>0</v>
      </c>
      <c r="K123" s="52">
        <f t="shared" si="15"/>
        <v>0</v>
      </c>
      <c r="L123" s="81">
        <f t="shared" si="3"/>
        <v>0</v>
      </c>
      <c r="M123" s="63">
        <f t="shared" si="9"/>
        <v>0</v>
      </c>
    </row>
    <row r="124" spans="1:13" s="4" customFormat="1" ht="15">
      <c r="A124" s="43" t="s">
        <v>109</v>
      </c>
      <c r="B124" s="46" t="s">
        <v>110</v>
      </c>
      <c r="C124" s="77">
        <f>SUM(C125:C142)</f>
        <v>8405133724</v>
      </c>
      <c r="D124" s="77">
        <f>SUM(D125:D142)</f>
        <v>10378776033.86</v>
      </c>
      <c r="E124" s="77">
        <f>SUM(E125:E142)</f>
        <v>632557601.3200002</v>
      </c>
      <c r="F124" s="77">
        <f>SUM(F125:F142)</f>
        <v>9140782230.900002</v>
      </c>
      <c r="G124" s="47">
        <f aca="true" t="shared" si="16" ref="G124:G147">(F124/$F$296)*100</f>
        <v>9.70510331879211</v>
      </c>
      <c r="H124" s="77">
        <f t="shared" si="2"/>
        <v>1237993802.959999</v>
      </c>
      <c r="I124" s="77">
        <f>SUM(I125:I142)</f>
        <v>1977607968.8600001</v>
      </c>
      <c r="J124" s="77">
        <f>SUM(J125:J142)</f>
        <v>8939373732.070004</v>
      </c>
      <c r="K124" s="47">
        <f t="shared" si="15"/>
        <v>9.623627943851632</v>
      </c>
      <c r="L124" s="80">
        <f t="shared" si="3"/>
        <v>1439402301.789997</v>
      </c>
      <c r="M124" s="113">
        <f t="shared" si="9"/>
        <v>201408498.82999802</v>
      </c>
    </row>
    <row r="125" spans="1:13" s="4" customFormat="1" ht="15">
      <c r="A125" s="48" t="s">
        <v>28</v>
      </c>
      <c r="B125" s="49" t="s">
        <v>33</v>
      </c>
      <c r="C125" s="78">
        <v>2641586095</v>
      </c>
      <c r="D125" s="78">
        <v>3149026276.49</v>
      </c>
      <c r="E125" s="78">
        <f>F125-2601664206.4</f>
        <v>394129163.21000004</v>
      </c>
      <c r="F125" s="78">
        <v>2995793369.61</v>
      </c>
      <c r="G125" s="52">
        <f t="shared" si="16"/>
        <v>3.1807435555714734</v>
      </c>
      <c r="H125" s="78">
        <f t="shared" si="2"/>
        <v>153232906.87999964</v>
      </c>
      <c r="I125" s="78">
        <f>J125-2204657518.81</f>
        <v>758716243.7000003</v>
      </c>
      <c r="J125" s="78">
        <v>2963373762.51</v>
      </c>
      <c r="K125" s="52">
        <f t="shared" si="15"/>
        <v>3.1902018422899365</v>
      </c>
      <c r="L125" s="81">
        <f t="shared" si="3"/>
        <v>185652513.97999954</v>
      </c>
      <c r="M125" s="63">
        <f t="shared" si="9"/>
        <v>32419607.099999905</v>
      </c>
    </row>
    <row r="126" spans="1:13" s="4" customFormat="1" ht="15">
      <c r="A126" s="48" t="s">
        <v>50</v>
      </c>
      <c r="B126" s="49" t="s">
        <v>57</v>
      </c>
      <c r="C126" s="78">
        <v>1650000</v>
      </c>
      <c r="D126" s="78">
        <v>578000</v>
      </c>
      <c r="E126" s="78">
        <f>F126-177400</f>
        <v>0</v>
      </c>
      <c r="F126" s="78">
        <v>177400</v>
      </c>
      <c r="G126" s="52">
        <f t="shared" si="16"/>
        <v>0.00018835207811139412</v>
      </c>
      <c r="H126" s="78">
        <f t="shared" si="2"/>
        <v>400600</v>
      </c>
      <c r="I126" s="78">
        <f>J126-177400</f>
        <v>0</v>
      </c>
      <c r="J126" s="78">
        <v>177400</v>
      </c>
      <c r="K126" s="52">
        <f t="shared" si="15"/>
        <v>0.0001909788815646656</v>
      </c>
      <c r="L126" s="81">
        <f t="shared" si="3"/>
        <v>400600</v>
      </c>
      <c r="M126" s="63">
        <f t="shared" si="9"/>
        <v>0</v>
      </c>
    </row>
    <row r="127" spans="1:13" s="4" customFormat="1" ht="15">
      <c r="A127" s="48" t="s">
        <v>29</v>
      </c>
      <c r="B127" s="49" t="s">
        <v>34</v>
      </c>
      <c r="C127" s="78">
        <v>85050192</v>
      </c>
      <c r="D127" s="78">
        <v>107619639.45</v>
      </c>
      <c r="E127" s="78">
        <f>F127-60162166.26</f>
        <v>-4139619.539999999</v>
      </c>
      <c r="F127" s="78">
        <v>56022546.72</v>
      </c>
      <c r="G127" s="52">
        <f t="shared" si="16"/>
        <v>0.05948118994252912</v>
      </c>
      <c r="H127" s="78">
        <f t="shared" si="2"/>
        <v>51597092.730000004</v>
      </c>
      <c r="I127" s="78">
        <f>J127-40972641.15</f>
        <v>15049905.57</v>
      </c>
      <c r="J127" s="78">
        <v>56022546.72</v>
      </c>
      <c r="K127" s="52">
        <f t="shared" si="15"/>
        <v>0.060310728945827646</v>
      </c>
      <c r="L127" s="81">
        <f t="shared" si="3"/>
        <v>51597092.730000004</v>
      </c>
      <c r="M127" s="63">
        <f t="shared" si="9"/>
        <v>0</v>
      </c>
    </row>
    <row r="128" spans="1:13" s="4" customFormat="1" ht="15">
      <c r="A128" s="48" t="s">
        <v>131</v>
      </c>
      <c r="B128" s="49" t="s">
        <v>132</v>
      </c>
      <c r="C128" s="78">
        <v>0</v>
      </c>
      <c r="D128" s="78">
        <v>0</v>
      </c>
      <c r="E128" s="78">
        <f>F128-0</f>
        <v>0</v>
      </c>
      <c r="F128" s="78">
        <v>0</v>
      </c>
      <c r="G128" s="52">
        <f t="shared" si="16"/>
        <v>0</v>
      </c>
      <c r="H128" s="78">
        <f t="shared" si="2"/>
        <v>0</v>
      </c>
      <c r="I128" s="78">
        <f>J128-0</f>
        <v>0</v>
      </c>
      <c r="J128" s="78">
        <v>0</v>
      </c>
      <c r="K128" s="52">
        <f t="shared" si="15"/>
        <v>0</v>
      </c>
      <c r="L128" s="81">
        <f t="shared" si="3"/>
        <v>0</v>
      </c>
      <c r="M128" s="63">
        <f t="shared" si="9"/>
        <v>0</v>
      </c>
    </row>
    <row r="129" spans="1:13" s="4" customFormat="1" ht="15">
      <c r="A129" s="48" t="s">
        <v>82</v>
      </c>
      <c r="B129" s="49" t="s">
        <v>84</v>
      </c>
      <c r="C129" s="78">
        <v>88399672</v>
      </c>
      <c r="D129" s="78">
        <v>88208823.15</v>
      </c>
      <c r="E129" s="78">
        <f>F129-53840643.99</f>
        <v>15924355.889999993</v>
      </c>
      <c r="F129" s="78">
        <v>69764999.88</v>
      </c>
      <c r="G129" s="52">
        <f t="shared" si="16"/>
        <v>0.07407205584464013</v>
      </c>
      <c r="H129" s="78">
        <f t="shared" si="2"/>
        <v>18443823.27000001</v>
      </c>
      <c r="I129" s="78">
        <f>J129-40957000.72</f>
        <v>28807999.159999996</v>
      </c>
      <c r="J129" s="78">
        <v>69764999.88</v>
      </c>
      <c r="K129" s="52">
        <f t="shared" si="15"/>
        <v>0.07510508257858753</v>
      </c>
      <c r="L129" s="81">
        <f t="shared" si="3"/>
        <v>18443823.27000001</v>
      </c>
      <c r="M129" s="63">
        <f t="shared" si="9"/>
        <v>0</v>
      </c>
    </row>
    <row r="130" spans="1:13" s="4" customFormat="1" ht="15">
      <c r="A130" s="48" t="s">
        <v>67</v>
      </c>
      <c r="B130" s="49" t="s">
        <v>75</v>
      </c>
      <c r="C130" s="78">
        <v>8857692</v>
      </c>
      <c r="D130" s="78">
        <v>8857692</v>
      </c>
      <c r="E130" s="78">
        <f>F130-7942447.28</f>
        <v>775462.0499999998</v>
      </c>
      <c r="F130" s="78">
        <v>8717909.33</v>
      </c>
      <c r="G130" s="52">
        <f t="shared" si="16"/>
        <v>0.009256123670192849</v>
      </c>
      <c r="H130" s="78">
        <f t="shared" si="2"/>
        <v>139782.66999999993</v>
      </c>
      <c r="I130" s="78">
        <f>J130-6251590.62</f>
        <v>2466318.71</v>
      </c>
      <c r="J130" s="78">
        <v>8717909.33</v>
      </c>
      <c r="K130" s="52">
        <f t="shared" si="15"/>
        <v>0.009385211800595058</v>
      </c>
      <c r="L130" s="81">
        <f t="shared" si="3"/>
        <v>139782.66999999993</v>
      </c>
      <c r="M130" s="63">
        <f t="shared" si="9"/>
        <v>0</v>
      </c>
    </row>
    <row r="131" spans="1:13" s="4" customFormat="1" ht="15">
      <c r="A131" s="48" t="s">
        <v>68</v>
      </c>
      <c r="B131" s="49" t="s">
        <v>76</v>
      </c>
      <c r="C131" s="78">
        <v>302042312</v>
      </c>
      <c r="D131" s="78">
        <v>368762388.89</v>
      </c>
      <c r="E131" s="78">
        <f>F131-342468661.2</f>
        <v>-5672596.800000012</v>
      </c>
      <c r="F131" s="78">
        <v>336796064.4</v>
      </c>
      <c r="G131" s="52">
        <f t="shared" si="16"/>
        <v>0.35758871831724304</v>
      </c>
      <c r="H131" s="78">
        <f t="shared" si="2"/>
        <v>31966324.49000001</v>
      </c>
      <c r="I131" s="78">
        <f>J131-259500937.12</f>
        <v>77295127.27999997</v>
      </c>
      <c r="J131" s="78">
        <v>336796064.4</v>
      </c>
      <c r="K131" s="52">
        <f t="shared" si="15"/>
        <v>0.36257573672205795</v>
      </c>
      <c r="L131" s="81">
        <f t="shared" si="3"/>
        <v>31966324.49000001</v>
      </c>
      <c r="M131" s="63">
        <f t="shared" si="9"/>
        <v>0</v>
      </c>
    </row>
    <row r="132" spans="1:13" s="4" customFormat="1" ht="15">
      <c r="A132" s="48" t="s">
        <v>238</v>
      </c>
      <c r="B132" s="49" t="s">
        <v>239</v>
      </c>
      <c r="C132" s="78">
        <v>2465498</v>
      </c>
      <c r="D132" s="78">
        <v>0</v>
      </c>
      <c r="E132" s="78">
        <f>F132-0</f>
        <v>0</v>
      </c>
      <c r="F132" s="78">
        <v>0</v>
      </c>
      <c r="G132" s="52">
        <f t="shared" si="16"/>
        <v>0</v>
      </c>
      <c r="H132" s="78">
        <f t="shared" si="2"/>
        <v>0</v>
      </c>
      <c r="I132" s="78">
        <f>J132-0</f>
        <v>0</v>
      </c>
      <c r="J132" s="78">
        <v>0</v>
      </c>
      <c r="K132" s="52">
        <f t="shared" si="15"/>
        <v>0</v>
      </c>
      <c r="L132" s="81">
        <f t="shared" si="3"/>
        <v>0</v>
      </c>
      <c r="M132" s="63">
        <f t="shared" si="9"/>
        <v>0</v>
      </c>
    </row>
    <row r="133" spans="1:13" s="4" customFormat="1" ht="15">
      <c r="A133" s="48" t="s">
        <v>111</v>
      </c>
      <c r="B133" s="49" t="s">
        <v>118</v>
      </c>
      <c r="C133" s="78">
        <v>1245125824</v>
      </c>
      <c r="D133" s="78">
        <v>1161832777.23</v>
      </c>
      <c r="E133" s="78">
        <f>F133-782066537.72</f>
        <v>141485561.47000003</v>
      </c>
      <c r="F133" s="78">
        <v>923552099.19</v>
      </c>
      <c r="G133" s="52">
        <f t="shared" si="16"/>
        <v>0.98056909315996</v>
      </c>
      <c r="H133" s="78">
        <f t="shared" si="2"/>
        <v>238280678.03999996</v>
      </c>
      <c r="I133" s="78">
        <f>J133-731723137.53</f>
        <v>191828961.6600001</v>
      </c>
      <c r="J133" s="78">
        <v>923552099.19</v>
      </c>
      <c r="K133" s="52">
        <f t="shared" si="15"/>
        <v>0.9942443459414052</v>
      </c>
      <c r="L133" s="81">
        <f t="shared" si="3"/>
        <v>238280678.03999996</v>
      </c>
      <c r="M133" s="63">
        <f t="shared" si="9"/>
        <v>0</v>
      </c>
    </row>
    <row r="134" spans="1:13" s="4" customFormat="1" ht="15">
      <c r="A134" s="48" t="s">
        <v>112</v>
      </c>
      <c r="B134" s="49" t="s">
        <v>119</v>
      </c>
      <c r="C134" s="78">
        <v>2416523585</v>
      </c>
      <c r="D134" s="78">
        <v>2596851896.4</v>
      </c>
      <c r="E134" s="78">
        <f>F134-2462000029.24</f>
        <v>-229133669.68999958</v>
      </c>
      <c r="F134" s="78">
        <v>2232866359.55</v>
      </c>
      <c r="G134" s="52">
        <f t="shared" si="16"/>
        <v>2.3707160031920282</v>
      </c>
      <c r="H134" s="78">
        <f t="shared" si="2"/>
        <v>363985536.8499999</v>
      </c>
      <c r="I134" s="78">
        <f>J134-1863034733.53</f>
        <v>351551447.6400001</v>
      </c>
      <c r="J134" s="78">
        <v>2214586181.17</v>
      </c>
      <c r="K134" s="52">
        <f t="shared" si="15"/>
        <v>2.38409916577458</v>
      </c>
      <c r="L134" s="81">
        <f t="shared" si="3"/>
        <v>382265715.23</v>
      </c>
      <c r="M134" s="63">
        <f t="shared" si="9"/>
        <v>18280178.380000114</v>
      </c>
    </row>
    <row r="135" spans="1:13" s="4" customFormat="1" ht="15">
      <c r="A135" s="48" t="s">
        <v>113</v>
      </c>
      <c r="B135" s="49" t="s">
        <v>120</v>
      </c>
      <c r="C135" s="78">
        <v>128083179</v>
      </c>
      <c r="D135" s="78">
        <v>100649253.53</v>
      </c>
      <c r="E135" s="78">
        <f>F135-76119087.09</f>
        <v>16894788.239999995</v>
      </c>
      <c r="F135" s="78">
        <v>93013875.33</v>
      </c>
      <c r="G135" s="52">
        <f t="shared" si="16"/>
        <v>0.09875623850958079</v>
      </c>
      <c r="H135" s="78">
        <f t="shared" si="2"/>
        <v>7635378.200000003</v>
      </c>
      <c r="I135" s="78">
        <f>J135-44905229.16</f>
        <v>24991376.060000002</v>
      </c>
      <c r="J135" s="78">
        <v>69896605.22</v>
      </c>
      <c r="K135" s="52">
        <f t="shared" si="15"/>
        <v>0.07524676149990173</v>
      </c>
      <c r="L135" s="81">
        <f t="shared" si="3"/>
        <v>30752648.310000002</v>
      </c>
      <c r="M135" s="63">
        <f t="shared" si="9"/>
        <v>23117270.11</v>
      </c>
    </row>
    <row r="136" spans="1:13" s="4" customFormat="1" ht="15">
      <c r="A136" s="48" t="s">
        <v>114</v>
      </c>
      <c r="B136" s="49" t="s">
        <v>121</v>
      </c>
      <c r="C136" s="78">
        <v>402789595</v>
      </c>
      <c r="D136" s="78">
        <v>440855293.39</v>
      </c>
      <c r="E136" s="78">
        <f>F136-313303430.38</f>
        <v>51777786.57999998</v>
      </c>
      <c r="F136" s="78">
        <v>365081216.96</v>
      </c>
      <c r="G136" s="52">
        <f t="shared" si="16"/>
        <v>0.38762010086726456</v>
      </c>
      <c r="H136" s="78">
        <f t="shared" si="2"/>
        <v>75774076.43</v>
      </c>
      <c r="I136" s="78">
        <f>J136-278732987.66</f>
        <v>80223430.16999996</v>
      </c>
      <c r="J136" s="78">
        <v>358956417.83</v>
      </c>
      <c r="K136" s="52">
        <f t="shared" si="15"/>
        <v>0.3864323292425714</v>
      </c>
      <c r="L136" s="81">
        <f t="shared" si="3"/>
        <v>81898875.56</v>
      </c>
      <c r="M136" s="63">
        <f t="shared" si="9"/>
        <v>6124799.129999995</v>
      </c>
    </row>
    <row r="137" spans="1:13" s="4" customFormat="1" ht="15">
      <c r="A137" s="48" t="s">
        <v>115</v>
      </c>
      <c r="B137" s="49" t="s">
        <v>122</v>
      </c>
      <c r="C137" s="78">
        <v>15538738</v>
      </c>
      <c r="D137" s="78">
        <v>19036173.13</v>
      </c>
      <c r="E137" s="78">
        <f>F137-16875839.05</f>
        <v>1451701.009999998</v>
      </c>
      <c r="F137" s="78">
        <v>18327540.06</v>
      </c>
      <c r="G137" s="52">
        <f t="shared" si="16"/>
        <v>0.019459020614266204</v>
      </c>
      <c r="H137" s="78">
        <f t="shared" si="2"/>
        <v>708633.0700000003</v>
      </c>
      <c r="I137" s="78">
        <f>J137-14583753.91</f>
        <v>3743786.1499999985</v>
      </c>
      <c r="J137" s="78">
        <v>18327540.06</v>
      </c>
      <c r="K137" s="52">
        <f t="shared" si="15"/>
        <v>0.019730400803215354</v>
      </c>
      <c r="L137" s="81">
        <f t="shared" si="3"/>
        <v>708633.0700000003</v>
      </c>
      <c r="M137" s="63">
        <f t="shared" si="9"/>
        <v>0</v>
      </c>
    </row>
    <row r="138" spans="1:13" s="4" customFormat="1" ht="15">
      <c r="A138" s="48" t="s">
        <v>116</v>
      </c>
      <c r="B138" s="49" t="s">
        <v>123</v>
      </c>
      <c r="C138" s="78">
        <v>28137431</v>
      </c>
      <c r="D138" s="78">
        <v>44841252.53</v>
      </c>
      <c r="E138" s="78">
        <f>F138-30022871.66</f>
        <v>-4135040.9800000004</v>
      </c>
      <c r="F138" s="78">
        <v>25887830.68</v>
      </c>
      <c r="G138" s="52">
        <f t="shared" si="16"/>
        <v>0.027486058096808933</v>
      </c>
      <c r="H138" s="78">
        <f t="shared" si="2"/>
        <v>18953421.85</v>
      </c>
      <c r="I138" s="78">
        <f>J138-14479540.08</f>
        <v>11408290.6</v>
      </c>
      <c r="J138" s="78">
        <v>25887830.68</v>
      </c>
      <c r="K138" s="52">
        <f t="shared" si="15"/>
        <v>0.02786938528411407</v>
      </c>
      <c r="L138" s="81">
        <f t="shared" si="3"/>
        <v>18953421.85</v>
      </c>
      <c r="M138" s="63">
        <f t="shared" si="9"/>
        <v>0</v>
      </c>
    </row>
    <row r="139" spans="1:13" s="4" customFormat="1" ht="15">
      <c r="A139" s="48" t="s">
        <v>251</v>
      </c>
      <c r="B139" s="49" t="s">
        <v>252</v>
      </c>
      <c r="C139" s="78">
        <v>760758373</v>
      </c>
      <c r="D139" s="78">
        <v>1895786353.2</v>
      </c>
      <c r="E139" s="78">
        <f>F139-1456439284.42</f>
        <v>171104935.55999994</v>
      </c>
      <c r="F139" s="78">
        <v>1627544219.98</v>
      </c>
      <c r="G139" s="52">
        <f t="shared" si="16"/>
        <v>1.7280233148332638</v>
      </c>
      <c r="H139" s="78">
        <f t="shared" si="2"/>
        <v>268242133.22000003</v>
      </c>
      <c r="I139" s="78">
        <f>J139-1257795534.7</f>
        <v>368487388.5799999</v>
      </c>
      <c r="J139" s="78">
        <v>1626282923.28</v>
      </c>
      <c r="K139" s="52">
        <f t="shared" si="15"/>
        <v>1.7507649030198942</v>
      </c>
      <c r="L139" s="81">
        <f t="shared" si="3"/>
        <v>269503429.9200001</v>
      </c>
      <c r="M139" s="63">
        <f t="shared" si="9"/>
        <v>1261296.7000000477</v>
      </c>
    </row>
    <row r="140" spans="1:13" s="4" customFormat="1" ht="15">
      <c r="A140" s="48" t="s">
        <v>117</v>
      </c>
      <c r="B140" s="49" t="s">
        <v>124</v>
      </c>
      <c r="C140" s="78">
        <v>856500</v>
      </c>
      <c r="D140" s="78">
        <v>1347146.76</v>
      </c>
      <c r="E140" s="78">
        <f>F140-1347146.76</f>
        <v>-3093.75</v>
      </c>
      <c r="F140" s="78">
        <v>1344053.01</v>
      </c>
      <c r="G140" s="52">
        <f t="shared" si="16"/>
        <v>0.001427030312995346</v>
      </c>
      <c r="H140" s="78">
        <f t="shared" si="2"/>
        <v>3093.75</v>
      </c>
      <c r="I140" s="78">
        <f>J140-1341603.01</f>
        <v>2450</v>
      </c>
      <c r="J140" s="78">
        <v>1344053.01</v>
      </c>
      <c r="K140" s="52">
        <f t="shared" si="15"/>
        <v>0.0014469320214961798</v>
      </c>
      <c r="L140" s="81">
        <f t="shared" si="3"/>
        <v>3093.75</v>
      </c>
      <c r="M140" s="63">
        <f t="shared" si="9"/>
        <v>0</v>
      </c>
    </row>
    <row r="141" spans="1:13" s="4" customFormat="1" ht="15">
      <c r="A141" s="48" t="s">
        <v>96</v>
      </c>
      <c r="B141" s="49" t="s">
        <v>102</v>
      </c>
      <c r="C141" s="78">
        <v>22982281</v>
      </c>
      <c r="D141" s="78">
        <v>166330419.43</v>
      </c>
      <c r="E141" s="78">
        <f>F141-122124864.16</f>
        <v>44200555.27000001</v>
      </c>
      <c r="F141" s="78">
        <v>166325419.43</v>
      </c>
      <c r="G141" s="52">
        <f t="shared" si="16"/>
        <v>0.17659379026149802</v>
      </c>
      <c r="H141" s="78">
        <f t="shared" si="2"/>
        <v>5000</v>
      </c>
      <c r="I141" s="78">
        <f>J141-20982732.24</f>
        <v>25137339.780000005</v>
      </c>
      <c r="J141" s="78">
        <v>46120072.02</v>
      </c>
      <c r="K141" s="52">
        <f t="shared" si="15"/>
        <v>0.04965028056404412</v>
      </c>
      <c r="L141" s="81">
        <f t="shared" si="3"/>
        <v>120210347.41</v>
      </c>
      <c r="M141" s="63">
        <f t="shared" si="9"/>
        <v>120205347.41</v>
      </c>
    </row>
    <row r="142" spans="1:13" s="4" customFormat="1" ht="15">
      <c r="A142" s="48" t="s">
        <v>97</v>
      </c>
      <c r="B142" s="49" t="s">
        <v>241</v>
      </c>
      <c r="C142" s="78">
        <v>254286757</v>
      </c>
      <c r="D142" s="78">
        <v>228192648.28</v>
      </c>
      <c r="E142" s="78">
        <f>F142-181670013.97</f>
        <v>37897312.80000001</v>
      </c>
      <c r="F142" s="78">
        <v>219567326.77</v>
      </c>
      <c r="G142" s="52">
        <f t="shared" si="16"/>
        <v>0.23312267352025387</v>
      </c>
      <c r="H142" s="78">
        <f>D142-F142</f>
        <v>8625321.50999999</v>
      </c>
      <c r="I142" s="78">
        <f>J142-181669422.97</f>
        <v>37897903.80000001</v>
      </c>
      <c r="J142" s="78">
        <v>219567326.77</v>
      </c>
      <c r="K142" s="52">
        <f t="shared" si="15"/>
        <v>0.23637385848183798</v>
      </c>
      <c r="L142" s="81">
        <f>D142-J142</f>
        <v>8625321.50999999</v>
      </c>
      <c r="M142" s="63">
        <f t="shared" si="9"/>
        <v>0</v>
      </c>
    </row>
    <row r="143" spans="1:13" s="4" customFormat="1" ht="15">
      <c r="A143" s="43" t="s">
        <v>125</v>
      </c>
      <c r="B143" s="46" t="s">
        <v>126</v>
      </c>
      <c r="C143" s="77">
        <f>SUM(C144:C147)</f>
        <v>282010340</v>
      </c>
      <c r="D143" s="77">
        <f>SUM(D144:D147)</f>
        <v>352099569.15</v>
      </c>
      <c r="E143" s="77">
        <f>SUM(E144:E147)</f>
        <v>24422680.720000003</v>
      </c>
      <c r="F143" s="77">
        <f>SUM(F144:F147)</f>
        <v>176784052.44</v>
      </c>
      <c r="G143" s="47">
        <f t="shared" si="16"/>
        <v>0.18769810402495868</v>
      </c>
      <c r="H143" s="77">
        <f t="shared" si="2"/>
        <v>175315516.70999998</v>
      </c>
      <c r="I143" s="77">
        <f>SUM(I144:I147)</f>
        <v>55137626.080000006</v>
      </c>
      <c r="J143" s="77">
        <f>SUM(J144:J147)</f>
        <v>174930323.3</v>
      </c>
      <c r="K143" s="47">
        <f t="shared" si="15"/>
        <v>0.18832016626594905</v>
      </c>
      <c r="L143" s="80">
        <f t="shared" si="3"/>
        <v>177169245.84999996</v>
      </c>
      <c r="M143" s="113">
        <f>F143-J143</f>
        <v>1853729.1399999857</v>
      </c>
    </row>
    <row r="144" spans="1:13" s="4" customFormat="1" ht="15">
      <c r="A144" s="48" t="s">
        <v>28</v>
      </c>
      <c r="B144" s="49" t="s">
        <v>33</v>
      </c>
      <c r="C144" s="78">
        <v>131340511</v>
      </c>
      <c r="D144" s="78">
        <v>111445721.43</v>
      </c>
      <c r="E144" s="78">
        <f>F144-85941698.65</f>
        <v>17441587.769999996</v>
      </c>
      <c r="F144" s="78">
        <v>103383286.42</v>
      </c>
      <c r="G144" s="52">
        <f t="shared" si="16"/>
        <v>0.109765822092404</v>
      </c>
      <c r="H144" s="78">
        <f t="shared" si="2"/>
        <v>8062435.010000005</v>
      </c>
      <c r="I144" s="78">
        <f>J144-80826353.25</f>
        <v>22556933.17</v>
      </c>
      <c r="J144" s="78">
        <v>103383286.42</v>
      </c>
      <c r="K144" s="52">
        <f t="shared" si="15"/>
        <v>0.11129664268867577</v>
      </c>
      <c r="L144" s="81">
        <f t="shared" si="3"/>
        <v>8062435.010000005</v>
      </c>
      <c r="M144" s="63">
        <f>F144-J144</f>
        <v>0</v>
      </c>
    </row>
    <row r="145" spans="1:13" s="4" customFormat="1" ht="15">
      <c r="A145" s="48" t="s">
        <v>127</v>
      </c>
      <c r="B145" s="49" t="s">
        <v>128</v>
      </c>
      <c r="C145" s="78">
        <v>10455268</v>
      </c>
      <c r="D145" s="78">
        <v>14661848.19</v>
      </c>
      <c r="E145" s="78">
        <f>F145-1479616.71</f>
        <v>1778760.44</v>
      </c>
      <c r="F145" s="78">
        <v>3258377.15</v>
      </c>
      <c r="G145" s="52">
        <f t="shared" si="16"/>
        <v>0.003459538373580506</v>
      </c>
      <c r="H145" s="78">
        <f t="shared" si="2"/>
        <v>11403471.04</v>
      </c>
      <c r="I145" s="78">
        <f>J145-62794.48</f>
        <v>3195582.67</v>
      </c>
      <c r="J145" s="78">
        <v>3258377.15</v>
      </c>
      <c r="K145" s="52">
        <f t="shared" si="15"/>
        <v>0.0035077859291029454</v>
      </c>
      <c r="L145" s="81">
        <f t="shared" si="3"/>
        <v>11403471.04</v>
      </c>
      <c r="M145" s="63">
        <f>F145-J145</f>
        <v>0</v>
      </c>
    </row>
    <row r="146" spans="1:13" s="4" customFormat="1" ht="15">
      <c r="A146" s="48" t="s">
        <v>117</v>
      </c>
      <c r="B146" s="49" t="s">
        <v>124</v>
      </c>
      <c r="C146" s="78">
        <v>140214561</v>
      </c>
      <c r="D146" s="78">
        <v>225991999.53</v>
      </c>
      <c r="E146" s="78">
        <f>F146-64940056.36</f>
        <v>5202332.510000005</v>
      </c>
      <c r="F146" s="78">
        <v>70142388.87</v>
      </c>
      <c r="G146" s="52">
        <f t="shared" si="16"/>
        <v>0.0744727435589742</v>
      </c>
      <c r="H146" s="78">
        <f t="shared" si="2"/>
        <v>155849610.66</v>
      </c>
      <c r="I146" s="78">
        <f>J146-38903549.49</f>
        <v>29385110.240000002</v>
      </c>
      <c r="J146" s="78">
        <v>68288659.73</v>
      </c>
      <c r="K146" s="52">
        <f t="shared" si="15"/>
        <v>0.07351573764817033</v>
      </c>
      <c r="L146" s="81">
        <f>D146-J146</f>
        <v>157703339.8</v>
      </c>
      <c r="M146" s="63">
        <f>F146-J146</f>
        <v>1853729.1400000006</v>
      </c>
    </row>
    <row r="147" spans="1:13" s="4" customFormat="1" ht="15">
      <c r="A147" s="54" t="s">
        <v>185</v>
      </c>
      <c r="B147" s="55" t="s">
        <v>186</v>
      </c>
      <c r="C147" s="79">
        <v>0</v>
      </c>
      <c r="D147" s="79">
        <v>0</v>
      </c>
      <c r="E147" s="79">
        <f>F147-0</f>
        <v>0</v>
      </c>
      <c r="F147" s="79">
        <v>0</v>
      </c>
      <c r="G147" s="56">
        <f t="shared" si="16"/>
        <v>0</v>
      </c>
      <c r="H147" s="79">
        <f t="shared" si="2"/>
        <v>0</v>
      </c>
      <c r="I147" s="79">
        <f>J147-0</f>
        <v>0</v>
      </c>
      <c r="J147" s="79">
        <v>0</v>
      </c>
      <c r="K147" s="56">
        <f t="shared" si="15"/>
        <v>0</v>
      </c>
      <c r="L147" s="83">
        <f t="shared" si="3"/>
        <v>0</v>
      </c>
      <c r="M147" s="114">
        <f>F147-J147</f>
        <v>0</v>
      </c>
    </row>
    <row r="148" spans="1:13" s="4" customFormat="1" ht="15">
      <c r="A148" s="57"/>
      <c r="B148" s="58"/>
      <c r="C148" s="59"/>
      <c r="D148" s="59"/>
      <c r="E148" s="59"/>
      <c r="F148" s="59"/>
      <c r="G148" s="60"/>
      <c r="H148" s="59"/>
      <c r="I148" s="59"/>
      <c r="J148" s="59"/>
      <c r="K148" s="60"/>
      <c r="L148" s="61"/>
      <c r="M148" s="61" t="s">
        <v>228</v>
      </c>
    </row>
    <row r="149" spans="1:13" s="4" customFormat="1" ht="13.5" customHeight="1">
      <c r="A149" s="27"/>
      <c r="B149" s="24"/>
      <c r="C149" s="28"/>
      <c r="D149" s="28"/>
      <c r="E149" s="28"/>
      <c r="F149" s="28"/>
      <c r="G149" s="29"/>
      <c r="H149" s="28"/>
      <c r="I149" s="28"/>
      <c r="J149" s="28"/>
      <c r="K149" s="29"/>
      <c r="L149" s="28"/>
      <c r="M149" s="28"/>
    </row>
    <row r="150" spans="1:13" s="4" customFormat="1" ht="15.75">
      <c r="A150" s="27"/>
      <c r="B150" s="24"/>
      <c r="C150" s="28"/>
      <c r="D150" s="28"/>
      <c r="E150" s="28"/>
      <c r="F150" s="28"/>
      <c r="G150" s="29"/>
      <c r="H150" s="28"/>
      <c r="I150" s="28"/>
      <c r="J150" s="28"/>
      <c r="K150" s="29"/>
      <c r="L150" s="28"/>
      <c r="M150" s="28"/>
    </row>
    <row r="151" spans="1:13" s="4" customFormat="1" ht="15.75">
      <c r="A151" s="27"/>
      <c r="B151" s="24"/>
      <c r="C151" s="28"/>
      <c r="D151" s="28"/>
      <c r="E151" s="28"/>
      <c r="F151" s="28"/>
      <c r="G151" s="29"/>
      <c r="H151" s="28"/>
      <c r="I151" s="28"/>
      <c r="J151" s="28"/>
      <c r="K151" s="29"/>
      <c r="L151" s="28"/>
      <c r="M151" s="28"/>
    </row>
    <row r="152" spans="1:13" s="4" customFormat="1" ht="17.25" customHeight="1">
      <c r="A152" s="27"/>
      <c r="B152" s="24"/>
      <c r="C152" s="28"/>
      <c r="D152" s="28"/>
      <c r="E152" s="28"/>
      <c r="F152" s="28"/>
      <c r="G152" s="29"/>
      <c r="H152" s="28"/>
      <c r="I152" s="28"/>
      <c r="J152" s="28"/>
      <c r="K152" s="29"/>
      <c r="L152" s="21"/>
      <c r="M152" s="21" t="s">
        <v>157</v>
      </c>
    </row>
    <row r="153" spans="1:12" s="4" customFormat="1" ht="15.75">
      <c r="A153" s="124" t="s">
        <v>14</v>
      </c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1:13" s="4" customFormat="1" ht="15.75">
      <c r="A154" s="124" t="s">
        <v>0</v>
      </c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21"/>
    </row>
    <row r="155" spans="1:13" s="4" customFormat="1" ht="15.75">
      <c r="A155" s="131" t="s">
        <v>1</v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21"/>
    </row>
    <row r="156" spans="1:13" s="4" customFormat="1" ht="15.75">
      <c r="A156" s="124" t="s">
        <v>2</v>
      </c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21"/>
    </row>
    <row r="157" spans="1:13" s="4" customFormat="1" ht="15.75">
      <c r="A157" s="124" t="str">
        <f>A8</f>
        <v>JANEIRO A DEZEMBRO 2022/BIMESTRE NOVEMBRO - DEZEMBRO</v>
      </c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21"/>
    </row>
    <row r="158" spans="1:13" s="4" customFormat="1" ht="15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1"/>
      <c r="M158" s="4" t="str">
        <f>M9</f>
        <v>Emissão: 25/01/2023</v>
      </c>
    </row>
    <row r="159" spans="1:13" s="4" customFormat="1" ht="15.75">
      <c r="A159" s="23" t="s">
        <v>240</v>
      </c>
      <c r="B159" s="22"/>
      <c r="C159" s="24"/>
      <c r="D159" s="22"/>
      <c r="E159" s="22"/>
      <c r="F159" s="25"/>
      <c r="G159" s="25"/>
      <c r="H159" s="25"/>
      <c r="I159" s="22"/>
      <c r="J159" s="22"/>
      <c r="K159" s="21"/>
      <c r="L159" s="26"/>
      <c r="M159" s="26">
        <v>1</v>
      </c>
    </row>
    <row r="160" spans="1:13" s="4" customFormat="1" ht="19.5" customHeight="1">
      <c r="A160" s="7"/>
      <c r="B160" s="8"/>
      <c r="C160" s="9" t="s">
        <v>3</v>
      </c>
      <c r="D160" s="9" t="s">
        <v>3</v>
      </c>
      <c r="E160" s="127" t="s">
        <v>4</v>
      </c>
      <c r="F160" s="128"/>
      <c r="G160" s="129"/>
      <c r="H160" s="9" t="s">
        <v>18</v>
      </c>
      <c r="I160" s="127" t="s">
        <v>5</v>
      </c>
      <c r="J160" s="128"/>
      <c r="K160" s="129"/>
      <c r="L160" s="10" t="s">
        <v>18</v>
      </c>
      <c r="M160" s="120" t="s">
        <v>285</v>
      </c>
    </row>
    <row r="161" spans="1:13" s="4" customFormat="1" ht="14.25" customHeight="1">
      <c r="A161" s="11" t="s">
        <v>23</v>
      </c>
      <c r="B161" s="12" t="s">
        <v>6</v>
      </c>
      <c r="C161" s="12" t="s">
        <v>7</v>
      </c>
      <c r="D161" s="12" t="s">
        <v>8</v>
      </c>
      <c r="E161" s="12" t="s">
        <v>9</v>
      </c>
      <c r="F161" s="12" t="s">
        <v>10</v>
      </c>
      <c r="G161" s="12" t="s">
        <v>11</v>
      </c>
      <c r="H161" s="13"/>
      <c r="I161" s="12" t="s">
        <v>9</v>
      </c>
      <c r="J161" s="12" t="s">
        <v>10</v>
      </c>
      <c r="K161" s="12" t="s">
        <v>11</v>
      </c>
      <c r="L161" s="14"/>
      <c r="M161" s="121"/>
    </row>
    <row r="162" spans="1:13" s="4" customFormat="1" ht="45.75" customHeight="1">
      <c r="A162" s="15"/>
      <c r="B162" s="16"/>
      <c r="C162" s="16"/>
      <c r="D162" s="17" t="s">
        <v>12</v>
      </c>
      <c r="E162" s="17"/>
      <c r="F162" s="17" t="s">
        <v>13</v>
      </c>
      <c r="G162" s="17" t="s">
        <v>17</v>
      </c>
      <c r="H162" s="18" t="s">
        <v>19</v>
      </c>
      <c r="I162" s="17"/>
      <c r="J162" s="17" t="s">
        <v>20</v>
      </c>
      <c r="K162" s="17" t="s">
        <v>21</v>
      </c>
      <c r="L162" s="19" t="s">
        <v>22</v>
      </c>
      <c r="M162" s="122"/>
    </row>
    <row r="163" spans="1:13" s="4" customFormat="1" ht="15">
      <c r="A163" s="43" t="s">
        <v>129</v>
      </c>
      <c r="B163" s="46" t="s">
        <v>130</v>
      </c>
      <c r="C163" s="77">
        <f>SUM(C164:C170)</f>
        <v>270150256</v>
      </c>
      <c r="D163" s="77">
        <f>SUM(D164:D170)</f>
        <v>452078127.71</v>
      </c>
      <c r="E163" s="77">
        <f>SUM(E164:E170)</f>
        <v>74148228.22999997</v>
      </c>
      <c r="F163" s="77">
        <f>SUM(F164:F170)</f>
        <v>353186674.61</v>
      </c>
      <c r="G163" s="47">
        <f aca="true" t="shared" si="17" ref="G163:G197">(F163/$F$296)*100</f>
        <v>0.37499122956057646</v>
      </c>
      <c r="H163" s="77">
        <f aca="true" t="shared" si="18" ref="H163:H170">D163-F163</f>
        <v>98891453.09999996</v>
      </c>
      <c r="I163" s="77">
        <f>SUM(I164:I170)</f>
        <v>92970357.41999997</v>
      </c>
      <c r="J163" s="77">
        <f>SUM(J164:J170)</f>
        <v>353186674.61</v>
      </c>
      <c r="K163" s="47">
        <f aca="true" t="shared" si="19" ref="K163:K197">(J163/$J$296)*100</f>
        <v>0.3802209475792631</v>
      </c>
      <c r="L163" s="80">
        <f aca="true" t="shared" si="20" ref="L163:L170">D163-J163</f>
        <v>98891453.09999996</v>
      </c>
      <c r="M163" s="113">
        <f>F163-J163</f>
        <v>0</v>
      </c>
    </row>
    <row r="164" spans="1:13" s="4" customFormat="1" ht="15">
      <c r="A164" s="48" t="s">
        <v>28</v>
      </c>
      <c r="B164" s="49" t="s">
        <v>33</v>
      </c>
      <c r="C164" s="78">
        <v>31274296</v>
      </c>
      <c r="D164" s="78">
        <v>37792796.47</v>
      </c>
      <c r="E164" s="78">
        <f>F164-19296683.07</f>
        <v>3490179.66</v>
      </c>
      <c r="F164" s="78">
        <v>22786862.73</v>
      </c>
      <c r="G164" s="52">
        <f t="shared" si="17"/>
        <v>0.02419364683672252</v>
      </c>
      <c r="H164" s="78">
        <f t="shared" si="18"/>
        <v>15005933.739999998</v>
      </c>
      <c r="I164" s="78">
        <f>J164-19244365.04</f>
        <v>3542497.6900000013</v>
      </c>
      <c r="J164" s="78">
        <v>22786862.73</v>
      </c>
      <c r="K164" s="52">
        <f t="shared" si="19"/>
        <v>0.02453105726348908</v>
      </c>
      <c r="L164" s="81">
        <f t="shared" si="20"/>
        <v>15005933.739999998</v>
      </c>
      <c r="M164" s="113">
        <f aca="true" t="shared" si="21" ref="M164:M227">F164-J164</f>
        <v>0</v>
      </c>
    </row>
    <row r="165" spans="1:13" s="4" customFormat="1" ht="15">
      <c r="A165" s="48" t="s">
        <v>49</v>
      </c>
      <c r="B165" s="49" t="s">
        <v>56</v>
      </c>
      <c r="C165" s="78">
        <v>179775546</v>
      </c>
      <c r="D165" s="78">
        <v>295262259.94</v>
      </c>
      <c r="E165" s="78">
        <f>F165-221191261.82</f>
        <v>67389179.07999998</v>
      </c>
      <c r="F165" s="78">
        <v>288580440.9</v>
      </c>
      <c r="G165" s="52">
        <f t="shared" si="17"/>
        <v>0.30639642472275846</v>
      </c>
      <c r="H165" s="78">
        <f t="shared" si="18"/>
        <v>6681819.040000021</v>
      </c>
      <c r="I165" s="78">
        <f>J165-213426181.72</f>
        <v>75154259.17999998</v>
      </c>
      <c r="J165" s="78">
        <v>288580440.9</v>
      </c>
      <c r="K165" s="52">
        <f t="shared" si="19"/>
        <v>0.31066950306944796</v>
      </c>
      <c r="L165" s="81">
        <f t="shared" si="20"/>
        <v>6681819.040000021</v>
      </c>
      <c r="M165" s="113">
        <f t="shared" si="21"/>
        <v>0</v>
      </c>
    </row>
    <row r="166" spans="1:13" s="4" customFormat="1" ht="15">
      <c r="A166" s="48" t="s">
        <v>52</v>
      </c>
      <c r="B166" s="49" t="s">
        <v>59</v>
      </c>
      <c r="C166" s="78">
        <v>0</v>
      </c>
      <c r="D166" s="78">
        <v>0</v>
      </c>
      <c r="E166" s="78">
        <f>F166-0</f>
        <v>0</v>
      </c>
      <c r="F166" s="78">
        <v>0</v>
      </c>
      <c r="G166" s="52">
        <f t="shared" si="17"/>
        <v>0</v>
      </c>
      <c r="H166" s="78">
        <f t="shared" si="18"/>
        <v>0</v>
      </c>
      <c r="I166" s="78">
        <f>J166-0</f>
        <v>0</v>
      </c>
      <c r="J166" s="78">
        <v>0</v>
      </c>
      <c r="K166" s="52">
        <f t="shared" si="19"/>
        <v>0</v>
      </c>
      <c r="L166" s="81">
        <f t="shared" si="20"/>
        <v>0</v>
      </c>
      <c r="M166" s="113">
        <f t="shared" si="21"/>
        <v>0</v>
      </c>
    </row>
    <row r="167" spans="1:13" s="4" customFormat="1" ht="15">
      <c r="A167" s="48" t="s">
        <v>131</v>
      </c>
      <c r="B167" s="49" t="s">
        <v>132</v>
      </c>
      <c r="C167" s="78">
        <v>1175000</v>
      </c>
      <c r="D167" s="78">
        <v>1175000</v>
      </c>
      <c r="E167" s="78">
        <f>F167-0</f>
        <v>0</v>
      </c>
      <c r="F167" s="78">
        <v>0</v>
      </c>
      <c r="G167" s="52">
        <f t="shared" si="17"/>
        <v>0</v>
      </c>
      <c r="H167" s="78">
        <f t="shared" si="18"/>
        <v>1175000</v>
      </c>
      <c r="I167" s="78">
        <f>J167-0</f>
        <v>0</v>
      </c>
      <c r="J167" s="78">
        <v>0</v>
      </c>
      <c r="K167" s="52">
        <f t="shared" si="19"/>
        <v>0</v>
      </c>
      <c r="L167" s="81">
        <f t="shared" si="20"/>
        <v>1175000</v>
      </c>
      <c r="M167" s="113">
        <f t="shared" si="21"/>
        <v>0</v>
      </c>
    </row>
    <row r="168" spans="1:13" s="4" customFormat="1" ht="15">
      <c r="A168" s="48" t="s">
        <v>251</v>
      </c>
      <c r="B168" s="49" t="s">
        <v>252</v>
      </c>
      <c r="C168" s="78">
        <v>0</v>
      </c>
      <c r="D168" s="78">
        <v>0</v>
      </c>
      <c r="E168" s="78">
        <f>F168-0</f>
        <v>0</v>
      </c>
      <c r="F168" s="78">
        <v>0</v>
      </c>
      <c r="G168" s="52">
        <f t="shared" si="17"/>
        <v>0</v>
      </c>
      <c r="H168" s="78">
        <f t="shared" si="18"/>
        <v>0</v>
      </c>
      <c r="I168" s="78">
        <f>J168-0</f>
        <v>0</v>
      </c>
      <c r="J168" s="78">
        <v>0</v>
      </c>
      <c r="K168" s="52">
        <f t="shared" si="19"/>
        <v>0</v>
      </c>
      <c r="L168" s="81">
        <f t="shared" si="20"/>
        <v>0</v>
      </c>
      <c r="M168" s="113">
        <f t="shared" si="21"/>
        <v>0</v>
      </c>
    </row>
    <row r="169" spans="1:13" s="4" customFormat="1" ht="15">
      <c r="A169" s="48" t="s">
        <v>127</v>
      </c>
      <c r="B169" s="49" t="s">
        <v>269</v>
      </c>
      <c r="C169" s="78">
        <v>0</v>
      </c>
      <c r="D169" s="78">
        <v>0</v>
      </c>
      <c r="E169" s="78">
        <f>F169-0</f>
        <v>0</v>
      </c>
      <c r="F169" s="78">
        <v>0</v>
      </c>
      <c r="G169" s="52">
        <f t="shared" si="17"/>
        <v>0</v>
      </c>
      <c r="H169" s="78">
        <f t="shared" si="18"/>
        <v>0</v>
      </c>
      <c r="I169" s="78">
        <f>J169-0</f>
        <v>0</v>
      </c>
      <c r="J169" s="78">
        <v>0</v>
      </c>
      <c r="K169" s="52">
        <f t="shared" si="19"/>
        <v>0</v>
      </c>
      <c r="L169" s="81">
        <f t="shared" si="20"/>
        <v>0</v>
      </c>
      <c r="M169" s="113">
        <f t="shared" si="21"/>
        <v>0</v>
      </c>
    </row>
    <row r="170" spans="1:13" s="4" customFormat="1" ht="15">
      <c r="A170" s="57" t="s">
        <v>53</v>
      </c>
      <c r="B170" s="62" t="s">
        <v>60</v>
      </c>
      <c r="C170" s="81">
        <v>57925414</v>
      </c>
      <c r="D170" s="81">
        <v>117848071.3</v>
      </c>
      <c r="E170" s="81">
        <f>F170-38550501.49</f>
        <v>3268869.4899999946</v>
      </c>
      <c r="F170" s="81">
        <v>41819370.98</v>
      </c>
      <c r="G170" s="63">
        <f t="shared" si="17"/>
        <v>0.04440115800109542</v>
      </c>
      <c r="H170" s="81">
        <f t="shared" si="18"/>
        <v>76028700.32</v>
      </c>
      <c r="I170" s="81">
        <f>J170-27545770.43</f>
        <v>14273600.549999997</v>
      </c>
      <c r="J170" s="81">
        <v>41819370.98</v>
      </c>
      <c r="K170" s="63">
        <f t="shared" si="19"/>
        <v>0.045020387246325996</v>
      </c>
      <c r="L170" s="81">
        <f t="shared" si="20"/>
        <v>76028700.32</v>
      </c>
      <c r="M170" s="113">
        <f t="shared" si="21"/>
        <v>0</v>
      </c>
    </row>
    <row r="171" spans="1:13" s="4" customFormat="1" ht="15">
      <c r="A171" s="43" t="s">
        <v>133</v>
      </c>
      <c r="B171" s="46" t="s">
        <v>134</v>
      </c>
      <c r="C171" s="77">
        <f>SUM(C172:C178)</f>
        <v>859995302</v>
      </c>
      <c r="D171" s="77">
        <f>SUM(D172:D178)</f>
        <v>3223672825.01</v>
      </c>
      <c r="E171" s="77">
        <f>SUM(E172:E178)</f>
        <v>-320593262.3300001</v>
      </c>
      <c r="F171" s="77">
        <f>SUM(F172:F178)</f>
        <v>1294597056.06</v>
      </c>
      <c r="G171" s="47">
        <f t="shared" si="17"/>
        <v>1.3745211151397632</v>
      </c>
      <c r="H171" s="77">
        <f aca="true" t="shared" si="22" ref="H171:H193">D171-F171</f>
        <v>1929075768.9500003</v>
      </c>
      <c r="I171" s="77">
        <f>SUM(I172:I178)</f>
        <v>550231360.27</v>
      </c>
      <c r="J171" s="77">
        <f>SUM(J172:J178)</f>
        <v>1260909316.44</v>
      </c>
      <c r="K171" s="47">
        <f t="shared" si="19"/>
        <v>1.357424188321185</v>
      </c>
      <c r="L171" s="80">
        <f aca="true" t="shared" si="23" ref="L171:L193">D171-J171</f>
        <v>1962763508.5700002</v>
      </c>
      <c r="M171" s="113">
        <f t="shared" si="21"/>
        <v>33687739.619999886</v>
      </c>
    </row>
    <row r="172" spans="1:13" s="4" customFormat="1" ht="15">
      <c r="A172" s="48" t="s">
        <v>28</v>
      </c>
      <c r="B172" s="49" t="s">
        <v>33</v>
      </c>
      <c r="C172" s="78">
        <v>49096575</v>
      </c>
      <c r="D172" s="78">
        <v>563697429.59</v>
      </c>
      <c r="E172" s="78">
        <f>F172-347050810.18</f>
        <v>150924855.19</v>
      </c>
      <c r="F172" s="78">
        <v>497975665.37</v>
      </c>
      <c r="G172" s="52">
        <f t="shared" si="17"/>
        <v>0.5287190046298967</v>
      </c>
      <c r="H172" s="78">
        <f t="shared" si="22"/>
        <v>65721764.22000003</v>
      </c>
      <c r="I172" s="78">
        <f>J172-223321091.69</f>
        <v>240966834.06</v>
      </c>
      <c r="J172" s="78">
        <v>464287925.75</v>
      </c>
      <c r="K172" s="52">
        <f t="shared" si="19"/>
        <v>0.4998263178337852</v>
      </c>
      <c r="L172" s="81">
        <f t="shared" si="23"/>
        <v>99409503.84000003</v>
      </c>
      <c r="M172" s="63">
        <f t="shared" si="21"/>
        <v>33687739.620000005</v>
      </c>
    </row>
    <row r="173" spans="1:13" s="4" customFormat="1" ht="15">
      <c r="A173" s="48" t="s">
        <v>50</v>
      </c>
      <c r="B173" s="49" t="s">
        <v>57</v>
      </c>
      <c r="C173" s="78">
        <v>22635</v>
      </c>
      <c r="D173" s="78">
        <v>5000</v>
      </c>
      <c r="E173" s="78">
        <f aca="true" t="shared" si="24" ref="E173:E178">F173-0</f>
        <v>0</v>
      </c>
      <c r="F173" s="78">
        <v>0</v>
      </c>
      <c r="G173" s="52">
        <f t="shared" si="17"/>
        <v>0</v>
      </c>
      <c r="H173" s="78">
        <f t="shared" si="22"/>
        <v>5000</v>
      </c>
      <c r="I173" s="78">
        <f aca="true" t="shared" si="25" ref="I173:I178">J173-0</f>
        <v>0</v>
      </c>
      <c r="J173" s="78">
        <v>0</v>
      </c>
      <c r="K173" s="52">
        <f t="shared" si="19"/>
        <v>0</v>
      </c>
      <c r="L173" s="81">
        <f t="shared" si="23"/>
        <v>5000</v>
      </c>
      <c r="M173" s="113">
        <f t="shared" si="21"/>
        <v>0</v>
      </c>
    </row>
    <row r="174" spans="1:13" s="4" customFormat="1" ht="15">
      <c r="A174" s="48" t="s">
        <v>51</v>
      </c>
      <c r="B174" s="49" t="s">
        <v>58</v>
      </c>
      <c r="C174" s="78">
        <v>5000</v>
      </c>
      <c r="D174" s="78">
        <v>5000</v>
      </c>
      <c r="E174" s="78">
        <f t="shared" si="24"/>
        <v>0</v>
      </c>
      <c r="F174" s="78">
        <v>0</v>
      </c>
      <c r="G174" s="52">
        <f t="shared" si="17"/>
        <v>0</v>
      </c>
      <c r="H174" s="78"/>
      <c r="I174" s="78">
        <f t="shared" si="25"/>
        <v>0</v>
      </c>
      <c r="J174" s="78">
        <v>0</v>
      </c>
      <c r="K174" s="52">
        <f t="shared" si="19"/>
        <v>0</v>
      </c>
      <c r="L174" s="81">
        <f t="shared" si="23"/>
        <v>5000</v>
      </c>
      <c r="M174" s="113">
        <f t="shared" si="21"/>
        <v>0</v>
      </c>
    </row>
    <row r="175" spans="1:13" s="4" customFormat="1" ht="15">
      <c r="A175" s="48" t="s">
        <v>29</v>
      </c>
      <c r="B175" s="49" t="s">
        <v>34</v>
      </c>
      <c r="C175" s="78">
        <v>1489290</v>
      </c>
      <c r="D175" s="78">
        <v>4458547.57</v>
      </c>
      <c r="E175" s="78">
        <f>F175-4461800.07</f>
        <v>-43384.5</v>
      </c>
      <c r="F175" s="78">
        <v>4418415.57</v>
      </c>
      <c r="G175" s="52">
        <f t="shared" si="17"/>
        <v>0.004691193655970913</v>
      </c>
      <c r="H175" s="78">
        <f t="shared" si="22"/>
        <v>40132</v>
      </c>
      <c r="I175" s="78">
        <f>J175-4426194.74</f>
        <v>-7779.1699999999255</v>
      </c>
      <c r="J175" s="78">
        <v>4418415.57</v>
      </c>
      <c r="K175" s="52">
        <f t="shared" si="19"/>
        <v>0.004756618172753689</v>
      </c>
      <c r="L175" s="81">
        <f t="shared" si="23"/>
        <v>40132</v>
      </c>
      <c r="M175" s="113">
        <f t="shared" si="21"/>
        <v>0</v>
      </c>
    </row>
    <row r="176" spans="1:13" s="4" customFormat="1" ht="15">
      <c r="A176" s="48" t="s">
        <v>135</v>
      </c>
      <c r="B176" s="49" t="s">
        <v>136</v>
      </c>
      <c r="C176" s="78">
        <v>809181802</v>
      </c>
      <c r="D176" s="78">
        <v>2655306847.85</v>
      </c>
      <c r="E176" s="78">
        <f>F176-1263677708.14</f>
        <v>-471474733.0200001</v>
      </c>
      <c r="F176" s="78">
        <v>792202975.12</v>
      </c>
      <c r="G176" s="52">
        <f t="shared" si="17"/>
        <v>0.8411109168538954</v>
      </c>
      <c r="H176" s="78">
        <f t="shared" si="22"/>
        <v>1863103872.73</v>
      </c>
      <c r="I176" s="78">
        <f>J176-482930669.74</f>
        <v>309272305.38</v>
      </c>
      <c r="J176" s="78">
        <v>792202975.12</v>
      </c>
      <c r="K176" s="52">
        <f t="shared" si="19"/>
        <v>0.8528412523146459</v>
      </c>
      <c r="L176" s="81">
        <f t="shared" si="23"/>
        <v>1863103872.73</v>
      </c>
      <c r="M176" s="113">
        <f t="shared" si="21"/>
        <v>0</v>
      </c>
    </row>
    <row r="177" spans="1:14" s="4" customFormat="1" ht="15">
      <c r="A177" s="48" t="s">
        <v>261</v>
      </c>
      <c r="B177" s="49" t="s">
        <v>262</v>
      </c>
      <c r="C177" s="78">
        <v>0</v>
      </c>
      <c r="D177" s="78">
        <v>0</v>
      </c>
      <c r="E177" s="78">
        <f t="shared" si="24"/>
        <v>0</v>
      </c>
      <c r="F177" s="78">
        <v>0</v>
      </c>
      <c r="G177" s="52">
        <f t="shared" si="17"/>
        <v>0</v>
      </c>
      <c r="H177" s="78">
        <f t="shared" si="22"/>
        <v>0</v>
      </c>
      <c r="I177" s="78">
        <f t="shared" si="25"/>
        <v>0</v>
      </c>
      <c r="J177" s="78">
        <v>0</v>
      </c>
      <c r="K177" s="52">
        <f t="shared" si="19"/>
        <v>0</v>
      </c>
      <c r="L177" s="81">
        <f t="shared" si="23"/>
        <v>0</v>
      </c>
      <c r="M177" s="113">
        <f t="shared" si="21"/>
        <v>0</v>
      </c>
      <c r="N177" s="116"/>
    </row>
    <row r="178" spans="1:14" s="4" customFormat="1" ht="15">
      <c r="A178" s="48" t="s">
        <v>185</v>
      </c>
      <c r="B178" s="49" t="s">
        <v>186</v>
      </c>
      <c r="C178" s="78">
        <v>200000</v>
      </c>
      <c r="D178" s="78">
        <v>200000</v>
      </c>
      <c r="E178" s="78">
        <f t="shared" si="24"/>
        <v>0</v>
      </c>
      <c r="F178" s="78">
        <v>0</v>
      </c>
      <c r="G178" s="52">
        <f t="shared" si="17"/>
        <v>0</v>
      </c>
      <c r="H178" s="78">
        <f t="shared" si="22"/>
        <v>200000</v>
      </c>
      <c r="I178" s="78">
        <f t="shared" si="25"/>
        <v>0</v>
      </c>
      <c r="J178" s="78">
        <v>0</v>
      </c>
      <c r="K178" s="52">
        <f t="shared" si="19"/>
        <v>0</v>
      </c>
      <c r="L178" s="81">
        <f t="shared" si="23"/>
        <v>200000</v>
      </c>
      <c r="M178" s="113">
        <f t="shared" si="21"/>
        <v>0</v>
      </c>
      <c r="N178" s="106"/>
    </row>
    <row r="179" spans="1:13" s="4" customFormat="1" ht="15">
      <c r="A179" s="43" t="s">
        <v>138</v>
      </c>
      <c r="B179" s="46" t="s">
        <v>137</v>
      </c>
      <c r="C179" s="77">
        <f>SUM(C180:C184)</f>
        <v>634075143</v>
      </c>
      <c r="D179" s="77">
        <f>SUM(D180:D184)</f>
        <v>1037281531.8</v>
      </c>
      <c r="E179" s="77">
        <f>SUM(E180:E184)</f>
        <v>96957199.78000002</v>
      </c>
      <c r="F179" s="77">
        <f>SUM(F180:F184)</f>
        <v>647524388.6600001</v>
      </c>
      <c r="G179" s="47">
        <f t="shared" si="17"/>
        <v>0.687500362073963</v>
      </c>
      <c r="H179" s="77">
        <f t="shared" si="22"/>
        <v>389757143.13999987</v>
      </c>
      <c r="I179" s="77">
        <f>SUM(I180:I184)</f>
        <v>218398612.83999997</v>
      </c>
      <c r="J179" s="77">
        <f>SUM(J180:J184)</f>
        <v>647524388.6600001</v>
      </c>
      <c r="K179" s="47">
        <f t="shared" si="19"/>
        <v>0.6970884077346711</v>
      </c>
      <c r="L179" s="80">
        <f t="shared" si="23"/>
        <v>389757143.13999987</v>
      </c>
      <c r="M179" s="113">
        <f t="shared" si="21"/>
        <v>0</v>
      </c>
    </row>
    <row r="180" spans="1:13" s="4" customFormat="1" ht="15">
      <c r="A180" s="48" t="s">
        <v>28</v>
      </c>
      <c r="B180" s="49" t="s">
        <v>33</v>
      </c>
      <c r="C180" s="78">
        <v>65776837</v>
      </c>
      <c r="D180" s="78">
        <v>92854272.75</v>
      </c>
      <c r="E180" s="78">
        <f>F180-76445228.59</f>
        <v>8512721.64</v>
      </c>
      <c r="F180" s="78">
        <v>84957950.23</v>
      </c>
      <c r="G180" s="52">
        <f t="shared" si="17"/>
        <v>0.09020296774467246</v>
      </c>
      <c r="H180" s="78">
        <f t="shared" si="22"/>
        <v>7896322.519999996</v>
      </c>
      <c r="I180" s="78">
        <f>J180-70415831.75</f>
        <v>14542118.480000004</v>
      </c>
      <c r="J180" s="78">
        <v>84957950.23</v>
      </c>
      <c r="K180" s="52">
        <f t="shared" si="19"/>
        <v>0.09146096006173576</v>
      </c>
      <c r="L180" s="81">
        <f t="shared" si="23"/>
        <v>7896322.519999996</v>
      </c>
      <c r="M180" s="113">
        <f t="shared" si="21"/>
        <v>0</v>
      </c>
    </row>
    <row r="181" spans="1:13" s="4" customFormat="1" ht="15">
      <c r="A181" s="48" t="s">
        <v>50</v>
      </c>
      <c r="B181" s="49" t="s">
        <v>57</v>
      </c>
      <c r="C181" s="78">
        <v>1905013</v>
      </c>
      <c r="D181" s="78">
        <v>5013</v>
      </c>
      <c r="E181" s="78">
        <f>F181-0</f>
        <v>0</v>
      </c>
      <c r="F181" s="78">
        <v>0</v>
      </c>
      <c r="G181" s="52">
        <f t="shared" si="17"/>
        <v>0</v>
      </c>
      <c r="H181" s="78">
        <f t="shared" si="22"/>
        <v>5013</v>
      </c>
      <c r="I181" s="78">
        <f>J181-0</f>
        <v>0</v>
      </c>
      <c r="J181" s="78">
        <v>0</v>
      </c>
      <c r="K181" s="52">
        <f t="shared" si="19"/>
        <v>0</v>
      </c>
      <c r="L181" s="81">
        <f t="shared" si="23"/>
        <v>5013</v>
      </c>
      <c r="M181" s="113">
        <f t="shared" si="21"/>
        <v>0</v>
      </c>
    </row>
    <row r="182" spans="1:13" s="4" customFormat="1" ht="15">
      <c r="A182" s="48" t="s">
        <v>67</v>
      </c>
      <c r="B182" s="49" t="s">
        <v>75</v>
      </c>
      <c r="C182" s="78">
        <v>0</v>
      </c>
      <c r="D182" s="78">
        <v>0</v>
      </c>
      <c r="E182" s="78">
        <f>F182-0</f>
        <v>0</v>
      </c>
      <c r="F182" s="78">
        <v>0</v>
      </c>
      <c r="G182" s="52">
        <f t="shared" si="17"/>
        <v>0</v>
      </c>
      <c r="H182" s="78">
        <f t="shared" si="22"/>
        <v>0</v>
      </c>
      <c r="I182" s="78">
        <f>J182-0</f>
        <v>0</v>
      </c>
      <c r="J182" s="78">
        <v>0</v>
      </c>
      <c r="K182" s="52">
        <f t="shared" si="19"/>
        <v>0</v>
      </c>
      <c r="L182" s="81">
        <f t="shared" si="23"/>
        <v>0</v>
      </c>
      <c r="M182" s="113">
        <f t="shared" si="21"/>
        <v>0</v>
      </c>
    </row>
    <row r="183" spans="1:13" s="4" customFormat="1" ht="15">
      <c r="A183" s="48" t="s">
        <v>135</v>
      </c>
      <c r="B183" s="49" t="s">
        <v>136</v>
      </c>
      <c r="C183" s="78">
        <v>182327434</v>
      </c>
      <c r="D183" s="78">
        <v>195440160.55</v>
      </c>
      <c r="E183" s="78">
        <f>F183-108192905.53</f>
        <v>24397824.409999996</v>
      </c>
      <c r="F183" s="78">
        <v>132590729.94</v>
      </c>
      <c r="G183" s="52">
        <f t="shared" si="17"/>
        <v>0.1407764347379123</v>
      </c>
      <c r="H183" s="78">
        <f t="shared" si="22"/>
        <v>62849430.610000014</v>
      </c>
      <c r="I183" s="78">
        <f>J183-84663203.59</f>
        <v>47927526.349999994</v>
      </c>
      <c r="J183" s="78">
        <v>132590729.94</v>
      </c>
      <c r="K183" s="52">
        <f t="shared" si="19"/>
        <v>0.14273973680825153</v>
      </c>
      <c r="L183" s="81">
        <f t="shared" si="23"/>
        <v>62849430.610000014</v>
      </c>
      <c r="M183" s="113">
        <f t="shared" si="21"/>
        <v>0</v>
      </c>
    </row>
    <row r="184" spans="1:13" s="4" customFormat="1" ht="15">
      <c r="A184" s="48" t="s">
        <v>139</v>
      </c>
      <c r="B184" s="49" t="s">
        <v>140</v>
      </c>
      <c r="C184" s="78">
        <v>384065859</v>
      </c>
      <c r="D184" s="78">
        <v>748982085.5</v>
      </c>
      <c r="E184" s="78">
        <f>F184-365929054.76</f>
        <v>64046653.73000002</v>
      </c>
      <c r="F184" s="78">
        <v>429975708.49</v>
      </c>
      <c r="G184" s="52">
        <f t="shared" si="17"/>
        <v>0.45652095959137823</v>
      </c>
      <c r="H184" s="78">
        <f t="shared" si="22"/>
        <v>319006377.01</v>
      </c>
      <c r="I184" s="78">
        <f>J184-274046740.48</f>
        <v>155928968.01</v>
      </c>
      <c r="J184" s="78">
        <v>429975708.49</v>
      </c>
      <c r="K184" s="52">
        <f t="shared" si="19"/>
        <v>0.4628877108646837</v>
      </c>
      <c r="L184" s="81">
        <f t="shared" si="23"/>
        <v>319006377.01</v>
      </c>
      <c r="M184" s="113">
        <f t="shared" si="21"/>
        <v>0</v>
      </c>
    </row>
    <row r="185" spans="1:13" s="4" customFormat="1" ht="15">
      <c r="A185" s="43" t="s">
        <v>141</v>
      </c>
      <c r="B185" s="46" t="s">
        <v>142</v>
      </c>
      <c r="C185" s="77">
        <f>SUM(C186:C189)</f>
        <v>551808704</v>
      </c>
      <c r="D185" s="77">
        <f>SUM(D186:D189)</f>
        <v>356337762</v>
      </c>
      <c r="E185" s="77">
        <f>SUM(E186:E189)</f>
        <v>-214352653.25</v>
      </c>
      <c r="F185" s="77">
        <f>SUM(F186:F189)</f>
        <v>129534821.27</v>
      </c>
      <c r="G185" s="47">
        <f t="shared" si="17"/>
        <v>0.13753186456591043</v>
      </c>
      <c r="H185" s="77">
        <f t="shared" si="22"/>
        <v>226802940.73000002</v>
      </c>
      <c r="I185" s="77">
        <f>SUM(I186:I189)</f>
        <v>38997348.129999995</v>
      </c>
      <c r="J185" s="77">
        <f>SUM(J186:J189)</f>
        <v>129534821.27</v>
      </c>
      <c r="K185" s="47">
        <f t="shared" si="19"/>
        <v>0.1394499170790499</v>
      </c>
      <c r="L185" s="80">
        <f t="shared" si="23"/>
        <v>226802940.73000002</v>
      </c>
      <c r="M185" s="113">
        <f t="shared" si="21"/>
        <v>0</v>
      </c>
    </row>
    <row r="186" spans="1:13" s="4" customFormat="1" ht="15">
      <c r="A186" s="48" t="s">
        <v>51</v>
      </c>
      <c r="B186" s="49" t="s">
        <v>58</v>
      </c>
      <c r="C186" s="78">
        <v>0</v>
      </c>
      <c r="D186" s="78">
        <v>0</v>
      </c>
      <c r="E186" s="77">
        <f>F186-0</f>
        <v>0</v>
      </c>
      <c r="F186" s="77">
        <v>0</v>
      </c>
      <c r="G186" s="47">
        <f t="shared" si="17"/>
        <v>0</v>
      </c>
      <c r="H186" s="78">
        <f t="shared" si="22"/>
        <v>0</v>
      </c>
      <c r="I186" s="77">
        <f>J186-0</f>
        <v>0</v>
      </c>
      <c r="J186" s="77">
        <v>0</v>
      </c>
      <c r="K186" s="47">
        <f t="shared" si="19"/>
        <v>0</v>
      </c>
      <c r="L186" s="81">
        <f t="shared" si="23"/>
        <v>0</v>
      </c>
      <c r="M186" s="113">
        <f t="shared" si="21"/>
        <v>0</v>
      </c>
    </row>
    <row r="187" spans="1:13" s="4" customFormat="1" ht="15">
      <c r="A187" s="48" t="s">
        <v>143</v>
      </c>
      <c r="B187" s="49" t="s">
        <v>144</v>
      </c>
      <c r="C187" s="78">
        <v>551608704</v>
      </c>
      <c r="D187" s="78">
        <v>356137762</v>
      </c>
      <c r="E187" s="78">
        <f>F187-343887474.52</f>
        <v>-214352653.25</v>
      </c>
      <c r="F187" s="78">
        <v>129534821.27</v>
      </c>
      <c r="G187" s="52">
        <f t="shared" si="17"/>
        <v>0.13753186456591043</v>
      </c>
      <c r="H187" s="78">
        <f t="shared" si="22"/>
        <v>226602940.73000002</v>
      </c>
      <c r="I187" s="78">
        <f>J187-90537473.14</f>
        <v>38997348.129999995</v>
      </c>
      <c r="J187" s="78">
        <v>129534821.27</v>
      </c>
      <c r="K187" s="52">
        <f t="shared" si="19"/>
        <v>0.1394499170790499</v>
      </c>
      <c r="L187" s="81">
        <f t="shared" si="23"/>
        <v>226602940.73000002</v>
      </c>
      <c r="M187" s="113">
        <f t="shared" si="21"/>
        <v>0</v>
      </c>
    </row>
    <row r="188" spans="1:13" s="4" customFormat="1" ht="15">
      <c r="A188" s="48" t="s">
        <v>153</v>
      </c>
      <c r="B188" s="49" t="s">
        <v>154</v>
      </c>
      <c r="C188" s="78">
        <v>200000</v>
      </c>
      <c r="D188" s="78">
        <v>200000</v>
      </c>
      <c r="E188" s="78">
        <f>F188-0</f>
        <v>0</v>
      </c>
      <c r="F188" s="78">
        <v>0</v>
      </c>
      <c r="G188" s="52">
        <f t="shared" si="17"/>
        <v>0</v>
      </c>
      <c r="H188" s="78">
        <f t="shared" si="22"/>
        <v>200000</v>
      </c>
      <c r="I188" s="78">
        <f>J188-0</f>
        <v>0</v>
      </c>
      <c r="J188" s="78">
        <v>0</v>
      </c>
      <c r="K188" s="52">
        <f t="shared" si="19"/>
        <v>0</v>
      </c>
      <c r="L188" s="81">
        <f t="shared" si="23"/>
        <v>200000</v>
      </c>
      <c r="M188" s="63">
        <f t="shared" si="21"/>
        <v>0</v>
      </c>
    </row>
    <row r="189" spans="1:14" s="4" customFormat="1" ht="15">
      <c r="A189" s="48" t="s">
        <v>147</v>
      </c>
      <c r="B189" s="49" t="s">
        <v>148</v>
      </c>
      <c r="C189" s="78">
        <v>0</v>
      </c>
      <c r="D189" s="78">
        <v>0</v>
      </c>
      <c r="E189" s="78">
        <f>F189-0</f>
        <v>0</v>
      </c>
      <c r="F189" s="78">
        <v>0</v>
      </c>
      <c r="G189" s="52">
        <f t="shared" si="17"/>
        <v>0</v>
      </c>
      <c r="H189" s="78">
        <f t="shared" si="22"/>
        <v>0</v>
      </c>
      <c r="I189" s="78">
        <f>J189-0</f>
        <v>0</v>
      </c>
      <c r="J189" s="78">
        <v>0</v>
      </c>
      <c r="K189" s="52">
        <f t="shared" si="19"/>
        <v>0</v>
      </c>
      <c r="L189" s="81">
        <f t="shared" si="23"/>
        <v>0</v>
      </c>
      <c r="M189" s="63">
        <f t="shared" si="21"/>
        <v>0</v>
      </c>
      <c r="N189" s="5"/>
    </row>
    <row r="190" spans="1:14" s="4" customFormat="1" ht="15">
      <c r="A190" s="43" t="s">
        <v>149</v>
      </c>
      <c r="B190" s="46" t="s">
        <v>150</v>
      </c>
      <c r="C190" s="77">
        <f>SUM(C191:C200)</f>
        <v>668036744</v>
      </c>
      <c r="D190" s="77">
        <f>SUM(D191:D200)</f>
        <v>1564936597.4199998</v>
      </c>
      <c r="E190" s="77">
        <f>SUM(E191:E200)</f>
        <v>67033075.95999999</v>
      </c>
      <c r="F190" s="77">
        <f>SUM(F191:F200)</f>
        <v>609209165.43</v>
      </c>
      <c r="G190" s="47">
        <f t="shared" si="17"/>
        <v>0.6468196860949751</v>
      </c>
      <c r="H190" s="77">
        <f t="shared" si="22"/>
        <v>955727431.9899999</v>
      </c>
      <c r="I190" s="77">
        <f>SUM(I191:I199)</f>
        <v>221878268.00999993</v>
      </c>
      <c r="J190" s="77">
        <f>SUM(J191:J199)</f>
        <v>604190059.36</v>
      </c>
      <c r="K190" s="47">
        <f t="shared" si="19"/>
        <v>0.6504371014039555</v>
      </c>
      <c r="L190" s="80">
        <f t="shared" si="23"/>
        <v>960746538.0599998</v>
      </c>
      <c r="M190" s="113">
        <f t="shared" si="21"/>
        <v>5019106.069999933</v>
      </c>
      <c r="N190" s="6"/>
    </row>
    <row r="191" spans="1:13" s="4" customFormat="1" ht="15">
      <c r="A191" s="48" t="s">
        <v>28</v>
      </c>
      <c r="B191" s="49" t="s">
        <v>33</v>
      </c>
      <c r="C191" s="78">
        <v>161680742</v>
      </c>
      <c r="D191" s="78">
        <v>217069325.73</v>
      </c>
      <c r="E191" s="78">
        <f>F191-139148773.97</f>
        <v>28833152.28999999</v>
      </c>
      <c r="F191" s="78">
        <v>167981926.26</v>
      </c>
      <c r="G191" s="52">
        <f t="shared" si="17"/>
        <v>0.17835256424028165</v>
      </c>
      <c r="H191" s="78">
        <f t="shared" si="22"/>
        <v>49087399.47</v>
      </c>
      <c r="I191" s="78">
        <f>J191-131287724.38</f>
        <v>32560112.620000005</v>
      </c>
      <c r="J191" s="78">
        <v>163847837</v>
      </c>
      <c r="K191" s="52">
        <f t="shared" si="19"/>
        <v>0.17638938363613096</v>
      </c>
      <c r="L191" s="81">
        <f t="shared" si="23"/>
        <v>53221488.72999999</v>
      </c>
      <c r="M191" s="63">
        <f t="shared" si="21"/>
        <v>4134089.2599999905</v>
      </c>
    </row>
    <row r="192" spans="1:13" s="4" customFormat="1" ht="15">
      <c r="A192" s="48" t="s">
        <v>29</v>
      </c>
      <c r="B192" s="49" t="s">
        <v>34</v>
      </c>
      <c r="C192" s="78">
        <v>0</v>
      </c>
      <c r="D192" s="78">
        <v>0</v>
      </c>
      <c r="E192" s="78">
        <f>F192-0</f>
        <v>0</v>
      </c>
      <c r="F192" s="78">
        <v>0</v>
      </c>
      <c r="G192" s="52">
        <f t="shared" si="17"/>
        <v>0</v>
      </c>
      <c r="H192" s="78">
        <f t="shared" si="22"/>
        <v>0</v>
      </c>
      <c r="I192" s="78">
        <f>J192-0</f>
        <v>0</v>
      </c>
      <c r="J192" s="78">
        <v>0</v>
      </c>
      <c r="K192" s="52">
        <f t="shared" si="19"/>
        <v>0</v>
      </c>
      <c r="L192" s="81">
        <f t="shared" si="23"/>
        <v>0</v>
      </c>
      <c r="M192" s="63">
        <f t="shared" si="21"/>
        <v>0</v>
      </c>
    </row>
    <row r="193" spans="1:13" s="4" customFormat="1" ht="15">
      <c r="A193" s="48" t="s">
        <v>151</v>
      </c>
      <c r="B193" s="49" t="s">
        <v>152</v>
      </c>
      <c r="C193" s="78">
        <v>0</v>
      </c>
      <c r="D193" s="78">
        <v>0</v>
      </c>
      <c r="E193" s="78">
        <f>F193-0</f>
        <v>0</v>
      </c>
      <c r="F193" s="78">
        <v>0</v>
      </c>
      <c r="G193" s="52">
        <f t="shared" si="17"/>
        <v>0</v>
      </c>
      <c r="H193" s="78">
        <f t="shared" si="22"/>
        <v>0</v>
      </c>
      <c r="I193" s="78">
        <f>J193-0</f>
        <v>0</v>
      </c>
      <c r="J193" s="78">
        <v>0</v>
      </c>
      <c r="K193" s="52">
        <f t="shared" si="19"/>
        <v>0</v>
      </c>
      <c r="L193" s="81">
        <f t="shared" si="23"/>
        <v>0</v>
      </c>
      <c r="M193" s="63">
        <f t="shared" si="21"/>
        <v>0</v>
      </c>
    </row>
    <row r="194" spans="1:13" s="4" customFormat="1" ht="15">
      <c r="A194" s="48" t="s">
        <v>153</v>
      </c>
      <c r="B194" s="49" t="s">
        <v>154</v>
      </c>
      <c r="C194" s="78">
        <v>138693891</v>
      </c>
      <c r="D194" s="78">
        <v>320518301.82</v>
      </c>
      <c r="E194" s="78">
        <f>F194-55325765.1</f>
        <v>-6843128.109999999</v>
      </c>
      <c r="F194" s="78">
        <v>48482636.99</v>
      </c>
      <c r="G194" s="52">
        <f t="shared" si="17"/>
        <v>0.05147579159744558</v>
      </c>
      <c r="H194" s="78">
        <f aca="true" t="shared" si="26" ref="H194:H200">D194-F194</f>
        <v>272035664.83</v>
      </c>
      <c r="I194" s="78">
        <f>J194-28229073.97</f>
        <v>20023998.75</v>
      </c>
      <c r="J194" s="78">
        <v>48253072.72</v>
      </c>
      <c r="K194" s="52">
        <f t="shared" si="19"/>
        <v>0.051946549380631764</v>
      </c>
      <c r="L194" s="81">
        <f aca="true" t="shared" si="27" ref="L194:L200">D194-J194</f>
        <v>272265229.1</v>
      </c>
      <c r="M194" s="63">
        <f t="shared" si="21"/>
        <v>229564.27000000328</v>
      </c>
    </row>
    <row r="195" spans="1:13" s="4" customFormat="1" ht="15">
      <c r="A195" s="48" t="s">
        <v>30</v>
      </c>
      <c r="B195" s="49" t="s">
        <v>35</v>
      </c>
      <c r="C195" s="78">
        <v>13070694</v>
      </c>
      <c r="D195" s="78">
        <v>21970694</v>
      </c>
      <c r="E195" s="78">
        <f>F195-15415740.14</f>
        <v>2003532.669999998</v>
      </c>
      <c r="F195" s="78">
        <v>17419272.81</v>
      </c>
      <c r="G195" s="52">
        <f t="shared" si="17"/>
        <v>0.018494680005370932</v>
      </c>
      <c r="H195" s="78">
        <f t="shared" si="26"/>
        <v>4551421.190000001</v>
      </c>
      <c r="I195" s="78">
        <f>J195-8943656.39</f>
        <v>8454577.02</v>
      </c>
      <c r="J195" s="78">
        <v>17398233.41</v>
      </c>
      <c r="K195" s="52">
        <f t="shared" si="19"/>
        <v>0.018729961430906415</v>
      </c>
      <c r="L195" s="81">
        <f t="shared" si="27"/>
        <v>4572460.59</v>
      </c>
      <c r="M195" s="63">
        <f t="shared" si="21"/>
        <v>21039.39999999851</v>
      </c>
    </row>
    <row r="196" spans="1:13" s="4" customFormat="1" ht="15">
      <c r="A196" s="48" t="s">
        <v>145</v>
      </c>
      <c r="B196" s="49" t="s">
        <v>146</v>
      </c>
      <c r="C196" s="78">
        <v>264819165</v>
      </c>
      <c r="D196" s="78">
        <v>805559021.02</v>
      </c>
      <c r="E196" s="78">
        <f>F196-238439551.46</f>
        <v>11952656.909999996</v>
      </c>
      <c r="F196" s="78">
        <v>250392208.37</v>
      </c>
      <c r="G196" s="52">
        <f t="shared" si="17"/>
        <v>0.2658505794215936</v>
      </c>
      <c r="H196" s="78">
        <f t="shared" si="26"/>
        <v>555166812.65</v>
      </c>
      <c r="I196" s="78">
        <f>J196-137708223.08</f>
        <v>112049572.14999998</v>
      </c>
      <c r="J196" s="78">
        <v>249757795.23</v>
      </c>
      <c r="K196" s="52">
        <f t="shared" si="19"/>
        <v>0.2688752220692343</v>
      </c>
      <c r="L196" s="81">
        <f t="shared" si="27"/>
        <v>555801225.79</v>
      </c>
      <c r="M196" s="63">
        <f t="shared" si="21"/>
        <v>634413.1400000155</v>
      </c>
    </row>
    <row r="197" spans="1:13" s="4" customFormat="1" ht="15">
      <c r="A197" s="64" t="s">
        <v>147</v>
      </c>
      <c r="B197" s="49" t="s">
        <v>148</v>
      </c>
      <c r="C197" s="78">
        <v>81686568</v>
      </c>
      <c r="D197" s="78">
        <v>128632013.13</v>
      </c>
      <c r="E197" s="78">
        <f>F197-58698406.72</f>
        <v>24411184.769999996</v>
      </c>
      <c r="F197" s="78">
        <v>83109591.49</v>
      </c>
      <c r="G197" s="52">
        <f t="shared" si="17"/>
        <v>0.08824049756556107</v>
      </c>
      <c r="H197" s="78">
        <f t="shared" si="26"/>
        <v>45522421.64</v>
      </c>
      <c r="I197" s="78">
        <f>J197-58698406.72</f>
        <v>24411184.769999996</v>
      </c>
      <c r="J197" s="78">
        <v>83109591.49</v>
      </c>
      <c r="K197" s="52">
        <f t="shared" si="19"/>
        <v>0.08947112080076916</v>
      </c>
      <c r="L197" s="81">
        <f t="shared" si="27"/>
        <v>45522421.64</v>
      </c>
      <c r="M197" s="63">
        <f t="shared" si="21"/>
        <v>0</v>
      </c>
    </row>
    <row r="198" spans="1:13" s="4" customFormat="1" ht="15">
      <c r="A198" s="64" t="s">
        <v>160</v>
      </c>
      <c r="B198" s="49" t="s">
        <v>161</v>
      </c>
      <c r="C198" s="84">
        <v>8045684</v>
      </c>
      <c r="D198" s="78">
        <v>25745684</v>
      </c>
      <c r="E198" s="78">
        <f>F198-19475945.61</f>
        <v>-1921591.629999999</v>
      </c>
      <c r="F198" s="78">
        <v>17554353.98</v>
      </c>
      <c r="G198" s="52">
        <f aca="true" t="shared" si="28" ref="G198:G229">(F198/$F$296)*100</f>
        <v>0.018638100631544658</v>
      </c>
      <c r="H198" s="78">
        <f t="shared" si="26"/>
        <v>8191330.02</v>
      </c>
      <c r="I198" s="78">
        <f>J198-1772800.34</f>
        <v>15781553.64</v>
      </c>
      <c r="J198" s="78">
        <v>17554353.98</v>
      </c>
      <c r="K198" s="52">
        <f aca="true" t="shared" si="29" ref="K198:K229">(J198/$J$296)*100</f>
        <v>0.01889803207266424</v>
      </c>
      <c r="L198" s="81">
        <f t="shared" si="27"/>
        <v>8191330.02</v>
      </c>
      <c r="M198" s="63">
        <f t="shared" si="21"/>
        <v>0</v>
      </c>
    </row>
    <row r="199" spans="1:13" s="4" customFormat="1" ht="15">
      <c r="A199" s="64" t="s">
        <v>97</v>
      </c>
      <c r="B199" s="49" t="s">
        <v>237</v>
      </c>
      <c r="C199" s="84">
        <v>40000</v>
      </c>
      <c r="D199" s="78">
        <v>45441557.72</v>
      </c>
      <c r="E199" s="78">
        <f>F199-15671906.47</f>
        <v>8597269.06</v>
      </c>
      <c r="F199" s="78">
        <v>24269175.53</v>
      </c>
      <c r="G199" s="52">
        <f t="shared" si="28"/>
        <v>0.025767472633177538</v>
      </c>
      <c r="H199" s="78">
        <f t="shared" si="26"/>
        <v>21172382.189999998</v>
      </c>
      <c r="I199" s="78">
        <f>J199-15671906.47</f>
        <v>8597269.06</v>
      </c>
      <c r="J199" s="78">
        <v>24269175.53</v>
      </c>
      <c r="K199" s="52">
        <f t="shared" si="29"/>
        <v>0.02612683201361866</v>
      </c>
      <c r="L199" s="81">
        <f t="shared" si="27"/>
        <v>21172382.189999998</v>
      </c>
      <c r="M199" s="113">
        <f t="shared" si="21"/>
        <v>0</v>
      </c>
    </row>
    <row r="200" spans="1:13" s="4" customFormat="1" ht="15">
      <c r="A200" s="57" t="s">
        <v>201</v>
      </c>
      <c r="B200" s="49" t="s">
        <v>202</v>
      </c>
      <c r="C200" s="84">
        <v>0</v>
      </c>
      <c r="D200" s="78">
        <v>0</v>
      </c>
      <c r="E200" s="78">
        <f>F200-0</f>
        <v>0</v>
      </c>
      <c r="F200" s="78">
        <v>0</v>
      </c>
      <c r="G200" s="52">
        <f t="shared" si="28"/>
        <v>0</v>
      </c>
      <c r="H200" s="78">
        <f t="shared" si="26"/>
        <v>0</v>
      </c>
      <c r="I200" s="78">
        <f>J200-0</f>
        <v>0</v>
      </c>
      <c r="J200" s="78">
        <v>0</v>
      </c>
      <c r="K200" s="52">
        <f t="shared" si="29"/>
        <v>0</v>
      </c>
      <c r="L200" s="81">
        <f t="shared" si="27"/>
        <v>0</v>
      </c>
      <c r="M200" s="113">
        <f t="shared" si="21"/>
        <v>0</v>
      </c>
    </row>
    <row r="201" spans="1:13" ht="14.25">
      <c r="A201" s="43" t="s">
        <v>158</v>
      </c>
      <c r="B201" s="46" t="s">
        <v>159</v>
      </c>
      <c r="C201" s="77">
        <f>SUM(C202:C210)</f>
        <v>554632390</v>
      </c>
      <c r="D201" s="77">
        <f>SUM(D202:D210)</f>
        <v>742352246.08</v>
      </c>
      <c r="E201" s="77">
        <f>SUM(E202:E210)</f>
        <v>49946628.98999999</v>
      </c>
      <c r="F201" s="77">
        <f>SUM(F202:F210)</f>
        <v>551166430.24</v>
      </c>
      <c r="G201" s="47">
        <f t="shared" si="28"/>
        <v>0.5851935880549196</v>
      </c>
      <c r="H201" s="77">
        <f>D201-F201</f>
        <v>191185815.84000003</v>
      </c>
      <c r="I201" s="77">
        <f>SUM(I202:I210)</f>
        <v>102463869.04999997</v>
      </c>
      <c r="J201" s="77">
        <f>SUM(J202:J210)</f>
        <v>551166430.24</v>
      </c>
      <c r="K201" s="47">
        <f t="shared" si="29"/>
        <v>0.5933548388005889</v>
      </c>
      <c r="L201" s="80">
        <f>D201-J201</f>
        <v>191185815.84000003</v>
      </c>
      <c r="M201" s="113">
        <f t="shared" si="21"/>
        <v>0</v>
      </c>
    </row>
    <row r="202" spans="1:13" ht="15">
      <c r="A202" s="48" t="s">
        <v>28</v>
      </c>
      <c r="B202" s="49" t="s">
        <v>33</v>
      </c>
      <c r="C202" s="78">
        <v>136105099</v>
      </c>
      <c r="D202" s="78">
        <v>117575374.51</v>
      </c>
      <c r="E202" s="78">
        <f>F202-77227538.74</f>
        <v>19282564.99000001</v>
      </c>
      <c r="F202" s="78">
        <v>96510103.73</v>
      </c>
      <c r="G202" s="52">
        <f t="shared" si="28"/>
        <v>0.10246831226770974</v>
      </c>
      <c r="H202" s="78">
        <f aca="true" t="shared" si="30" ref="H202:H285">D202-F202</f>
        <v>21065270.78</v>
      </c>
      <c r="I202" s="78">
        <f>J202-70829206.68</f>
        <v>25680897.049999997</v>
      </c>
      <c r="J202" s="78">
        <v>96510103.73</v>
      </c>
      <c r="K202" s="52">
        <f t="shared" si="29"/>
        <v>0.103897360034077</v>
      </c>
      <c r="L202" s="81">
        <f>D202-J202</f>
        <v>21065270.78</v>
      </c>
      <c r="M202" s="113">
        <f t="shared" si="21"/>
        <v>0</v>
      </c>
    </row>
    <row r="203" spans="1:13" ht="15">
      <c r="A203" s="48" t="s">
        <v>50</v>
      </c>
      <c r="B203" s="49" t="s">
        <v>57</v>
      </c>
      <c r="C203" s="78">
        <v>10814886</v>
      </c>
      <c r="D203" s="78">
        <v>143956925.33</v>
      </c>
      <c r="E203" s="78">
        <f>F203-65485133.77</f>
        <v>19684028.07</v>
      </c>
      <c r="F203" s="78">
        <v>85169161.84</v>
      </c>
      <c r="G203" s="52">
        <f t="shared" si="28"/>
        <v>0.09042721884763048</v>
      </c>
      <c r="H203" s="78">
        <f t="shared" si="30"/>
        <v>58787763.49000001</v>
      </c>
      <c r="I203" s="78">
        <f>J203-31930186.1</f>
        <v>53238975.74</v>
      </c>
      <c r="J203" s="78">
        <v>85169161.84</v>
      </c>
      <c r="K203" s="52">
        <f t="shared" si="29"/>
        <v>0.09168833862459524</v>
      </c>
      <c r="L203" s="81">
        <f aca="true" t="shared" si="31" ref="L203:L283">D203-J203</f>
        <v>58787763.49000001</v>
      </c>
      <c r="M203" s="113">
        <f t="shared" si="21"/>
        <v>0</v>
      </c>
    </row>
    <row r="204" spans="1:13" ht="15">
      <c r="A204" s="48" t="s">
        <v>29</v>
      </c>
      <c r="B204" s="49" t="s">
        <v>34</v>
      </c>
      <c r="C204" s="78">
        <v>355000</v>
      </c>
      <c r="D204" s="78">
        <v>436325.99</v>
      </c>
      <c r="E204" s="78">
        <f>F204-690449.06</f>
        <v>-445162.93000000005</v>
      </c>
      <c r="F204" s="78">
        <v>245286.13</v>
      </c>
      <c r="G204" s="52">
        <f t="shared" si="28"/>
        <v>0.00026042926898197055</v>
      </c>
      <c r="H204" s="78">
        <f t="shared" si="30"/>
        <v>191039.86</v>
      </c>
      <c r="I204" s="78">
        <f>J204-46225.61</f>
        <v>199060.52000000002</v>
      </c>
      <c r="J204" s="78">
        <v>245286.13</v>
      </c>
      <c r="K204" s="52">
        <f t="shared" si="29"/>
        <v>0.0002640612783017202</v>
      </c>
      <c r="L204" s="81">
        <f t="shared" si="31"/>
        <v>191039.86</v>
      </c>
      <c r="M204" s="113">
        <f t="shared" si="21"/>
        <v>0</v>
      </c>
    </row>
    <row r="205" spans="1:13" ht="15">
      <c r="A205" s="48" t="s">
        <v>114</v>
      </c>
      <c r="B205" s="49" t="s">
        <v>121</v>
      </c>
      <c r="C205" s="78">
        <v>53586448</v>
      </c>
      <c r="D205" s="78">
        <v>92308440.3</v>
      </c>
      <c r="E205" s="78">
        <f>F205-74835607.2</f>
        <v>5242070.489999995</v>
      </c>
      <c r="F205" s="78">
        <v>80077677.69</v>
      </c>
      <c r="G205" s="52">
        <f t="shared" si="28"/>
        <v>0.08502140362596348</v>
      </c>
      <c r="H205" s="78">
        <f t="shared" si="30"/>
        <v>12230762.61</v>
      </c>
      <c r="I205" s="78">
        <f>J205-65891857.7</f>
        <v>14185819.989999995</v>
      </c>
      <c r="J205" s="78">
        <v>80077677.69</v>
      </c>
      <c r="K205" s="52">
        <f t="shared" si="29"/>
        <v>0.08620713260164585</v>
      </c>
      <c r="L205" s="81">
        <f t="shared" si="31"/>
        <v>12230762.61</v>
      </c>
      <c r="M205" s="113">
        <f t="shared" si="21"/>
        <v>0</v>
      </c>
    </row>
    <row r="206" spans="1:13" ht="15">
      <c r="A206" s="48" t="s">
        <v>116</v>
      </c>
      <c r="B206" s="49" t="s">
        <v>123</v>
      </c>
      <c r="C206" s="78">
        <v>0</v>
      </c>
      <c r="D206" s="78">
        <v>0</v>
      </c>
      <c r="E206" s="78">
        <f>F206-0</f>
        <v>0</v>
      </c>
      <c r="F206" s="78">
        <v>0</v>
      </c>
      <c r="G206" s="52">
        <f t="shared" si="28"/>
        <v>0</v>
      </c>
      <c r="H206" s="78">
        <f t="shared" si="30"/>
        <v>0</v>
      </c>
      <c r="I206" s="78">
        <f>J206-0</f>
        <v>0</v>
      </c>
      <c r="J206" s="78">
        <v>0</v>
      </c>
      <c r="K206" s="52">
        <f t="shared" si="29"/>
        <v>0</v>
      </c>
      <c r="L206" s="81">
        <f t="shared" si="31"/>
        <v>0</v>
      </c>
      <c r="M206" s="113">
        <f t="shared" si="21"/>
        <v>0</v>
      </c>
    </row>
    <row r="207" spans="1:13" ht="15">
      <c r="A207" s="48" t="s">
        <v>96</v>
      </c>
      <c r="B207" s="49" t="s">
        <v>102</v>
      </c>
      <c r="C207" s="78">
        <v>288760957</v>
      </c>
      <c r="D207" s="78">
        <v>335005473.52</v>
      </c>
      <c r="E207" s="78">
        <f>F207-247917286.36</f>
        <v>2975975.9299999774</v>
      </c>
      <c r="F207" s="78">
        <v>250893262.29</v>
      </c>
      <c r="G207" s="52">
        <f t="shared" si="28"/>
        <v>0.2663825667219198</v>
      </c>
      <c r="H207" s="78">
        <f t="shared" si="30"/>
        <v>84112211.22999999</v>
      </c>
      <c r="I207" s="78">
        <f>J207-245185701.4</f>
        <v>5707560.889999986</v>
      </c>
      <c r="J207" s="78">
        <v>250893262.29</v>
      </c>
      <c r="K207" s="52">
        <f t="shared" si="29"/>
        <v>0.2700976021660343</v>
      </c>
      <c r="L207" s="81">
        <f t="shared" si="31"/>
        <v>84112211.22999999</v>
      </c>
      <c r="M207" s="113">
        <f t="shared" si="21"/>
        <v>0</v>
      </c>
    </row>
    <row r="208" spans="1:13" ht="15">
      <c r="A208" s="48" t="s">
        <v>160</v>
      </c>
      <c r="B208" s="49" t="s">
        <v>161</v>
      </c>
      <c r="C208" s="78">
        <v>0</v>
      </c>
      <c r="D208" s="78">
        <v>0</v>
      </c>
      <c r="E208" s="78">
        <f>F208-0</f>
        <v>0</v>
      </c>
      <c r="F208" s="78">
        <v>0</v>
      </c>
      <c r="G208" s="52">
        <f t="shared" si="28"/>
        <v>0</v>
      </c>
      <c r="H208" s="78">
        <f t="shared" si="30"/>
        <v>0</v>
      </c>
      <c r="I208" s="78">
        <f>J208-0</f>
        <v>0</v>
      </c>
      <c r="J208" s="78">
        <v>0</v>
      </c>
      <c r="K208" s="52">
        <f t="shared" si="29"/>
        <v>0</v>
      </c>
      <c r="L208" s="81">
        <f t="shared" si="31"/>
        <v>0</v>
      </c>
      <c r="M208" s="113">
        <f t="shared" si="21"/>
        <v>0</v>
      </c>
    </row>
    <row r="209" spans="1:13" ht="15">
      <c r="A209" s="48" t="s">
        <v>97</v>
      </c>
      <c r="B209" s="49" t="s">
        <v>241</v>
      </c>
      <c r="C209" s="78">
        <v>65005000</v>
      </c>
      <c r="D209" s="78">
        <v>53064706.43</v>
      </c>
      <c r="E209" s="78">
        <f>F209-35063786.12</f>
        <v>3207152.440000005</v>
      </c>
      <c r="F209" s="78">
        <v>38270938.56</v>
      </c>
      <c r="G209" s="52">
        <f t="shared" si="28"/>
        <v>0.04063365732271412</v>
      </c>
      <c r="H209" s="78">
        <f t="shared" si="30"/>
        <v>14793767.869999997</v>
      </c>
      <c r="I209" s="78">
        <f>J209-34819383.7</f>
        <v>3451554.8599999994</v>
      </c>
      <c r="J209" s="78">
        <v>38270938.56</v>
      </c>
      <c r="K209" s="52">
        <f t="shared" si="29"/>
        <v>0.0412003440959348</v>
      </c>
      <c r="L209" s="81">
        <f t="shared" si="31"/>
        <v>14793767.869999997</v>
      </c>
      <c r="M209" s="113">
        <f t="shared" si="21"/>
        <v>0</v>
      </c>
    </row>
    <row r="210" spans="1:13" ht="15">
      <c r="A210" s="48" t="s">
        <v>187</v>
      </c>
      <c r="B210" s="49" t="s">
        <v>188</v>
      </c>
      <c r="C210" s="78">
        <v>5000</v>
      </c>
      <c r="D210" s="78">
        <v>5000</v>
      </c>
      <c r="E210" s="78">
        <f>F210-0</f>
        <v>0</v>
      </c>
      <c r="F210" s="78">
        <v>0</v>
      </c>
      <c r="G210" s="52">
        <f t="shared" si="28"/>
        <v>0</v>
      </c>
      <c r="H210" s="78">
        <f t="shared" si="30"/>
        <v>5000</v>
      </c>
      <c r="I210" s="78">
        <v>0</v>
      </c>
      <c r="J210" s="78">
        <v>0</v>
      </c>
      <c r="K210" s="52">
        <f t="shared" si="29"/>
        <v>0</v>
      </c>
      <c r="L210" s="81">
        <f t="shared" si="31"/>
        <v>5000</v>
      </c>
      <c r="M210" s="113">
        <f t="shared" si="21"/>
        <v>0</v>
      </c>
    </row>
    <row r="211" spans="1:13" ht="14.25">
      <c r="A211" s="43" t="s">
        <v>162</v>
      </c>
      <c r="B211" s="46" t="s">
        <v>163</v>
      </c>
      <c r="C211" s="77">
        <f>SUM(C212:C229)</f>
        <v>602555010</v>
      </c>
      <c r="D211" s="77">
        <f>SUM(D212:D229)</f>
        <v>861374761.72</v>
      </c>
      <c r="E211" s="77">
        <f>SUM(E212:E229)</f>
        <v>89027781.71000001</v>
      </c>
      <c r="F211" s="77">
        <f>SUM(F212:F229)</f>
        <v>587357554.36</v>
      </c>
      <c r="G211" s="47">
        <f t="shared" si="28"/>
        <v>0.6236190302036762</v>
      </c>
      <c r="H211" s="77">
        <f t="shared" si="30"/>
        <v>274017207.36</v>
      </c>
      <c r="I211" s="77">
        <f>SUM(I212:I229)</f>
        <v>164555153.64999998</v>
      </c>
      <c r="J211" s="77">
        <f>SUM(J212:J229)</f>
        <v>587357554.36</v>
      </c>
      <c r="K211" s="47">
        <f t="shared" si="29"/>
        <v>0.6323161714218155</v>
      </c>
      <c r="L211" s="80">
        <f t="shared" si="31"/>
        <v>274017207.36</v>
      </c>
      <c r="M211" s="113">
        <f t="shared" si="21"/>
        <v>0</v>
      </c>
    </row>
    <row r="212" spans="1:13" ht="15">
      <c r="A212" s="48" t="s">
        <v>28</v>
      </c>
      <c r="B212" s="49" t="s">
        <v>33</v>
      </c>
      <c r="C212" s="78">
        <v>403815826</v>
      </c>
      <c r="D212" s="78">
        <v>449063924.18</v>
      </c>
      <c r="E212" s="78">
        <f>F212-290494458.58</f>
        <v>71518385.41000003</v>
      </c>
      <c r="F212" s="78">
        <v>362012843.99</v>
      </c>
      <c r="G212" s="52">
        <f t="shared" si="28"/>
        <v>0.384362296891389</v>
      </c>
      <c r="H212" s="78">
        <f t="shared" si="30"/>
        <v>87051080.19</v>
      </c>
      <c r="I212" s="78">
        <f>J212-282021158.11</f>
        <v>79991685.88</v>
      </c>
      <c r="J212" s="78">
        <v>362012843.99</v>
      </c>
      <c r="K212" s="52">
        <f t="shared" si="29"/>
        <v>0.38972270607245757</v>
      </c>
      <c r="L212" s="81">
        <f t="shared" si="31"/>
        <v>87051080.19</v>
      </c>
      <c r="M212" s="113">
        <f t="shared" si="21"/>
        <v>0</v>
      </c>
    </row>
    <row r="213" spans="1:13" ht="15">
      <c r="A213" s="48" t="s">
        <v>50</v>
      </c>
      <c r="B213" s="49" t="s">
        <v>57</v>
      </c>
      <c r="C213" s="78">
        <v>8005000</v>
      </c>
      <c r="D213" s="78">
        <v>25893729.17</v>
      </c>
      <c r="E213" s="78">
        <f>F213-3620381.52</f>
        <v>-444449.5499999998</v>
      </c>
      <c r="F213" s="78">
        <v>3175931.97</v>
      </c>
      <c r="G213" s="52">
        <f t="shared" si="28"/>
        <v>0.0033720033060310813</v>
      </c>
      <c r="H213" s="78">
        <f t="shared" si="30"/>
        <v>22717797.200000003</v>
      </c>
      <c r="I213" s="78">
        <f>J213-2524879.3</f>
        <v>651052.6700000004</v>
      </c>
      <c r="J213" s="78">
        <v>3175931.97</v>
      </c>
      <c r="K213" s="52">
        <f t="shared" si="29"/>
        <v>0.0034190300764152482</v>
      </c>
      <c r="L213" s="81">
        <f t="shared" si="31"/>
        <v>22717797.200000003</v>
      </c>
      <c r="M213" s="113">
        <f t="shared" si="21"/>
        <v>0</v>
      </c>
    </row>
    <row r="214" spans="1:13" ht="15">
      <c r="A214" s="48" t="s">
        <v>51</v>
      </c>
      <c r="B214" s="49" t="s">
        <v>58</v>
      </c>
      <c r="C214" s="78">
        <v>0</v>
      </c>
      <c r="D214" s="78">
        <v>0</v>
      </c>
      <c r="E214" s="78">
        <f>F214-0</f>
        <v>0</v>
      </c>
      <c r="F214" s="78">
        <v>0</v>
      </c>
      <c r="G214" s="52">
        <f t="shared" si="28"/>
        <v>0</v>
      </c>
      <c r="H214" s="78">
        <f t="shared" si="30"/>
        <v>0</v>
      </c>
      <c r="I214" s="78">
        <f aca="true" t="shared" si="32" ref="I214:I228">J214-0</f>
        <v>0</v>
      </c>
      <c r="J214" s="78">
        <v>0</v>
      </c>
      <c r="K214" s="52">
        <f t="shared" si="29"/>
        <v>0</v>
      </c>
      <c r="L214" s="81">
        <f t="shared" si="31"/>
        <v>0</v>
      </c>
      <c r="M214" s="113">
        <f t="shared" si="21"/>
        <v>0</v>
      </c>
    </row>
    <row r="215" spans="1:13" ht="15">
      <c r="A215" s="48" t="s">
        <v>29</v>
      </c>
      <c r="B215" s="49" t="s">
        <v>263</v>
      </c>
      <c r="C215" s="78">
        <v>0</v>
      </c>
      <c r="D215" s="78">
        <v>0</v>
      </c>
      <c r="E215" s="50">
        <f>F215-0</f>
        <v>0</v>
      </c>
      <c r="F215" s="50">
        <v>0</v>
      </c>
      <c r="G215" s="52">
        <f t="shared" si="28"/>
        <v>0</v>
      </c>
      <c r="H215" s="78">
        <f t="shared" si="30"/>
        <v>0</v>
      </c>
      <c r="I215" s="78">
        <f t="shared" si="32"/>
        <v>0</v>
      </c>
      <c r="J215" s="78">
        <v>0</v>
      </c>
      <c r="K215" s="52">
        <f t="shared" si="29"/>
        <v>0</v>
      </c>
      <c r="L215" s="81">
        <f t="shared" si="31"/>
        <v>0</v>
      </c>
      <c r="M215" s="113">
        <f t="shared" si="21"/>
        <v>0</v>
      </c>
    </row>
    <row r="216" spans="1:13" ht="15">
      <c r="A216" s="48" t="s">
        <v>94</v>
      </c>
      <c r="B216" s="49" t="s">
        <v>100</v>
      </c>
      <c r="C216" s="50">
        <v>0</v>
      </c>
      <c r="D216" s="50">
        <v>0</v>
      </c>
      <c r="E216" s="50">
        <f>F216-0</f>
        <v>0</v>
      </c>
      <c r="F216" s="50">
        <v>0</v>
      </c>
      <c r="G216" s="52">
        <f t="shared" si="28"/>
        <v>0</v>
      </c>
      <c r="H216" s="78">
        <f t="shared" si="30"/>
        <v>0</v>
      </c>
      <c r="I216" s="78">
        <f t="shared" si="32"/>
        <v>0</v>
      </c>
      <c r="J216" s="78">
        <v>0</v>
      </c>
      <c r="K216" s="52">
        <f t="shared" si="29"/>
        <v>0</v>
      </c>
      <c r="L216" s="81">
        <f t="shared" si="31"/>
        <v>0</v>
      </c>
      <c r="M216" s="113">
        <f t="shared" si="21"/>
        <v>0</v>
      </c>
    </row>
    <row r="217" spans="1:13" ht="15">
      <c r="A217" s="48" t="s">
        <v>68</v>
      </c>
      <c r="B217" s="49" t="s">
        <v>76</v>
      </c>
      <c r="C217" s="78">
        <v>85000</v>
      </c>
      <c r="D217" s="78">
        <v>85000</v>
      </c>
      <c r="E217" s="78">
        <f>F217-5678.4</f>
        <v>0</v>
      </c>
      <c r="F217" s="78">
        <v>5678.4</v>
      </c>
      <c r="G217" s="52">
        <f t="shared" si="28"/>
        <v>6.028965278172154E-06</v>
      </c>
      <c r="H217" s="78">
        <f t="shared" si="30"/>
        <v>79321.6</v>
      </c>
      <c r="I217" s="78">
        <f>J217-5678.4</f>
        <v>0</v>
      </c>
      <c r="J217" s="78">
        <v>5678.4</v>
      </c>
      <c r="K217" s="52">
        <f t="shared" si="29"/>
        <v>6.113046680252519E-06</v>
      </c>
      <c r="L217" s="81">
        <f t="shared" si="31"/>
        <v>79321.6</v>
      </c>
      <c r="M217" s="113">
        <f t="shared" si="21"/>
        <v>0</v>
      </c>
    </row>
    <row r="218" spans="1:13" ht="15">
      <c r="A218" s="48" t="s">
        <v>106</v>
      </c>
      <c r="B218" s="49" t="s">
        <v>108</v>
      </c>
      <c r="C218" s="78">
        <v>10000000</v>
      </c>
      <c r="D218" s="78">
        <v>10000000</v>
      </c>
      <c r="E218" s="78">
        <f>F218-0</f>
        <v>0</v>
      </c>
      <c r="F218" s="78">
        <v>0</v>
      </c>
      <c r="G218" s="52">
        <f t="shared" si="28"/>
        <v>0</v>
      </c>
      <c r="H218" s="78">
        <f t="shared" si="30"/>
        <v>10000000</v>
      </c>
      <c r="I218" s="78">
        <f>J218-0</f>
        <v>0</v>
      </c>
      <c r="J218" s="78">
        <v>0</v>
      </c>
      <c r="K218" s="52">
        <f t="shared" si="29"/>
        <v>0</v>
      </c>
      <c r="L218" s="81">
        <f t="shared" si="31"/>
        <v>10000000</v>
      </c>
      <c r="M218" s="113">
        <f t="shared" si="21"/>
        <v>0</v>
      </c>
    </row>
    <row r="219" spans="1:13" ht="15">
      <c r="A219" s="48" t="s">
        <v>135</v>
      </c>
      <c r="B219" s="49" t="s">
        <v>136</v>
      </c>
      <c r="C219" s="50">
        <v>0</v>
      </c>
      <c r="D219" s="78">
        <v>0</v>
      </c>
      <c r="E219" s="50">
        <f aca="true" t="shared" si="33" ref="E219:E228">F219-0</f>
        <v>0</v>
      </c>
      <c r="F219" s="50">
        <v>0</v>
      </c>
      <c r="G219" s="52">
        <f t="shared" si="28"/>
        <v>0</v>
      </c>
      <c r="H219" s="50">
        <f t="shared" si="30"/>
        <v>0</v>
      </c>
      <c r="I219" s="78">
        <f t="shared" si="32"/>
        <v>0</v>
      </c>
      <c r="J219" s="50">
        <v>0</v>
      </c>
      <c r="K219" s="52">
        <f t="shared" si="29"/>
        <v>0</v>
      </c>
      <c r="L219" s="81">
        <f t="shared" si="31"/>
        <v>0</v>
      </c>
      <c r="M219" s="113">
        <f t="shared" si="21"/>
        <v>0</v>
      </c>
    </row>
    <row r="220" spans="1:13" ht="15">
      <c r="A220" s="48" t="s">
        <v>96</v>
      </c>
      <c r="B220" s="49" t="s">
        <v>102</v>
      </c>
      <c r="C220" s="78">
        <v>175839</v>
      </c>
      <c r="D220" s="78">
        <v>24239</v>
      </c>
      <c r="E220" s="50">
        <f>F220-1911.59</f>
        <v>0</v>
      </c>
      <c r="F220" s="50">
        <v>1911.59</v>
      </c>
      <c r="G220" s="52">
        <f t="shared" si="28"/>
        <v>2.0296051239963916E-06</v>
      </c>
      <c r="H220" s="78">
        <f t="shared" si="30"/>
        <v>22327.41</v>
      </c>
      <c r="I220" s="78">
        <f>J220-1911.59</f>
        <v>0</v>
      </c>
      <c r="J220" s="50">
        <v>1911.59</v>
      </c>
      <c r="K220" s="52">
        <f t="shared" si="29"/>
        <v>2.0579104859650454E-06</v>
      </c>
      <c r="L220" s="81">
        <f t="shared" si="31"/>
        <v>22327.41</v>
      </c>
      <c r="M220" s="113">
        <f t="shared" si="21"/>
        <v>0</v>
      </c>
    </row>
    <row r="221" spans="1:13" ht="15">
      <c r="A221" s="48" t="s">
        <v>155</v>
      </c>
      <c r="B221" s="49" t="s">
        <v>156</v>
      </c>
      <c r="C221" s="50">
        <v>0</v>
      </c>
      <c r="D221" s="78">
        <v>0</v>
      </c>
      <c r="E221" s="50">
        <f t="shared" si="33"/>
        <v>0</v>
      </c>
      <c r="F221" s="50">
        <v>0</v>
      </c>
      <c r="G221" s="52">
        <f t="shared" si="28"/>
        <v>0</v>
      </c>
      <c r="H221" s="78">
        <f t="shared" si="30"/>
        <v>0</v>
      </c>
      <c r="I221" s="78">
        <f t="shared" si="32"/>
        <v>0</v>
      </c>
      <c r="J221" s="50">
        <v>0</v>
      </c>
      <c r="K221" s="52">
        <f t="shared" si="29"/>
        <v>0</v>
      </c>
      <c r="L221" s="81">
        <f t="shared" si="31"/>
        <v>0</v>
      </c>
      <c r="M221" s="113">
        <f t="shared" si="21"/>
        <v>0</v>
      </c>
    </row>
    <row r="222" spans="1:13" ht="15">
      <c r="A222" s="48" t="s">
        <v>166</v>
      </c>
      <c r="B222" s="49" t="s">
        <v>167</v>
      </c>
      <c r="C222" s="50">
        <v>0</v>
      </c>
      <c r="D222" s="78">
        <v>0</v>
      </c>
      <c r="E222" s="50">
        <f t="shared" si="33"/>
        <v>0</v>
      </c>
      <c r="F222" s="50">
        <v>0</v>
      </c>
      <c r="G222" s="52">
        <f t="shared" si="28"/>
        <v>0</v>
      </c>
      <c r="H222" s="78">
        <f t="shared" si="30"/>
        <v>0</v>
      </c>
      <c r="I222" s="78">
        <f t="shared" si="32"/>
        <v>0</v>
      </c>
      <c r="J222" s="50">
        <v>0</v>
      </c>
      <c r="K222" s="52">
        <f t="shared" si="29"/>
        <v>0</v>
      </c>
      <c r="L222" s="81">
        <f t="shared" si="31"/>
        <v>0</v>
      </c>
      <c r="M222" s="113">
        <f t="shared" si="21"/>
        <v>0</v>
      </c>
    </row>
    <row r="223" spans="1:13" ht="15">
      <c r="A223" s="48" t="s">
        <v>168</v>
      </c>
      <c r="B223" s="49" t="s">
        <v>169</v>
      </c>
      <c r="C223" s="50">
        <v>0</v>
      </c>
      <c r="D223" s="78">
        <v>0</v>
      </c>
      <c r="E223" s="50">
        <f t="shared" si="33"/>
        <v>0</v>
      </c>
      <c r="F223" s="50">
        <v>0</v>
      </c>
      <c r="G223" s="52">
        <f t="shared" si="28"/>
        <v>0</v>
      </c>
      <c r="H223" s="78">
        <f t="shared" si="30"/>
        <v>0</v>
      </c>
      <c r="I223" s="78">
        <f t="shared" si="32"/>
        <v>0</v>
      </c>
      <c r="J223" s="50">
        <v>0</v>
      </c>
      <c r="K223" s="52">
        <f t="shared" si="29"/>
        <v>0</v>
      </c>
      <c r="L223" s="81">
        <f t="shared" si="31"/>
        <v>0</v>
      </c>
      <c r="M223" s="113">
        <f t="shared" si="21"/>
        <v>0</v>
      </c>
    </row>
    <row r="224" spans="1:13" ht="15">
      <c r="A224" s="48" t="s">
        <v>170</v>
      </c>
      <c r="B224" s="49" t="s">
        <v>171</v>
      </c>
      <c r="C224" s="78">
        <v>60001</v>
      </c>
      <c r="D224" s="78">
        <v>60001</v>
      </c>
      <c r="E224" s="50">
        <f>F224-4549</f>
        <v>-2128.9</v>
      </c>
      <c r="F224" s="50">
        <v>2420.1</v>
      </c>
      <c r="G224" s="52">
        <f t="shared" si="28"/>
        <v>2.5695088175726318E-06</v>
      </c>
      <c r="H224" s="78">
        <f t="shared" si="30"/>
        <v>57580.9</v>
      </c>
      <c r="I224" s="78">
        <f>J224-4549</f>
        <v>-2128.9</v>
      </c>
      <c r="J224" s="50">
        <v>2420.1</v>
      </c>
      <c r="K224" s="52">
        <f t="shared" si="29"/>
        <v>2.6053438065087214E-06</v>
      </c>
      <c r="L224" s="81">
        <f t="shared" si="31"/>
        <v>57580.9</v>
      </c>
      <c r="M224" s="113">
        <f t="shared" si="21"/>
        <v>0</v>
      </c>
    </row>
    <row r="225" spans="1:13" ht="15">
      <c r="A225" s="48" t="s">
        <v>172</v>
      </c>
      <c r="B225" s="49" t="s">
        <v>173</v>
      </c>
      <c r="C225" s="78">
        <v>3838549</v>
      </c>
      <c r="D225" s="78">
        <v>7345506.25</v>
      </c>
      <c r="E225" s="78">
        <f>F225-1451298.45</f>
        <v>374421.1300000001</v>
      </c>
      <c r="F225" s="78">
        <v>1825719.58</v>
      </c>
      <c r="G225" s="52">
        <f t="shared" si="28"/>
        <v>0.0019384333536734029</v>
      </c>
      <c r="H225" s="78">
        <f t="shared" si="30"/>
        <v>5519786.67</v>
      </c>
      <c r="I225" s="78">
        <f>J225-1451214.45</f>
        <v>374505.1300000001</v>
      </c>
      <c r="J225" s="50">
        <v>1825719.58</v>
      </c>
      <c r="K225" s="52">
        <f t="shared" si="29"/>
        <v>0.0019654672121708627</v>
      </c>
      <c r="L225" s="81">
        <f t="shared" si="31"/>
        <v>5519786.67</v>
      </c>
      <c r="M225" s="113">
        <f t="shared" si="21"/>
        <v>0</v>
      </c>
    </row>
    <row r="226" spans="1:13" ht="15">
      <c r="A226" s="48" t="s">
        <v>270</v>
      </c>
      <c r="B226" s="49" t="s">
        <v>272</v>
      </c>
      <c r="C226" s="78">
        <v>29288911</v>
      </c>
      <c r="D226" s="78">
        <v>33696814.69</v>
      </c>
      <c r="E226" s="78">
        <f>F226-4978815.8</f>
        <v>-677865.75</v>
      </c>
      <c r="F226" s="78">
        <v>4300950.05</v>
      </c>
      <c r="G226" s="52">
        <f t="shared" si="28"/>
        <v>0.004566476210658424</v>
      </c>
      <c r="H226" s="78">
        <f t="shared" si="30"/>
        <v>29395864.639999997</v>
      </c>
      <c r="I226" s="78">
        <f>J226-3655493.66</f>
        <v>645456.3899999997</v>
      </c>
      <c r="J226" s="78">
        <v>4300950.05</v>
      </c>
      <c r="K226" s="52">
        <f t="shared" si="29"/>
        <v>0.00463016138790582</v>
      </c>
      <c r="L226" s="53">
        <f t="shared" si="31"/>
        <v>29395864.639999997</v>
      </c>
      <c r="M226" s="113">
        <f t="shared" si="21"/>
        <v>0</v>
      </c>
    </row>
    <row r="227" spans="1:13" ht="15">
      <c r="A227" s="48" t="s">
        <v>271</v>
      </c>
      <c r="B227" s="49" t="s">
        <v>273</v>
      </c>
      <c r="C227" s="78">
        <v>26423874</v>
      </c>
      <c r="D227" s="78">
        <v>53487231</v>
      </c>
      <c r="E227" s="78">
        <f>F227-41104868.15</f>
        <v>1735646.5500000045</v>
      </c>
      <c r="F227" s="78">
        <v>42840514.7</v>
      </c>
      <c r="G227" s="52">
        <f t="shared" si="28"/>
        <v>0.045485343692822595</v>
      </c>
      <c r="H227" s="78">
        <f t="shared" si="30"/>
        <v>10646716.299999997</v>
      </c>
      <c r="I227" s="78">
        <f>J227-22028011.67</f>
        <v>20812503.03</v>
      </c>
      <c r="J227" s="78">
        <v>42840514.7</v>
      </c>
      <c r="K227" s="52">
        <f t="shared" si="29"/>
        <v>0.046119693252878326</v>
      </c>
      <c r="L227" s="53">
        <f t="shared" si="31"/>
        <v>10646716.299999997</v>
      </c>
      <c r="M227" s="113">
        <f t="shared" si="21"/>
        <v>0</v>
      </c>
    </row>
    <row r="228" spans="1:13" ht="15">
      <c r="A228" s="48" t="s">
        <v>244</v>
      </c>
      <c r="B228" s="49" t="s">
        <v>245</v>
      </c>
      <c r="C228" s="50">
        <v>0</v>
      </c>
      <c r="D228" s="78">
        <v>0</v>
      </c>
      <c r="E228" s="50">
        <f t="shared" si="33"/>
        <v>0</v>
      </c>
      <c r="F228" s="50">
        <v>0</v>
      </c>
      <c r="G228" s="52">
        <f t="shared" si="28"/>
        <v>0</v>
      </c>
      <c r="H228" s="50">
        <f t="shared" si="30"/>
        <v>0</v>
      </c>
      <c r="I228" s="78">
        <f t="shared" si="32"/>
        <v>0</v>
      </c>
      <c r="J228" s="50">
        <v>0</v>
      </c>
      <c r="K228" s="52">
        <f t="shared" si="29"/>
        <v>0</v>
      </c>
      <c r="L228" s="53">
        <f t="shared" si="31"/>
        <v>0</v>
      </c>
      <c r="M228" s="113">
        <f aca="true" t="shared" si="34" ref="M228:M291">F228-J228</f>
        <v>0</v>
      </c>
    </row>
    <row r="229" spans="1:13" ht="15">
      <c r="A229" s="48" t="s">
        <v>71</v>
      </c>
      <c r="B229" s="49" t="s">
        <v>79</v>
      </c>
      <c r="C229" s="50">
        <v>120862010</v>
      </c>
      <c r="D229" s="78">
        <v>281718316.43</v>
      </c>
      <c r="E229" s="50">
        <f>F229-156667811.16</f>
        <v>16523772.819999993</v>
      </c>
      <c r="F229" s="50">
        <v>173191583.98</v>
      </c>
      <c r="G229" s="52">
        <f t="shared" si="28"/>
        <v>0.1838838486698818</v>
      </c>
      <c r="H229" s="50">
        <f t="shared" si="30"/>
        <v>108526732.45000002</v>
      </c>
      <c r="I229" s="78">
        <f>J229-111109504.53</f>
        <v>62082079.44999999</v>
      </c>
      <c r="J229" s="78">
        <v>173191583.98</v>
      </c>
      <c r="K229" s="52">
        <f t="shared" si="29"/>
        <v>0.18644833711901496</v>
      </c>
      <c r="L229" s="53">
        <f t="shared" si="31"/>
        <v>108526732.45000002</v>
      </c>
      <c r="M229" s="113">
        <f t="shared" si="34"/>
        <v>0</v>
      </c>
    </row>
    <row r="230" spans="1:13" ht="14.25">
      <c r="A230" s="43" t="s">
        <v>175</v>
      </c>
      <c r="B230" s="46" t="s">
        <v>174</v>
      </c>
      <c r="C230" s="77">
        <f>SUM(C231:C233)</f>
        <v>52666835</v>
      </c>
      <c r="D230" s="77">
        <f>SUM(D231:D233)</f>
        <v>176262072.38000003</v>
      </c>
      <c r="E230" s="77">
        <f>SUM(E231:E233)</f>
        <v>21011679.9</v>
      </c>
      <c r="F230" s="77">
        <f>SUM(F231:F233)</f>
        <v>99886258.69</v>
      </c>
      <c r="G230" s="47">
        <f aca="true" t="shared" si="35" ref="G230:G248">(F230/$F$296)*100</f>
        <v>0.10605289965633484</v>
      </c>
      <c r="H230" s="77">
        <f t="shared" si="30"/>
        <v>76375813.69000003</v>
      </c>
      <c r="I230" s="77">
        <f>SUM(I231:I233)</f>
        <v>35043391.279999994</v>
      </c>
      <c r="J230" s="77">
        <f>SUM(J231:J233)</f>
        <v>99886258.69</v>
      </c>
      <c r="K230" s="47">
        <f aca="true" t="shared" si="36" ref="K230:K261">(J230/$J$296)*100</f>
        <v>0.10753193894191125</v>
      </c>
      <c r="L230" s="80">
        <f t="shared" si="31"/>
        <v>76375813.69000003</v>
      </c>
      <c r="M230" s="113">
        <f t="shared" si="34"/>
        <v>0</v>
      </c>
    </row>
    <row r="231" spans="1:13" ht="15">
      <c r="A231" s="48" t="s">
        <v>28</v>
      </c>
      <c r="B231" s="49" t="s">
        <v>33</v>
      </c>
      <c r="C231" s="78">
        <v>15765310</v>
      </c>
      <c r="D231" s="78">
        <v>28107781.34</v>
      </c>
      <c r="E231" s="78">
        <f>F231-16762720.61</f>
        <v>2806801.1799999997</v>
      </c>
      <c r="F231" s="78">
        <v>19569521.79</v>
      </c>
      <c r="G231" s="52">
        <f t="shared" si="35"/>
        <v>0.020777678110443683</v>
      </c>
      <c r="H231" s="78">
        <f t="shared" si="30"/>
        <v>8538259.55</v>
      </c>
      <c r="I231" s="78">
        <f>J231-15178917.67</f>
        <v>4390604.119999999</v>
      </c>
      <c r="J231" s="78">
        <v>19569521.79</v>
      </c>
      <c r="K231" s="52">
        <f t="shared" si="36"/>
        <v>0.02106744861448451</v>
      </c>
      <c r="L231" s="81">
        <f t="shared" si="31"/>
        <v>8538259.55</v>
      </c>
      <c r="M231" s="113">
        <f t="shared" si="34"/>
        <v>0</v>
      </c>
    </row>
    <row r="232" spans="1:13" ht="15">
      <c r="A232" s="48" t="s">
        <v>139</v>
      </c>
      <c r="B232" s="49" t="s">
        <v>140</v>
      </c>
      <c r="C232" s="78">
        <v>4800000</v>
      </c>
      <c r="D232" s="78">
        <v>278639.71</v>
      </c>
      <c r="E232" s="78">
        <f>F232-128639.71</f>
        <v>-21008.47</v>
      </c>
      <c r="F232" s="78">
        <v>107631.24</v>
      </c>
      <c r="G232" s="52">
        <f t="shared" si="35"/>
        <v>0.00011427603000961785</v>
      </c>
      <c r="H232" s="78">
        <f t="shared" si="30"/>
        <v>171008.47000000003</v>
      </c>
      <c r="I232" s="78">
        <f>J232-107631.24</f>
        <v>0</v>
      </c>
      <c r="J232" s="78">
        <v>107631.24</v>
      </c>
      <c r="K232" s="52">
        <f t="shared" si="36"/>
        <v>0.00011586975105196222</v>
      </c>
      <c r="L232" s="81">
        <f t="shared" si="31"/>
        <v>171008.47000000003</v>
      </c>
      <c r="M232" s="63">
        <f t="shared" si="34"/>
        <v>0</v>
      </c>
    </row>
    <row r="233" spans="1:13" ht="15">
      <c r="A233" s="48" t="s">
        <v>176</v>
      </c>
      <c r="B233" s="49" t="s">
        <v>177</v>
      </c>
      <c r="C233" s="78">
        <v>32101525</v>
      </c>
      <c r="D233" s="78">
        <v>147875651.33</v>
      </c>
      <c r="E233" s="78">
        <f>F233-61983218.47</f>
        <v>18225887.189999998</v>
      </c>
      <c r="F233" s="78">
        <v>80209105.66</v>
      </c>
      <c r="G233" s="52">
        <f t="shared" si="35"/>
        <v>0.08516094551588153</v>
      </c>
      <c r="H233" s="78">
        <f t="shared" si="30"/>
        <v>67666545.67000002</v>
      </c>
      <c r="I233" s="78">
        <f>J233-49556318.5</f>
        <v>30652787.159999996</v>
      </c>
      <c r="J233" s="78">
        <v>80209105.66</v>
      </c>
      <c r="K233" s="52">
        <f t="shared" si="36"/>
        <v>0.08634862057637478</v>
      </c>
      <c r="L233" s="81">
        <f t="shared" si="31"/>
        <v>67666545.67000002</v>
      </c>
      <c r="M233" s="63">
        <f t="shared" si="34"/>
        <v>0</v>
      </c>
    </row>
    <row r="234" spans="1:13" ht="14.25">
      <c r="A234" s="43" t="s">
        <v>178</v>
      </c>
      <c r="B234" s="46" t="s">
        <v>179</v>
      </c>
      <c r="C234" s="77">
        <f>SUM(C235:C248)</f>
        <v>134826201</v>
      </c>
      <c r="D234" s="77">
        <f>SUM(D235:D248)</f>
        <v>456228129.30999994</v>
      </c>
      <c r="E234" s="77">
        <f>SUM(E235:E248)</f>
        <v>12344762.120000001</v>
      </c>
      <c r="F234" s="77">
        <f>SUM(F235:F248)</f>
        <v>403059542.43</v>
      </c>
      <c r="G234" s="47">
        <f t="shared" si="35"/>
        <v>0.4279430801539917</v>
      </c>
      <c r="H234" s="77">
        <f t="shared" si="30"/>
        <v>53168586.879999936</v>
      </c>
      <c r="I234" s="77">
        <f>SUM(I235:I248)</f>
        <v>28610616.01</v>
      </c>
      <c r="J234" s="77">
        <f>SUM(J235:J248)</f>
        <v>402797472.74</v>
      </c>
      <c r="K234" s="47">
        <f t="shared" si="36"/>
        <v>0.4336291479197242</v>
      </c>
      <c r="L234" s="80">
        <f t="shared" si="31"/>
        <v>53430656.56999993</v>
      </c>
      <c r="M234" s="113">
        <f t="shared" si="34"/>
        <v>262069.68999999762</v>
      </c>
    </row>
    <row r="235" spans="1:13" ht="15">
      <c r="A235" s="48" t="s">
        <v>28</v>
      </c>
      <c r="B235" s="49" t="s">
        <v>33</v>
      </c>
      <c r="C235" s="78">
        <v>97368520</v>
      </c>
      <c r="D235" s="78">
        <v>128572377.02</v>
      </c>
      <c r="E235" s="78">
        <f>F235-85554851.61</f>
        <v>18874122.129999995</v>
      </c>
      <c r="F235" s="78">
        <v>104428973.74</v>
      </c>
      <c r="G235" s="52">
        <f t="shared" si="35"/>
        <v>0.11087606662327625</v>
      </c>
      <c r="H235" s="78">
        <f t="shared" si="30"/>
        <v>24143403.28</v>
      </c>
      <c r="I235" s="78">
        <f>J235-81269943.94</f>
        <v>23009399.010000005</v>
      </c>
      <c r="J235" s="78">
        <v>104279342.95</v>
      </c>
      <c r="K235" s="52">
        <f t="shared" si="36"/>
        <v>0.11226128684830437</v>
      </c>
      <c r="L235" s="81">
        <f t="shared" si="31"/>
        <v>24293034.069999993</v>
      </c>
      <c r="M235" s="63">
        <f t="shared" si="34"/>
        <v>149630.78999999166</v>
      </c>
    </row>
    <row r="236" spans="1:13" ht="15">
      <c r="A236" s="48" t="s">
        <v>232</v>
      </c>
      <c r="B236" s="49" t="s">
        <v>231</v>
      </c>
      <c r="C236" s="78">
        <v>40000</v>
      </c>
      <c r="D236" s="78">
        <v>40000</v>
      </c>
      <c r="E236" s="78">
        <f>F236-0</f>
        <v>0</v>
      </c>
      <c r="F236" s="78">
        <v>0</v>
      </c>
      <c r="G236" s="52">
        <f t="shared" si="35"/>
        <v>0</v>
      </c>
      <c r="H236" s="78">
        <f t="shared" si="30"/>
        <v>40000</v>
      </c>
      <c r="I236" s="78">
        <f>J236-0</f>
        <v>0</v>
      </c>
      <c r="J236" s="78">
        <v>0</v>
      </c>
      <c r="K236" s="52">
        <f t="shared" si="36"/>
        <v>0</v>
      </c>
      <c r="L236" s="81">
        <f t="shared" si="31"/>
        <v>40000</v>
      </c>
      <c r="M236" s="63">
        <f t="shared" si="34"/>
        <v>0</v>
      </c>
    </row>
    <row r="237" spans="1:13" ht="15">
      <c r="A237" s="48" t="s">
        <v>49</v>
      </c>
      <c r="B237" s="49" t="s">
        <v>56</v>
      </c>
      <c r="C237" s="78">
        <v>303821</v>
      </c>
      <c r="D237" s="78">
        <v>268700</v>
      </c>
      <c r="E237" s="78">
        <f>F237-263700</f>
        <v>0</v>
      </c>
      <c r="F237" s="78">
        <v>263700</v>
      </c>
      <c r="G237" s="52">
        <f t="shared" si="35"/>
        <v>0.00027997994925577584</v>
      </c>
      <c r="H237" s="78">
        <f t="shared" si="30"/>
        <v>5000</v>
      </c>
      <c r="I237" s="78">
        <f>J237-0</f>
        <v>263700</v>
      </c>
      <c r="J237" s="78">
        <v>263700</v>
      </c>
      <c r="K237" s="52">
        <f t="shared" si="36"/>
        <v>0.0002838846170721664</v>
      </c>
      <c r="L237" s="81">
        <f t="shared" si="31"/>
        <v>5000</v>
      </c>
      <c r="M237" s="63">
        <f t="shared" si="34"/>
        <v>0</v>
      </c>
    </row>
    <row r="238" spans="1:13" ht="15">
      <c r="A238" s="48" t="s">
        <v>50</v>
      </c>
      <c r="B238" s="49" t="s">
        <v>57</v>
      </c>
      <c r="C238" s="78">
        <v>1724045</v>
      </c>
      <c r="D238" s="78">
        <v>1823585</v>
      </c>
      <c r="E238" s="78">
        <f>F238-85320</f>
        <v>-53500.8</v>
      </c>
      <c r="F238" s="78">
        <v>31819.2</v>
      </c>
      <c r="G238" s="52">
        <f t="shared" si="35"/>
        <v>3.378361016821912E-05</v>
      </c>
      <c r="H238" s="78">
        <f t="shared" si="30"/>
        <v>1791765.8</v>
      </c>
      <c r="I238" s="78">
        <f aca="true" t="shared" si="37" ref="I238:I247">J238-0</f>
        <v>31819.2</v>
      </c>
      <c r="J238" s="78">
        <v>31819.2</v>
      </c>
      <c r="K238" s="52">
        <f t="shared" si="36"/>
        <v>3.42547645337227E-05</v>
      </c>
      <c r="L238" s="81">
        <f t="shared" si="31"/>
        <v>1791765.8</v>
      </c>
      <c r="M238" s="63">
        <f t="shared" si="34"/>
        <v>0</v>
      </c>
    </row>
    <row r="239" spans="1:13" ht="15">
      <c r="A239" s="48" t="s">
        <v>160</v>
      </c>
      <c r="B239" s="49" t="s">
        <v>161</v>
      </c>
      <c r="C239" s="78">
        <v>0</v>
      </c>
      <c r="D239" s="78">
        <v>0</v>
      </c>
      <c r="E239" s="78">
        <f>F239-0</f>
        <v>0</v>
      </c>
      <c r="F239" s="78">
        <v>0</v>
      </c>
      <c r="G239" s="52">
        <f t="shared" si="35"/>
        <v>0</v>
      </c>
      <c r="H239" s="78">
        <f>D239-F239</f>
        <v>0</v>
      </c>
      <c r="I239" s="78">
        <f t="shared" si="37"/>
        <v>0</v>
      </c>
      <c r="J239" s="78">
        <v>0</v>
      </c>
      <c r="K239" s="52">
        <f t="shared" si="36"/>
        <v>0</v>
      </c>
      <c r="L239" s="81">
        <f>D239-J239</f>
        <v>0</v>
      </c>
      <c r="M239" s="63">
        <f t="shared" si="34"/>
        <v>0</v>
      </c>
    </row>
    <row r="240" spans="1:13" ht="15">
      <c r="A240" s="48" t="s">
        <v>97</v>
      </c>
      <c r="B240" s="49" t="s">
        <v>241</v>
      </c>
      <c r="C240" s="78">
        <v>0</v>
      </c>
      <c r="D240" s="78">
        <v>0</v>
      </c>
      <c r="E240" s="78">
        <f>F240-0</f>
        <v>0</v>
      </c>
      <c r="F240" s="78">
        <v>0</v>
      </c>
      <c r="G240" s="52">
        <f t="shared" si="35"/>
        <v>0</v>
      </c>
      <c r="H240" s="78">
        <f>D240-F240</f>
        <v>0</v>
      </c>
      <c r="I240" s="78">
        <f>J240-0</f>
        <v>0</v>
      </c>
      <c r="J240" s="78">
        <v>0</v>
      </c>
      <c r="K240" s="52">
        <f t="shared" si="36"/>
        <v>0</v>
      </c>
      <c r="L240" s="81">
        <f>D240-J240</f>
        <v>0</v>
      </c>
      <c r="M240" s="63">
        <f t="shared" si="34"/>
        <v>0</v>
      </c>
    </row>
    <row r="241" spans="1:13" ht="15">
      <c r="A241" s="48" t="s">
        <v>180</v>
      </c>
      <c r="B241" s="49" t="s">
        <v>181</v>
      </c>
      <c r="C241" s="78">
        <v>22087530</v>
      </c>
      <c r="D241" s="78">
        <v>140881968.75</v>
      </c>
      <c r="E241" s="78">
        <f>F241-124580847.51</f>
        <v>-9455037.320000008</v>
      </c>
      <c r="F241" s="78">
        <v>115125810.19</v>
      </c>
      <c r="G241" s="52">
        <f t="shared" si="35"/>
        <v>0.12223328970430898</v>
      </c>
      <c r="H241" s="78">
        <f>D241-F241</f>
        <v>25756158.560000002</v>
      </c>
      <c r="I241" s="78">
        <f>J241-112932740.08</f>
        <v>2193070.1099999994</v>
      </c>
      <c r="J241" s="78">
        <v>115125810.19</v>
      </c>
      <c r="K241" s="52">
        <f t="shared" si="36"/>
        <v>0.12393798460717126</v>
      </c>
      <c r="L241" s="81">
        <f>D241-J241</f>
        <v>25756158.560000002</v>
      </c>
      <c r="M241" s="63">
        <f t="shared" si="34"/>
        <v>0</v>
      </c>
    </row>
    <row r="242" spans="1:13" ht="15">
      <c r="A242" s="48" t="s">
        <v>182</v>
      </c>
      <c r="B242" s="49" t="s">
        <v>183</v>
      </c>
      <c r="C242" s="78">
        <v>72468</v>
      </c>
      <c r="D242" s="78">
        <v>3000</v>
      </c>
      <c r="E242" s="78">
        <f>F242-0</f>
        <v>0</v>
      </c>
      <c r="F242" s="78">
        <v>0</v>
      </c>
      <c r="G242" s="52">
        <f t="shared" si="35"/>
        <v>0</v>
      </c>
      <c r="H242" s="78">
        <f>D242-F242</f>
        <v>3000</v>
      </c>
      <c r="I242" s="78">
        <f>J242-0</f>
        <v>0</v>
      </c>
      <c r="J242" s="78">
        <v>0</v>
      </c>
      <c r="K242" s="52">
        <f t="shared" si="36"/>
        <v>0</v>
      </c>
      <c r="L242" s="81">
        <f>D242-J242</f>
        <v>3000</v>
      </c>
      <c r="M242" s="63">
        <f t="shared" si="34"/>
        <v>0</v>
      </c>
    </row>
    <row r="243" spans="1:13" ht="15">
      <c r="A243" s="48" t="s">
        <v>184</v>
      </c>
      <c r="B243" s="49" t="s">
        <v>250</v>
      </c>
      <c r="C243" s="78">
        <v>15000</v>
      </c>
      <c r="D243" s="78">
        <v>165336.34</v>
      </c>
      <c r="E243" s="78">
        <f>F243-148000</f>
        <v>0</v>
      </c>
      <c r="F243" s="78">
        <v>148000</v>
      </c>
      <c r="G243" s="52">
        <f t="shared" si="35"/>
        <v>0.00015713702119778087</v>
      </c>
      <c r="H243" s="78">
        <f t="shared" si="30"/>
        <v>17336.339999999997</v>
      </c>
      <c r="I243" s="78">
        <f>J243-0</f>
        <v>148000</v>
      </c>
      <c r="J243" s="78">
        <v>148000</v>
      </c>
      <c r="K243" s="52">
        <f t="shared" si="36"/>
        <v>0.00015932849194797354</v>
      </c>
      <c r="L243" s="81">
        <f t="shared" si="31"/>
        <v>17336.339999999997</v>
      </c>
      <c r="M243" s="63">
        <f t="shared" si="34"/>
        <v>0</v>
      </c>
    </row>
    <row r="244" spans="1:13" ht="15">
      <c r="A244" s="48" t="s">
        <v>191</v>
      </c>
      <c r="B244" s="49" t="s">
        <v>192</v>
      </c>
      <c r="C244" s="78">
        <v>13209817</v>
      </c>
      <c r="D244" s="78">
        <v>184473162.2</v>
      </c>
      <c r="E244" s="78">
        <f>F244-180082061.19</f>
        <v>2979178.1100000143</v>
      </c>
      <c r="F244" s="78">
        <v>183061239.3</v>
      </c>
      <c r="G244" s="52">
        <f t="shared" si="35"/>
        <v>0.19436282324578474</v>
      </c>
      <c r="H244" s="78">
        <f t="shared" si="30"/>
        <v>1411922.8999999762</v>
      </c>
      <c r="I244" s="78">
        <f>J244-179984172.71</f>
        <v>2964627.6899999976</v>
      </c>
      <c r="J244" s="78">
        <v>182948800.4</v>
      </c>
      <c r="K244" s="52">
        <f t="shared" si="36"/>
        <v>0.1969524085906947</v>
      </c>
      <c r="L244" s="81">
        <f t="shared" si="31"/>
        <v>1524361.7999999821</v>
      </c>
      <c r="M244" s="63">
        <f t="shared" si="34"/>
        <v>112438.90000000596</v>
      </c>
    </row>
    <row r="245" spans="1:13" ht="15">
      <c r="A245" s="48" t="s">
        <v>185</v>
      </c>
      <c r="B245" s="49" t="s">
        <v>186</v>
      </c>
      <c r="C245" s="78">
        <v>0</v>
      </c>
      <c r="D245" s="78">
        <v>0</v>
      </c>
      <c r="E245" s="78">
        <f>F245-0</f>
        <v>0</v>
      </c>
      <c r="F245" s="78">
        <v>0</v>
      </c>
      <c r="G245" s="52">
        <f t="shared" si="35"/>
        <v>0</v>
      </c>
      <c r="H245" s="78">
        <f t="shared" si="30"/>
        <v>0</v>
      </c>
      <c r="I245" s="78">
        <f t="shared" si="37"/>
        <v>0</v>
      </c>
      <c r="J245" s="78">
        <v>0</v>
      </c>
      <c r="K245" s="52">
        <f t="shared" si="36"/>
        <v>0</v>
      </c>
      <c r="L245" s="81">
        <f t="shared" si="31"/>
        <v>0</v>
      </c>
      <c r="M245" s="63">
        <f t="shared" si="34"/>
        <v>0</v>
      </c>
    </row>
    <row r="246" spans="1:13" ht="15">
      <c r="A246" s="48" t="s">
        <v>187</v>
      </c>
      <c r="B246" s="49" t="s">
        <v>188</v>
      </c>
      <c r="C246" s="78">
        <v>0</v>
      </c>
      <c r="D246" s="78">
        <v>0</v>
      </c>
      <c r="E246" s="78">
        <f>F246-0</f>
        <v>0</v>
      </c>
      <c r="F246" s="78">
        <v>0</v>
      </c>
      <c r="G246" s="52">
        <f t="shared" si="35"/>
        <v>0</v>
      </c>
      <c r="H246" s="78">
        <f>D246-F246</f>
        <v>0</v>
      </c>
      <c r="I246" s="78">
        <f t="shared" si="37"/>
        <v>0</v>
      </c>
      <c r="J246" s="78">
        <v>0</v>
      </c>
      <c r="K246" s="52">
        <f t="shared" si="36"/>
        <v>0</v>
      </c>
      <c r="L246" s="81">
        <f>D246-J246</f>
        <v>0</v>
      </c>
      <c r="M246" s="63">
        <f t="shared" si="34"/>
        <v>0</v>
      </c>
    </row>
    <row r="247" spans="1:13" ht="15">
      <c r="A247" s="48" t="s">
        <v>253</v>
      </c>
      <c r="B247" s="49" t="s">
        <v>254</v>
      </c>
      <c r="C247" s="78">
        <v>0</v>
      </c>
      <c r="D247" s="78">
        <v>0</v>
      </c>
      <c r="E247" s="78">
        <f>F247-0</f>
        <v>0</v>
      </c>
      <c r="F247" s="78">
        <v>0</v>
      </c>
      <c r="G247" s="52">
        <f t="shared" si="35"/>
        <v>0</v>
      </c>
      <c r="H247" s="78">
        <f t="shared" si="30"/>
        <v>0</v>
      </c>
      <c r="I247" s="78">
        <f t="shared" si="37"/>
        <v>0</v>
      </c>
      <c r="J247" s="78">
        <v>0</v>
      </c>
      <c r="K247" s="52">
        <f t="shared" si="36"/>
        <v>0</v>
      </c>
      <c r="L247" s="81">
        <f t="shared" si="31"/>
        <v>0</v>
      </c>
      <c r="M247" s="63">
        <f t="shared" si="34"/>
        <v>0</v>
      </c>
    </row>
    <row r="248" spans="1:13" ht="15">
      <c r="A248" s="48" t="s">
        <v>276</v>
      </c>
      <c r="B248" s="49" t="s">
        <v>277</v>
      </c>
      <c r="C248" s="78">
        <v>5000</v>
      </c>
      <c r="D248" s="94">
        <v>0</v>
      </c>
      <c r="E248" s="94">
        <f>F248-0</f>
        <v>0</v>
      </c>
      <c r="F248" s="94">
        <v>0</v>
      </c>
      <c r="G248" s="52">
        <f t="shared" si="35"/>
        <v>0</v>
      </c>
      <c r="H248" s="78">
        <f t="shared" si="30"/>
        <v>0</v>
      </c>
      <c r="I248" s="78">
        <f>J248-0</f>
        <v>0</v>
      </c>
      <c r="J248" s="78">
        <v>0</v>
      </c>
      <c r="K248" s="52">
        <f t="shared" si="36"/>
        <v>0</v>
      </c>
      <c r="L248" s="81">
        <f t="shared" si="31"/>
        <v>0</v>
      </c>
      <c r="M248" s="63">
        <f t="shared" si="34"/>
        <v>0</v>
      </c>
    </row>
    <row r="249" spans="1:13" ht="14.25">
      <c r="A249" s="43" t="s">
        <v>189</v>
      </c>
      <c r="B249" s="46" t="s">
        <v>190</v>
      </c>
      <c r="C249" s="77">
        <f>SUM(C250:C263)</f>
        <v>574631811</v>
      </c>
      <c r="D249" s="77">
        <f>SUM(D250:D263)</f>
        <v>426262457.44</v>
      </c>
      <c r="E249" s="77">
        <f>SUM(E250:E263)</f>
        <v>56934298.85000001</v>
      </c>
      <c r="F249" s="77">
        <f>SUM(F250:F263)</f>
        <v>317285730.23</v>
      </c>
      <c r="G249" s="47">
        <f aca="true" t="shared" si="38" ref="G249:G282">(F249/$F$296)*100</f>
        <v>0.33687388187097905</v>
      </c>
      <c r="H249" s="77">
        <f t="shared" si="30"/>
        <v>108976727.20999998</v>
      </c>
      <c r="I249" s="77">
        <f>SUM(I250:I263)</f>
        <v>80697959.75</v>
      </c>
      <c r="J249" s="77">
        <f>SUM(J250:J263)</f>
        <v>314651025.92</v>
      </c>
      <c r="K249" s="47">
        <f t="shared" si="36"/>
        <v>0.33873563141700225</v>
      </c>
      <c r="L249" s="80">
        <f t="shared" si="31"/>
        <v>111611431.51999998</v>
      </c>
      <c r="M249" s="113">
        <f t="shared" si="34"/>
        <v>2634704.3100000024</v>
      </c>
    </row>
    <row r="250" spans="1:13" ht="15">
      <c r="A250" s="48" t="s">
        <v>28</v>
      </c>
      <c r="B250" s="49" t="s">
        <v>33</v>
      </c>
      <c r="C250" s="78">
        <v>116904431</v>
      </c>
      <c r="D250" s="78">
        <v>137361528.9</v>
      </c>
      <c r="E250" s="78">
        <f>F250-93674735.7</f>
        <v>8805719.709999993</v>
      </c>
      <c r="F250" s="78">
        <v>102480455.41</v>
      </c>
      <c r="G250" s="52">
        <f t="shared" si="38"/>
        <v>0.10880725333864463</v>
      </c>
      <c r="H250" s="78">
        <f t="shared" si="30"/>
        <v>34881073.49000001</v>
      </c>
      <c r="I250" s="78">
        <f>J250-77501761.34</f>
        <v>22795462.319999993</v>
      </c>
      <c r="J250" s="78">
        <v>100297223.66</v>
      </c>
      <c r="K250" s="52">
        <f t="shared" si="36"/>
        <v>0.10797436075889466</v>
      </c>
      <c r="L250" s="81">
        <f t="shared" si="31"/>
        <v>37064305.24000001</v>
      </c>
      <c r="M250" s="63">
        <f t="shared" si="34"/>
        <v>2183231.75</v>
      </c>
    </row>
    <row r="251" spans="1:13" ht="15">
      <c r="A251" s="48" t="s">
        <v>39</v>
      </c>
      <c r="B251" s="49" t="s">
        <v>41</v>
      </c>
      <c r="C251" s="78">
        <v>10000</v>
      </c>
      <c r="D251" s="78">
        <v>10000</v>
      </c>
      <c r="E251" s="78">
        <f aca="true" t="shared" si="39" ref="E251:E257">F251-0</f>
        <v>0</v>
      </c>
      <c r="F251" s="78">
        <v>0</v>
      </c>
      <c r="G251" s="52">
        <f t="shared" si="38"/>
        <v>0</v>
      </c>
      <c r="H251" s="78">
        <f t="shared" si="30"/>
        <v>10000</v>
      </c>
      <c r="I251" s="78">
        <f aca="true" t="shared" si="40" ref="I251:I257">J251-0</f>
        <v>0</v>
      </c>
      <c r="J251" s="78">
        <v>0</v>
      </c>
      <c r="K251" s="52">
        <f t="shared" si="36"/>
        <v>0</v>
      </c>
      <c r="L251" s="81">
        <f t="shared" si="31"/>
        <v>10000</v>
      </c>
      <c r="M251" s="63">
        <f t="shared" si="34"/>
        <v>0</v>
      </c>
    </row>
    <row r="252" spans="1:13" ht="15">
      <c r="A252" s="48" t="s">
        <v>131</v>
      </c>
      <c r="B252" s="49" t="s">
        <v>132</v>
      </c>
      <c r="C252" s="78">
        <v>2365847</v>
      </c>
      <c r="D252" s="78">
        <v>1783842</v>
      </c>
      <c r="E252" s="78">
        <f>F252-0</f>
        <v>0</v>
      </c>
      <c r="F252" s="78">
        <v>0</v>
      </c>
      <c r="G252" s="52">
        <f t="shared" si="38"/>
        <v>0</v>
      </c>
      <c r="H252" s="78">
        <f>D252-F252</f>
        <v>1783842</v>
      </c>
      <c r="I252" s="78">
        <f>J252-0</f>
        <v>0</v>
      </c>
      <c r="J252" s="78">
        <v>0</v>
      </c>
      <c r="K252" s="52">
        <f t="shared" si="36"/>
        <v>0</v>
      </c>
      <c r="L252" s="81">
        <f>D252-J252</f>
        <v>1783842</v>
      </c>
      <c r="M252" s="63">
        <f t="shared" si="34"/>
        <v>0</v>
      </c>
    </row>
    <row r="253" spans="1:13" ht="15">
      <c r="A253" s="48" t="s">
        <v>83</v>
      </c>
      <c r="B253" s="49" t="s">
        <v>85</v>
      </c>
      <c r="C253" s="78">
        <v>4500000</v>
      </c>
      <c r="D253" s="78">
        <v>3348884.41</v>
      </c>
      <c r="E253" s="78">
        <f>F253-1241051.68</f>
        <v>289565.4400000002</v>
      </c>
      <c r="F253" s="78">
        <v>1530617.12</v>
      </c>
      <c r="G253" s="52">
        <f t="shared" si="38"/>
        <v>0.0016251122623724753</v>
      </c>
      <c r="H253" s="78">
        <f>D253-F253</f>
        <v>1818267.29</v>
      </c>
      <c r="I253" s="78">
        <f>J253-1241051.68</f>
        <v>289565.4400000002</v>
      </c>
      <c r="J253" s="78">
        <v>1530617.12</v>
      </c>
      <c r="K253" s="52">
        <f t="shared" si="36"/>
        <v>0.0016477764694550708</v>
      </c>
      <c r="L253" s="81">
        <f>D253-J253</f>
        <v>1818267.29</v>
      </c>
      <c r="M253" s="63">
        <f t="shared" si="34"/>
        <v>0</v>
      </c>
    </row>
    <row r="254" spans="1:13" ht="15">
      <c r="A254" s="48" t="s">
        <v>53</v>
      </c>
      <c r="B254" s="49" t="s">
        <v>60</v>
      </c>
      <c r="C254" s="78">
        <v>0</v>
      </c>
      <c r="D254" s="78">
        <v>0</v>
      </c>
      <c r="E254" s="78">
        <f t="shared" si="39"/>
        <v>0</v>
      </c>
      <c r="F254" s="78">
        <v>0</v>
      </c>
      <c r="G254" s="52">
        <f t="shared" si="38"/>
        <v>0</v>
      </c>
      <c r="H254" s="78">
        <f t="shared" si="30"/>
        <v>0</v>
      </c>
      <c r="I254" s="78">
        <f t="shared" si="40"/>
        <v>0</v>
      </c>
      <c r="J254" s="78">
        <v>0</v>
      </c>
      <c r="K254" s="52">
        <f t="shared" si="36"/>
        <v>0</v>
      </c>
      <c r="L254" s="81">
        <f t="shared" si="31"/>
        <v>0</v>
      </c>
      <c r="M254" s="63">
        <f t="shared" si="34"/>
        <v>0</v>
      </c>
    </row>
    <row r="255" spans="1:13" ht="15">
      <c r="A255" s="48" t="s">
        <v>191</v>
      </c>
      <c r="B255" s="49" t="s">
        <v>192</v>
      </c>
      <c r="C255" s="78">
        <v>14561738</v>
      </c>
      <c r="D255" s="78">
        <v>15459079.83</v>
      </c>
      <c r="E255" s="78">
        <f>F255-9311321.29</f>
        <v>-1311440.8199999994</v>
      </c>
      <c r="F255" s="78">
        <v>7999880.47</v>
      </c>
      <c r="G255" s="52">
        <f t="shared" si="38"/>
        <v>0.008493766128338536</v>
      </c>
      <c r="H255" s="78">
        <f t="shared" si="30"/>
        <v>7459199.36</v>
      </c>
      <c r="I255" s="78">
        <f>J255-5964042.43</f>
        <v>1584365.4800000004</v>
      </c>
      <c r="J255" s="78">
        <v>7548407.91</v>
      </c>
      <c r="K255" s="52">
        <f t="shared" si="36"/>
        <v>0.008126192222354424</v>
      </c>
      <c r="L255" s="81">
        <f t="shared" si="31"/>
        <v>7910671.92</v>
      </c>
      <c r="M255" s="63">
        <f t="shared" si="34"/>
        <v>451472.5599999996</v>
      </c>
    </row>
    <row r="256" spans="1:13" ht="15">
      <c r="A256" s="48" t="s">
        <v>244</v>
      </c>
      <c r="B256" s="49" t="s">
        <v>245</v>
      </c>
      <c r="C256" s="78">
        <v>0</v>
      </c>
      <c r="D256" s="78">
        <v>0</v>
      </c>
      <c r="E256" s="78">
        <f t="shared" si="39"/>
        <v>0</v>
      </c>
      <c r="F256" s="78">
        <v>0</v>
      </c>
      <c r="G256" s="52">
        <f t="shared" si="38"/>
        <v>0</v>
      </c>
      <c r="H256" s="78">
        <f t="shared" si="30"/>
        <v>0</v>
      </c>
      <c r="I256" s="78">
        <f t="shared" si="40"/>
        <v>0</v>
      </c>
      <c r="J256" s="78">
        <v>0</v>
      </c>
      <c r="K256" s="52">
        <f t="shared" si="36"/>
        <v>0</v>
      </c>
      <c r="L256" s="81">
        <f t="shared" si="31"/>
        <v>0</v>
      </c>
      <c r="M256" s="63">
        <f t="shared" si="34"/>
        <v>0</v>
      </c>
    </row>
    <row r="257" spans="1:13" ht="15">
      <c r="A257" s="48" t="s">
        <v>274</v>
      </c>
      <c r="B257" s="49" t="s">
        <v>275</v>
      </c>
      <c r="C257" s="78">
        <v>290000</v>
      </c>
      <c r="D257" s="78">
        <v>290000</v>
      </c>
      <c r="E257" s="78">
        <f t="shared" si="39"/>
        <v>0</v>
      </c>
      <c r="F257" s="78">
        <v>0</v>
      </c>
      <c r="G257" s="52">
        <f t="shared" si="38"/>
        <v>0</v>
      </c>
      <c r="H257" s="78">
        <f t="shared" si="30"/>
        <v>290000</v>
      </c>
      <c r="I257" s="78">
        <f t="shared" si="40"/>
        <v>0</v>
      </c>
      <c r="J257" s="78">
        <v>0</v>
      </c>
      <c r="K257" s="52">
        <f t="shared" si="36"/>
        <v>0</v>
      </c>
      <c r="L257" s="81">
        <f t="shared" si="31"/>
        <v>290000</v>
      </c>
      <c r="M257" s="63">
        <f t="shared" si="34"/>
        <v>0</v>
      </c>
    </row>
    <row r="258" spans="1:13" ht="15">
      <c r="A258" s="48" t="s">
        <v>54</v>
      </c>
      <c r="B258" s="49" t="s">
        <v>61</v>
      </c>
      <c r="C258" s="78">
        <v>374158952</v>
      </c>
      <c r="D258" s="78">
        <v>150512962</v>
      </c>
      <c r="E258" s="78">
        <f>F258-113698345.1</f>
        <v>24797972.640000015</v>
      </c>
      <c r="F258" s="78">
        <v>138496317.74</v>
      </c>
      <c r="G258" s="52">
        <f t="shared" si="38"/>
        <v>0.14704661362516877</v>
      </c>
      <c r="H258" s="78">
        <f t="shared" si="30"/>
        <v>12016644.25999999</v>
      </c>
      <c r="I258" s="78">
        <f>J258-111077838.4</f>
        <v>27418479.340000004</v>
      </c>
      <c r="J258" s="78">
        <v>138496317.74</v>
      </c>
      <c r="K258" s="52">
        <f t="shared" si="36"/>
        <v>0.14909736112068633</v>
      </c>
      <c r="L258" s="81">
        <f t="shared" si="31"/>
        <v>12016644.25999999</v>
      </c>
      <c r="M258" s="63">
        <f t="shared" si="34"/>
        <v>0</v>
      </c>
    </row>
    <row r="259" spans="1:13" ht="15">
      <c r="A259" s="48" t="s">
        <v>185</v>
      </c>
      <c r="B259" s="49" t="s">
        <v>186</v>
      </c>
      <c r="C259" s="78">
        <v>61840843</v>
      </c>
      <c r="D259" s="78">
        <v>117496160.3</v>
      </c>
      <c r="E259" s="78">
        <f>F259-42425977.61</f>
        <v>24352481.880000003</v>
      </c>
      <c r="F259" s="78">
        <v>66778459.49</v>
      </c>
      <c r="G259" s="52">
        <f t="shared" si="38"/>
        <v>0.07090113651645462</v>
      </c>
      <c r="H259" s="78">
        <f t="shared" si="30"/>
        <v>50717700.809999995</v>
      </c>
      <c r="I259" s="78">
        <f>J259-38168372.32</f>
        <v>28610087.17</v>
      </c>
      <c r="J259" s="78">
        <v>66778459.49</v>
      </c>
      <c r="K259" s="52">
        <f t="shared" si="36"/>
        <v>0.07188994084561177</v>
      </c>
      <c r="L259" s="81">
        <f t="shared" si="31"/>
        <v>50717700.809999995</v>
      </c>
      <c r="M259" s="63">
        <f t="shared" si="34"/>
        <v>0</v>
      </c>
    </row>
    <row r="260" spans="1:13" ht="15">
      <c r="A260" s="43" t="s">
        <v>193</v>
      </c>
      <c r="B260" s="46" t="s">
        <v>194</v>
      </c>
      <c r="C260" s="77">
        <f>SUM(C261:C263)</f>
        <v>0</v>
      </c>
      <c r="D260" s="77">
        <f>SUM(D261:D263)</f>
        <v>0</v>
      </c>
      <c r="E260" s="77">
        <f>SUM(E261:E263)</f>
        <v>0</v>
      </c>
      <c r="F260" s="77">
        <f>SUM(F261:F263)</f>
        <v>0</v>
      </c>
      <c r="G260" s="47">
        <f t="shared" si="38"/>
        <v>0</v>
      </c>
      <c r="H260" s="77">
        <f t="shared" si="30"/>
        <v>0</v>
      </c>
      <c r="I260" s="77">
        <f>SUM(I261:I263)</f>
        <v>0</v>
      </c>
      <c r="J260" s="77">
        <f>SUM(J261:J263)</f>
        <v>0</v>
      </c>
      <c r="K260" s="47">
        <f t="shared" si="36"/>
        <v>0</v>
      </c>
      <c r="L260" s="80">
        <f t="shared" si="31"/>
        <v>0</v>
      </c>
      <c r="M260" s="63">
        <f t="shared" si="34"/>
        <v>0</v>
      </c>
    </row>
    <row r="261" spans="1:13" ht="15">
      <c r="A261" s="48" t="s">
        <v>28</v>
      </c>
      <c r="B261" s="49" t="s">
        <v>33</v>
      </c>
      <c r="C261" s="78">
        <v>0</v>
      </c>
      <c r="D261" s="78">
        <v>0</v>
      </c>
      <c r="E261" s="78">
        <f>F261-0</f>
        <v>0</v>
      </c>
      <c r="F261" s="78">
        <v>0</v>
      </c>
      <c r="G261" s="52">
        <f t="shared" si="38"/>
        <v>0</v>
      </c>
      <c r="H261" s="78">
        <f t="shared" si="30"/>
        <v>0</v>
      </c>
      <c r="I261" s="78">
        <f>J261-0</f>
        <v>0</v>
      </c>
      <c r="J261" s="78">
        <v>0</v>
      </c>
      <c r="K261" s="52">
        <f t="shared" si="36"/>
        <v>0</v>
      </c>
      <c r="L261" s="81">
        <f t="shared" si="31"/>
        <v>0</v>
      </c>
      <c r="M261" s="113">
        <f t="shared" si="34"/>
        <v>0</v>
      </c>
    </row>
    <row r="262" spans="1:13" ht="15">
      <c r="A262" s="48" t="s">
        <v>164</v>
      </c>
      <c r="B262" s="49" t="s">
        <v>165</v>
      </c>
      <c r="C262" s="78">
        <v>0</v>
      </c>
      <c r="D262" s="78">
        <v>0</v>
      </c>
      <c r="E262" s="78">
        <f>F262-0</f>
        <v>0</v>
      </c>
      <c r="F262" s="78">
        <v>0</v>
      </c>
      <c r="G262" s="52">
        <f t="shared" si="38"/>
        <v>0</v>
      </c>
      <c r="H262" s="78">
        <f t="shared" si="30"/>
        <v>0</v>
      </c>
      <c r="I262" s="78">
        <f>J262-0</f>
        <v>0</v>
      </c>
      <c r="J262" s="78">
        <v>0</v>
      </c>
      <c r="K262" s="52">
        <f aca="true" t="shared" si="41" ref="K262:K282">(J262/$J$296)*100</f>
        <v>0</v>
      </c>
      <c r="L262" s="81">
        <f t="shared" si="31"/>
        <v>0</v>
      </c>
      <c r="M262" s="113">
        <f t="shared" si="34"/>
        <v>0</v>
      </c>
    </row>
    <row r="263" spans="1:13" ht="15">
      <c r="A263" s="48" t="s">
        <v>117</v>
      </c>
      <c r="B263" s="49" t="s">
        <v>124</v>
      </c>
      <c r="C263" s="78">
        <v>0</v>
      </c>
      <c r="D263" s="78">
        <v>0</v>
      </c>
      <c r="E263" s="78">
        <f>F263-0</f>
        <v>0</v>
      </c>
      <c r="F263" s="78">
        <v>0</v>
      </c>
      <c r="G263" s="52">
        <f t="shared" si="38"/>
        <v>0</v>
      </c>
      <c r="H263" s="78">
        <f t="shared" si="30"/>
        <v>0</v>
      </c>
      <c r="I263" s="78">
        <f>J263-0</f>
        <v>0</v>
      </c>
      <c r="J263" s="78">
        <v>0</v>
      </c>
      <c r="K263" s="52">
        <f t="shared" si="41"/>
        <v>0</v>
      </c>
      <c r="L263" s="81">
        <f t="shared" si="31"/>
        <v>0</v>
      </c>
      <c r="M263" s="113">
        <f t="shared" si="34"/>
        <v>0</v>
      </c>
    </row>
    <row r="264" spans="1:13" ht="14.25">
      <c r="A264" s="43" t="s">
        <v>278</v>
      </c>
      <c r="B264" s="46" t="s">
        <v>279</v>
      </c>
      <c r="C264" s="77">
        <f>C265</f>
        <v>5000</v>
      </c>
      <c r="D264" s="77">
        <f>D265</f>
        <v>65000</v>
      </c>
      <c r="E264" s="77">
        <f>E265</f>
        <v>-1035.8099999999977</v>
      </c>
      <c r="F264" s="77">
        <f>F265</f>
        <v>49812.97</v>
      </c>
      <c r="G264" s="47">
        <f t="shared" si="38"/>
        <v>5.288825488388124E-05</v>
      </c>
      <c r="H264" s="77">
        <f t="shared" si="30"/>
        <v>15187.029999999999</v>
      </c>
      <c r="I264" s="77">
        <f>I265</f>
        <v>2137.9500000000044</v>
      </c>
      <c r="J264" s="77">
        <f>J265</f>
        <v>49812.97</v>
      </c>
      <c r="K264" s="47">
        <f t="shared" si="41"/>
        <v>5.3625847226686806E-05</v>
      </c>
      <c r="L264" s="80">
        <f t="shared" si="31"/>
        <v>15187.029999999999</v>
      </c>
      <c r="M264" s="113">
        <f t="shared" si="34"/>
        <v>0</v>
      </c>
    </row>
    <row r="265" spans="1:13" ht="15">
      <c r="A265" s="48" t="s">
        <v>187</v>
      </c>
      <c r="B265" s="49" t="s">
        <v>188</v>
      </c>
      <c r="C265" s="78">
        <v>5000</v>
      </c>
      <c r="D265" s="78">
        <v>65000</v>
      </c>
      <c r="E265" s="78">
        <f>F265-50848.78</f>
        <v>-1035.8099999999977</v>
      </c>
      <c r="F265" s="78">
        <v>49812.97</v>
      </c>
      <c r="G265" s="78">
        <f t="shared" si="38"/>
        <v>5.288825488388124E-05</v>
      </c>
      <c r="H265" s="78">
        <f t="shared" si="30"/>
        <v>15187.029999999999</v>
      </c>
      <c r="I265" s="78">
        <f>J265-47675.02</f>
        <v>2137.9500000000044</v>
      </c>
      <c r="J265" s="78">
        <v>49812.97</v>
      </c>
      <c r="K265" s="52">
        <f t="shared" si="41"/>
        <v>5.3625847226686806E-05</v>
      </c>
      <c r="L265" s="81">
        <f t="shared" si="31"/>
        <v>15187.029999999999</v>
      </c>
      <c r="M265" s="63">
        <f t="shared" si="34"/>
        <v>0</v>
      </c>
    </row>
    <row r="266" spans="1:13" ht="14.25">
      <c r="A266" s="43" t="s">
        <v>195</v>
      </c>
      <c r="B266" s="46" t="s">
        <v>196</v>
      </c>
      <c r="C266" s="77">
        <f>SUM(C267:C278)</f>
        <v>1685962051</v>
      </c>
      <c r="D266" s="77">
        <f>SUM(D267:D278)</f>
        <v>3769805531</v>
      </c>
      <c r="E266" s="77">
        <f>SUM(E267:E278)</f>
        <v>96592072.46999992</v>
      </c>
      <c r="F266" s="77">
        <f>SUM(F267:F278)</f>
        <v>3039841119.8999996</v>
      </c>
      <c r="G266" s="47">
        <f t="shared" si="38"/>
        <v>3.227510665510893</v>
      </c>
      <c r="H266" s="77">
        <f t="shared" si="30"/>
        <v>729964411.1000004</v>
      </c>
      <c r="I266" s="77">
        <f>SUM(I267:I278)</f>
        <v>759863921.5500001</v>
      </c>
      <c r="J266" s="77">
        <f>SUM(J267:J278)</f>
        <v>3039506908.3799996</v>
      </c>
      <c r="K266" s="47">
        <f t="shared" si="41"/>
        <v>3.272162513362383</v>
      </c>
      <c r="L266" s="80">
        <f t="shared" si="31"/>
        <v>730298622.6200004</v>
      </c>
      <c r="M266" s="113">
        <f t="shared" si="34"/>
        <v>334211.5199999809</v>
      </c>
    </row>
    <row r="267" spans="1:13" ht="15">
      <c r="A267" s="48" t="s">
        <v>28</v>
      </c>
      <c r="B267" s="49" t="s">
        <v>33</v>
      </c>
      <c r="C267" s="78">
        <v>366608438</v>
      </c>
      <c r="D267" s="78">
        <v>929441320.42</v>
      </c>
      <c r="E267" s="78">
        <f>F267-712056004.63</f>
        <v>174878863.81000006</v>
      </c>
      <c r="F267" s="78">
        <v>886934868.44</v>
      </c>
      <c r="G267" s="52">
        <f t="shared" si="38"/>
        <v>0.9416912379939681</v>
      </c>
      <c r="H267" s="78">
        <f t="shared" si="30"/>
        <v>42506451.9799999</v>
      </c>
      <c r="I267" s="78">
        <f>J267-694828293.01</f>
        <v>191877253.43000007</v>
      </c>
      <c r="J267" s="78">
        <v>886705546.44</v>
      </c>
      <c r="K267" s="52">
        <f t="shared" si="41"/>
        <v>0.9545774156499258</v>
      </c>
      <c r="L267" s="81">
        <f t="shared" si="31"/>
        <v>42735773.9799999</v>
      </c>
      <c r="M267" s="63">
        <f t="shared" si="34"/>
        <v>229322</v>
      </c>
    </row>
    <row r="268" spans="1:13" ht="15">
      <c r="A268" s="48" t="s">
        <v>29</v>
      </c>
      <c r="B268" s="49" t="s">
        <v>34</v>
      </c>
      <c r="C268" s="78">
        <v>5000</v>
      </c>
      <c r="D268" s="78">
        <v>5000</v>
      </c>
      <c r="E268" s="78">
        <f>F268-0</f>
        <v>0</v>
      </c>
      <c r="F268" s="78">
        <v>0</v>
      </c>
      <c r="G268" s="52">
        <f t="shared" si="38"/>
        <v>0</v>
      </c>
      <c r="H268" s="78">
        <f t="shared" si="30"/>
        <v>5000</v>
      </c>
      <c r="I268" s="78">
        <f>J268-0</f>
        <v>0</v>
      </c>
      <c r="J268" s="78">
        <v>0</v>
      </c>
      <c r="K268" s="52">
        <f t="shared" si="41"/>
        <v>0</v>
      </c>
      <c r="L268" s="81">
        <f t="shared" si="31"/>
        <v>5000</v>
      </c>
      <c r="M268" s="63">
        <f t="shared" si="34"/>
        <v>0</v>
      </c>
    </row>
    <row r="269" spans="1:13" ht="15">
      <c r="A269" s="48" t="s">
        <v>236</v>
      </c>
      <c r="B269" s="49" t="s">
        <v>235</v>
      </c>
      <c r="C269" s="78">
        <v>1748850</v>
      </c>
      <c r="D269" s="78">
        <v>1748850</v>
      </c>
      <c r="E269" s="78">
        <f>F269-0</f>
        <v>0</v>
      </c>
      <c r="F269" s="78">
        <v>0</v>
      </c>
      <c r="G269" s="52">
        <f t="shared" si="38"/>
        <v>0</v>
      </c>
      <c r="H269" s="78">
        <f t="shared" si="30"/>
        <v>1748850</v>
      </c>
      <c r="I269" s="78">
        <f>J269-0</f>
        <v>0</v>
      </c>
      <c r="J269" s="78">
        <v>0</v>
      </c>
      <c r="K269" s="52">
        <f t="shared" si="41"/>
        <v>0</v>
      </c>
      <c r="L269" s="81">
        <f t="shared" si="31"/>
        <v>1748850</v>
      </c>
      <c r="M269" s="63">
        <f t="shared" si="34"/>
        <v>0</v>
      </c>
    </row>
    <row r="270" spans="1:13" ht="15">
      <c r="A270" s="48" t="s">
        <v>83</v>
      </c>
      <c r="B270" s="49" t="s">
        <v>85</v>
      </c>
      <c r="C270" s="78">
        <v>300000</v>
      </c>
      <c r="D270" s="78">
        <v>300000</v>
      </c>
      <c r="E270" s="78">
        <f>F270-0</f>
        <v>0</v>
      </c>
      <c r="F270" s="78">
        <v>0</v>
      </c>
      <c r="G270" s="52">
        <f t="shared" si="38"/>
        <v>0</v>
      </c>
      <c r="H270" s="78">
        <f t="shared" si="30"/>
        <v>300000</v>
      </c>
      <c r="I270" s="78">
        <f>J270-0</f>
        <v>0</v>
      </c>
      <c r="J270" s="78">
        <v>0</v>
      </c>
      <c r="K270" s="52">
        <f t="shared" si="41"/>
        <v>0</v>
      </c>
      <c r="L270" s="81">
        <f t="shared" si="31"/>
        <v>300000</v>
      </c>
      <c r="M270" s="63">
        <f t="shared" si="34"/>
        <v>0</v>
      </c>
    </row>
    <row r="271" spans="1:13" ht="15">
      <c r="A271" s="48" t="s">
        <v>135</v>
      </c>
      <c r="B271" s="49" t="s">
        <v>136</v>
      </c>
      <c r="C271" s="78">
        <v>32043916</v>
      </c>
      <c r="D271" s="78">
        <v>19796835.45</v>
      </c>
      <c r="E271" s="78">
        <f>F271-10313161.45</f>
        <v>-2191876.089999999</v>
      </c>
      <c r="F271" s="78">
        <v>8121285.36</v>
      </c>
      <c r="G271" s="52">
        <f t="shared" si="38"/>
        <v>0.008622666147078024</v>
      </c>
      <c r="H271" s="78">
        <f t="shared" si="30"/>
        <v>11675550.09</v>
      </c>
      <c r="I271" s="78">
        <f>J271-5679791.7</f>
        <v>2441493.66</v>
      </c>
      <c r="J271" s="78">
        <v>8121285.36</v>
      </c>
      <c r="K271" s="52">
        <f t="shared" si="41"/>
        <v>0.008742919926269969</v>
      </c>
      <c r="L271" s="81">
        <f t="shared" si="31"/>
        <v>11675550.09</v>
      </c>
      <c r="M271" s="63">
        <f t="shared" si="34"/>
        <v>0</v>
      </c>
    </row>
    <row r="272" spans="1:13" ht="15">
      <c r="A272" s="48" t="s">
        <v>151</v>
      </c>
      <c r="B272" s="49" t="s">
        <v>152</v>
      </c>
      <c r="C272" s="78">
        <v>231037385</v>
      </c>
      <c r="D272" s="78">
        <v>487338581.62</v>
      </c>
      <c r="E272" s="78">
        <f>F272-420662926.41</f>
        <v>11890359.47999996</v>
      </c>
      <c r="F272" s="78">
        <v>432553285.89</v>
      </c>
      <c r="G272" s="52">
        <f t="shared" si="38"/>
        <v>0.45925766793288314</v>
      </c>
      <c r="H272" s="78">
        <f t="shared" si="30"/>
        <v>54785295.73000002</v>
      </c>
      <c r="I272" s="78">
        <f>J272-363045961.37</f>
        <v>69507324.51999998</v>
      </c>
      <c r="J272" s="78">
        <v>432553285.89</v>
      </c>
      <c r="K272" s="52">
        <f t="shared" si="41"/>
        <v>0.46566258599996185</v>
      </c>
      <c r="L272" s="81">
        <f t="shared" si="31"/>
        <v>54785295.73000002</v>
      </c>
      <c r="M272" s="63">
        <f t="shared" si="34"/>
        <v>0</v>
      </c>
    </row>
    <row r="273" spans="1:13" ht="15">
      <c r="A273" s="48" t="s">
        <v>145</v>
      </c>
      <c r="B273" s="49" t="s">
        <v>146</v>
      </c>
      <c r="C273" s="78">
        <v>0</v>
      </c>
      <c r="D273" s="78">
        <v>0</v>
      </c>
      <c r="E273" s="78">
        <f>F273-0</f>
        <v>0</v>
      </c>
      <c r="F273" s="78">
        <v>0</v>
      </c>
      <c r="G273" s="52">
        <f t="shared" si="38"/>
        <v>0</v>
      </c>
      <c r="H273" s="78">
        <f t="shared" si="30"/>
        <v>0</v>
      </c>
      <c r="I273" s="78">
        <f>J273-0</f>
        <v>0</v>
      </c>
      <c r="J273" s="78">
        <v>0</v>
      </c>
      <c r="K273" s="52">
        <f t="shared" si="41"/>
        <v>0</v>
      </c>
      <c r="L273" s="81">
        <f t="shared" si="31"/>
        <v>0</v>
      </c>
      <c r="M273" s="63">
        <f t="shared" si="34"/>
        <v>0</v>
      </c>
    </row>
    <row r="274" spans="1:13" ht="15">
      <c r="A274" s="48" t="s">
        <v>70</v>
      </c>
      <c r="B274" s="49" t="s">
        <v>78</v>
      </c>
      <c r="C274" s="78">
        <v>29019000</v>
      </c>
      <c r="D274" s="78">
        <v>90548305.01</v>
      </c>
      <c r="E274" s="78">
        <f>F274-21827630.39</f>
        <v>-2824739.1400000006</v>
      </c>
      <c r="F274" s="78">
        <v>19002891.25</v>
      </c>
      <c r="G274" s="52">
        <f t="shared" si="38"/>
        <v>0.020176065710610643</v>
      </c>
      <c r="H274" s="78">
        <f t="shared" si="30"/>
        <v>71545413.76</v>
      </c>
      <c r="I274" s="78">
        <f>J274-6601769.02</f>
        <v>12401122.23</v>
      </c>
      <c r="J274" s="78">
        <v>19002891.25</v>
      </c>
      <c r="K274" s="52">
        <f t="shared" si="41"/>
        <v>0.020457445983201632</v>
      </c>
      <c r="L274" s="81">
        <f t="shared" si="31"/>
        <v>71545413.76</v>
      </c>
      <c r="M274" s="63">
        <f t="shared" si="34"/>
        <v>0</v>
      </c>
    </row>
    <row r="275" spans="1:13" ht="15">
      <c r="A275" s="48" t="s">
        <v>71</v>
      </c>
      <c r="B275" s="49" t="s">
        <v>79</v>
      </c>
      <c r="C275" s="78">
        <v>666996568</v>
      </c>
      <c r="D275" s="78">
        <v>1927718683.56</v>
      </c>
      <c r="E275" s="78">
        <f>F275-1770749528.26</f>
        <v>-82180989.91000009</v>
      </c>
      <c r="F275" s="78">
        <v>1688568538.35</v>
      </c>
      <c r="G275" s="52">
        <f t="shared" si="38"/>
        <v>1.7928150689500661</v>
      </c>
      <c r="H275" s="78">
        <f t="shared" si="30"/>
        <v>239150145.21000004</v>
      </c>
      <c r="I275" s="78">
        <f>J275-1207457589.54</f>
        <v>481006059.28999996</v>
      </c>
      <c r="J275" s="78">
        <v>1688463648.83</v>
      </c>
      <c r="K275" s="52">
        <f t="shared" si="41"/>
        <v>1.8177051816017344</v>
      </c>
      <c r="L275" s="81">
        <f t="shared" si="31"/>
        <v>239255034.73000002</v>
      </c>
      <c r="M275" s="63">
        <f t="shared" si="34"/>
        <v>104889.51999998093</v>
      </c>
    </row>
    <row r="276" spans="1:13" ht="15">
      <c r="A276" s="48" t="s">
        <v>197</v>
      </c>
      <c r="B276" s="49" t="s">
        <v>198</v>
      </c>
      <c r="C276" s="78">
        <v>266787678</v>
      </c>
      <c r="D276" s="78">
        <v>266766678</v>
      </c>
      <c r="E276" s="78">
        <f>F276-3314504.11</f>
        <v>-226921.90999999968</v>
      </c>
      <c r="F276" s="78">
        <v>3087582.2</v>
      </c>
      <c r="G276" s="52">
        <f t="shared" si="38"/>
        <v>0.0032781991189952094</v>
      </c>
      <c r="H276" s="78">
        <f t="shared" si="30"/>
        <v>263679095.8</v>
      </c>
      <c r="I276" s="78">
        <f>J276-1273667.01</f>
        <v>1813915.1900000002</v>
      </c>
      <c r="J276" s="78">
        <v>3087582.2</v>
      </c>
      <c r="K276" s="52">
        <f t="shared" si="41"/>
        <v>0.0033239176735905844</v>
      </c>
      <c r="L276" s="81">
        <f t="shared" si="31"/>
        <v>263679095.8</v>
      </c>
      <c r="M276" s="63">
        <f t="shared" si="34"/>
        <v>0</v>
      </c>
    </row>
    <row r="277" spans="1:13" ht="15">
      <c r="A277" s="48" t="s">
        <v>199</v>
      </c>
      <c r="B277" s="49" t="s">
        <v>200</v>
      </c>
      <c r="C277" s="78">
        <v>162655</v>
      </c>
      <c r="D277" s="78">
        <v>4009000</v>
      </c>
      <c r="E277" s="78">
        <f>F277-3999000</f>
        <v>-3268000</v>
      </c>
      <c r="F277" s="78">
        <v>731000</v>
      </c>
      <c r="G277" s="52">
        <f t="shared" si="38"/>
        <v>0.0007761294763214717</v>
      </c>
      <c r="H277" s="78">
        <f t="shared" si="30"/>
        <v>3278000</v>
      </c>
      <c r="I277" s="78">
        <f>J277-559000</f>
        <v>172000</v>
      </c>
      <c r="J277" s="78">
        <v>731000</v>
      </c>
      <c r="K277" s="52">
        <f t="shared" si="41"/>
        <v>0.0007869535649592476</v>
      </c>
      <c r="L277" s="81">
        <f t="shared" si="31"/>
        <v>3278000</v>
      </c>
      <c r="M277" s="113">
        <f t="shared" si="34"/>
        <v>0</v>
      </c>
    </row>
    <row r="278" spans="1:13" ht="15">
      <c r="A278" s="48" t="s">
        <v>201</v>
      </c>
      <c r="B278" s="49" t="s">
        <v>202</v>
      </c>
      <c r="C278" s="78">
        <v>91252561</v>
      </c>
      <c r="D278" s="78">
        <v>42132276.94</v>
      </c>
      <c r="E278" s="78">
        <f>F278-326292.18</f>
        <v>515376.23000000004</v>
      </c>
      <c r="F278" s="78">
        <v>841668.41</v>
      </c>
      <c r="G278" s="52">
        <f t="shared" si="38"/>
        <v>0.0008936301809707604</v>
      </c>
      <c r="H278" s="78">
        <f t="shared" si="30"/>
        <v>41290608.53</v>
      </c>
      <c r="I278" s="78">
        <f>J278-196915.18</f>
        <v>644753.23</v>
      </c>
      <c r="J278" s="78">
        <v>841668.41</v>
      </c>
      <c r="K278" s="52">
        <f t="shared" si="41"/>
        <v>0.0009060929627401938</v>
      </c>
      <c r="L278" s="81">
        <f t="shared" si="31"/>
        <v>41290608.53</v>
      </c>
      <c r="M278" s="113">
        <f t="shared" si="34"/>
        <v>0</v>
      </c>
    </row>
    <row r="279" spans="1:13" ht="14.25">
      <c r="A279" s="43" t="s">
        <v>203</v>
      </c>
      <c r="B279" s="46" t="s">
        <v>204</v>
      </c>
      <c r="C279" s="77">
        <f>SUM(C280:C284)</f>
        <v>99401735</v>
      </c>
      <c r="D279" s="77">
        <f>SUM(D280:D284)</f>
        <v>197436408.22</v>
      </c>
      <c r="E279" s="77">
        <f>SUM(E280:E284)</f>
        <v>-15751734.610000003</v>
      </c>
      <c r="F279" s="77">
        <f>SUM(F280:F284)</f>
        <v>54875675.26</v>
      </c>
      <c r="G279" s="47">
        <f t="shared" si="38"/>
        <v>0.058263514503872696</v>
      </c>
      <c r="H279" s="77">
        <f t="shared" si="30"/>
        <v>142560732.96</v>
      </c>
      <c r="I279" s="77">
        <f>SUM(I280:I284)</f>
        <v>5215231.82</v>
      </c>
      <c r="J279" s="77">
        <f>SUM(J280:J284)</f>
        <v>54875675.26</v>
      </c>
      <c r="K279" s="47">
        <f t="shared" si="41"/>
        <v>0.059076071512179196</v>
      </c>
      <c r="L279" s="80">
        <f t="shared" si="31"/>
        <v>142560732.96</v>
      </c>
      <c r="M279" s="113">
        <f t="shared" si="34"/>
        <v>0</v>
      </c>
    </row>
    <row r="280" spans="1:13" ht="15">
      <c r="A280" s="48" t="s">
        <v>28</v>
      </c>
      <c r="B280" s="49" t="s">
        <v>33</v>
      </c>
      <c r="C280" s="78">
        <v>17975379</v>
      </c>
      <c r="D280" s="78">
        <v>24208263.22</v>
      </c>
      <c r="E280" s="78">
        <f>F280-14154419.8</f>
        <v>2973982.2699999996</v>
      </c>
      <c r="F280" s="78">
        <v>17128402.07</v>
      </c>
      <c r="G280" s="52">
        <f t="shared" si="38"/>
        <v>0.018185851886200703</v>
      </c>
      <c r="H280" s="78">
        <f t="shared" si="30"/>
        <v>7079861.1499999985</v>
      </c>
      <c r="I280" s="78">
        <f>J280-13660595.71</f>
        <v>3467806.3599999994</v>
      </c>
      <c r="J280" s="78">
        <v>17128402.07</v>
      </c>
      <c r="K280" s="52">
        <f t="shared" si="41"/>
        <v>0.018439476157376</v>
      </c>
      <c r="L280" s="81">
        <f t="shared" si="31"/>
        <v>7079861.1499999985</v>
      </c>
      <c r="M280" s="113">
        <f t="shared" si="34"/>
        <v>0</v>
      </c>
    </row>
    <row r="281" spans="1:13" ht="15">
      <c r="A281" s="48" t="s">
        <v>53</v>
      </c>
      <c r="B281" s="49" t="s">
        <v>60</v>
      </c>
      <c r="C281" s="78">
        <v>21000000</v>
      </c>
      <c r="D281" s="78">
        <v>21000000</v>
      </c>
      <c r="E281" s="78">
        <f>F281-0</f>
        <v>0</v>
      </c>
      <c r="F281" s="78">
        <v>0</v>
      </c>
      <c r="G281" s="52">
        <f t="shared" si="38"/>
        <v>0</v>
      </c>
      <c r="H281" s="78">
        <f t="shared" si="30"/>
        <v>21000000</v>
      </c>
      <c r="I281" s="78">
        <f>J281-0</f>
        <v>0</v>
      </c>
      <c r="J281" s="78">
        <v>0</v>
      </c>
      <c r="K281" s="52">
        <f t="shared" si="41"/>
        <v>0</v>
      </c>
      <c r="L281" s="81">
        <f t="shared" si="31"/>
        <v>21000000</v>
      </c>
      <c r="M281" s="113">
        <f t="shared" si="34"/>
        <v>0</v>
      </c>
    </row>
    <row r="282" spans="1:13" ht="15">
      <c r="A282" s="48" t="s">
        <v>205</v>
      </c>
      <c r="B282" s="49" t="s">
        <v>206</v>
      </c>
      <c r="C282" s="78">
        <v>2155000</v>
      </c>
      <c r="D282" s="78">
        <v>6308000</v>
      </c>
      <c r="E282" s="78">
        <f>F282-3153000</f>
        <v>-357160</v>
      </c>
      <c r="F282" s="78">
        <v>2795840</v>
      </c>
      <c r="G282" s="52">
        <f t="shared" si="38"/>
        <v>0.0029684457388216468</v>
      </c>
      <c r="H282" s="78">
        <f t="shared" si="30"/>
        <v>3512160</v>
      </c>
      <c r="I282" s="78">
        <f>J282-1901600</f>
        <v>894240</v>
      </c>
      <c r="J282" s="78">
        <v>2795840</v>
      </c>
      <c r="K282" s="52">
        <f t="shared" si="41"/>
        <v>0.003009844398160962</v>
      </c>
      <c r="L282" s="81">
        <f t="shared" si="31"/>
        <v>3512160</v>
      </c>
      <c r="M282" s="113">
        <f t="shared" si="34"/>
        <v>0</v>
      </c>
    </row>
    <row r="283" spans="1:13" ht="15">
      <c r="A283" s="48" t="s">
        <v>207</v>
      </c>
      <c r="B283" s="49" t="s">
        <v>208</v>
      </c>
      <c r="C283" s="78">
        <v>58266356</v>
      </c>
      <c r="D283" s="78">
        <v>145915145</v>
      </c>
      <c r="E283" s="78">
        <f>F283-53319990.07</f>
        <v>-18368556.880000003</v>
      </c>
      <c r="F283" s="78">
        <v>34951433.19</v>
      </c>
      <c r="G283" s="52">
        <f aca="true" t="shared" si="42" ref="G283:G295">(F283/$F$296)*100</f>
        <v>0.037109216878850354</v>
      </c>
      <c r="H283" s="78">
        <f t="shared" si="30"/>
        <v>110963711.81</v>
      </c>
      <c r="I283" s="78">
        <f>J283-34098247.73</f>
        <v>853185.4600000009</v>
      </c>
      <c r="J283" s="78">
        <v>34951433.19</v>
      </c>
      <c r="K283" s="52">
        <f aca="true" t="shared" si="43" ref="K283:K295">(J283/$J$296)*100</f>
        <v>0.037626750956642224</v>
      </c>
      <c r="L283" s="81">
        <f t="shared" si="31"/>
        <v>110963711.81</v>
      </c>
      <c r="M283" s="113">
        <f t="shared" si="34"/>
        <v>0</v>
      </c>
    </row>
    <row r="284" spans="1:13" ht="15">
      <c r="A284" s="48" t="s">
        <v>209</v>
      </c>
      <c r="B284" s="49" t="s">
        <v>210</v>
      </c>
      <c r="C284" s="78">
        <v>5000</v>
      </c>
      <c r="D284" s="78">
        <v>5000</v>
      </c>
      <c r="E284" s="78">
        <f>F284-0</f>
        <v>0</v>
      </c>
      <c r="F284" s="78">
        <v>0</v>
      </c>
      <c r="G284" s="52">
        <f t="shared" si="42"/>
        <v>0</v>
      </c>
      <c r="H284" s="78">
        <f t="shared" si="30"/>
        <v>5000</v>
      </c>
      <c r="I284" s="52">
        <f>J284-0</f>
        <v>0</v>
      </c>
      <c r="J284" s="78">
        <v>0</v>
      </c>
      <c r="K284" s="52">
        <f t="shared" si="43"/>
        <v>0</v>
      </c>
      <c r="L284" s="81">
        <f aca="true" t="shared" si="44" ref="L284:L386">D284-J284</f>
        <v>5000</v>
      </c>
      <c r="M284" s="113">
        <f t="shared" si="34"/>
        <v>0</v>
      </c>
    </row>
    <row r="285" spans="1:13" ht="14.25">
      <c r="A285" s="43" t="s">
        <v>211</v>
      </c>
      <c r="B285" s="46" t="s">
        <v>212</v>
      </c>
      <c r="C285" s="77">
        <f>SUM(C286:C290)</f>
        <v>5734330415</v>
      </c>
      <c r="D285" s="77">
        <f>SUM(D286:D290)</f>
        <v>3692081320.71</v>
      </c>
      <c r="E285" s="77">
        <f>SUM(E286:E290)</f>
        <v>773165802.06</v>
      </c>
      <c r="F285" s="77">
        <f>SUM(F286:F290)</f>
        <v>3298864277.2400002</v>
      </c>
      <c r="G285" s="47">
        <f t="shared" si="42"/>
        <v>3.5025250396031353</v>
      </c>
      <c r="H285" s="77">
        <f t="shared" si="30"/>
        <v>393217043.4699998</v>
      </c>
      <c r="I285" s="77">
        <f>SUM(I286:I290)</f>
        <v>813384886.77</v>
      </c>
      <c r="J285" s="77">
        <f>SUM(J286:J290)</f>
        <v>3298864277.2400002</v>
      </c>
      <c r="K285" s="47">
        <f t="shared" si="43"/>
        <v>3.5513720975249385</v>
      </c>
      <c r="L285" s="80">
        <f t="shared" si="44"/>
        <v>393217043.4699998</v>
      </c>
      <c r="M285" s="113">
        <f t="shared" si="34"/>
        <v>0</v>
      </c>
    </row>
    <row r="286" spans="1:13" ht="15">
      <c r="A286" s="48" t="s">
        <v>39</v>
      </c>
      <c r="B286" s="49" t="s">
        <v>41</v>
      </c>
      <c r="C286" s="78">
        <v>894589021</v>
      </c>
      <c r="D286" s="78">
        <v>123762307.84</v>
      </c>
      <c r="E286" s="78">
        <f>F286-32815392.06</f>
        <v>136815.1000000015</v>
      </c>
      <c r="F286" s="78">
        <v>32952207.16</v>
      </c>
      <c r="G286" s="52">
        <f t="shared" si="42"/>
        <v>0.03498656537172018</v>
      </c>
      <c r="H286" s="78">
        <f aca="true" t="shared" si="45" ref="H286:H374">D286-F286</f>
        <v>90810100.68</v>
      </c>
      <c r="I286" s="78">
        <f>J286-32815392.06</f>
        <v>136815.1000000015</v>
      </c>
      <c r="J286" s="78">
        <v>32952207.16</v>
      </c>
      <c r="K286" s="52">
        <f t="shared" si="43"/>
        <v>0.03547449644027038</v>
      </c>
      <c r="L286" s="81">
        <f t="shared" si="44"/>
        <v>90810100.68</v>
      </c>
      <c r="M286" s="113">
        <f t="shared" si="34"/>
        <v>0</v>
      </c>
    </row>
    <row r="287" spans="1:13" ht="15">
      <c r="A287" s="48" t="s">
        <v>213</v>
      </c>
      <c r="B287" s="49" t="s">
        <v>214</v>
      </c>
      <c r="C287" s="78">
        <v>2243960060</v>
      </c>
      <c r="D287" s="78">
        <v>1329723352</v>
      </c>
      <c r="E287" s="78">
        <f>F287-729267279.57</f>
        <v>508617192.11</v>
      </c>
      <c r="F287" s="78">
        <v>1237884471.68</v>
      </c>
      <c r="G287" s="52">
        <f t="shared" si="42"/>
        <v>1.3143072869377295</v>
      </c>
      <c r="H287" s="78">
        <f t="shared" si="45"/>
        <v>91838880.31999993</v>
      </c>
      <c r="I287" s="78">
        <f>J287-729267279.57</f>
        <v>508617192.11</v>
      </c>
      <c r="J287" s="78">
        <v>1237884471.68</v>
      </c>
      <c r="K287" s="52">
        <f t="shared" si="43"/>
        <v>1.3326369329634349</v>
      </c>
      <c r="L287" s="81">
        <f t="shared" si="44"/>
        <v>91838880.31999993</v>
      </c>
      <c r="M287" s="113">
        <f t="shared" si="34"/>
        <v>0</v>
      </c>
    </row>
    <row r="288" spans="1:13" ht="15">
      <c r="A288" s="48" t="s">
        <v>215</v>
      </c>
      <c r="B288" s="49" t="s">
        <v>216</v>
      </c>
      <c r="C288" s="78">
        <v>457312339</v>
      </c>
      <c r="D288" s="78">
        <v>397401004.59</v>
      </c>
      <c r="E288" s="78">
        <f>F288-319636422.29</f>
        <v>59868110.06999999</v>
      </c>
      <c r="F288" s="78">
        <v>379504532.36</v>
      </c>
      <c r="G288" s="52">
        <f t="shared" si="42"/>
        <v>0.4029338631493733</v>
      </c>
      <c r="H288" s="78">
        <f t="shared" si="45"/>
        <v>17896472.22999996</v>
      </c>
      <c r="I288" s="78">
        <f>J288-319636422.29</f>
        <v>59868110.06999999</v>
      </c>
      <c r="J288" s="78">
        <v>379504532.36</v>
      </c>
      <c r="K288" s="52">
        <f t="shared" si="43"/>
        <v>0.40855327586716034</v>
      </c>
      <c r="L288" s="81">
        <f t="shared" si="44"/>
        <v>17896472.22999996</v>
      </c>
      <c r="M288" s="113">
        <f t="shared" si="34"/>
        <v>0</v>
      </c>
    </row>
    <row r="289" spans="1:13" ht="15">
      <c r="A289" s="48" t="s">
        <v>217</v>
      </c>
      <c r="B289" s="49" t="s">
        <v>218</v>
      </c>
      <c r="C289" s="78">
        <v>2977743</v>
      </c>
      <c r="D289" s="78">
        <v>2977743</v>
      </c>
      <c r="E289" s="78">
        <f>F289-0</f>
        <v>0</v>
      </c>
      <c r="F289" s="78">
        <v>0</v>
      </c>
      <c r="G289" s="52">
        <f t="shared" si="42"/>
        <v>0</v>
      </c>
      <c r="H289" s="78">
        <f t="shared" si="45"/>
        <v>2977743</v>
      </c>
      <c r="I289" s="78">
        <f>J289-0</f>
        <v>0</v>
      </c>
      <c r="J289" s="78">
        <v>0</v>
      </c>
      <c r="K289" s="52">
        <f t="shared" si="43"/>
        <v>0</v>
      </c>
      <c r="L289" s="81">
        <f t="shared" si="44"/>
        <v>2977743</v>
      </c>
      <c r="M289" s="113">
        <f t="shared" si="34"/>
        <v>0</v>
      </c>
    </row>
    <row r="290" spans="1:13" ht="15">
      <c r="A290" s="48" t="s">
        <v>219</v>
      </c>
      <c r="B290" s="49" t="s">
        <v>220</v>
      </c>
      <c r="C290" s="78">
        <v>2135491252</v>
      </c>
      <c r="D290" s="78">
        <v>1838216913.28</v>
      </c>
      <c r="E290" s="78">
        <f>F290-1443979381.26</f>
        <v>204543684.77999997</v>
      </c>
      <c r="F290" s="78">
        <v>1648523066.04</v>
      </c>
      <c r="G290" s="52">
        <f t="shared" si="42"/>
        <v>1.750297324144312</v>
      </c>
      <c r="H290" s="78">
        <f t="shared" si="45"/>
        <v>189693847.24</v>
      </c>
      <c r="I290" s="78">
        <f>J290-1403760296.55</f>
        <v>244762769.49</v>
      </c>
      <c r="J290" s="78">
        <v>1648523066.04</v>
      </c>
      <c r="K290" s="52">
        <f t="shared" si="43"/>
        <v>1.774707392254073</v>
      </c>
      <c r="L290" s="81">
        <f t="shared" si="44"/>
        <v>189693847.24</v>
      </c>
      <c r="M290" s="113">
        <f t="shared" si="34"/>
        <v>0</v>
      </c>
    </row>
    <row r="291" spans="1:13" ht="14.25">
      <c r="A291" s="43" t="s">
        <v>221</v>
      </c>
      <c r="B291" s="46" t="s">
        <v>222</v>
      </c>
      <c r="C291" s="77">
        <f>SUM(C292:C294)</f>
        <v>2450745443</v>
      </c>
      <c r="D291" s="80">
        <f>SUM(D292:D294)</f>
        <v>2446745443</v>
      </c>
      <c r="E291" s="108"/>
      <c r="F291" s="108"/>
      <c r="G291" s="108"/>
      <c r="H291" s="77">
        <f t="shared" si="45"/>
        <v>2446745443</v>
      </c>
      <c r="I291" s="108"/>
      <c r="J291" s="108"/>
      <c r="K291" s="108"/>
      <c r="L291" s="80">
        <f t="shared" si="44"/>
        <v>2446745443</v>
      </c>
      <c r="M291" s="113">
        <f t="shared" si="34"/>
        <v>0</v>
      </c>
    </row>
    <row r="292" spans="1:13" ht="15">
      <c r="A292" s="48" t="s">
        <v>28</v>
      </c>
      <c r="B292" s="62" t="s">
        <v>33</v>
      </c>
      <c r="C292" s="78">
        <v>2100000000</v>
      </c>
      <c r="D292" s="88">
        <v>2100000000</v>
      </c>
      <c r="E292" s="108"/>
      <c r="F292" s="108"/>
      <c r="G292" s="108"/>
      <c r="H292" s="78">
        <f t="shared" si="45"/>
        <v>2100000000</v>
      </c>
      <c r="I292" s="108"/>
      <c r="J292" s="108"/>
      <c r="K292" s="108"/>
      <c r="L292" s="81">
        <f t="shared" si="44"/>
        <v>2100000000</v>
      </c>
      <c r="M292" s="113">
        <f>F292-J292</f>
        <v>0</v>
      </c>
    </row>
    <row r="293" spans="1:13" ht="15">
      <c r="A293" s="48" t="s">
        <v>246</v>
      </c>
      <c r="B293" s="62" t="s">
        <v>247</v>
      </c>
      <c r="C293" s="78">
        <v>348245443</v>
      </c>
      <c r="D293" s="85">
        <v>344245443</v>
      </c>
      <c r="E293" s="108"/>
      <c r="F293" s="108"/>
      <c r="G293" s="108"/>
      <c r="H293" s="78">
        <f t="shared" si="45"/>
        <v>344245443</v>
      </c>
      <c r="I293" s="108"/>
      <c r="J293" s="108"/>
      <c r="K293" s="108"/>
      <c r="L293" s="81">
        <f t="shared" si="44"/>
        <v>344245443</v>
      </c>
      <c r="M293" s="113">
        <f>F293-J293</f>
        <v>0</v>
      </c>
    </row>
    <row r="294" spans="1:13" ht="15">
      <c r="A294" s="48" t="s">
        <v>223</v>
      </c>
      <c r="B294" s="49" t="s">
        <v>224</v>
      </c>
      <c r="C294" s="78">
        <v>2500000</v>
      </c>
      <c r="D294" s="78">
        <v>2500000</v>
      </c>
      <c r="E294" s="108"/>
      <c r="F294" s="108"/>
      <c r="G294" s="108"/>
      <c r="H294" s="78">
        <f t="shared" si="45"/>
        <v>2500000</v>
      </c>
      <c r="I294" s="108"/>
      <c r="J294" s="108"/>
      <c r="K294" s="108"/>
      <c r="L294" s="81">
        <f>D294-J294</f>
        <v>2500000</v>
      </c>
      <c r="M294" s="113">
        <f>F294-J294</f>
        <v>0</v>
      </c>
    </row>
    <row r="295" spans="1:13" ht="14.25">
      <c r="A295" s="43"/>
      <c r="B295" s="46" t="s">
        <v>16</v>
      </c>
      <c r="C295" s="77">
        <f>C312</f>
        <v>5479454544</v>
      </c>
      <c r="D295" s="77">
        <f>D312</f>
        <v>7133311805.05</v>
      </c>
      <c r="E295" s="77">
        <f>E312</f>
        <v>1217525612.97</v>
      </c>
      <c r="F295" s="77">
        <f>F312</f>
        <v>6369820092.669999</v>
      </c>
      <c r="G295" s="47">
        <f t="shared" si="42"/>
        <v>6.763071317080651</v>
      </c>
      <c r="H295" s="77">
        <f>D295-F295</f>
        <v>763491712.3800011</v>
      </c>
      <c r="I295" s="77">
        <f>I312</f>
        <v>1504918600.0500002</v>
      </c>
      <c r="J295" s="77">
        <f>J312</f>
        <v>6347842257.029999</v>
      </c>
      <c r="K295" s="47">
        <f t="shared" si="43"/>
        <v>6.833730634704124</v>
      </c>
      <c r="L295" s="80">
        <f>D295-J295</f>
        <v>785469548.0200014</v>
      </c>
      <c r="M295" s="113">
        <f>M312</f>
        <v>21977835.63999995</v>
      </c>
    </row>
    <row r="296" spans="1:15" ht="14.25">
      <c r="A296" s="125" t="s">
        <v>225</v>
      </c>
      <c r="B296" s="126"/>
      <c r="C296" s="91">
        <f aca="true" t="shared" si="46" ref="C296:L296">C14+C295</f>
        <v>92916188583</v>
      </c>
      <c r="D296" s="91">
        <f t="shared" si="46"/>
        <v>112685440021.38002</v>
      </c>
      <c r="E296" s="91">
        <f t="shared" si="46"/>
        <v>14928708107.949999</v>
      </c>
      <c r="F296" s="91">
        <f t="shared" si="46"/>
        <v>94185316020.29</v>
      </c>
      <c r="G296" s="91">
        <f t="shared" si="46"/>
        <v>100</v>
      </c>
      <c r="H296" s="91">
        <f t="shared" si="46"/>
        <v>18500124001.090023</v>
      </c>
      <c r="I296" s="91">
        <f t="shared" si="46"/>
        <v>21193892544.76</v>
      </c>
      <c r="J296" s="91">
        <f t="shared" si="46"/>
        <v>92889851771.35004</v>
      </c>
      <c r="K296" s="91">
        <f t="shared" si="46"/>
        <v>100</v>
      </c>
      <c r="L296" s="92">
        <f t="shared" si="46"/>
        <v>19795588250.02998</v>
      </c>
      <c r="M296" s="118">
        <f>M295+M14</f>
        <v>1295464248.9399965</v>
      </c>
      <c r="O296" s="119"/>
    </row>
    <row r="297" spans="1:13" ht="15">
      <c r="A297" s="65"/>
      <c r="B297" s="65"/>
      <c r="C297" s="95"/>
      <c r="D297" s="95"/>
      <c r="E297" s="95"/>
      <c r="F297" s="95"/>
      <c r="G297" s="95"/>
      <c r="H297" s="95"/>
      <c r="I297" s="95"/>
      <c r="J297" s="95"/>
      <c r="K297" s="95"/>
      <c r="L297" s="61"/>
      <c r="M297" s="61" t="s">
        <v>226</v>
      </c>
    </row>
    <row r="298" spans="1:13" ht="15">
      <c r="A298" s="65"/>
      <c r="B298" s="6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1:13" ht="15">
      <c r="A299" s="30"/>
      <c r="B299" s="31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</row>
    <row r="300" spans="1:13" ht="15.75">
      <c r="A300" s="30"/>
      <c r="B300" s="31"/>
      <c r="C300" s="32"/>
      <c r="D300" s="32"/>
      <c r="E300" s="32"/>
      <c r="F300" s="33"/>
      <c r="G300" s="34"/>
      <c r="H300" s="33"/>
      <c r="I300" s="33"/>
      <c r="J300" s="33"/>
      <c r="K300" s="34"/>
      <c r="L300" s="33"/>
      <c r="M300" s="33"/>
    </row>
    <row r="301" spans="1:13" ht="15.75">
      <c r="A301" s="27"/>
      <c r="B301" s="24"/>
      <c r="C301" s="28"/>
      <c r="D301" s="28"/>
      <c r="E301" s="28"/>
      <c r="F301" s="28"/>
      <c r="G301" s="29"/>
      <c r="H301" s="28"/>
      <c r="I301" s="28"/>
      <c r="J301" s="28"/>
      <c r="K301" s="29"/>
      <c r="L301" s="21"/>
      <c r="M301" s="21" t="s">
        <v>157</v>
      </c>
    </row>
    <row r="302" spans="1:13" ht="15.75">
      <c r="A302" s="124" t="s">
        <v>14</v>
      </c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96"/>
    </row>
    <row r="303" spans="1:13" ht="15.75">
      <c r="A303" s="124" t="s">
        <v>0</v>
      </c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96"/>
    </row>
    <row r="304" spans="1:13" ht="15.75">
      <c r="A304" s="131" t="s">
        <v>1</v>
      </c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96"/>
    </row>
    <row r="305" spans="1:13" ht="15.75">
      <c r="A305" s="124" t="s">
        <v>2</v>
      </c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96"/>
    </row>
    <row r="306" spans="1:13" ht="15.75">
      <c r="A306" s="124" t="str">
        <f>A157</f>
        <v>JANEIRO A DEZEMBRO 2022/BIMESTRE NOVEMBRO - DEZEMBRO</v>
      </c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96"/>
    </row>
    <row r="307" spans="1:13" ht="15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1"/>
      <c r="M307" s="96" t="str">
        <f>M9</f>
        <v>Emissão: 25/01/2023</v>
      </c>
    </row>
    <row r="308" spans="1:13" ht="15.75">
      <c r="A308" s="23" t="s">
        <v>240</v>
      </c>
      <c r="B308" s="22"/>
      <c r="C308" s="24"/>
      <c r="D308" s="22"/>
      <c r="E308" s="22"/>
      <c r="F308" s="25"/>
      <c r="G308" s="25"/>
      <c r="H308" s="25"/>
      <c r="I308" s="22"/>
      <c r="J308" s="22"/>
      <c r="K308" s="21"/>
      <c r="L308" s="26"/>
      <c r="M308" s="26">
        <v>1</v>
      </c>
    </row>
    <row r="309" spans="1:13" ht="15.75">
      <c r="A309" s="7"/>
      <c r="B309" s="8"/>
      <c r="C309" s="9" t="s">
        <v>3</v>
      </c>
      <c r="D309" s="9" t="s">
        <v>3</v>
      </c>
      <c r="E309" s="127" t="s">
        <v>4</v>
      </c>
      <c r="F309" s="128"/>
      <c r="G309" s="129"/>
      <c r="H309" s="9" t="s">
        <v>18</v>
      </c>
      <c r="I309" s="127" t="s">
        <v>5</v>
      </c>
      <c r="J309" s="128"/>
      <c r="K309" s="129"/>
      <c r="L309" s="10" t="s">
        <v>18</v>
      </c>
      <c r="M309" s="120" t="s">
        <v>285</v>
      </c>
    </row>
    <row r="310" spans="1:13" ht="15.75">
      <c r="A310" s="11" t="s">
        <v>23</v>
      </c>
      <c r="B310" s="12" t="s">
        <v>265</v>
      </c>
      <c r="C310" s="12" t="s">
        <v>7</v>
      </c>
      <c r="D310" s="12" t="s">
        <v>8</v>
      </c>
      <c r="E310" s="12" t="s">
        <v>9</v>
      </c>
      <c r="F310" s="12" t="s">
        <v>10</v>
      </c>
      <c r="G310" s="12" t="s">
        <v>11</v>
      </c>
      <c r="H310" s="13"/>
      <c r="I310" s="12" t="s">
        <v>9</v>
      </c>
      <c r="J310" s="12" t="s">
        <v>10</v>
      </c>
      <c r="K310" s="12" t="s">
        <v>11</v>
      </c>
      <c r="L310" s="14"/>
      <c r="M310" s="121"/>
    </row>
    <row r="311" spans="1:13" ht="15.75">
      <c r="A311" s="15"/>
      <c r="B311" s="16"/>
      <c r="C311" s="16"/>
      <c r="D311" s="17" t="s">
        <v>12</v>
      </c>
      <c r="E311" s="17"/>
      <c r="F311" s="17" t="s">
        <v>13</v>
      </c>
      <c r="G311" s="17" t="s">
        <v>266</v>
      </c>
      <c r="H311" s="18" t="s">
        <v>19</v>
      </c>
      <c r="I311" s="17"/>
      <c r="J311" s="17" t="s">
        <v>20</v>
      </c>
      <c r="K311" s="17" t="s">
        <v>267</v>
      </c>
      <c r="L311" s="19" t="s">
        <v>22</v>
      </c>
      <c r="M311" s="122"/>
    </row>
    <row r="312" spans="1:13" ht="14.25">
      <c r="A312" s="43"/>
      <c r="B312" s="67" t="s">
        <v>16</v>
      </c>
      <c r="C312" s="86">
        <f>C313+C318+C321+C327+C335+C341+C345+C347+C351+C354+C362+C365+C368+C371+C375+C377+C382+C387+C389+C392+C395+C399+C402</f>
        <v>5479454544</v>
      </c>
      <c r="D312" s="86">
        <f>D313+D318+D321+D327+D335+D341+D345+D347+D351+D354+D362+D365+D368+D371+D375+D377+D382+D387+D389+D392+D395+D399+D402</f>
        <v>7133311805.05</v>
      </c>
      <c r="E312" s="86">
        <f>E313+E318+E321+E327+E335+E341+E345+E347+E351+E354+E362+E365+E368+E371+E375+E377+E382+E387+E389+E392+E395+E399+E402</f>
        <v>1217525612.97</v>
      </c>
      <c r="F312" s="86">
        <f>F313+F318+F321+F327+F335+F341+F345+F347+F351+F354+F362+F365+F368+F371+F375+F377+F382+F387+F389+F392+F395+F399+F402</f>
        <v>6369820092.669999</v>
      </c>
      <c r="G312" s="66">
        <f aca="true" t="shared" si="47" ref="G312:G343">(F312/$F$296)*100</f>
        <v>6.763071317080651</v>
      </c>
      <c r="H312" s="86">
        <f>D312-F312</f>
        <v>763491712.3800011</v>
      </c>
      <c r="I312" s="86">
        <f>I313+I318+I321+I327+I335+I341+I345+I347+I351+I354+I362+I365+I368+I371+I375+I377+I382+I387+I389+I392+I395+I399+I402</f>
        <v>1504918600.0500002</v>
      </c>
      <c r="J312" s="86">
        <f>J313+J318+J321+J327+J335+J341+J345+J347+J351+J354+J362+J365+J368+J371+J375+J377+J382+J387+J389+J392+J395+J399+J402</f>
        <v>6347842257.029999</v>
      </c>
      <c r="K312" s="68">
        <f aca="true" t="shared" si="48" ref="K312:K343">(J312/$J$296)*100</f>
        <v>6.833730634704124</v>
      </c>
      <c r="L312" s="87">
        <f>D312-J312</f>
        <v>785469548.0200014</v>
      </c>
      <c r="M312" s="113">
        <f>M313+M318+M321+M327+M335+M341+M345+M347+M351+M354+M362+M365+M368+M371+M375+M377+M382+M387+M389+M392+M395+M399+M402</f>
        <v>21977835.63999995</v>
      </c>
    </row>
    <row r="313" spans="1:13" ht="14.25">
      <c r="A313" s="43" t="s">
        <v>25</v>
      </c>
      <c r="B313" s="67" t="s">
        <v>24</v>
      </c>
      <c r="C313" s="77">
        <f>SUM(C314:C317)</f>
        <v>149594133</v>
      </c>
      <c r="D313" s="77">
        <f>SUM(D314:D317)</f>
        <v>125153803.33</v>
      </c>
      <c r="E313" s="77">
        <f>SUM(E314:E317)</f>
        <v>9027013.149999991</v>
      </c>
      <c r="F313" s="77">
        <f>SUM(F314:F317)</f>
        <v>119956742.27</v>
      </c>
      <c r="G313" s="66">
        <f t="shared" si="47"/>
        <v>0.12736246724930897</v>
      </c>
      <c r="H313" s="77">
        <f t="shared" si="45"/>
        <v>5197061.060000002</v>
      </c>
      <c r="I313" s="77">
        <f>SUM(I314:I316)</f>
        <v>22015289.21999999</v>
      </c>
      <c r="J313" s="77">
        <f>SUM(J314:J316)</f>
        <v>111639527.08</v>
      </c>
      <c r="K313" s="47">
        <f t="shared" si="48"/>
        <v>0.12018484791514429</v>
      </c>
      <c r="L313" s="87">
        <f t="shared" si="44"/>
        <v>13514276.25</v>
      </c>
      <c r="M313" s="113">
        <f>F313-J313</f>
        <v>8317215.189999998</v>
      </c>
    </row>
    <row r="314" spans="1:13" ht="15">
      <c r="A314" s="48" t="s">
        <v>26</v>
      </c>
      <c r="B314" s="62" t="s">
        <v>31</v>
      </c>
      <c r="C314" s="78">
        <v>2000000</v>
      </c>
      <c r="D314" s="78">
        <v>178829.42</v>
      </c>
      <c r="E314" s="78">
        <f>F314-178829.42</f>
        <v>0</v>
      </c>
      <c r="F314" s="78">
        <v>178829.42</v>
      </c>
      <c r="G314" s="66">
        <f t="shared" si="47"/>
        <v>0.00018986974568464094</v>
      </c>
      <c r="H314" s="77">
        <f t="shared" si="45"/>
        <v>0</v>
      </c>
      <c r="I314" s="78">
        <f>J314-77236.8</f>
        <v>77464.68000000001</v>
      </c>
      <c r="J314" s="78">
        <v>154701.48</v>
      </c>
      <c r="K314" s="47">
        <f t="shared" si="48"/>
        <v>0.00016654292912513237</v>
      </c>
      <c r="L314" s="88">
        <f t="shared" si="44"/>
        <v>24127.940000000002</v>
      </c>
      <c r="M314" s="63">
        <f aca="true" t="shared" si="49" ref="M314:M377">F314-J314</f>
        <v>24127.940000000002</v>
      </c>
    </row>
    <row r="315" spans="1:13" ht="15">
      <c r="A315" s="48" t="s">
        <v>28</v>
      </c>
      <c r="B315" s="62" t="s">
        <v>33</v>
      </c>
      <c r="C315" s="78">
        <v>147584133</v>
      </c>
      <c r="D315" s="78">
        <v>124964973.91</v>
      </c>
      <c r="E315" s="78">
        <f>F315-110750899.7</f>
        <v>9027013.149999991</v>
      </c>
      <c r="F315" s="78">
        <v>119777912.85</v>
      </c>
      <c r="G315" s="66">
        <f t="shared" si="47"/>
        <v>0.1271725975036243</v>
      </c>
      <c r="H315" s="78">
        <f>D315-F315</f>
        <v>5187061.060000002</v>
      </c>
      <c r="I315" s="78">
        <f>J315-89547001.06</f>
        <v>21937824.53999999</v>
      </c>
      <c r="J315" s="78">
        <v>111484825.6</v>
      </c>
      <c r="K315" s="47">
        <f t="shared" si="48"/>
        <v>0.12001830498601913</v>
      </c>
      <c r="L315" s="88">
        <f>D315-J315</f>
        <v>13480148.310000002</v>
      </c>
      <c r="M315" s="63">
        <f t="shared" si="49"/>
        <v>8293087.25</v>
      </c>
    </row>
    <row r="316" spans="1:13" ht="15">
      <c r="A316" s="48" t="s">
        <v>50</v>
      </c>
      <c r="B316" s="62" t="s">
        <v>57</v>
      </c>
      <c r="C316" s="78">
        <v>0</v>
      </c>
      <c r="D316" s="78">
        <v>0</v>
      </c>
      <c r="E316" s="78">
        <f>F316-0</f>
        <v>0</v>
      </c>
      <c r="F316" s="78">
        <v>0</v>
      </c>
      <c r="G316" s="60">
        <f t="shared" si="47"/>
        <v>0</v>
      </c>
      <c r="H316" s="78">
        <f t="shared" si="45"/>
        <v>0</v>
      </c>
      <c r="I316" s="78">
        <f>J316-0</f>
        <v>0</v>
      </c>
      <c r="J316" s="78">
        <v>0</v>
      </c>
      <c r="K316" s="52">
        <f t="shared" si="48"/>
        <v>0</v>
      </c>
      <c r="L316" s="88">
        <f t="shared" si="44"/>
        <v>0</v>
      </c>
      <c r="M316" s="63">
        <f t="shared" si="49"/>
        <v>0</v>
      </c>
    </row>
    <row r="317" spans="1:13" ht="15">
      <c r="A317" s="97" t="s">
        <v>29</v>
      </c>
      <c r="B317" s="101" t="s">
        <v>34</v>
      </c>
      <c r="C317" s="94">
        <v>10000</v>
      </c>
      <c r="D317" s="94">
        <v>10000</v>
      </c>
      <c r="E317" s="94">
        <f>F317-0</f>
        <v>0</v>
      </c>
      <c r="F317" s="94">
        <v>0</v>
      </c>
      <c r="G317" s="102">
        <f t="shared" si="47"/>
        <v>0</v>
      </c>
      <c r="H317" s="94">
        <f t="shared" si="45"/>
        <v>10000</v>
      </c>
      <c r="I317" s="94">
        <v>0</v>
      </c>
      <c r="J317" s="94">
        <v>0</v>
      </c>
      <c r="K317" s="103">
        <f t="shared" si="48"/>
        <v>0</v>
      </c>
      <c r="L317" s="104">
        <f t="shared" si="44"/>
        <v>10000</v>
      </c>
      <c r="M317" s="63">
        <f t="shared" si="49"/>
        <v>0</v>
      </c>
    </row>
    <row r="318" spans="1:13" ht="15">
      <c r="A318" s="43" t="s">
        <v>36</v>
      </c>
      <c r="B318" s="67" t="s">
        <v>37</v>
      </c>
      <c r="C318" s="77">
        <f>SUM(C319:C320)</f>
        <v>516059738</v>
      </c>
      <c r="D318" s="77">
        <f>SUM(D319:D320)</f>
        <v>681559738</v>
      </c>
      <c r="E318" s="77">
        <f>SUM(E319:E320)</f>
        <v>182047575</v>
      </c>
      <c r="F318" s="77">
        <f>SUM(F319:F320)</f>
        <v>680234289.41</v>
      </c>
      <c r="G318" s="66">
        <f t="shared" si="47"/>
        <v>0.7222296618545715</v>
      </c>
      <c r="H318" s="77">
        <f t="shared" si="45"/>
        <v>1325448.5900000334</v>
      </c>
      <c r="I318" s="77">
        <f>SUM(I319:I320)</f>
        <v>182047575</v>
      </c>
      <c r="J318" s="77">
        <f>SUM(J319:J320)</f>
        <v>680234289.41</v>
      </c>
      <c r="K318" s="47">
        <f t="shared" si="48"/>
        <v>0.7323020506959236</v>
      </c>
      <c r="L318" s="87">
        <f t="shared" si="44"/>
        <v>1325448.5900000334</v>
      </c>
      <c r="M318" s="63">
        <f t="shared" si="49"/>
        <v>0</v>
      </c>
    </row>
    <row r="319" spans="1:13" ht="15">
      <c r="A319" s="48" t="s">
        <v>38</v>
      </c>
      <c r="B319" s="62" t="s">
        <v>40</v>
      </c>
      <c r="C319" s="78">
        <v>100000</v>
      </c>
      <c r="D319" s="78">
        <v>100000</v>
      </c>
      <c r="E319" s="78">
        <f>F319-78.26</f>
        <v>0</v>
      </c>
      <c r="F319" s="78">
        <v>78.26</v>
      </c>
      <c r="G319" s="60">
        <f t="shared" si="47"/>
        <v>8.309150864147522E-08</v>
      </c>
      <c r="H319" s="78">
        <f t="shared" si="45"/>
        <v>99921.74</v>
      </c>
      <c r="I319" s="78">
        <f>J319-78.26</f>
        <v>0</v>
      </c>
      <c r="J319" s="78">
        <v>78.26</v>
      </c>
      <c r="K319" s="52">
        <f t="shared" si="48"/>
        <v>8.425032283681358E-08</v>
      </c>
      <c r="L319" s="88">
        <f t="shared" si="44"/>
        <v>99921.74</v>
      </c>
      <c r="M319" s="63">
        <f t="shared" si="49"/>
        <v>0</v>
      </c>
    </row>
    <row r="320" spans="1:13" ht="15">
      <c r="A320" s="48" t="s">
        <v>28</v>
      </c>
      <c r="B320" s="62" t="s">
        <v>33</v>
      </c>
      <c r="C320" s="78">
        <v>515959738</v>
      </c>
      <c r="D320" s="78">
        <v>681459738</v>
      </c>
      <c r="E320" s="78">
        <f>F320-498186636.15</f>
        <v>182047575</v>
      </c>
      <c r="F320" s="78">
        <v>680234211.15</v>
      </c>
      <c r="G320" s="60">
        <f t="shared" si="47"/>
        <v>0.7222295787630628</v>
      </c>
      <c r="H320" s="78">
        <f t="shared" si="45"/>
        <v>1225526.8500000238</v>
      </c>
      <c r="I320" s="78">
        <f>J320-498186636.15</f>
        <v>182047575</v>
      </c>
      <c r="J320" s="78">
        <v>680234211.15</v>
      </c>
      <c r="K320" s="52">
        <f t="shared" si="48"/>
        <v>0.7323019664456006</v>
      </c>
      <c r="L320" s="88">
        <f t="shared" si="44"/>
        <v>1225526.8500000238</v>
      </c>
      <c r="M320" s="63">
        <f t="shared" si="49"/>
        <v>0</v>
      </c>
    </row>
    <row r="321" spans="1:13" ht="14.25">
      <c r="A321" s="43" t="s">
        <v>42</v>
      </c>
      <c r="B321" s="67" t="s">
        <v>43</v>
      </c>
      <c r="C321" s="77">
        <f>SUM(C322:C326)</f>
        <v>358470206</v>
      </c>
      <c r="D321" s="77">
        <f>SUM(D322:D326)</f>
        <v>431378249.76</v>
      </c>
      <c r="E321" s="77">
        <f>SUM(E322:E326)</f>
        <v>58458832.52999997</v>
      </c>
      <c r="F321" s="77">
        <f>SUM(F322:F326)</f>
        <v>424843190.96</v>
      </c>
      <c r="G321" s="66">
        <f t="shared" si="47"/>
        <v>0.45107157772712425</v>
      </c>
      <c r="H321" s="77">
        <f>D321-F321</f>
        <v>6535058.800000012</v>
      </c>
      <c r="I321" s="77">
        <f>SUM(I322+I323+I324+I326)</f>
        <v>95437824.73000002</v>
      </c>
      <c r="J321" s="77">
        <f>SUM(J322:J326)</f>
        <v>415407280.13</v>
      </c>
      <c r="K321" s="47">
        <f t="shared" si="48"/>
        <v>0.4472041586981236</v>
      </c>
      <c r="L321" s="87">
        <f t="shared" si="44"/>
        <v>15970969.629999995</v>
      </c>
      <c r="M321" s="113">
        <f t="shared" si="49"/>
        <v>9435910.829999983</v>
      </c>
    </row>
    <row r="322" spans="1:13" ht="15">
      <c r="A322" s="48" t="s">
        <v>44</v>
      </c>
      <c r="B322" s="62" t="s">
        <v>45</v>
      </c>
      <c r="C322" s="77">
        <v>0</v>
      </c>
      <c r="D322" s="78">
        <v>0</v>
      </c>
      <c r="E322" s="78">
        <f>F322-0</f>
        <v>0</v>
      </c>
      <c r="F322" s="78">
        <v>0</v>
      </c>
      <c r="G322" s="66">
        <f t="shared" si="47"/>
        <v>0</v>
      </c>
      <c r="H322" s="77">
        <f>D322-F322</f>
        <v>0</v>
      </c>
      <c r="I322" s="77">
        <f>J322-0</f>
        <v>0</v>
      </c>
      <c r="J322" s="77">
        <v>0</v>
      </c>
      <c r="K322" s="47">
        <f t="shared" si="48"/>
        <v>0</v>
      </c>
      <c r="L322" s="87">
        <f t="shared" si="44"/>
        <v>0</v>
      </c>
      <c r="M322" s="63">
        <f t="shared" si="49"/>
        <v>0</v>
      </c>
    </row>
    <row r="323" spans="1:13" ht="15">
      <c r="A323" s="48" t="s">
        <v>229</v>
      </c>
      <c r="B323" s="62" t="s">
        <v>230</v>
      </c>
      <c r="C323" s="78">
        <v>500000</v>
      </c>
      <c r="D323" s="78">
        <v>500000</v>
      </c>
      <c r="E323" s="78">
        <f>F323-0</f>
        <v>0</v>
      </c>
      <c r="F323" s="78">
        <v>0</v>
      </c>
      <c r="G323" s="60">
        <f t="shared" si="47"/>
        <v>0</v>
      </c>
      <c r="H323" s="78">
        <f>D323-F323</f>
        <v>500000</v>
      </c>
      <c r="I323" s="78">
        <f>J323-0</f>
        <v>0</v>
      </c>
      <c r="J323" s="78">
        <v>0</v>
      </c>
      <c r="K323" s="52">
        <f t="shared" si="48"/>
        <v>0</v>
      </c>
      <c r="L323" s="88">
        <f t="shared" si="44"/>
        <v>500000</v>
      </c>
      <c r="M323" s="63">
        <f t="shared" si="49"/>
        <v>0</v>
      </c>
    </row>
    <row r="324" spans="1:13" ht="15">
      <c r="A324" s="48" t="s">
        <v>28</v>
      </c>
      <c r="B324" s="62" t="s">
        <v>33</v>
      </c>
      <c r="C324" s="78">
        <v>357730206</v>
      </c>
      <c r="D324" s="78">
        <v>430186249.76</v>
      </c>
      <c r="E324" s="78">
        <f>F324-366110751.11</f>
        <v>58462012.52999997</v>
      </c>
      <c r="F324" s="78">
        <v>424572763.64</v>
      </c>
      <c r="G324" s="60">
        <f t="shared" si="47"/>
        <v>0.4507844551358047</v>
      </c>
      <c r="H324" s="78">
        <f t="shared" si="45"/>
        <v>5613486.120000005</v>
      </c>
      <c r="I324" s="78">
        <f>J324-319756215.4</f>
        <v>95427078.73000002</v>
      </c>
      <c r="J324" s="78">
        <v>415183294.13</v>
      </c>
      <c r="K324" s="52">
        <f t="shared" si="48"/>
        <v>0.44696302794408665</v>
      </c>
      <c r="L324" s="88">
        <f t="shared" si="44"/>
        <v>15002955.629999995</v>
      </c>
      <c r="M324" s="63">
        <f t="shared" si="49"/>
        <v>9389469.50999999</v>
      </c>
    </row>
    <row r="325" spans="1:13" ht="15">
      <c r="A325" s="48" t="s">
        <v>50</v>
      </c>
      <c r="B325" s="62" t="s">
        <v>57</v>
      </c>
      <c r="C325" s="78">
        <v>0</v>
      </c>
      <c r="D325" s="78">
        <v>60000</v>
      </c>
      <c r="E325" s="78">
        <f>F325-46441.32</f>
        <v>0</v>
      </c>
      <c r="F325" s="78">
        <v>46441.32</v>
      </c>
      <c r="G325" s="60">
        <f t="shared" si="47"/>
        <v>4.9308450576303545E-05</v>
      </c>
      <c r="H325" s="78">
        <f t="shared" si="45"/>
        <v>13558.68</v>
      </c>
      <c r="I325" s="78">
        <f>J325-0</f>
        <v>0</v>
      </c>
      <c r="J325" s="78">
        <v>0</v>
      </c>
      <c r="K325" s="52">
        <f t="shared" si="48"/>
        <v>0</v>
      </c>
      <c r="L325" s="88"/>
      <c r="M325" s="63">
        <f t="shared" si="49"/>
        <v>46441.32</v>
      </c>
    </row>
    <row r="326" spans="1:13" ht="15">
      <c r="A326" s="48" t="s">
        <v>29</v>
      </c>
      <c r="B326" s="62" t="s">
        <v>263</v>
      </c>
      <c r="C326" s="78">
        <v>240000</v>
      </c>
      <c r="D326" s="78">
        <v>632000</v>
      </c>
      <c r="E326" s="78">
        <f>F326-227166</f>
        <v>-3180</v>
      </c>
      <c r="F326" s="78">
        <v>223986</v>
      </c>
      <c r="G326" s="60">
        <f t="shared" si="47"/>
        <v>0.0002378141407432848</v>
      </c>
      <c r="H326" s="78">
        <f t="shared" si="45"/>
        <v>408014</v>
      </c>
      <c r="I326" s="78">
        <f>J326-213240</f>
        <v>10746</v>
      </c>
      <c r="J326" s="78">
        <v>223986</v>
      </c>
      <c r="K326" s="52">
        <f t="shared" si="48"/>
        <v>0.00024113075403688378</v>
      </c>
      <c r="L326" s="88">
        <f t="shared" si="44"/>
        <v>408014</v>
      </c>
      <c r="M326" s="63">
        <f t="shared" si="49"/>
        <v>0</v>
      </c>
    </row>
    <row r="327" spans="1:13" ht="14.25">
      <c r="A327" s="43" t="s">
        <v>46</v>
      </c>
      <c r="B327" s="67" t="s">
        <v>47</v>
      </c>
      <c r="C327" s="77">
        <f>SUM(C328:C334)</f>
        <v>151749813</v>
      </c>
      <c r="D327" s="77">
        <f>SUM(D328:D334)</f>
        <v>198375933.48</v>
      </c>
      <c r="E327" s="77">
        <f>SUM(E328:E334)</f>
        <v>24954711.64</v>
      </c>
      <c r="F327" s="77">
        <f>SUM(F328:F334)</f>
        <v>163748529.73000002</v>
      </c>
      <c r="G327" s="66">
        <f t="shared" si="47"/>
        <v>0.17385781207627343</v>
      </c>
      <c r="H327" s="77">
        <f t="shared" si="45"/>
        <v>34627403.74999997</v>
      </c>
      <c r="I327" s="77">
        <f>SUM(I328:I334)</f>
        <v>31790345.939999986</v>
      </c>
      <c r="J327" s="77">
        <f>SUM(J328:J334)</f>
        <v>163274520.17000002</v>
      </c>
      <c r="K327" s="47">
        <f t="shared" si="48"/>
        <v>0.17577218292037225</v>
      </c>
      <c r="L327" s="87">
        <f t="shared" si="44"/>
        <v>35101413.30999997</v>
      </c>
      <c r="M327" s="113">
        <f t="shared" si="49"/>
        <v>474009.5600000024</v>
      </c>
    </row>
    <row r="328" spans="1:13" ht="15">
      <c r="A328" s="48" t="s">
        <v>28</v>
      </c>
      <c r="B328" s="62" t="s">
        <v>33</v>
      </c>
      <c r="C328" s="78">
        <v>150603768</v>
      </c>
      <c r="D328" s="78">
        <v>170387885.54</v>
      </c>
      <c r="E328" s="78">
        <f>F328-138118646.06</f>
        <v>24954316.72</v>
      </c>
      <c r="F328" s="94">
        <v>163072962.78</v>
      </c>
      <c r="G328" s="60">
        <f t="shared" si="47"/>
        <v>0.17314053789963374</v>
      </c>
      <c r="H328" s="78">
        <f t="shared" si="45"/>
        <v>7314922.75999999</v>
      </c>
      <c r="I328" s="78">
        <f>J328-130810423.43</f>
        <v>31788540.669999987</v>
      </c>
      <c r="J328" s="78">
        <v>162598964.1</v>
      </c>
      <c r="K328" s="52">
        <f t="shared" si="48"/>
        <v>0.17504491717807896</v>
      </c>
      <c r="L328" s="88">
        <f t="shared" si="44"/>
        <v>7788921.439999998</v>
      </c>
      <c r="M328" s="63">
        <f t="shared" si="49"/>
        <v>473998.68000000715</v>
      </c>
    </row>
    <row r="329" spans="1:13" ht="15">
      <c r="A329" s="48" t="s">
        <v>39</v>
      </c>
      <c r="B329" s="62" t="s">
        <v>41</v>
      </c>
      <c r="C329" s="78">
        <v>1129666</v>
      </c>
      <c r="D329" s="78">
        <v>0</v>
      </c>
      <c r="E329" s="78">
        <f>F329-0</f>
        <v>0</v>
      </c>
      <c r="F329" s="78">
        <v>0</v>
      </c>
      <c r="G329" s="60">
        <f t="shared" si="47"/>
        <v>0</v>
      </c>
      <c r="H329" s="78">
        <f t="shared" si="45"/>
        <v>0</v>
      </c>
      <c r="I329" s="78">
        <f>J329-0</f>
        <v>0</v>
      </c>
      <c r="J329" s="78">
        <v>0</v>
      </c>
      <c r="K329" s="52">
        <f t="shared" si="48"/>
        <v>0</v>
      </c>
      <c r="L329" s="88">
        <f t="shared" si="44"/>
        <v>0</v>
      </c>
      <c r="M329" s="63">
        <f t="shared" si="49"/>
        <v>0</v>
      </c>
    </row>
    <row r="330" spans="1:14" ht="15">
      <c r="A330" s="48" t="s">
        <v>232</v>
      </c>
      <c r="B330" s="62" t="s">
        <v>231</v>
      </c>
      <c r="C330" s="78">
        <v>16379</v>
      </c>
      <c r="D330" s="78">
        <v>0</v>
      </c>
      <c r="E330" s="78">
        <f>F330-0</f>
        <v>0</v>
      </c>
      <c r="F330" s="78">
        <v>0</v>
      </c>
      <c r="G330" s="60">
        <f t="shared" si="47"/>
        <v>0</v>
      </c>
      <c r="H330" s="78">
        <f t="shared" si="45"/>
        <v>0</v>
      </c>
      <c r="I330" s="78">
        <f>J330-0</f>
        <v>0</v>
      </c>
      <c r="J330" s="78">
        <v>0</v>
      </c>
      <c r="K330" s="52">
        <f t="shared" si="48"/>
        <v>0</v>
      </c>
      <c r="L330" s="88">
        <f t="shared" si="44"/>
        <v>0</v>
      </c>
      <c r="M330" s="63">
        <f t="shared" si="49"/>
        <v>0</v>
      </c>
      <c r="N330" s="117"/>
    </row>
    <row r="331" spans="1:14" ht="15">
      <c r="A331" s="48" t="s">
        <v>49</v>
      </c>
      <c r="B331" s="62" t="s">
        <v>56</v>
      </c>
      <c r="C331" s="78">
        <v>0</v>
      </c>
      <c r="D331" s="78">
        <v>79660.35</v>
      </c>
      <c r="E331" s="78">
        <f>F331-1410.35</f>
        <v>394.9200000000001</v>
      </c>
      <c r="F331" s="78">
        <v>1805.27</v>
      </c>
      <c r="G331" s="60">
        <f t="shared" si="47"/>
        <v>1.916721285525121E-06</v>
      </c>
      <c r="H331" s="78">
        <f t="shared" si="45"/>
        <v>77855.08</v>
      </c>
      <c r="I331" s="78">
        <f>J331-0</f>
        <v>1805.27</v>
      </c>
      <c r="J331" s="78">
        <v>1805.27</v>
      </c>
      <c r="K331" s="52">
        <f t="shared" si="48"/>
        <v>1.943452342289988E-06</v>
      </c>
      <c r="L331" s="88">
        <f t="shared" si="44"/>
        <v>77855.08</v>
      </c>
      <c r="M331" s="63">
        <f t="shared" si="49"/>
        <v>0</v>
      </c>
      <c r="N331" s="110"/>
    </row>
    <row r="332" spans="1:13" ht="15">
      <c r="A332" s="48" t="s">
        <v>236</v>
      </c>
      <c r="B332" s="62" t="s">
        <v>235</v>
      </c>
      <c r="C332" s="78">
        <v>0</v>
      </c>
      <c r="D332" s="78">
        <v>700000</v>
      </c>
      <c r="E332" s="78">
        <f>F332-673761.68</f>
        <v>0</v>
      </c>
      <c r="F332" s="78">
        <v>673761.68</v>
      </c>
      <c r="G332" s="60">
        <f t="shared" si="47"/>
        <v>0.0007153574553541383</v>
      </c>
      <c r="H332" s="78">
        <f t="shared" si="45"/>
        <v>26238.31999999995</v>
      </c>
      <c r="I332" s="78">
        <f>J332-673750.8</f>
        <v>0</v>
      </c>
      <c r="J332" s="78">
        <v>673750.8</v>
      </c>
      <c r="K332" s="52">
        <f t="shared" si="48"/>
        <v>0.000725322289950951</v>
      </c>
      <c r="L332" s="88">
        <f t="shared" si="44"/>
        <v>26249.199999999953</v>
      </c>
      <c r="M332" s="63">
        <f t="shared" si="49"/>
        <v>10.880000000004657</v>
      </c>
    </row>
    <row r="333" spans="1:13" ht="15">
      <c r="A333" s="48" t="s">
        <v>96</v>
      </c>
      <c r="B333" s="62" t="s">
        <v>102</v>
      </c>
      <c r="C333" s="78">
        <v>0</v>
      </c>
      <c r="D333" s="78">
        <v>13350000</v>
      </c>
      <c r="E333" s="78">
        <f>F333-0</f>
        <v>0</v>
      </c>
      <c r="F333" s="78">
        <v>0</v>
      </c>
      <c r="G333" s="60">
        <f t="shared" si="47"/>
        <v>0</v>
      </c>
      <c r="H333" s="78">
        <v>0</v>
      </c>
      <c r="I333" s="78">
        <f>J333-0</f>
        <v>0</v>
      </c>
      <c r="J333" s="78">
        <v>0</v>
      </c>
      <c r="K333" s="52">
        <f t="shared" si="48"/>
        <v>0</v>
      </c>
      <c r="L333" s="88">
        <f t="shared" si="44"/>
        <v>13350000</v>
      </c>
      <c r="M333" s="63">
        <f t="shared" si="49"/>
        <v>0</v>
      </c>
    </row>
    <row r="334" spans="1:13" ht="15">
      <c r="A334" s="48" t="s">
        <v>97</v>
      </c>
      <c r="B334" s="62" t="s">
        <v>237</v>
      </c>
      <c r="C334" s="78">
        <v>0</v>
      </c>
      <c r="D334" s="78">
        <v>13858387.59</v>
      </c>
      <c r="E334" s="78">
        <f>F334-0</f>
        <v>0</v>
      </c>
      <c r="F334" s="78">
        <v>0</v>
      </c>
      <c r="G334" s="60">
        <f t="shared" si="47"/>
        <v>0</v>
      </c>
      <c r="H334" s="78">
        <v>0</v>
      </c>
      <c r="I334" s="78">
        <f>J334-0</f>
        <v>0</v>
      </c>
      <c r="J334" s="78">
        <v>0</v>
      </c>
      <c r="K334" s="52">
        <f t="shared" si="48"/>
        <v>0</v>
      </c>
      <c r="L334" s="88">
        <f t="shared" si="44"/>
        <v>13858387.59</v>
      </c>
      <c r="M334" s="63">
        <f t="shared" si="49"/>
        <v>0</v>
      </c>
    </row>
    <row r="335" spans="1:13" ht="14.25">
      <c r="A335" s="43" t="s">
        <v>63</v>
      </c>
      <c r="B335" s="67" t="s">
        <v>62</v>
      </c>
      <c r="C335" s="77">
        <f>SUM(C336:C340)</f>
        <v>907389641</v>
      </c>
      <c r="D335" s="77">
        <f>SUM(D336:D340)</f>
        <v>999113545.59</v>
      </c>
      <c r="E335" s="77">
        <f>SUM(E336:E340)</f>
        <v>191899271.14000005</v>
      </c>
      <c r="F335" s="77">
        <f>SUM(F336:F340)</f>
        <v>949573118.7200001</v>
      </c>
      <c r="G335" s="66">
        <f t="shared" si="47"/>
        <v>1.0081965627374836</v>
      </c>
      <c r="H335" s="77">
        <f t="shared" si="45"/>
        <v>49540426.869999886</v>
      </c>
      <c r="I335" s="77">
        <f>SUM(I336:I340)</f>
        <v>191505063.67</v>
      </c>
      <c r="J335" s="77">
        <f>SUM(J336:J340)</f>
        <v>946379605.46</v>
      </c>
      <c r="K335" s="47">
        <f t="shared" si="48"/>
        <v>1.0188191577585135</v>
      </c>
      <c r="L335" s="87">
        <f t="shared" si="44"/>
        <v>52733940.129999995</v>
      </c>
      <c r="M335" s="113">
        <f t="shared" si="49"/>
        <v>3193513.2600001097</v>
      </c>
    </row>
    <row r="336" spans="1:13" ht="15">
      <c r="A336" s="48" t="s">
        <v>28</v>
      </c>
      <c r="B336" s="62" t="s">
        <v>33</v>
      </c>
      <c r="C336" s="78">
        <v>786768000</v>
      </c>
      <c r="D336" s="78">
        <v>893386168.59</v>
      </c>
      <c r="E336" s="78">
        <f>F336-698748714.13</f>
        <v>182906614.94000006</v>
      </c>
      <c r="F336" s="78">
        <v>881655329.07</v>
      </c>
      <c r="G336" s="60">
        <f t="shared" si="47"/>
        <v>0.936085757656818</v>
      </c>
      <c r="H336" s="78">
        <f t="shared" si="45"/>
        <v>11730839.51999998</v>
      </c>
      <c r="I336" s="78">
        <f>J336-696244382.03</f>
        <v>185339137.39999998</v>
      </c>
      <c r="J336" s="78">
        <v>881583519.43</v>
      </c>
      <c r="K336" s="52">
        <f t="shared" si="48"/>
        <v>0.9490633288984387</v>
      </c>
      <c r="L336" s="88">
        <f t="shared" si="44"/>
        <v>11802649.160000086</v>
      </c>
      <c r="M336" s="63">
        <f t="shared" si="49"/>
        <v>71809.6400001049</v>
      </c>
    </row>
    <row r="337" spans="1:13" ht="15">
      <c r="A337" s="48" t="s">
        <v>49</v>
      </c>
      <c r="B337" s="62" t="s">
        <v>56</v>
      </c>
      <c r="C337" s="78">
        <v>118554828</v>
      </c>
      <c r="D337" s="78">
        <v>104554828</v>
      </c>
      <c r="E337" s="78">
        <f>F337-57875133.45</f>
        <v>9023786</v>
      </c>
      <c r="F337" s="78">
        <v>66898919.45</v>
      </c>
      <c r="G337" s="60">
        <f t="shared" si="47"/>
        <v>0.07102903326840058</v>
      </c>
      <c r="H337" s="78">
        <f t="shared" si="45"/>
        <v>37655908.55</v>
      </c>
      <c r="I337" s="78">
        <f>J337-57864633.39</f>
        <v>5912582.439999998</v>
      </c>
      <c r="J337" s="78">
        <v>63777215.83</v>
      </c>
      <c r="K337" s="52">
        <f t="shared" si="48"/>
        <v>0.06865897039752923</v>
      </c>
      <c r="L337" s="88">
        <f t="shared" si="44"/>
        <v>40777612.17</v>
      </c>
      <c r="M337" s="63">
        <f t="shared" si="49"/>
        <v>3121703.620000005</v>
      </c>
    </row>
    <row r="338" spans="1:13" ht="15">
      <c r="A338" s="48" t="s">
        <v>29</v>
      </c>
      <c r="B338" s="62" t="s">
        <v>34</v>
      </c>
      <c r="C338" s="78">
        <v>2062549</v>
      </c>
      <c r="D338" s="78">
        <v>1172549</v>
      </c>
      <c r="E338" s="78">
        <f>F338-1050000</f>
        <v>-31129.800000000047</v>
      </c>
      <c r="F338" s="78">
        <v>1018870.2</v>
      </c>
      <c r="G338" s="60">
        <f t="shared" si="47"/>
        <v>0.0010817718122647787</v>
      </c>
      <c r="H338" s="78">
        <f t="shared" si="45"/>
        <v>153678.80000000005</v>
      </c>
      <c r="I338" s="78">
        <f>J338-765526.37</f>
        <v>253343.82999999996</v>
      </c>
      <c r="J338" s="78">
        <v>1018870.2</v>
      </c>
      <c r="K338" s="52">
        <f t="shared" si="48"/>
        <v>0.0010968584625454742</v>
      </c>
      <c r="L338" s="88">
        <f t="shared" si="44"/>
        <v>153678.80000000005</v>
      </c>
      <c r="M338" s="63">
        <f t="shared" si="49"/>
        <v>0</v>
      </c>
    </row>
    <row r="339" spans="1:13" ht="15">
      <c r="A339" s="48" t="s">
        <v>64</v>
      </c>
      <c r="B339" s="62" t="s">
        <v>72</v>
      </c>
      <c r="C339" s="78">
        <v>4264</v>
      </c>
      <c r="D339" s="78">
        <v>0</v>
      </c>
      <c r="E339" s="78">
        <f>F339-0</f>
        <v>0</v>
      </c>
      <c r="F339" s="78">
        <v>0</v>
      </c>
      <c r="G339" s="60">
        <f t="shared" si="47"/>
        <v>0</v>
      </c>
      <c r="H339" s="78">
        <f t="shared" si="45"/>
        <v>0</v>
      </c>
      <c r="I339" s="78">
        <f>J339-0</f>
        <v>0</v>
      </c>
      <c r="J339" s="78">
        <v>0</v>
      </c>
      <c r="K339" s="52">
        <f t="shared" si="48"/>
        <v>0</v>
      </c>
      <c r="L339" s="88">
        <f t="shared" si="44"/>
        <v>0</v>
      </c>
      <c r="M339" s="63">
        <f t="shared" si="49"/>
        <v>0</v>
      </c>
    </row>
    <row r="340" spans="1:13" ht="15">
      <c r="A340" s="48" t="s">
        <v>65</v>
      </c>
      <c r="B340" s="62" t="s">
        <v>73</v>
      </c>
      <c r="C340" s="78">
        <v>0</v>
      </c>
      <c r="D340" s="78">
        <v>0</v>
      </c>
      <c r="E340" s="78">
        <f>F340-0</f>
        <v>0</v>
      </c>
      <c r="F340" s="78">
        <v>0</v>
      </c>
      <c r="G340" s="60">
        <f t="shared" si="47"/>
        <v>0</v>
      </c>
      <c r="H340" s="78">
        <f t="shared" si="45"/>
        <v>0</v>
      </c>
      <c r="I340" s="78">
        <f>J340-0</f>
        <v>0</v>
      </c>
      <c r="J340" s="78">
        <v>0</v>
      </c>
      <c r="K340" s="52">
        <f t="shared" si="48"/>
        <v>0</v>
      </c>
      <c r="L340" s="88">
        <f t="shared" si="44"/>
        <v>0</v>
      </c>
      <c r="M340" s="63">
        <f t="shared" si="49"/>
        <v>0</v>
      </c>
    </row>
    <row r="341" spans="1:13" ht="14.25">
      <c r="A341" s="43" t="s">
        <v>81</v>
      </c>
      <c r="B341" s="67" t="s">
        <v>80</v>
      </c>
      <c r="C341" s="77">
        <f>SUM(C342:C344)</f>
        <v>8465754</v>
      </c>
      <c r="D341" s="77">
        <f>SUM(D342:D344)</f>
        <v>7230052.63</v>
      </c>
      <c r="E341" s="77">
        <f>SUM(E342:E344)</f>
        <v>1078622.31</v>
      </c>
      <c r="F341" s="77">
        <f>SUM(F342:F344)</f>
        <v>6704048.7700000005</v>
      </c>
      <c r="G341" s="66">
        <f t="shared" si="47"/>
        <v>0.007117934146503019</v>
      </c>
      <c r="H341" s="77">
        <f t="shared" si="45"/>
        <v>526003.8599999994</v>
      </c>
      <c r="I341" s="77">
        <f>SUM(I342:I344)</f>
        <v>1570664.9700000002</v>
      </c>
      <c r="J341" s="77">
        <f>SUM(J342:J344)</f>
        <v>6704048.7700000005</v>
      </c>
      <c r="K341" s="47">
        <f t="shared" si="48"/>
        <v>0.007217202570741669</v>
      </c>
      <c r="L341" s="87">
        <f t="shared" si="44"/>
        <v>526003.8599999994</v>
      </c>
      <c r="M341" s="113">
        <f t="shared" si="49"/>
        <v>0</v>
      </c>
    </row>
    <row r="342" spans="1:13" ht="15">
      <c r="A342" s="48" t="s">
        <v>28</v>
      </c>
      <c r="B342" s="62" t="s">
        <v>33</v>
      </c>
      <c r="C342" s="78">
        <v>8461843</v>
      </c>
      <c r="D342" s="78">
        <v>6836141.63</v>
      </c>
      <c r="E342" s="78">
        <f>F342-5282267.65</f>
        <v>1106424.58</v>
      </c>
      <c r="F342" s="78">
        <v>6388692.23</v>
      </c>
      <c r="G342" s="60">
        <f t="shared" si="47"/>
        <v>0.0067831085565649195</v>
      </c>
      <c r="H342" s="78">
        <f>D342-F342</f>
        <v>447449.39999999944</v>
      </c>
      <c r="I342" s="78">
        <f>J342-4905485.36</f>
        <v>1483206.87</v>
      </c>
      <c r="J342" s="78">
        <v>6388692.23</v>
      </c>
      <c r="K342" s="52">
        <f t="shared" si="48"/>
        <v>0.006877707422470515</v>
      </c>
      <c r="L342" s="88">
        <f>D342-J342</f>
        <v>447449.39999999944</v>
      </c>
      <c r="M342" s="63">
        <f t="shared" si="49"/>
        <v>0</v>
      </c>
    </row>
    <row r="343" spans="1:13" ht="15">
      <c r="A343" s="48" t="s">
        <v>82</v>
      </c>
      <c r="B343" s="62" t="s">
        <v>84</v>
      </c>
      <c r="C343" s="78">
        <v>3911</v>
      </c>
      <c r="D343" s="78">
        <v>393911</v>
      </c>
      <c r="E343" s="78">
        <f>F343-343158.81</f>
        <v>-27802.27000000002</v>
      </c>
      <c r="F343" s="78">
        <v>315356.54</v>
      </c>
      <c r="G343" s="60">
        <f t="shared" si="47"/>
        <v>0.00033482558993810024</v>
      </c>
      <c r="H343" s="78">
        <f>D343-F343</f>
        <v>78554.46000000002</v>
      </c>
      <c r="I343" s="78">
        <f>J343-227898.44</f>
        <v>87458.09999999998</v>
      </c>
      <c r="J343" s="78">
        <v>315356.54</v>
      </c>
      <c r="K343" s="52">
        <f t="shared" si="48"/>
        <v>0.00033949514827115397</v>
      </c>
      <c r="L343" s="88">
        <f>D343-J343</f>
        <v>78554.46000000002</v>
      </c>
      <c r="M343" s="63">
        <f t="shared" si="49"/>
        <v>0</v>
      </c>
    </row>
    <row r="344" spans="1:13" ht="15">
      <c r="A344" s="48" t="s">
        <v>83</v>
      </c>
      <c r="B344" s="62" t="s">
        <v>264</v>
      </c>
      <c r="C344" s="78">
        <v>0</v>
      </c>
      <c r="D344" s="78">
        <v>0</v>
      </c>
      <c r="E344" s="78">
        <f>F344-0</f>
        <v>0</v>
      </c>
      <c r="F344" s="78">
        <v>0</v>
      </c>
      <c r="G344" s="60">
        <f aca="true" t="shared" si="50" ref="G344:G353">(F344/$F$296)*100</f>
        <v>0</v>
      </c>
      <c r="H344" s="78">
        <f t="shared" si="45"/>
        <v>0</v>
      </c>
      <c r="I344" s="78">
        <f>J344-0</f>
        <v>0</v>
      </c>
      <c r="J344" s="78">
        <v>0</v>
      </c>
      <c r="K344" s="52">
        <f aca="true" t="shared" si="51" ref="K344:K353">(J344/$J$296)*100</f>
        <v>0</v>
      </c>
      <c r="L344" s="88">
        <f t="shared" si="44"/>
        <v>0</v>
      </c>
      <c r="M344" s="63">
        <f t="shared" si="49"/>
        <v>0</v>
      </c>
    </row>
    <row r="345" spans="1:13" ht="14.25">
      <c r="A345" s="43" t="s">
        <v>87</v>
      </c>
      <c r="B345" s="67" t="s">
        <v>86</v>
      </c>
      <c r="C345" s="77">
        <f>C346</f>
        <v>163192661</v>
      </c>
      <c r="D345" s="77">
        <f>D346</f>
        <v>704642661</v>
      </c>
      <c r="E345" s="77">
        <f>E346</f>
        <v>248971468.9</v>
      </c>
      <c r="F345" s="77">
        <f>F346</f>
        <v>475352739.23</v>
      </c>
      <c r="G345" s="66">
        <f t="shared" si="50"/>
        <v>0.5046994152757278</v>
      </c>
      <c r="H345" s="77">
        <f t="shared" si="45"/>
        <v>229289921.76999998</v>
      </c>
      <c r="I345" s="77">
        <f>I346</f>
        <v>248971468.90000004</v>
      </c>
      <c r="J345" s="77">
        <f>J346</f>
        <v>474942335.66</v>
      </c>
      <c r="K345" s="47">
        <f t="shared" si="51"/>
        <v>0.5112962574524058</v>
      </c>
      <c r="L345" s="87">
        <f t="shared" si="44"/>
        <v>229700325.33999997</v>
      </c>
      <c r="M345" s="113">
        <f t="shared" si="49"/>
        <v>410403.56999999285</v>
      </c>
    </row>
    <row r="346" spans="1:13" ht="15">
      <c r="A346" s="48" t="s">
        <v>28</v>
      </c>
      <c r="B346" s="62" t="s">
        <v>33</v>
      </c>
      <c r="C346" s="78">
        <v>163192661</v>
      </c>
      <c r="D346" s="78">
        <v>704642661</v>
      </c>
      <c r="E346" s="78">
        <f>F346-226381270.33</f>
        <v>248971468.9</v>
      </c>
      <c r="F346" s="78">
        <v>475352739.23</v>
      </c>
      <c r="G346" s="60">
        <f t="shared" si="50"/>
        <v>0.5046994152757278</v>
      </c>
      <c r="H346" s="78">
        <f t="shared" si="45"/>
        <v>229289921.76999998</v>
      </c>
      <c r="I346" s="78">
        <f>J346-225970866.76</f>
        <v>248971468.90000004</v>
      </c>
      <c r="J346" s="78">
        <v>474942335.66</v>
      </c>
      <c r="K346" s="52">
        <f t="shared" si="51"/>
        <v>0.5112962574524058</v>
      </c>
      <c r="L346" s="88">
        <f t="shared" si="44"/>
        <v>229700325.33999997</v>
      </c>
      <c r="M346" s="63">
        <f t="shared" si="49"/>
        <v>410403.56999999285</v>
      </c>
    </row>
    <row r="347" spans="1:13" ht="14.25">
      <c r="A347" s="43" t="s">
        <v>90</v>
      </c>
      <c r="B347" s="67" t="s">
        <v>91</v>
      </c>
      <c r="C347" s="77">
        <f>SUM(C348:C350)</f>
        <v>1601898938</v>
      </c>
      <c r="D347" s="77">
        <f>SUM(D348:D350)</f>
        <v>2031324327.45</v>
      </c>
      <c r="E347" s="77">
        <f>SUM(E348:E350)</f>
        <v>304433049.60000014</v>
      </c>
      <c r="F347" s="77">
        <f>SUM(F348:F350)</f>
        <v>1970872486.54</v>
      </c>
      <c r="G347" s="66">
        <f t="shared" si="50"/>
        <v>2.0925475114564804</v>
      </c>
      <c r="H347" s="77">
        <f>D347-F347</f>
        <v>60451840.910000086</v>
      </c>
      <c r="I347" s="77">
        <f>SUM(I348:I350)</f>
        <v>391694686.6800002</v>
      </c>
      <c r="J347" s="77">
        <f>SUM(J348:J350)</f>
        <v>1970863961.64</v>
      </c>
      <c r="K347" s="47">
        <f t="shared" si="51"/>
        <v>2.121721505693986</v>
      </c>
      <c r="L347" s="87">
        <f>D347-J347</f>
        <v>60460365.80999994</v>
      </c>
      <c r="M347" s="113">
        <f t="shared" si="49"/>
        <v>8524.899999856949</v>
      </c>
    </row>
    <row r="348" spans="1:13" ht="15">
      <c r="A348" s="48" t="s">
        <v>28</v>
      </c>
      <c r="B348" s="62" t="s">
        <v>33</v>
      </c>
      <c r="C348" s="78">
        <v>55607145</v>
      </c>
      <c r="D348" s="78">
        <v>99581000.06</v>
      </c>
      <c r="E348" s="78">
        <f>F348-91480106.14</f>
        <v>7752750.480000004</v>
      </c>
      <c r="F348" s="78">
        <v>99232856.62</v>
      </c>
      <c r="G348" s="60">
        <f t="shared" si="50"/>
        <v>0.10535915874468439</v>
      </c>
      <c r="H348" s="78">
        <f t="shared" si="45"/>
        <v>348143.4399999976</v>
      </c>
      <c r="I348" s="78">
        <f>J348-75268731.84</f>
        <v>23955599.879999995</v>
      </c>
      <c r="J348" s="78">
        <v>99224331.72</v>
      </c>
      <c r="K348" s="52">
        <f t="shared" si="51"/>
        <v>0.10681934552360187</v>
      </c>
      <c r="L348" s="88">
        <f t="shared" si="44"/>
        <v>356668.3400000036</v>
      </c>
      <c r="M348" s="63">
        <f t="shared" si="49"/>
        <v>8524.90000000596</v>
      </c>
    </row>
    <row r="349" spans="1:13" ht="15">
      <c r="A349" s="48" t="s">
        <v>67</v>
      </c>
      <c r="B349" s="62" t="s">
        <v>75</v>
      </c>
      <c r="C349" s="78">
        <v>1546291793</v>
      </c>
      <c r="D349" s="78">
        <v>1929544378.23</v>
      </c>
      <c r="E349" s="78">
        <f>F349-1573128830.8</f>
        <v>296680299.1200001</v>
      </c>
      <c r="F349" s="78">
        <v>1869809129.92</v>
      </c>
      <c r="G349" s="60">
        <f t="shared" si="50"/>
        <v>1.9852448438111032</v>
      </c>
      <c r="H349" s="78">
        <f t="shared" si="45"/>
        <v>59735248.30999994</v>
      </c>
      <c r="I349" s="78">
        <f>J349-1502331543.12</f>
        <v>367477586.8000002</v>
      </c>
      <c r="J349" s="78">
        <v>1869809129.92</v>
      </c>
      <c r="K349" s="52">
        <f t="shared" si="51"/>
        <v>2.012931546626393</v>
      </c>
      <c r="L349" s="88">
        <f t="shared" si="44"/>
        <v>59735248.30999994</v>
      </c>
      <c r="M349" s="63">
        <f t="shared" si="49"/>
        <v>0</v>
      </c>
    </row>
    <row r="350" spans="1:13" ht="15">
      <c r="A350" s="48" t="s">
        <v>94</v>
      </c>
      <c r="B350" s="62" t="s">
        <v>100</v>
      </c>
      <c r="C350" s="78">
        <v>0</v>
      </c>
      <c r="D350" s="78">
        <v>2198949.16</v>
      </c>
      <c r="E350" s="78">
        <f>F350-1830500</f>
        <v>0</v>
      </c>
      <c r="F350" s="78">
        <v>1830500</v>
      </c>
      <c r="G350" s="60">
        <f t="shared" si="50"/>
        <v>0.0019435089006928238</v>
      </c>
      <c r="H350" s="78">
        <f t="shared" si="45"/>
        <v>368449.16000000015</v>
      </c>
      <c r="I350" s="78">
        <f>J350-1569000</f>
        <v>261500</v>
      </c>
      <c r="J350" s="78">
        <v>1830500</v>
      </c>
      <c r="K350" s="52">
        <f t="shared" si="51"/>
        <v>0.0019706135439916594</v>
      </c>
      <c r="L350" s="88">
        <f t="shared" si="44"/>
        <v>368449.16000000015</v>
      </c>
      <c r="M350" s="63">
        <f t="shared" si="49"/>
        <v>0</v>
      </c>
    </row>
    <row r="351" spans="1:13" ht="14.25">
      <c r="A351" s="43" t="s">
        <v>104</v>
      </c>
      <c r="B351" s="67" t="s">
        <v>103</v>
      </c>
      <c r="C351" s="77">
        <f>C352+C353</f>
        <v>761366</v>
      </c>
      <c r="D351" s="77">
        <f>D352+D353</f>
        <v>1341366</v>
      </c>
      <c r="E351" s="77">
        <f>E352+E353</f>
        <v>297548.14000000013</v>
      </c>
      <c r="F351" s="77">
        <f>F352+F353</f>
        <v>1260974.59</v>
      </c>
      <c r="G351" s="66">
        <f t="shared" si="50"/>
        <v>0.0013388229113425207</v>
      </c>
      <c r="H351" s="77">
        <f t="shared" si="45"/>
        <v>80391.40999999992</v>
      </c>
      <c r="I351" s="77">
        <f>I352+I353</f>
        <v>299650.3800000001</v>
      </c>
      <c r="J351" s="77">
        <f>J352+J353</f>
        <v>1260974.59</v>
      </c>
      <c r="K351" s="47">
        <f t="shared" si="51"/>
        <v>0.001357494458171718</v>
      </c>
      <c r="L351" s="87">
        <f t="shared" si="44"/>
        <v>80391.40999999992</v>
      </c>
      <c r="M351" s="113">
        <f t="shared" si="49"/>
        <v>0</v>
      </c>
    </row>
    <row r="352" spans="1:13" ht="15">
      <c r="A352" s="48" t="s">
        <v>28</v>
      </c>
      <c r="B352" s="62" t="s">
        <v>33</v>
      </c>
      <c r="C352" s="78">
        <v>761366</v>
      </c>
      <c r="D352" s="78">
        <v>1341366</v>
      </c>
      <c r="E352" s="78">
        <f>F352-963426.45</f>
        <v>297548.14000000013</v>
      </c>
      <c r="F352" s="78">
        <v>1260974.59</v>
      </c>
      <c r="G352" s="60">
        <f t="shared" si="50"/>
        <v>0.0013388229113425207</v>
      </c>
      <c r="H352" s="78">
        <f t="shared" si="45"/>
        <v>80391.40999999992</v>
      </c>
      <c r="I352" s="78">
        <f>J352-961324.21</f>
        <v>299650.3800000001</v>
      </c>
      <c r="J352" s="78">
        <v>1260974.59</v>
      </c>
      <c r="K352" s="52">
        <f t="shared" si="51"/>
        <v>0.001357494458171718</v>
      </c>
      <c r="L352" s="88">
        <f t="shared" si="44"/>
        <v>80391.40999999992</v>
      </c>
      <c r="M352" s="63">
        <f t="shared" si="49"/>
        <v>0</v>
      </c>
    </row>
    <row r="353" spans="1:13" ht="15">
      <c r="A353" s="48" t="s">
        <v>105</v>
      </c>
      <c r="B353" s="62" t="s">
        <v>107</v>
      </c>
      <c r="C353" s="78">
        <v>0</v>
      </c>
      <c r="D353" s="78">
        <v>0</v>
      </c>
      <c r="E353" s="78">
        <f>F353-0</f>
        <v>0</v>
      </c>
      <c r="F353" s="78">
        <v>0</v>
      </c>
      <c r="G353" s="60">
        <f t="shared" si="50"/>
        <v>0</v>
      </c>
      <c r="H353" s="78">
        <f t="shared" si="45"/>
        <v>0</v>
      </c>
      <c r="I353" s="78">
        <f>J353-0</f>
        <v>0</v>
      </c>
      <c r="J353" s="78">
        <v>0</v>
      </c>
      <c r="K353" s="52">
        <f t="shared" si="51"/>
        <v>0</v>
      </c>
      <c r="L353" s="88">
        <f t="shared" si="44"/>
        <v>0</v>
      </c>
      <c r="M353" s="63">
        <f t="shared" si="49"/>
        <v>0</v>
      </c>
    </row>
    <row r="354" spans="1:13" ht="14.25">
      <c r="A354" s="43" t="s">
        <v>109</v>
      </c>
      <c r="B354" s="67" t="s">
        <v>110</v>
      </c>
      <c r="C354" s="77">
        <f>SUM(C355:C361)</f>
        <v>926920069</v>
      </c>
      <c r="D354" s="77">
        <f>SUM(D355:D361)</f>
        <v>1185143463.41</v>
      </c>
      <c r="E354" s="77">
        <f>SUM(E355:E361)</f>
        <v>106046566.22</v>
      </c>
      <c r="F354" s="77">
        <f>SUM(F355:F361)</f>
        <v>1065591969.78</v>
      </c>
      <c r="G354" s="66">
        <f aca="true" t="shared" si="52" ref="G354:G402">(F354/$F$296)*100</f>
        <v>1.1313780266453035</v>
      </c>
      <c r="H354" s="77">
        <f t="shared" si="45"/>
        <v>119551493.63000011</v>
      </c>
      <c r="I354" s="77">
        <f>SUM(I355:I361)</f>
        <v>245938028.36</v>
      </c>
      <c r="J354" s="77">
        <f>SUM(J355:J361)</f>
        <v>1065591969.78</v>
      </c>
      <c r="K354" s="47">
        <f aca="true" t="shared" si="53" ref="K354:K402">(J354/$J$296)*100</f>
        <v>1.1471564971413377</v>
      </c>
      <c r="L354" s="87">
        <f t="shared" si="44"/>
        <v>119551493.63000011</v>
      </c>
      <c r="M354" s="113">
        <f t="shared" si="49"/>
        <v>0</v>
      </c>
    </row>
    <row r="355" spans="1:13" ht="15">
      <c r="A355" s="48" t="s">
        <v>28</v>
      </c>
      <c r="B355" s="62" t="s">
        <v>33</v>
      </c>
      <c r="C355" s="78">
        <v>333146469</v>
      </c>
      <c r="D355" s="78">
        <v>444438875.74</v>
      </c>
      <c r="E355" s="78">
        <f>F355-349654868.63</f>
        <v>89921953.86000001</v>
      </c>
      <c r="F355" s="78">
        <v>439576822.49</v>
      </c>
      <c r="G355" s="60">
        <f t="shared" si="52"/>
        <v>0.46671481401124526</v>
      </c>
      <c r="H355" s="78">
        <f t="shared" si="45"/>
        <v>4862053.25</v>
      </c>
      <c r="I355" s="78">
        <f>J355-312095938.38</f>
        <v>127480884.11000001</v>
      </c>
      <c r="J355" s="78">
        <v>439576822.49</v>
      </c>
      <c r="K355" s="52">
        <f t="shared" si="53"/>
        <v>0.4732237312338768</v>
      </c>
      <c r="L355" s="88">
        <f t="shared" si="44"/>
        <v>4862053.25</v>
      </c>
      <c r="M355" s="63">
        <f t="shared" si="49"/>
        <v>0</v>
      </c>
    </row>
    <row r="356" spans="1:13" ht="15">
      <c r="A356" s="48" t="s">
        <v>29</v>
      </c>
      <c r="B356" s="62" t="s">
        <v>34</v>
      </c>
      <c r="C356" s="78">
        <v>0</v>
      </c>
      <c r="D356" s="78">
        <v>0</v>
      </c>
      <c r="E356" s="78">
        <f>F356-0</f>
        <v>0</v>
      </c>
      <c r="F356" s="78">
        <v>0</v>
      </c>
      <c r="G356" s="60">
        <f t="shared" si="52"/>
        <v>0</v>
      </c>
      <c r="H356" s="78">
        <f t="shared" si="45"/>
        <v>0</v>
      </c>
      <c r="I356" s="78">
        <f>J356-0</f>
        <v>0</v>
      </c>
      <c r="J356" s="78">
        <v>0</v>
      </c>
      <c r="K356" s="52">
        <f t="shared" si="53"/>
        <v>0</v>
      </c>
      <c r="L356" s="88">
        <f t="shared" si="44"/>
        <v>0</v>
      </c>
      <c r="M356" s="63">
        <f t="shared" si="49"/>
        <v>0</v>
      </c>
    </row>
    <row r="357" spans="1:13" ht="15">
      <c r="A357" s="48" t="s">
        <v>82</v>
      </c>
      <c r="B357" s="62" t="s">
        <v>84</v>
      </c>
      <c r="C357" s="78">
        <v>0</v>
      </c>
      <c r="D357" s="78">
        <v>339440.93</v>
      </c>
      <c r="E357" s="78">
        <f>F357-307440.93</f>
        <v>-149110</v>
      </c>
      <c r="F357" s="78">
        <v>158330.93</v>
      </c>
      <c r="G357" s="60">
        <f t="shared" si="52"/>
        <v>0.00016810574799779973</v>
      </c>
      <c r="H357" s="78">
        <f>D357-F357</f>
        <v>181110</v>
      </c>
      <c r="I357" s="78">
        <f>J357-158330.93</f>
        <v>0</v>
      </c>
      <c r="J357" s="78">
        <v>158330.93</v>
      </c>
      <c r="K357" s="52">
        <f t="shared" si="53"/>
        <v>0.00017045019125419027</v>
      </c>
      <c r="L357" s="88">
        <f>D357-J357</f>
        <v>181110</v>
      </c>
      <c r="M357" s="63">
        <f t="shared" si="49"/>
        <v>0</v>
      </c>
    </row>
    <row r="358" spans="1:13" ht="15">
      <c r="A358" s="48" t="s">
        <v>111</v>
      </c>
      <c r="B358" s="62" t="s">
        <v>118</v>
      </c>
      <c r="C358" s="78">
        <v>132185335</v>
      </c>
      <c r="D358" s="78">
        <v>196199411.67</v>
      </c>
      <c r="E358" s="78">
        <f>F358-167885335</f>
        <v>-1714076.669999987</v>
      </c>
      <c r="F358" s="78">
        <v>166171258.33</v>
      </c>
      <c r="G358" s="60">
        <f t="shared" si="52"/>
        <v>0.1764301117747509</v>
      </c>
      <c r="H358" s="78">
        <f>D358-F358</f>
        <v>30028153.339999974</v>
      </c>
      <c r="I358" s="78">
        <f>J358-141471994.98</f>
        <v>24699263.350000024</v>
      </c>
      <c r="J358" s="78">
        <v>166171258.33</v>
      </c>
      <c r="K358" s="52">
        <f t="shared" si="53"/>
        <v>0.1788906486136219</v>
      </c>
      <c r="L358" s="88">
        <f>D358-J358</f>
        <v>30028153.339999974</v>
      </c>
      <c r="M358" s="63">
        <f t="shared" si="49"/>
        <v>0</v>
      </c>
    </row>
    <row r="359" spans="1:13" ht="15">
      <c r="A359" s="48" t="s">
        <v>112</v>
      </c>
      <c r="B359" s="62" t="s">
        <v>119</v>
      </c>
      <c r="C359" s="78">
        <v>447697759</v>
      </c>
      <c r="D359" s="78">
        <v>543765735.07</v>
      </c>
      <c r="E359" s="78">
        <f>F359-441697759</f>
        <v>17987799.02999997</v>
      </c>
      <c r="F359" s="78">
        <v>459685558.03</v>
      </c>
      <c r="G359" s="60">
        <f t="shared" si="52"/>
        <v>0.4880649951113097</v>
      </c>
      <c r="H359" s="78">
        <f t="shared" si="45"/>
        <v>84080177.04000008</v>
      </c>
      <c r="I359" s="78">
        <f>J359-365927677.13</f>
        <v>93757880.89999998</v>
      </c>
      <c r="J359" s="78">
        <v>459685558.03</v>
      </c>
      <c r="K359" s="52">
        <f t="shared" si="53"/>
        <v>0.4948716671025849</v>
      </c>
      <c r="L359" s="88">
        <f t="shared" si="44"/>
        <v>84080177.04000008</v>
      </c>
      <c r="M359" s="63">
        <f t="shared" si="49"/>
        <v>0</v>
      </c>
    </row>
    <row r="360" spans="1:13" ht="15">
      <c r="A360" s="48" t="s">
        <v>114</v>
      </c>
      <c r="B360" s="62" t="s">
        <v>121</v>
      </c>
      <c r="C360" s="78">
        <v>13490506</v>
      </c>
      <c r="D360" s="78">
        <v>0</v>
      </c>
      <c r="E360" s="78">
        <f>F360-0</f>
        <v>0</v>
      </c>
      <c r="F360" s="78">
        <v>0</v>
      </c>
      <c r="G360" s="60">
        <f t="shared" si="52"/>
        <v>0</v>
      </c>
      <c r="H360" s="78">
        <f t="shared" si="45"/>
        <v>0</v>
      </c>
      <c r="I360" s="78">
        <f>J360-0</f>
        <v>0</v>
      </c>
      <c r="J360" s="78">
        <v>0</v>
      </c>
      <c r="K360" s="52">
        <f t="shared" si="53"/>
        <v>0</v>
      </c>
      <c r="L360" s="88">
        <f t="shared" si="44"/>
        <v>0</v>
      </c>
      <c r="M360" s="63">
        <f t="shared" si="49"/>
        <v>0</v>
      </c>
    </row>
    <row r="361" spans="1:13" ht="15">
      <c r="A361" s="48" t="s">
        <v>251</v>
      </c>
      <c r="B361" s="62" t="s">
        <v>252</v>
      </c>
      <c r="C361" s="78">
        <v>400000</v>
      </c>
      <c r="D361" s="78">
        <v>400000</v>
      </c>
      <c r="E361" s="78">
        <f>F361-0</f>
        <v>0</v>
      </c>
      <c r="F361" s="78">
        <v>0</v>
      </c>
      <c r="G361" s="60">
        <f t="shared" si="52"/>
        <v>0</v>
      </c>
      <c r="H361" s="78">
        <f t="shared" si="45"/>
        <v>400000</v>
      </c>
      <c r="I361" s="78">
        <f>J361-0</f>
        <v>0</v>
      </c>
      <c r="J361" s="78">
        <v>0</v>
      </c>
      <c r="K361" s="52">
        <f t="shared" si="53"/>
        <v>0</v>
      </c>
      <c r="L361" s="88">
        <f t="shared" si="44"/>
        <v>400000</v>
      </c>
      <c r="M361" s="63">
        <f t="shared" si="49"/>
        <v>0</v>
      </c>
    </row>
    <row r="362" spans="1:13" ht="14.25">
      <c r="A362" s="43" t="s">
        <v>125</v>
      </c>
      <c r="B362" s="67" t="s">
        <v>126</v>
      </c>
      <c r="C362" s="77">
        <f>SUM(C363:C364)</f>
        <v>11409506</v>
      </c>
      <c r="D362" s="77">
        <f>SUM(D363:D364)</f>
        <v>11815662.63</v>
      </c>
      <c r="E362" s="77">
        <f>SUM(E363:E364)</f>
        <v>2079469.5700000003</v>
      </c>
      <c r="F362" s="77">
        <f>SUM(F363:F364)</f>
        <v>10871300.43</v>
      </c>
      <c r="G362" s="66">
        <f t="shared" si="52"/>
        <v>0.011542457879164556</v>
      </c>
      <c r="H362" s="77">
        <f t="shared" si="45"/>
        <v>944362.2000000011</v>
      </c>
      <c r="I362" s="77">
        <f>SUM(I363:I364)</f>
        <v>2465160.369999999</v>
      </c>
      <c r="J362" s="77">
        <f>SUM(J363:J364)</f>
        <v>10871300.43</v>
      </c>
      <c r="K362" s="47">
        <f t="shared" si="53"/>
        <v>0.011703431777197678</v>
      </c>
      <c r="L362" s="87">
        <f>D362-J362</f>
        <v>944362.2000000011</v>
      </c>
      <c r="M362" s="113">
        <f t="shared" si="49"/>
        <v>0</v>
      </c>
    </row>
    <row r="363" spans="1:13" ht="15">
      <c r="A363" s="48" t="s">
        <v>28</v>
      </c>
      <c r="B363" s="62" t="s">
        <v>33</v>
      </c>
      <c r="C363" s="78">
        <v>9941353</v>
      </c>
      <c r="D363" s="78">
        <v>11222509.63</v>
      </c>
      <c r="E363" s="78">
        <f>F363-8791830.86</f>
        <v>2079469.5700000003</v>
      </c>
      <c r="F363" s="78">
        <v>10871300.43</v>
      </c>
      <c r="G363" s="60">
        <f t="shared" si="52"/>
        <v>0.011542457879164556</v>
      </c>
      <c r="H363" s="78">
        <f t="shared" si="45"/>
        <v>351209.2000000011</v>
      </c>
      <c r="I363" s="78">
        <f>J363-8406140.06</f>
        <v>2465160.369999999</v>
      </c>
      <c r="J363" s="78">
        <v>10871300.43</v>
      </c>
      <c r="K363" s="52">
        <f t="shared" si="53"/>
        <v>0.011703431777197678</v>
      </c>
      <c r="L363" s="88">
        <f>D363-J363</f>
        <v>351209.2000000011</v>
      </c>
      <c r="M363" s="63">
        <f t="shared" si="49"/>
        <v>0</v>
      </c>
    </row>
    <row r="364" spans="1:13" ht="15">
      <c r="A364" s="48" t="s">
        <v>117</v>
      </c>
      <c r="B364" s="62" t="s">
        <v>124</v>
      </c>
      <c r="C364" s="78">
        <v>1468153</v>
      </c>
      <c r="D364" s="78">
        <v>593153</v>
      </c>
      <c r="E364" s="78">
        <f>F364-0</f>
        <v>0</v>
      </c>
      <c r="F364" s="78">
        <v>0</v>
      </c>
      <c r="G364" s="60">
        <f t="shared" si="52"/>
        <v>0</v>
      </c>
      <c r="H364" s="78">
        <f t="shared" si="45"/>
        <v>593153</v>
      </c>
      <c r="I364" s="78">
        <f>J364-0</f>
        <v>0</v>
      </c>
      <c r="J364" s="78">
        <v>0</v>
      </c>
      <c r="K364" s="52">
        <f t="shared" si="53"/>
        <v>0</v>
      </c>
      <c r="L364" s="88">
        <f>D364-J364</f>
        <v>593153</v>
      </c>
      <c r="M364" s="63">
        <f t="shared" si="49"/>
        <v>0</v>
      </c>
    </row>
    <row r="365" spans="1:13" ht="14.25">
      <c r="A365" s="69" t="s">
        <v>129</v>
      </c>
      <c r="B365" s="67" t="s">
        <v>130</v>
      </c>
      <c r="C365" s="77">
        <f>C366</f>
        <v>1376573</v>
      </c>
      <c r="D365" s="77">
        <f>D366+D367</f>
        <v>2043070.16</v>
      </c>
      <c r="E365" s="77">
        <f>E366+E367</f>
        <v>359369.76</v>
      </c>
      <c r="F365" s="77">
        <f>F366+F367</f>
        <v>1646815.58</v>
      </c>
      <c r="G365" s="66">
        <f t="shared" si="52"/>
        <v>0.0017484844236709178</v>
      </c>
      <c r="H365" s="77">
        <f t="shared" si="45"/>
        <v>396254.57999999984</v>
      </c>
      <c r="I365" s="77">
        <f>I366</f>
        <v>359369.76</v>
      </c>
      <c r="J365" s="77">
        <f>J366</f>
        <v>1646815.58</v>
      </c>
      <c r="K365" s="47">
        <f t="shared" si="53"/>
        <v>0.0017728692086339689</v>
      </c>
      <c r="L365" s="87">
        <f t="shared" si="44"/>
        <v>396254.57999999984</v>
      </c>
      <c r="M365" s="113">
        <f t="shared" si="49"/>
        <v>0</v>
      </c>
    </row>
    <row r="366" spans="1:13" ht="15">
      <c r="A366" s="57" t="s">
        <v>28</v>
      </c>
      <c r="B366" s="62" t="s">
        <v>33</v>
      </c>
      <c r="C366" s="78">
        <v>1376573</v>
      </c>
      <c r="D366" s="78">
        <v>2043070.16</v>
      </c>
      <c r="E366" s="78">
        <f>F366-1287445.82</f>
        <v>359369.76</v>
      </c>
      <c r="F366" s="78">
        <v>1646815.58</v>
      </c>
      <c r="G366" s="60">
        <f t="shared" si="52"/>
        <v>0.0017484844236709178</v>
      </c>
      <c r="H366" s="78">
        <f t="shared" si="45"/>
        <v>396254.57999999984</v>
      </c>
      <c r="I366" s="78">
        <f>J366-1287445.82</f>
        <v>359369.76</v>
      </c>
      <c r="J366" s="78">
        <v>1646815.58</v>
      </c>
      <c r="K366" s="52">
        <f t="shared" si="53"/>
        <v>0.0017728692086339689</v>
      </c>
      <c r="L366" s="88">
        <f t="shared" si="44"/>
        <v>396254.57999999984</v>
      </c>
      <c r="M366" s="63">
        <f t="shared" si="49"/>
        <v>0</v>
      </c>
    </row>
    <row r="367" spans="1:13" ht="15">
      <c r="A367" s="57" t="s">
        <v>49</v>
      </c>
      <c r="B367" s="62" t="s">
        <v>56</v>
      </c>
      <c r="C367" s="78">
        <v>0</v>
      </c>
      <c r="D367" s="78">
        <v>0</v>
      </c>
      <c r="E367" s="78">
        <f>F367-0</f>
        <v>0</v>
      </c>
      <c r="F367" s="78">
        <v>0</v>
      </c>
      <c r="G367" s="60">
        <f t="shared" si="52"/>
        <v>0</v>
      </c>
      <c r="H367" s="78">
        <f t="shared" si="45"/>
        <v>0</v>
      </c>
      <c r="I367" s="78">
        <f>J367-0</f>
        <v>0</v>
      </c>
      <c r="J367" s="78">
        <v>0</v>
      </c>
      <c r="K367" s="52">
        <f t="shared" si="53"/>
        <v>0</v>
      </c>
      <c r="L367" s="88">
        <f t="shared" si="44"/>
        <v>0</v>
      </c>
      <c r="M367" s="63">
        <f t="shared" si="49"/>
        <v>0</v>
      </c>
    </row>
    <row r="368" spans="1:13" ht="14.25">
      <c r="A368" s="69" t="s">
        <v>133</v>
      </c>
      <c r="B368" s="67" t="s">
        <v>134</v>
      </c>
      <c r="C368" s="77">
        <f>C369+C370</f>
        <v>535812</v>
      </c>
      <c r="D368" s="77">
        <f>D369+D370</f>
        <v>2184878.0300000003</v>
      </c>
      <c r="E368" s="77">
        <f>E369+E370</f>
        <v>490729.6000000001</v>
      </c>
      <c r="F368" s="77">
        <f>F369+F370</f>
        <v>1676511.29</v>
      </c>
      <c r="G368" s="66">
        <f t="shared" si="52"/>
        <v>0.001780013446723304</v>
      </c>
      <c r="H368" s="77">
        <f t="shared" si="45"/>
        <v>508366.7400000002</v>
      </c>
      <c r="I368" s="77">
        <f>I369+I370</f>
        <v>580572.47</v>
      </c>
      <c r="J368" s="77">
        <f>J369+J370</f>
        <v>1669148.08</v>
      </c>
      <c r="K368" s="47">
        <f t="shared" si="53"/>
        <v>0.001796911124488213</v>
      </c>
      <c r="L368" s="87">
        <f t="shared" si="44"/>
        <v>515729.9500000002</v>
      </c>
      <c r="M368" s="113">
        <f t="shared" si="49"/>
        <v>7363.209999999963</v>
      </c>
    </row>
    <row r="369" spans="1:13" ht="15">
      <c r="A369" s="64" t="s">
        <v>28</v>
      </c>
      <c r="B369" s="58" t="s">
        <v>33</v>
      </c>
      <c r="C369" s="78">
        <v>380530</v>
      </c>
      <c r="D369" s="78">
        <v>2029596.03</v>
      </c>
      <c r="E369" s="78">
        <f>F369-1185781.69</f>
        <v>490729.6000000001</v>
      </c>
      <c r="F369" s="78">
        <v>1676511.29</v>
      </c>
      <c r="G369" s="60">
        <f t="shared" si="52"/>
        <v>0.001780013446723304</v>
      </c>
      <c r="H369" s="78">
        <f t="shared" si="45"/>
        <v>353084.74</v>
      </c>
      <c r="I369" s="78">
        <f>J369-1088575.61</f>
        <v>580572.47</v>
      </c>
      <c r="J369" s="78">
        <v>1669148.08</v>
      </c>
      <c r="K369" s="52">
        <f t="shared" si="53"/>
        <v>0.001796911124488213</v>
      </c>
      <c r="L369" s="88">
        <f t="shared" si="44"/>
        <v>360447.94999999995</v>
      </c>
      <c r="M369" s="63">
        <f t="shared" si="49"/>
        <v>7363.209999999963</v>
      </c>
    </row>
    <row r="370" spans="1:13" ht="15">
      <c r="A370" s="64" t="s">
        <v>135</v>
      </c>
      <c r="B370" s="58" t="s">
        <v>136</v>
      </c>
      <c r="C370" s="78">
        <v>155282</v>
      </c>
      <c r="D370" s="78">
        <v>155282</v>
      </c>
      <c r="E370" s="78">
        <f>F370-0</f>
        <v>0</v>
      </c>
      <c r="F370" s="78">
        <v>0</v>
      </c>
      <c r="G370" s="60">
        <f t="shared" si="52"/>
        <v>0</v>
      </c>
      <c r="H370" s="78">
        <f t="shared" si="45"/>
        <v>155282</v>
      </c>
      <c r="I370" s="78">
        <f>J370-0</f>
        <v>0</v>
      </c>
      <c r="J370" s="78">
        <v>0</v>
      </c>
      <c r="K370" s="52">
        <f t="shared" si="53"/>
        <v>0</v>
      </c>
      <c r="L370" s="88">
        <f t="shared" si="44"/>
        <v>155282</v>
      </c>
      <c r="M370" s="63">
        <f t="shared" si="49"/>
        <v>0</v>
      </c>
    </row>
    <row r="371" spans="1:13" ht="14.25">
      <c r="A371" s="70" t="s">
        <v>138</v>
      </c>
      <c r="B371" s="71" t="s">
        <v>137</v>
      </c>
      <c r="C371" s="77">
        <f>C372+C373+C374</f>
        <v>188973</v>
      </c>
      <c r="D371" s="77">
        <f>D372+D373+D374</f>
        <v>231423.96</v>
      </c>
      <c r="E371" s="77">
        <f>E372+E373+E374</f>
        <v>73347.81</v>
      </c>
      <c r="F371" s="77">
        <f>F372+F373+F374</f>
        <v>123581.12</v>
      </c>
      <c r="G371" s="66">
        <f t="shared" si="52"/>
        <v>0.00013121060184517232</v>
      </c>
      <c r="H371" s="77">
        <f t="shared" si="45"/>
        <v>107842.84</v>
      </c>
      <c r="I371" s="77">
        <f>I372+I373+I374</f>
        <v>73347.81</v>
      </c>
      <c r="J371" s="77">
        <f>J372+J373+J374</f>
        <v>123581.12</v>
      </c>
      <c r="K371" s="47">
        <f t="shared" si="53"/>
        <v>0.00013304049650568616</v>
      </c>
      <c r="L371" s="87">
        <f t="shared" si="44"/>
        <v>107842.84</v>
      </c>
      <c r="M371" s="113">
        <f t="shared" si="49"/>
        <v>0</v>
      </c>
    </row>
    <row r="372" spans="1:13" ht="15">
      <c r="A372" s="64" t="s">
        <v>28</v>
      </c>
      <c r="B372" s="58" t="s">
        <v>33</v>
      </c>
      <c r="C372" s="78">
        <v>188973</v>
      </c>
      <c r="D372" s="78">
        <v>231423.96</v>
      </c>
      <c r="E372" s="78">
        <f>F372-50233.31</f>
        <v>73347.81</v>
      </c>
      <c r="F372" s="78">
        <v>123581.12</v>
      </c>
      <c r="G372" s="60">
        <f t="shared" si="52"/>
        <v>0.00013121060184517232</v>
      </c>
      <c r="H372" s="78">
        <f t="shared" si="45"/>
        <v>107842.84</v>
      </c>
      <c r="I372" s="78">
        <f>J372-50233.31</f>
        <v>73347.81</v>
      </c>
      <c r="J372" s="78">
        <v>123581.12</v>
      </c>
      <c r="K372" s="52">
        <f t="shared" si="53"/>
        <v>0.00013304049650568616</v>
      </c>
      <c r="L372" s="88">
        <f t="shared" si="44"/>
        <v>107842.84</v>
      </c>
      <c r="M372" s="63">
        <f t="shared" si="49"/>
        <v>0</v>
      </c>
    </row>
    <row r="373" spans="1:13" ht="15">
      <c r="A373" s="43" t="s">
        <v>141</v>
      </c>
      <c r="B373" s="46" t="s">
        <v>142</v>
      </c>
      <c r="C373" s="77">
        <f>C374</f>
        <v>0</v>
      </c>
      <c r="D373" s="77">
        <f>D374</f>
        <v>0</v>
      </c>
      <c r="E373" s="77">
        <f>E374</f>
        <v>0</v>
      </c>
      <c r="F373" s="77">
        <f>F374</f>
        <v>0</v>
      </c>
      <c r="G373" s="66">
        <f>(F373/$F$296)*100</f>
        <v>0</v>
      </c>
      <c r="H373" s="77">
        <f>D373-F373</f>
        <v>0</v>
      </c>
      <c r="I373" s="77">
        <f>I374</f>
        <v>0</v>
      </c>
      <c r="J373" s="77">
        <f>J374</f>
        <v>0</v>
      </c>
      <c r="K373" s="47">
        <f t="shared" si="53"/>
        <v>0</v>
      </c>
      <c r="L373" s="87">
        <f t="shared" si="44"/>
        <v>0</v>
      </c>
      <c r="M373" s="63">
        <f t="shared" si="49"/>
        <v>0</v>
      </c>
    </row>
    <row r="374" spans="1:13" ht="15">
      <c r="A374" s="64" t="s">
        <v>143</v>
      </c>
      <c r="B374" s="58" t="s">
        <v>144</v>
      </c>
      <c r="C374" s="78">
        <v>0</v>
      </c>
      <c r="D374" s="78">
        <v>0</v>
      </c>
      <c r="E374" s="78">
        <f>F374-0</f>
        <v>0</v>
      </c>
      <c r="F374" s="78">
        <v>0</v>
      </c>
      <c r="G374" s="60">
        <f>(F374/$F$296)*100</f>
        <v>0</v>
      </c>
      <c r="H374" s="78">
        <f t="shared" si="45"/>
        <v>0</v>
      </c>
      <c r="I374" s="78">
        <f>J374-0</f>
        <v>0</v>
      </c>
      <c r="J374" s="78">
        <v>0</v>
      </c>
      <c r="K374" s="52">
        <f>(J374/$J$296)*100</f>
        <v>0</v>
      </c>
      <c r="L374" s="88">
        <f t="shared" si="44"/>
        <v>0</v>
      </c>
      <c r="M374" s="63">
        <f t="shared" si="49"/>
        <v>0</v>
      </c>
    </row>
    <row r="375" spans="1:13" ht="14.25">
      <c r="A375" s="70" t="s">
        <v>149</v>
      </c>
      <c r="B375" s="71" t="s">
        <v>150</v>
      </c>
      <c r="C375" s="77">
        <f>C376</f>
        <v>11781568</v>
      </c>
      <c r="D375" s="77">
        <f>D376</f>
        <v>15263816.96</v>
      </c>
      <c r="E375" s="77">
        <f>E376</f>
        <v>3154355.630000001</v>
      </c>
      <c r="F375" s="77">
        <f>F376</f>
        <v>14749337.07</v>
      </c>
      <c r="G375" s="66">
        <f t="shared" si="52"/>
        <v>0.015659911431228416</v>
      </c>
      <c r="H375" s="77">
        <f aca="true" t="shared" si="54" ref="H375:H382">D375-F375</f>
        <v>514479.8900000006</v>
      </c>
      <c r="I375" s="77">
        <f>I376</f>
        <v>3225617.33</v>
      </c>
      <c r="J375" s="77">
        <f>J376</f>
        <v>14717717.19</v>
      </c>
      <c r="K375" s="47">
        <f t="shared" si="53"/>
        <v>0.015844268140536938</v>
      </c>
      <c r="L375" s="87">
        <f t="shared" si="44"/>
        <v>546099.7700000014</v>
      </c>
      <c r="M375" s="113">
        <f t="shared" si="49"/>
        <v>31619.88000000082</v>
      </c>
    </row>
    <row r="376" spans="1:13" ht="15">
      <c r="A376" s="64" t="s">
        <v>28</v>
      </c>
      <c r="B376" s="58" t="s">
        <v>33</v>
      </c>
      <c r="C376" s="78">
        <v>11781568</v>
      </c>
      <c r="D376" s="78">
        <v>15263816.96</v>
      </c>
      <c r="E376" s="78">
        <f>F376-11594981.44</f>
        <v>3154355.630000001</v>
      </c>
      <c r="F376" s="78">
        <v>14749337.07</v>
      </c>
      <c r="G376" s="60">
        <f t="shared" si="52"/>
        <v>0.015659911431228416</v>
      </c>
      <c r="H376" s="78">
        <f t="shared" si="54"/>
        <v>514479.8900000006</v>
      </c>
      <c r="I376" s="78">
        <f>J376-11492099.86</f>
        <v>3225617.33</v>
      </c>
      <c r="J376" s="78">
        <v>14717717.19</v>
      </c>
      <c r="K376" s="52">
        <f t="shared" si="53"/>
        <v>0.015844268140536938</v>
      </c>
      <c r="L376" s="88">
        <f t="shared" si="44"/>
        <v>546099.7700000014</v>
      </c>
      <c r="M376" s="63">
        <f t="shared" si="49"/>
        <v>31619.88000000082</v>
      </c>
    </row>
    <row r="377" spans="1:13" ht="15">
      <c r="A377" s="70" t="s">
        <v>158</v>
      </c>
      <c r="B377" s="71" t="s">
        <v>159</v>
      </c>
      <c r="C377" s="77">
        <f>SUM(C378:C381)</f>
        <v>10044556</v>
      </c>
      <c r="D377" s="77">
        <f>SUM(D378:D381)</f>
        <v>12228898.22</v>
      </c>
      <c r="E377" s="77">
        <f>SUM(E378:E381)</f>
        <v>5571648.26</v>
      </c>
      <c r="F377" s="77">
        <f>SUM(F378:F381)</f>
        <v>12071605.12</v>
      </c>
      <c r="G377" s="66">
        <f t="shared" si="52"/>
        <v>0.012816865335355946</v>
      </c>
      <c r="H377" s="77">
        <f t="shared" si="54"/>
        <v>157293.1000000015</v>
      </c>
      <c r="I377" s="77">
        <f>SUM(I378:I380)</f>
        <v>5698525.5</v>
      </c>
      <c r="J377" s="77">
        <f>SUM(J378:J380)</f>
        <v>12071605.12</v>
      </c>
      <c r="K377" s="47">
        <f t="shared" si="53"/>
        <v>0.012995612426763758</v>
      </c>
      <c r="L377" s="87">
        <f t="shared" si="44"/>
        <v>157293.1000000015</v>
      </c>
      <c r="M377" s="63">
        <f t="shared" si="49"/>
        <v>0</v>
      </c>
    </row>
    <row r="378" spans="1:13" ht="15">
      <c r="A378" s="64" t="s">
        <v>28</v>
      </c>
      <c r="B378" s="58" t="s">
        <v>33</v>
      </c>
      <c r="C378" s="78">
        <v>10044556</v>
      </c>
      <c r="D378" s="78">
        <v>8238671.95</v>
      </c>
      <c r="E378" s="78">
        <f>F378-6499956.86</f>
        <v>1581421.9899999993</v>
      </c>
      <c r="F378" s="78">
        <v>8081378.85</v>
      </c>
      <c r="G378" s="66">
        <f t="shared" si="52"/>
        <v>0.008580295943646945</v>
      </c>
      <c r="H378" s="78">
        <f t="shared" si="54"/>
        <v>157293.10000000056</v>
      </c>
      <c r="I378" s="78">
        <f>J378-6373079.62</f>
        <v>1708299.2299999995</v>
      </c>
      <c r="J378" s="78">
        <v>8081378.85</v>
      </c>
      <c r="K378" s="52">
        <f t="shared" si="53"/>
        <v>0.008699958817775329</v>
      </c>
      <c r="L378" s="88">
        <f t="shared" si="44"/>
        <v>157293.10000000056</v>
      </c>
      <c r="M378" s="63">
        <f aca="true" t="shared" si="55" ref="M378:M405">F378-J378</f>
        <v>0</v>
      </c>
    </row>
    <row r="379" spans="1:13" ht="15">
      <c r="A379" s="64" t="s">
        <v>50</v>
      </c>
      <c r="B379" s="58" t="s">
        <v>57</v>
      </c>
      <c r="C379" s="78">
        <v>0</v>
      </c>
      <c r="D379" s="78">
        <v>0</v>
      </c>
      <c r="E379" s="78">
        <f>F379-0</f>
        <v>0</v>
      </c>
      <c r="F379" s="78">
        <v>0</v>
      </c>
      <c r="G379" s="66">
        <f t="shared" si="52"/>
        <v>0</v>
      </c>
      <c r="H379" s="78">
        <f t="shared" si="54"/>
        <v>0</v>
      </c>
      <c r="I379" s="78">
        <f>J379-0</f>
        <v>0</v>
      </c>
      <c r="J379" s="78">
        <v>0</v>
      </c>
      <c r="K379" s="52">
        <f t="shared" si="53"/>
        <v>0</v>
      </c>
      <c r="L379" s="88">
        <f t="shared" si="44"/>
        <v>0</v>
      </c>
      <c r="M379" s="63">
        <f t="shared" si="55"/>
        <v>0</v>
      </c>
    </row>
    <row r="380" spans="1:13" ht="15">
      <c r="A380" s="64" t="s">
        <v>96</v>
      </c>
      <c r="B380" s="58" t="s">
        <v>102</v>
      </c>
      <c r="C380" s="78">
        <v>0</v>
      </c>
      <c r="D380" s="78">
        <v>3990226.27</v>
      </c>
      <c r="E380" s="78">
        <f>F380-0</f>
        <v>3990226.27</v>
      </c>
      <c r="F380" s="78">
        <v>3990226.27</v>
      </c>
      <c r="G380" s="66">
        <f t="shared" si="52"/>
        <v>0.004236569391709001</v>
      </c>
      <c r="H380" s="78">
        <f t="shared" si="54"/>
        <v>0</v>
      </c>
      <c r="I380" s="78">
        <f>J380-0</f>
        <v>3990226.27</v>
      </c>
      <c r="J380" s="78">
        <v>3990226.27</v>
      </c>
      <c r="K380" s="52">
        <f t="shared" si="53"/>
        <v>0.004295653608988429</v>
      </c>
      <c r="L380" s="88">
        <f t="shared" si="44"/>
        <v>0</v>
      </c>
      <c r="M380" s="63">
        <f t="shared" si="55"/>
        <v>0</v>
      </c>
    </row>
    <row r="381" spans="1:13" ht="15">
      <c r="A381" s="64" t="s">
        <v>97</v>
      </c>
      <c r="B381" s="58" t="s">
        <v>237</v>
      </c>
      <c r="C381" s="78">
        <v>0</v>
      </c>
      <c r="D381" s="78">
        <v>0</v>
      </c>
      <c r="E381" s="78">
        <f>F381-0</f>
        <v>0</v>
      </c>
      <c r="F381" s="78">
        <v>0</v>
      </c>
      <c r="G381" s="66">
        <f t="shared" si="52"/>
        <v>0</v>
      </c>
      <c r="H381" s="78">
        <f t="shared" si="54"/>
        <v>0</v>
      </c>
      <c r="I381" s="78">
        <f>J381-0</f>
        <v>0</v>
      </c>
      <c r="J381" s="78">
        <v>0</v>
      </c>
      <c r="K381" s="52">
        <f t="shared" si="53"/>
        <v>0</v>
      </c>
      <c r="L381" s="88">
        <f t="shared" si="44"/>
        <v>0</v>
      </c>
      <c r="M381" s="63">
        <f t="shared" si="55"/>
        <v>0</v>
      </c>
    </row>
    <row r="382" spans="1:13" ht="14.25">
      <c r="A382" s="70" t="s">
        <v>162</v>
      </c>
      <c r="B382" s="71" t="s">
        <v>163</v>
      </c>
      <c r="C382" s="77">
        <f>SUM(C383:C386)</f>
        <v>7459022</v>
      </c>
      <c r="D382" s="77">
        <f>SUM(D383:D386)</f>
        <v>6761130.6</v>
      </c>
      <c r="E382" s="77">
        <f>SUM(E383:E386)</f>
        <v>1255661.9700000002</v>
      </c>
      <c r="F382" s="77">
        <f>SUM(F383:F386)</f>
        <v>6260386.24</v>
      </c>
      <c r="G382" s="66">
        <f t="shared" si="52"/>
        <v>0.006646881387170107</v>
      </c>
      <c r="H382" s="77">
        <f t="shared" si="54"/>
        <v>500744.3599999994</v>
      </c>
      <c r="I382" s="77">
        <f>SUM(I383:I386)</f>
        <v>1430260.16</v>
      </c>
      <c r="J382" s="77">
        <f>SUM(J383:J386)</f>
        <v>6260386.24</v>
      </c>
      <c r="K382" s="47">
        <f t="shared" si="53"/>
        <v>0.006739580396155705</v>
      </c>
      <c r="L382" s="87">
        <f t="shared" si="44"/>
        <v>500744.3599999994</v>
      </c>
      <c r="M382" s="113">
        <f t="shared" si="55"/>
        <v>0</v>
      </c>
    </row>
    <row r="383" spans="1:13" ht="15">
      <c r="A383" s="57" t="s">
        <v>28</v>
      </c>
      <c r="B383" s="49" t="s">
        <v>33</v>
      </c>
      <c r="C383" s="78">
        <v>7026865</v>
      </c>
      <c r="D383" s="78">
        <v>6440722.6</v>
      </c>
      <c r="E383" s="78">
        <f>F383-4935476.67</f>
        <v>1243807.7400000002</v>
      </c>
      <c r="F383" s="78">
        <v>6179284.41</v>
      </c>
      <c r="G383" s="60">
        <f t="shared" si="52"/>
        <v>0.006560772603522209</v>
      </c>
      <c r="H383" s="78">
        <f>D383-F383</f>
        <v>261438.18999999948</v>
      </c>
      <c r="I383" s="78">
        <f>J383-4767803.24</f>
        <v>1411481.17</v>
      </c>
      <c r="J383" s="78">
        <v>6179284.41</v>
      </c>
      <c r="K383" s="52">
        <f t="shared" si="53"/>
        <v>0.006652270718668402</v>
      </c>
      <c r="L383" s="88">
        <f t="shared" si="44"/>
        <v>261438.18999999948</v>
      </c>
      <c r="M383" s="63">
        <f t="shared" si="55"/>
        <v>0</v>
      </c>
    </row>
    <row r="384" spans="1:13" ht="15">
      <c r="A384" s="57" t="s">
        <v>96</v>
      </c>
      <c r="B384" s="49" t="s">
        <v>102</v>
      </c>
      <c r="C384" s="78">
        <v>42282</v>
      </c>
      <c r="D384" s="78">
        <v>42282</v>
      </c>
      <c r="E384" s="78">
        <f>F384-0</f>
        <v>0</v>
      </c>
      <c r="F384" s="78">
        <v>0</v>
      </c>
      <c r="G384" s="60">
        <f t="shared" si="52"/>
        <v>0</v>
      </c>
      <c r="H384" s="78">
        <f>D384-F384</f>
        <v>42282</v>
      </c>
      <c r="I384" s="78">
        <f>J384-0</f>
        <v>0</v>
      </c>
      <c r="J384" s="78">
        <v>0</v>
      </c>
      <c r="K384" s="52">
        <f t="shared" si="53"/>
        <v>0</v>
      </c>
      <c r="L384" s="88">
        <f t="shared" si="44"/>
        <v>42282</v>
      </c>
      <c r="M384" s="63">
        <f t="shared" si="55"/>
        <v>0</v>
      </c>
    </row>
    <row r="385" spans="1:13" ht="15">
      <c r="A385" s="57" t="s">
        <v>270</v>
      </c>
      <c r="B385" s="49" t="s">
        <v>272</v>
      </c>
      <c r="C385" s="78">
        <v>111749</v>
      </c>
      <c r="D385" s="78">
        <v>80000</v>
      </c>
      <c r="E385" s="78">
        <f>F385-0</f>
        <v>0</v>
      </c>
      <c r="F385" s="78">
        <v>0</v>
      </c>
      <c r="G385" s="60">
        <f t="shared" si="52"/>
        <v>0</v>
      </c>
      <c r="H385" s="78">
        <f>D385-F385</f>
        <v>80000</v>
      </c>
      <c r="I385" s="78">
        <f>J385-0</f>
        <v>0</v>
      </c>
      <c r="J385" s="78">
        <v>0</v>
      </c>
      <c r="K385" s="52">
        <f t="shared" si="53"/>
        <v>0</v>
      </c>
      <c r="L385" s="88">
        <f t="shared" si="44"/>
        <v>80000</v>
      </c>
      <c r="M385" s="63">
        <f t="shared" si="55"/>
        <v>0</v>
      </c>
    </row>
    <row r="386" spans="1:13" ht="15">
      <c r="A386" s="57" t="s">
        <v>271</v>
      </c>
      <c r="B386" s="49" t="s">
        <v>273</v>
      </c>
      <c r="C386" s="78">
        <v>278126</v>
      </c>
      <c r="D386" s="78">
        <v>198126</v>
      </c>
      <c r="E386" s="78">
        <f>F386-69247.6</f>
        <v>11854.229999999996</v>
      </c>
      <c r="F386" s="78">
        <v>81101.83</v>
      </c>
      <c r="G386" s="60">
        <f t="shared" si="52"/>
        <v>8.610878364789744E-05</v>
      </c>
      <c r="H386" s="78">
        <f>D386-F386</f>
        <v>117024.17</v>
      </c>
      <c r="I386" s="78">
        <f>J386-62322.84</f>
        <v>18778.990000000005</v>
      </c>
      <c r="J386" s="78">
        <v>81101.83</v>
      </c>
      <c r="K386" s="52">
        <f t="shared" si="53"/>
        <v>8.730967748730351E-05</v>
      </c>
      <c r="L386" s="88">
        <f t="shared" si="44"/>
        <v>117024.17</v>
      </c>
      <c r="M386" s="63">
        <f t="shared" si="55"/>
        <v>0</v>
      </c>
    </row>
    <row r="387" spans="1:13" ht="14.25">
      <c r="A387" s="70" t="s">
        <v>175</v>
      </c>
      <c r="B387" s="71" t="s">
        <v>174</v>
      </c>
      <c r="C387" s="77">
        <f>C388</f>
        <v>1019220</v>
      </c>
      <c r="D387" s="77">
        <f>D388</f>
        <v>1884370.44</v>
      </c>
      <c r="E387" s="77">
        <f>E388</f>
        <v>288765.30000000005</v>
      </c>
      <c r="F387" s="77">
        <f>F388</f>
        <v>1733574.24</v>
      </c>
      <c r="G387" s="66">
        <f t="shared" si="52"/>
        <v>0.0018405992709378842</v>
      </c>
      <c r="H387" s="77">
        <f aca="true" t="shared" si="56" ref="H387:H399">D387-F387</f>
        <v>150796.19999999995</v>
      </c>
      <c r="I387" s="77">
        <f>I388</f>
        <v>385911.6199999999</v>
      </c>
      <c r="J387" s="77">
        <f>J388</f>
        <v>1733574.24</v>
      </c>
      <c r="K387" s="47">
        <f t="shared" si="53"/>
        <v>0.0018662687117503671</v>
      </c>
      <c r="L387" s="87">
        <f>D387-J387</f>
        <v>150796.19999999995</v>
      </c>
      <c r="M387" s="113">
        <f t="shared" si="55"/>
        <v>0</v>
      </c>
    </row>
    <row r="388" spans="1:13" ht="15">
      <c r="A388" s="64" t="s">
        <v>28</v>
      </c>
      <c r="B388" s="58" t="s">
        <v>33</v>
      </c>
      <c r="C388" s="78">
        <v>1019220</v>
      </c>
      <c r="D388" s="78">
        <v>1884370.44</v>
      </c>
      <c r="E388" s="78">
        <f>F388-1444808.94</f>
        <v>288765.30000000005</v>
      </c>
      <c r="F388" s="78">
        <v>1733574.24</v>
      </c>
      <c r="G388" s="60">
        <f t="shared" si="52"/>
        <v>0.0018405992709378842</v>
      </c>
      <c r="H388" s="78">
        <f t="shared" si="56"/>
        <v>150796.19999999995</v>
      </c>
      <c r="I388" s="78">
        <f>J388-1347662.62</f>
        <v>385911.6199999999</v>
      </c>
      <c r="J388" s="78">
        <v>1733574.24</v>
      </c>
      <c r="K388" s="52">
        <f t="shared" si="53"/>
        <v>0.0018662687117503671</v>
      </c>
      <c r="L388" s="88">
        <f>D388-J388</f>
        <v>150796.19999999995</v>
      </c>
      <c r="M388" s="63">
        <f t="shared" si="55"/>
        <v>0</v>
      </c>
    </row>
    <row r="389" spans="1:13" ht="14.25">
      <c r="A389" s="70" t="s">
        <v>178</v>
      </c>
      <c r="B389" s="71" t="s">
        <v>179</v>
      </c>
      <c r="C389" s="77">
        <f>C390+C391</f>
        <v>6985329</v>
      </c>
      <c r="D389" s="77">
        <f>D390+D391</f>
        <v>6892907.53</v>
      </c>
      <c r="E389" s="77">
        <f>E390+E391</f>
        <v>931515.6699999999</v>
      </c>
      <c r="F389" s="77">
        <f>F390+F391</f>
        <v>4650581.17</v>
      </c>
      <c r="G389" s="66">
        <f t="shared" si="52"/>
        <v>0.004937692377650612</v>
      </c>
      <c r="H389" s="77">
        <f t="shared" si="56"/>
        <v>2242326.3600000003</v>
      </c>
      <c r="I389" s="77">
        <f>I390+I391</f>
        <v>1046794.7999999998</v>
      </c>
      <c r="J389" s="77">
        <f>J390+J391</f>
        <v>4646481.17</v>
      </c>
      <c r="K389" s="47">
        <f t="shared" si="53"/>
        <v>0.005002140795140241</v>
      </c>
      <c r="L389" s="87">
        <f>D389-J389</f>
        <v>2246426.3600000003</v>
      </c>
      <c r="M389" s="113">
        <f t="shared" si="55"/>
        <v>4100</v>
      </c>
    </row>
    <row r="390" spans="1:13" ht="15">
      <c r="A390" s="64" t="s">
        <v>28</v>
      </c>
      <c r="B390" s="58" t="s">
        <v>33</v>
      </c>
      <c r="C390" s="78">
        <v>6985329</v>
      </c>
      <c r="D390" s="78">
        <v>6787744.33</v>
      </c>
      <c r="E390" s="78">
        <f>F390-3719065.5</f>
        <v>931515.6699999999</v>
      </c>
      <c r="F390" s="78">
        <v>4650581.17</v>
      </c>
      <c r="G390" s="60">
        <f t="shared" si="52"/>
        <v>0.004937692377650612</v>
      </c>
      <c r="H390" s="78">
        <f t="shared" si="56"/>
        <v>2137163.16</v>
      </c>
      <c r="I390" s="78">
        <f>J390-3599686.37</f>
        <v>1046794.7999999998</v>
      </c>
      <c r="J390" s="78">
        <v>4646481.17</v>
      </c>
      <c r="K390" s="52">
        <f t="shared" si="53"/>
        <v>0.005002140795140241</v>
      </c>
      <c r="L390" s="88">
        <f aca="true" t="shared" si="57" ref="L390:L399">D390-J390</f>
        <v>2141263.16</v>
      </c>
      <c r="M390" s="63">
        <f t="shared" si="55"/>
        <v>4100</v>
      </c>
    </row>
    <row r="391" spans="1:13" ht="15">
      <c r="A391" s="64" t="s">
        <v>50</v>
      </c>
      <c r="B391" s="58" t="s">
        <v>57</v>
      </c>
      <c r="C391" s="78">
        <v>0</v>
      </c>
      <c r="D391" s="78">
        <v>105163.2</v>
      </c>
      <c r="E391" s="78">
        <f>F391-0</f>
        <v>0</v>
      </c>
      <c r="F391" s="78">
        <v>0</v>
      </c>
      <c r="G391" s="60">
        <f t="shared" si="52"/>
        <v>0</v>
      </c>
      <c r="H391" s="78">
        <f t="shared" si="56"/>
        <v>105163.2</v>
      </c>
      <c r="I391" s="78">
        <f>J391-0</f>
        <v>0</v>
      </c>
      <c r="J391" s="78">
        <v>0</v>
      </c>
      <c r="K391" s="52">
        <f t="shared" si="53"/>
        <v>0</v>
      </c>
      <c r="L391" s="88">
        <f t="shared" si="57"/>
        <v>105163.2</v>
      </c>
      <c r="M391" s="63">
        <f t="shared" si="55"/>
        <v>0</v>
      </c>
    </row>
    <row r="392" spans="1:13" ht="14.25">
      <c r="A392" s="70" t="s">
        <v>189</v>
      </c>
      <c r="B392" s="71" t="s">
        <v>190</v>
      </c>
      <c r="C392" s="77">
        <f>SUM(C393:C394)</f>
        <v>4528425</v>
      </c>
      <c r="D392" s="77">
        <f>SUM(D393:D394)</f>
        <v>5228740.279999999</v>
      </c>
      <c r="E392" s="77">
        <f>SUM(E393:E394)</f>
        <v>489206.79000000004</v>
      </c>
      <c r="F392" s="77">
        <f>SUM(F393:F394)</f>
        <v>5031110.28</v>
      </c>
      <c r="G392" s="66">
        <f t="shared" si="52"/>
        <v>0.005341714072410361</v>
      </c>
      <c r="H392" s="77">
        <f t="shared" si="56"/>
        <v>197629.99999999907</v>
      </c>
      <c r="I392" s="77">
        <f>SUM(I393:I394)</f>
        <v>1117706.7800000003</v>
      </c>
      <c r="J392" s="77">
        <f>SUM(J393:J394)</f>
        <v>4935935.04</v>
      </c>
      <c r="K392" s="47">
        <f t="shared" si="53"/>
        <v>0.005313750582948382</v>
      </c>
      <c r="L392" s="87">
        <f t="shared" si="57"/>
        <v>292805.2399999993</v>
      </c>
      <c r="M392" s="113">
        <f t="shared" si="55"/>
        <v>95175.24000000022</v>
      </c>
    </row>
    <row r="393" spans="1:13" ht="15">
      <c r="A393" s="64" t="s">
        <v>28</v>
      </c>
      <c r="B393" s="58" t="s">
        <v>33</v>
      </c>
      <c r="C393" s="78">
        <v>4516713</v>
      </c>
      <c r="D393" s="78">
        <v>5223486.18</v>
      </c>
      <c r="E393" s="78">
        <f>F393-4541903.49</f>
        <v>489206.79000000004</v>
      </c>
      <c r="F393" s="78">
        <v>5031110.28</v>
      </c>
      <c r="G393" s="60">
        <f t="shared" si="52"/>
        <v>0.005341714072410361</v>
      </c>
      <c r="H393" s="78">
        <f t="shared" si="56"/>
        <v>192375.89999999944</v>
      </c>
      <c r="I393" s="78">
        <f>J393-3818228.26</f>
        <v>1117706.7800000003</v>
      </c>
      <c r="J393" s="78">
        <v>4935935.04</v>
      </c>
      <c r="K393" s="52">
        <f t="shared" si="53"/>
        <v>0.005313750582948382</v>
      </c>
      <c r="L393" s="88">
        <f>D393-J393</f>
        <v>287551.13999999966</v>
      </c>
      <c r="M393" s="63">
        <f t="shared" si="55"/>
        <v>95175.24000000022</v>
      </c>
    </row>
    <row r="394" spans="1:13" ht="15">
      <c r="A394" s="64" t="s">
        <v>185</v>
      </c>
      <c r="B394" s="58" t="s">
        <v>186</v>
      </c>
      <c r="C394" s="78">
        <v>11712</v>
      </c>
      <c r="D394" s="78">
        <v>5254.1</v>
      </c>
      <c r="E394" s="78">
        <f>F394-0</f>
        <v>0</v>
      </c>
      <c r="F394" s="78">
        <v>0</v>
      </c>
      <c r="G394" s="60">
        <f t="shared" si="52"/>
        <v>0</v>
      </c>
      <c r="H394" s="78">
        <f t="shared" si="56"/>
        <v>5254.1</v>
      </c>
      <c r="I394" s="78">
        <f>J394-0</f>
        <v>0</v>
      </c>
      <c r="J394" s="78">
        <v>0</v>
      </c>
      <c r="K394" s="52">
        <f t="shared" si="53"/>
        <v>0</v>
      </c>
      <c r="L394" s="88">
        <f>D394-J394</f>
        <v>5254.1</v>
      </c>
      <c r="M394" s="63">
        <f t="shared" si="55"/>
        <v>0</v>
      </c>
    </row>
    <row r="395" spans="1:13" ht="14.25">
      <c r="A395" s="70" t="s">
        <v>195</v>
      </c>
      <c r="B395" s="71" t="s">
        <v>196</v>
      </c>
      <c r="C395" s="77">
        <f>SUM(C396:C398)</f>
        <v>19722620</v>
      </c>
      <c r="D395" s="77">
        <f>SUM(D396:D398)</f>
        <v>13514034.97</v>
      </c>
      <c r="E395" s="77">
        <f>SUM(E396:E398)</f>
        <v>932907.260000001</v>
      </c>
      <c r="F395" s="77">
        <f>SUM(F396:F398)</f>
        <v>11737692.14</v>
      </c>
      <c r="G395" s="66">
        <f t="shared" si="52"/>
        <v>0.012462337693352744</v>
      </c>
      <c r="H395" s="77">
        <f t="shared" si="56"/>
        <v>1776342.83</v>
      </c>
      <c r="I395" s="77">
        <f>SUM(I396:I398)</f>
        <v>2450046.67</v>
      </c>
      <c r="J395" s="77">
        <f>SUM(J396:J398)</f>
        <v>11737692.14</v>
      </c>
      <c r="K395" s="47">
        <f t="shared" si="53"/>
        <v>0.012636140456863395</v>
      </c>
      <c r="L395" s="87">
        <f t="shared" si="57"/>
        <v>1776342.83</v>
      </c>
      <c r="M395" s="113">
        <f t="shared" si="55"/>
        <v>0</v>
      </c>
    </row>
    <row r="396" spans="1:13" ht="15">
      <c r="A396" s="64" t="s">
        <v>28</v>
      </c>
      <c r="B396" s="58" t="s">
        <v>33</v>
      </c>
      <c r="C396" s="78">
        <v>16607571</v>
      </c>
      <c r="D396" s="78">
        <v>13309768.4</v>
      </c>
      <c r="E396" s="78">
        <f>F396-10644840.52</f>
        <v>1092851.620000001</v>
      </c>
      <c r="F396" s="78">
        <v>11737692.14</v>
      </c>
      <c r="G396" s="66">
        <f t="shared" si="52"/>
        <v>0.012462337693352744</v>
      </c>
      <c r="H396" s="78">
        <f t="shared" si="56"/>
        <v>1572076.2599999998</v>
      </c>
      <c r="I396" s="78">
        <f>J396-9287645.47</f>
        <v>2450046.67</v>
      </c>
      <c r="J396" s="78">
        <v>11737692.14</v>
      </c>
      <c r="K396" s="52">
        <f t="shared" si="53"/>
        <v>0.012636140456863395</v>
      </c>
      <c r="L396" s="88">
        <f t="shared" si="57"/>
        <v>1572076.2599999998</v>
      </c>
      <c r="M396" s="63">
        <f t="shared" si="55"/>
        <v>0</v>
      </c>
    </row>
    <row r="397" spans="1:13" ht="15">
      <c r="A397" s="64" t="s">
        <v>83</v>
      </c>
      <c r="B397" s="58" t="s">
        <v>85</v>
      </c>
      <c r="C397" s="78">
        <v>172742</v>
      </c>
      <c r="D397" s="78">
        <v>172742</v>
      </c>
      <c r="E397" s="78">
        <f>F397-159944.36</f>
        <v>-159944.36</v>
      </c>
      <c r="F397" s="78">
        <v>0</v>
      </c>
      <c r="G397" s="66">
        <f t="shared" si="52"/>
        <v>0</v>
      </c>
      <c r="H397" s="78">
        <f t="shared" si="56"/>
        <v>172742</v>
      </c>
      <c r="I397" s="78">
        <f>J397-0</f>
        <v>0</v>
      </c>
      <c r="J397" s="78">
        <v>0</v>
      </c>
      <c r="K397" s="52">
        <f t="shared" si="53"/>
        <v>0</v>
      </c>
      <c r="L397" s="88">
        <f t="shared" si="57"/>
        <v>172742</v>
      </c>
      <c r="M397" s="63">
        <f t="shared" si="55"/>
        <v>0</v>
      </c>
    </row>
    <row r="398" spans="1:13" ht="15">
      <c r="A398" s="64" t="s">
        <v>151</v>
      </c>
      <c r="B398" s="49" t="s">
        <v>152</v>
      </c>
      <c r="C398" s="78">
        <v>2942307</v>
      </c>
      <c r="D398" s="78">
        <v>31524.57</v>
      </c>
      <c r="E398" s="78">
        <f>F398-0</f>
        <v>0</v>
      </c>
      <c r="F398" s="78">
        <v>0</v>
      </c>
      <c r="G398" s="66">
        <f t="shared" si="52"/>
        <v>0</v>
      </c>
      <c r="H398" s="78">
        <f t="shared" si="56"/>
        <v>31524.57</v>
      </c>
      <c r="I398" s="78">
        <f>J398-0</f>
        <v>0</v>
      </c>
      <c r="J398" s="78">
        <v>0</v>
      </c>
      <c r="K398" s="52">
        <f t="shared" si="53"/>
        <v>0</v>
      </c>
      <c r="L398" s="88">
        <f t="shared" si="57"/>
        <v>31524.57</v>
      </c>
      <c r="M398" s="63">
        <f t="shared" si="55"/>
        <v>0</v>
      </c>
    </row>
    <row r="399" spans="1:13" ht="14.25">
      <c r="A399" s="70" t="s">
        <v>203</v>
      </c>
      <c r="B399" s="71" t="s">
        <v>204</v>
      </c>
      <c r="C399" s="77">
        <f>SUM(C400:C401)</f>
        <v>2497761</v>
      </c>
      <c r="D399" s="77">
        <f>SUM(D400:D401)</f>
        <v>2112785.82</v>
      </c>
      <c r="E399" s="77">
        <f>SUM(E400:E401)</f>
        <v>229339.48000000016</v>
      </c>
      <c r="F399" s="77">
        <f>SUM(F400:F401)</f>
        <v>1473398.08</v>
      </c>
      <c r="G399" s="66">
        <f t="shared" si="52"/>
        <v>0.0015643607116873626</v>
      </c>
      <c r="H399" s="77">
        <f t="shared" si="56"/>
        <v>639387.7399999998</v>
      </c>
      <c r="I399" s="77">
        <f>SUM(I400:I401)</f>
        <v>360051.6900000002</v>
      </c>
      <c r="J399" s="77">
        <f>SUM(J400:J401)</f>
        <v>1473398.08</v>
      </c>
      <c r="K399" s="47">
        <f t="shared" si="53"/>
        <v>0.0015861776630097274</v>
      </c>
      <c r="L399" s="87">
        <f t="shared" si="57"/>
        <v>639387.7399999998</v>
      </c>
      <c r="M399" s="113">
        <f t="shared" si="55"/>
        <v>0</v>
      </c>
    </row>
    <row r="400" spans="1:13" ht="15">
      <c r="A400" s="64" t="s">
        <v>28</v>
      </c>
      <c r="B400" s="58" t="s">
        <v>33</v>
      </c>
      <c r="C400" s="78">
        <v>1026608</v>
      </c>
      <c r="D400" s="78">
        <v>1138608</v>
      </c>
      <c r="E400" s="78">
        <f>F400-834058.6</f>
        <v>269387.27000000014</v>
      </c>
      <c r="F400" s="78">
        <v>1103445.87</v>
      </c>
      <c r="G400" s="60">
        <f t="shared" si="52"/>
        <v>0.0011715688990864444</v>
      </c>
      <c r="H400" s="78">
        <f aca="true" t="shared" si="58" ref="H400:H405">D400-F400</f>
        <v>35162.12999999989</v>
      </c>
      <c r="I400" s="78">
        <f>J400-834058.6</f>
        <v>269387.27000000014</v>
      </c>
      <c r="J400" s="78">
        <v>1103445.87</v>
      </c>
      <c r="K400" s="52">
        <f t="shared" si="53"/>
        <v>0.0011879078811710788</v>
      </c>
      <c r="L400" s="88">
        <f aca="true" t="shared" si="59" ref="L400:L405">D400-J400</f>
        <v>35162.12999999989</v>
      </c>
      <c r="M400" s="63">
        <f t="shared" si="55"/>
        <v>0</v>
      </c>
    </row>
    <row r="401" spans="1:13" ht="15">
      <c r="A401" s="64" t="s">
        <v>207</v>
      </c>
      <c r="B401" s="58" t="s">
        <v>208</v>
      </c>
      <c r="C401" s="78">
        <v>1471153</v>
      </c>
      <c r="D401" s="78">
        <v>974177.82</v>
      </c>
      <c r="E401" s="78">
        <f>F401-410000</f>
        <v>-40047.78999999998</v>
      </c>
      <c r="F401" s="78">
        <v>369952.21</v>
      </c>
      <c r="G401" s="60">
        <f t="shared" si="52"/>
        <v>0.00039279181260091817</v>
      </c>
      <c r="H401" s="78">
        <f t="shared" si="58"/>
        <v>604225.6099999999</v>
      </c>
      <c r="I401" s="78">
        <f>J401-279287.79</f>
        <v>90664.42000000004</v>
      </c>
      <c r="J401" s="78">
        <v>369952.21</v>
      </c>
      <c r="K401" s="52">
        <f t="shared" si="53"/>
        <v>0.0003982697818386488</v>
      </c>
      <c r="L401" s="88">
        <f t="shared" si="59"/>
        <v>604225.6099999999</v>
      </c>
      <c r="M401" s="63">
        <f t="shared" si="55"/>
        <v>0</v>
      </c>
    </row>
    <row r="402" spans="1:13" ht="14.25">
      <c r="A402" s="70" t="s">
        <v>211</v>
      </c>
      <c r="B402" s="71" t="s">
        <v>212</v>
      </c>
      <c r="C402" s="77">
        <f>SUM(C403:C404)</f>
        <v>617402860</v>
      </c>
      <c r="D402" s="77">
        <f>SUM(D403:D404)</f>
        <v>687886944.8000001</v>
      </c>
      <c r="E402" s="77">
        <f>SUM(E403:E404)</f>
        <v>74454637.24000001</v>
      </c>
      <c r="F402" s="77">
        <f>SUM(F403:F404)</f>
        <v>439656109.91</v>
      </c>
      <c r="G402" s="66">
        <f t="shared" si="52"/>
        <v>0.4667989963693348</v>
      </c>
      <c r="H402" s="77">
        <f t="shared" si="58"/>
        <v>248230834.89000005</v>
      </c>
      <c r="I402" s="77">
        <f>SUM(I403:I404)</f>
        <v>74454637.24000001</v>
      </c>
      <c r="J402" s="77">
        <f>SUM(J403:J404)</f>
        <v>439656109.91</v>
      </c>
      <c r="K402" s="47">
        <f t="shared" si="53"/>
        <v>0.47330908761941093</v>
      </c>
      <c r="L402" s="87">
        <f t="shared" si="59"/>
        <v>248230834.89000005</v>
      </c>
      <c r="M402" s="113">
        <f t="shared" si="55"/>
        <v>0</v>
      </c>
    </row>
    <row r="403" spans="1:13" ht="15">
      <c r="A403" s="64" t="s">
        <v>39</v>
      </c>
      <c r="B403" s="58" t="s">
        <v>41</v>
      </c>
      <c r="C403" s="78">
        <v>289805860</v>
      </c>
      <c r="D403" s="78">
        <v>617878982.85</v>
      </c>
      <c r="E403" s="78">
        <f>F403-365201472.67</f>
        <v>74454637.24000001</v>
      </c>
      <c r="F403" s="78">
        <v>439656109.91</v>
      </c>
      <c r="G403" s="60">
        <f>(F403/$F$296)*100</f>
        <v>0.4667989963693348</v>
      </c>
      <c r="H403" s="78">
        <f t="shared" si="58"/>
        <v>178222872.94</v>
      </c>
      <c r="I403" s="78">
        <f>J403-365201472.67</f>
        <v>74454637.24000001</v>
      </c>
      <c r="J403" s="78">
        <v>439656109.91</v>
      </c>
      <c r="K403" s="52">
        <f>(J403/$J$296)*100</f>
        <v>0.47330908761941093</v>
      </c>
      <c r="L403" s="88">
        <f t="shared" si="59"/>
        <v>178222872.94</v>
      </c>
      <c r="M403" s="63">
        <f t="shared" si="55"/>
        <v>0</v>
      </c>
    </row>
    <row r="404" spans="1:13" ht="15">
      <c r="A404" s="57" t="s">
        <v>219</v>
      </c>
      <c r="B404" s="49" t="s">
        <v>220</v>
      </c>
      <c r="C404" s="78">
        <v>327597000</v>
      </c>
      <c r="D404" s="78">
        <v>70007961.95</v>
      </c>
      <c r="E404" s="78">
        <f>F404-0</f>
        <v>0</v>
      </c>
      <c r="F404" s="78">
        <v>0</v>
      </c>
      <c r="G404" s="60">
        <f>(F404/$F$296)*100</f>
        <v>0</v>
      </c>
      <c r="H404" s="78">
        <f t="shared" si="58"/>
        <v>70007961.95</v>
      </c>
      <c r="I404" s="78">
        <f>J404-0</f>
        <v>0</v>
      </c>
      <c r="J404" s="78">
        <v>0</v>
      </c>
      <c r="K404" s="52">
        <f>(J404/$J$296)*100</f>
        <v>0</v>
      </c>
      <c r="L404" s="88">
        <f t="shared" si="59"/>
        <v>70007961.95</v>
      </c>
      <c r="M404" s="63">
        <f t="shared" si="55"/>
        <v>0</v>
      </c>
    </row>
    <row r="405" spans="1:13" ht="15">
      <c r="A405" s="72" t="s">
        <v>221</v>
      </c>
      <c r="B405" s="73" t="s">
        <v>222</v>
      </c>
      <c r="C405" s="89">
        <v>0</v>
      </c>
      <c r="D405" s="89">
        <v>0</v>
      </c>
      <c r="E405" s="109"/>
      <c r="F405" s="109"/>
      <c r="G405" s="109"/>
      <c r="H405" s="89">
        <f t="shared" si="58"/>
        <v>0</v>
      </c>
      <c r="I405" s="109"/>
      <c r="J405" s="109"/>
      <c r="K405" s="109"/>
      <c r="L405" s="90">
        <f t="shared" si="59"/>
        <v>0</v>
      </c>
      <c r="M405" s="114">
        <f t="shared" si="55"/>
        <v>0</v>
      </c>
    </row>
    <row r="406" spans="1:13" ht="15.75">
      <c r="A406" s="40" t="s">
        <v>259</v>
      </c>
      <c r="B406" s="22"/>
      <c r="C406" s="22"/>
      <c r="D406" s="22"/>
      <c r="E406" s="22"/>
      <c r="F406" s="41"/>
      <c r="G406" s="34"/>
      <c r="H406" s="22"/>
      <c r="I406" s="22"/>
      <c r="J406" s="22"/>
      <c r="K406" s="22"/>
      <c r="L406" s="74"/>
      <c r="M406" s="74" t="s">
        <v>227</v>
      </c>
    </row>
    <row r="407" spans="1:13" ht="15.75">
      <c r="A407" s="40" t="s">
        <v>260</v>
      </c>
      <c r="B407" s="22"/>
      <c r="C407" s="22"/>
      <c r="D407" s="22"/>
      <c r="E407" s="22"/>
      <c r="F407" s="22"/>
      <c r="G407" s="22"/>
      <c r="H407" s="22"/>
      <c r="I407" s="42"/>
      <c r="J407" s="22"/>
      <c r="K407" s="22"/>
      <c r="L407" s="22"/>
      <c r="M407" s="32"/>
    </row>
    <row r="408" spans="1:13" ht="15.75">
      <c r="A408" s="40" t="s">
        <v>283</v>
      </c>
      <c r="B408" s="22"/>
      <c r="C408" s="22"/>
      <c r="D408" s="22"/>
      <c r="E408" s="22"/>
      <c r="F408" s="22"/>
      <c r="G408" s="22"/>
      <c r="H408" s="22"/>
      <c r="I408" s="22"/>
      <c r="J408" s="42"/>
      <c r="K408" s="22"/>
      <c r="L408" s="22"/>
      <c r="M408" s="32"/>
    </row>
    <row r="409" spans="1:13" ht="15.75">
      <c r="A409" s="40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32"/>
    </row>
    <row r="410" spans="1:13" ht="15.75">
      <c r="A410" s="40"/>
      <c r="B410" s="22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32"/>
    </row>
    <row r="411" spans="1:13" ht="15.75">
      <c r="A411" s="40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32"/>
    </row>
    <row r="412" spans="1:13" ht="15.75">
      <c r="A412" s="40"/>
      <c r="B412" s="22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32"/>
    </row>
    <row r="413" spans="1:13" ht="15.75">
      <c r="A413" s="40"/>
      <c r="B413" s="22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32"/>
    </row>
    <row r="414" spans="1:13" ht="15.75">
      <c r="A414" s="40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32"/>
    </row>
    <row r="415" spans="1:13" ht="15.75">
      <c r="A415" s="40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32"/>
    </row>
    <row r="416" spans="1:13" ht="15.75">
      <c r="A416" s="20"/>
      <c r="B416" s="22"/>
      <c r="C416" s="22"/>
      <c r="D416" s="22"/>
      <c r="E416" s="42"/>
      <c r="F416" s="22"/>
      <c r="G416" s="22"/>
      <c r="H416" s="22"/>
      <c r="I416" s="42"/>
      <c r="J416" s="22"/>
      <c r="K416" s="22"/>
      <c r="L416" s="22"/>
      <c r="M416" s="32"/>
    </row>
    <row r="417" spans="1:13" ht="12.75">
      <c r="A417" s="35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2.75">
      <c r="A418" s="35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.75">
      <c r="A419" s="123" t="s">
        <v>255</v>
      </c>
      <c r="B419" s="123"/>
      <c r="C419" s="124" t="s">
        <v>257</v>
      </c>
      <c r="D419" s="124"/>
      <c r="E419" s="124"/>
      <c r="F419" s="124"/>
      <c r="G419" s="124"/>
      <c r="H419" s="124"/>
      <c r="I419" s="124" t="s">
        <v>280</v>
      </c>
      <c r="J419" s="124"/>
      <c r="K419" s="124"/>
      <c r="L419" s="124"/>
      <c r="M419" s="32"/>
    </row>
    <row r="420" spans="1:13" ht="15.75">
      <c r="A420" s="123" t="s">
        <v>256</v>
      </c>
      <c r="B420" s="123"/>
      <c r="C420" s="124" t="s">
        <v>258</v>
      </c>
      <c r="D420" s="124"/>
      <c r="E420" s="124"/>
      <c r="F420" s="124"/>
      <c r="G420" s="124"/>
      <c r="H420" s="124"/>
      <c r="I420" s="130" t="s">
        <v>281</v>
      </c>
      <c r="J420" s="130"/>
      <c r="K420" s="130"/>
      <c r="L420" s="130"/>
      <c r="M420" s="32"/>
    </row>
    <row r="421" spans="1:13" ht="15.75">
      <c r="A421" s="123" t="s">
        <v>248</v>
      </c>
      <c r="B421" s="123"/>
      <c r="C421" s="124" t="s">
        <v>249</v>
      </c>
      <c r="D421" s="124"/>
      <c r="E421" s="124"/>
      <c r="F421" s="124"/>
      <c r="G421" s="124"/>
      <c r="H421" s="124"/>
      <c r="I421" s="124" t="s">
        <v>282</v>
      </c>
      <c r="J421" s="124"/>
      <c r="K421" s="124"/>
      <c r="L421" s="124"/>
      <c r="M421" s="32"/>
    </row>
    <row r="422" spans="1:13" ht="12.75">
      <c r="A422" s="35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2.75">
      <c r="A423" s="35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9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2"/>
    </row>
    <row r="428" spans="1:13" ht="12.75">
      <c r="A428" s="35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2.75">
      <c r="A429" s="35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2.75">
      <c r="A430" s="35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2.75">
      <c r="A431" s="35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2.75">
      <c r="A432" s="35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2.75">
      <c r="A433" s="35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2.75">
      <c r="A434" s="35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2.75">
      <c r="A435" s="35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2.75">
      <c r="A436" s="35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2.75">
      <c r="A437" s="35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2.75">
      <c r="A438" s="35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2.75">
      <c r="A439" s="35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2.75">
      <c r="A440" s="35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2.75">
      <c r="A441" s="35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2.75">
      <c r="A442" s="35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2.75">
      <c r="A443" s="35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2.75">
      <c r="A444" s="35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2.75">
      <c r="A445" s="35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2.75">
      <c r="A446" s="35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2.75">
      <c r="A447" s="35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2.75">
      <c r="A448" s="35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2.75">
      <c r="A449" s="35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2.75">
      <c r="A450" s="35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2.75">
      <c r="A451" s="35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2.75">
      <c r="A452" s="35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2.75">
      <c r="A453" s="35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2.75">
      <c r="A454" s="35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2" ht="12.75">
      <c r="A455" s="35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</row>
    <row r="456" spans="1:12" ht="12.75">
      <c r="A456" s="35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</row>
    <row r="457" spans="1:12" ht="12.75">
      <c r="A457" s="35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</row>
    <row r="458" spans="1:12" ht="12.75">
      <c r="A458" s="35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</row>
    <row r="459" spans="1:12" ht="12.75">
      <c r="A459" s="35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</row>
    <row r="460" spans="1:12" ht="12.75">
      <c r="A460" s="35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</row>
    <row r="461" spans="1:12" ht="12.75">
      <c r="A461" s="35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</row>
    <row r="462" spans="1:12" ht="12.75">
      <c r="A462" s="35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</row>
    <row r="463" spans="1:12" ht="12.75">
      <c r="A463" s="35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</row>
    <row r="464" spans="1:12" ht="12.75">
      <c r="A464" s="35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</row>
    <row r="465" spans="1:12" ht="12.75">
      <c r="A465" s="35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</row>
    <row r="466" spans="1:12" ht="12.75">
      <c r="A466" s="35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</row>
    <row r="467" spans="1:12" ht="12.75">
      <c r="A467" s="35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</row>
    <row r="468" spans="1:12" ht="12.75">
      <c r="A468" s="35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</row>
    <row r="469" spans="1:12" ht="12.75">
      <c r="A469" s="35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</row>
  </sheetData>
  <sheetProtection/>
  <mergeCells count="34">
    <mergeCell ref="A306:L306"/>
    <mergeCell ref="A4:L4"/>
    <mergeCell ref="A5:L5"/>
    <mergeCell ref="A6:L6"/>
    <mergeCell ref="A7:L7"/>
    <mergeCell ref="A8:L8"/>
    <mergeCell ref="E11:G11"/>
    <mergeCell ref="I11:K11"/>
    <mergeCell ref="A303:L303"/>
    <mergeCell ref="A304:L304"/>
    <mergeCell ref="A305:L305"/>
    <mergeCell ref="A153:L153"/>
    <mergeCell ref="A154:L154"/>
    <mergeCell ref="A155:L155"/>
    <mergeCell ref="A156:L156"/>
    <mergeCell ref="A157:L157"/>
    <mergeCell ref="E160:G160"/>
    <mergeCell ref="I160:K160"/>
    <mergeCell ref="A420:B420"/>
    <mergeCell ref="C420:H420"/>
    <mergeCell ref="I420:L420"/>
    <mergeCell ref="A421:B421"/>
    <mergeCell ref="C421:H421"/>
    <mergeCell ref="I421:L421"/>
    <mergeCell ref="M11:M13"/>
    <mergeCell ref="M160:M162"/>
    <mergeCell ref="M309:M311"/>
    <mergeCell ref="A419:B419"/>
    <mergeCell ref="C419:H419"/>
    <mergeCell ref="I419:L419"/>
    <mergeCell ref="A296:B296"/>
    <mergeCell ref="E309:G309"/>
    <mergeCell ref="I309:K309"/>
    <mergeCell ref="A302:L302"/>
  </mergeCells>
  <printOptions horizontalCentered="1" verticalCentered="1"/>
  <pageMargins left="0.2362204724409449" right="0.2362204724409449" top="0" bottom="0" header="0" footer="0"/>
  <pageSetup fitToHeight="0" fitToWidth="1" horizontalDpi="600" verticalDpi="600" orientation="portrait" paperSize="9" scale="35" r:id="rId2"/>
  <rowBreaks count="2" manualBreakCount="2">
    <brk id="148" max="12" man="1"/>
    <brk id="297" max="12" man="1"/>
  </rowBreaks>
  <ignoredErrors>
    <ignoredError sqref="J260 I313:J313 J322 C402:F402" formulaRange="1"/>
    <ignoredError sqref="E26:F26 E296 F295 E29:F29 E35:F35 H30:H32 E97:F97 H98 E103:F103 H102 H104:H106 E143:F143 H191 E230:F230 E266:F266 E341:F341 E345:F345 H342 H344 E347:F347 H346 F375 H339:H340 H382:H383 H405 J375 H350:H352 H347:J347 H345:J345 H341:J341 H335:I335 H295:J296 H230:J230 H26:H28 H72:H75 H97:J97 H101:I101 H103:J103 H142 H143:J143 L26:L32 L34:L40 L62:L67 L326:L329 L339:L342 L371:L372 L399:L400 L405 H34:H40 H58:I58 H107:I107 H144:H147 H193:H199 H77:H80 H114 H231:H235 H228:I228 H293:H294 H399:H400 L293 L72:L75 L77:L80 L87:L91 L94:L95 L97:L98 L101:L112 H108:H112 L120:L122 H62:H67 H115:I115 L129:L131 L142:L147 L179:L180 L182:L185 L189:L191 L193:L199 E190 L201:L203 H201:H203 L211:L212 H211:H212 L219:L225 L214 H214 L249:L255 L258:L262 L271:L272 L344:L348 H348 L380 H380 L382:L383 H56:H57 I83 L318:L321 E384 E380:E382 E377 H395:H396 H189:I190 I266 L354:L355 H354:H355 I214:I216 H258:H262 G256:I257 L42:L45 L47:L49 L83:L84 H83:H84 L114 L117 L124:L125 L127 L133:L140 H133:H140 H205:H209 L206:L209 L216:L217 L228 L230:L235 L237:L243 L245:L247 I260 H266:H267 L266:L267 H269:I269 L269 L274:L280 L335:L337 H336:H337 L350:L352 H357:H360 L357:L360 H374:H378 L375:L378 L54 H42:H52 E260:E264 H87:H91 F124 G118:H119 F123:H123 H117 H315:H316 L395:L396 H95:I95 H120:H122 H124:H125 H129:H131 I377 I379:I382 I384 I387:J387 F44 E387:F387 F49 H127 L365:L366 L368:L369 E115 E201 H237 H362:H363 I373:I375 H59:H60 L56:L60 E171:G171 I171:L171 L187 E211:F211 I211 L282:L291 H326:H329 H371 E368:F368 E365:F365 H365:J365 L362:L363 E367 H370:I370 E370 H367:I368 E373:E375 I399 L392:L393 H392:H393 I397 L402:L403 H402:H403 E206 H366 H369 E118:E120 J124 H182:H185 H179:H180 F179 F178:I178 F182 H177:I177 F186:H186 I179:J179 F177 G181:H181 I206 H387:H390 L387:L390 H70 I59 H94 H280 H271:H272 H274:H278 H286:H291 H285:J285 H282:H284 H279:J279 E285:F285 E279:F279 E273:J273 E281 H332 H372 H54:I54 E85:E89 E123:E124 E128 I132 E186 E181:E182 E177:E179 H176 I181:I182 I186 E256:E257 E284 I284 E322:E323 E321:F321 E335:F335 E319 E316:F318 F322 E333 I319 I329:I330 J26 J35 I49:I51 H29:J29 I24:I26 I35:I36 H220:H225 H219:I219 H216:H217 F218:I218 F219 G274 G281:I281 E44 I42 I47 E69 E74:E76 E81:E83 E92:E93 H187 E208 I333 G128:I128 G126:H126 I118:I120 I123:I124 I252 F245:F247 F248:I248 H250 H249 H251:I251 H245:I247 H241:H243 G244:H244 I242:I243 H252:H253 H254:I254 E245:E248 E251:E252 E254:F254 H255 H238:I240 E239:F240 E242:E243 E238 E47:E51 I22 H318:H324 L323:L324 E329:E330 E54:E55 E57:E59 E71 I44 E219 E218 E217 E220" formula="1"/>
    <ignoredError sqref="A15:A21 A22:B22 A33:B33 A93:B93 A123:B123 A132:B132 A181:B181 A192:B192 A193:A199 A200:B200 A213:B213 A256:B256 A257:A262 A273:B273 A343:B343 N343:IV343 A23:A32 A94:A122 A124:A131 A133:A147 A201:A212 A263:B264 A34:A70 A72:A81 A83:A92 A163:A180 A182:A191 A214:A255 A265:A272 A274:A295 A405 A344:A366 A368:A403 A332:A342 A313:A330" numberStoredAsText="1"/>
    <ignoredError sqref="G211:G212 G201:G203 G189:G191 G295:G296 K182:K185 K282:K289 K271:K272 K211:K212 K201:K203 K179:K180 K258:K262 K249:K255 K189:K191 K296 G142:G147 G101:G112 G97:G98 G87:G91 G77:G80 K142:K147 K129:K131 K101:K112 K97:K98 K87:K91 K62:K67 K42:K45 K34:K40 K77:K80 K354:K355 K344:K348 K339:K342 K326:K329 K318:K320 K219:K225 K72:K75 G72:G75 K94:K95 G94:G95 K120:K122 K193:K199 G193:G199 K214 G214 K26:K32 G26:G32 G34:G40 G258:G262 K47:K49 K83:K84 G83:G84 G114:G115 K114:K115 K117 K124:K125 K127 K133:K140 G133:G140 K205:K209 G205:G209 K216:K217 K228 G228 K230:K235 G230:G235 K237:K243 K245:K247 K266:K267 G266:G267 K269 G269 K274:K280 K335:K337 K350:K352 K357:K360 G357:G360 G350:G352 G344:G348 G354:G355 K54 G117 G124:G125 G120:G122 G129:G131 G127 G362:G363 K365:K366 K56:K60 K187 K362:K363 G176:G177 G179:G180 G182:G185 G282:G290 G275:G280 G271:G272 G387:G390 G402:G403 G392:G393 G365:G372 G395:G396 G380 G399:G400 G382:G383 G375:G378 K387:K390 K402:K403 K392:K393 K368:K369 K399:K400 K382:K383 K380 K395:K396 K375:K378 K371:K372 G335:G342 G332:G333 G70 G56:G60 G42:G52 G62:G67 G54 G216:G217 G219:G225 G187 G245:G247 G249:G255 G237:G243 G315:G324 K323:K324 G326:G330 J190 J377 J318 H171 I317 I321 I318 I322 I323 I316" evalError="1" formula="1"/>
    <ignoredError sqref="G312:G314 K176:K177 K290 K295 K312:K316 K321 K14:K25 G41 G33 G14:G25 K172 G172 G343 G356 G349 G353 G361 G384 G397 G379 G373:G374 G381 G386 G401 G385 G398 G394 G404 G391 K384 K397 K381 K386 K379 K401 K367 K373:K374 K398 K385 K370 K394 K404 K391 G364 G53 G71 G55 G68:G69 G61" evalError="1"/>
    <ignoredError sqref="J190 J377 J318 H171 I317 I321 I318 I322 I323 I316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2023-01-24T14:50:05Z</cp:lastPrinted>
  <dcterms:created xsi:type="dcterms:W3CDTF">2005-03-08T15:13:02Z</dcterms:created>
  <dcterms:modified xsi:type="dcterms:W3CDTF">2023-01-30T18:55:08Z</dcterms:modified>
  <cp:category/>
  <cp:version/>
  <cp:contentType/>
  <cp:contentStatus/>
</cp:coreProperties>
</file>