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05" windowWidth="7680" windowHeight="7530" activeTab="0"/>
  </bookViews>
  <sheets>
    <sheet name="Anexo II - 6º BIM" sheetId="1" r:id="rId1"/>
  </sheets>
  <definedNames>
    <definedName name="_xlnm.Print_Area" localSheetId="0">'Anexo II - 6º BIM'!$A$1:$M$435</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<sst xmlns="http://schemas.openxmlformats.org/spreadsheetml/2006/main" count="798" uniqueCount="288">
  <si>
    <t>RELATÓRIO RESUMIDO DA EXECUÇÃO ORÇAMENTÁRIA</t>
  </si>
  <si>
    <t>DEMONSTRATIVO DA EXECUÇÃO DAS DESPESAS POR FUNÇÃO/SUBFUNÇÃO</t>
  </si>
  <si>
    <t>ORÇAMENTOS FISCAL E DA SEGURIDADE SOCIAL</t>
  </si>
  <si>
    <t>DOTAÇÃO</t>
  </si>
  <si>
    <t>DESPESAS EMPENHADAS</t>
  </si>
  <si>
    <t>DESPESAS LIQUIDADAS</t>
  </si>
  <si>
    <t>FUNÇÃO/SUBFUNÇÃO</t>
  </si>
  <si>
    <t>INICIAL</t>
  </si>
  <si>
    <t>ATUALIZADA</t>
  </si>
  <si>
    <t>No Bimestre</t>
  </si>
  <si>
    <t>Até o Bimestre</t>
  </si>
  <si>
    <t>%</t>
  </si>
  <si>
    <t>(a)</t>
  </si>
  <si>
    <t>(b)</t>
  </si>
  <si>
    <t>GOVERNO DO ESTADO DO RIO DE JANEIRO</t>
  </si>
  <si>
    <t>DESPESAS (EXCETO INTRA-ORÇAMENTÁRIAS) (I)</t>
  </si>
  <si>
    <t>DESPESAS (INTRA-ORÇAMENTÁRIAS) (II)</t>
  </si>
  <si>
    <t>(b/total b)</t>
  </si>
  <si>
    <t>SALDO</t>
  </si>
  <si>
    <t>(c) = (a - b)</t>
  </si>
  <si>
    <t>(d)</t>
  </si>
  <si>
    <t>(d/total d)</t>
  </si>
  <si>
    <t>(e) = (a - d)</t>
  </si>
  <si>
    <t>COD</t>
  </si>
  <si>
    <t>Legislativa</t>
  </si>
  <si>
    <t>01</t>
  </si>
  <si>
    <t>031</t>
  </si>
  <si>
    <t>032</t>
  </si>
  <si>
    <t>122</t>
  </si>
  <si>
    <t>128</t>
  </si>
  <si>
    <t>542</t>
  </si>
  <si>
    <t>Ação Legislativa</t>
  </si>
  <si>
    <t>Controle Externo</t>
  </si>
  <si>
    <t>Administração Geral</t>
  </si>
  <si>
    <t>Formação de Recursos Humanos</t>
  </si>
  <si>
    <t>Controle Ambiental</t>
  </si>
  <si>
    <t>02</t>
  </si>
  <si>
    <t>Judiciária</t>
  </si>
  <si>
    <t>061</t>
  </si>
  <si>
    <t>123</t>
  </si>
  <si>
    <t>Ação Judiciária</t>
  </si>
  <si>
    <t>Administração Financeira</t>
  </si>
  <si>
    <t>03</t>
  </si>
  <si>
    <t>Essencial à Justiça</t>
  </si>
  <si>
    <t>091</t>
  </si>
  <si>
    <t>Defesa da Ordem Jurídica</t>
  </si>
  <si>
    <t>04</t>
  </si>
  <si>
    <t>Administração</t>
  </si>
  <si>
    <t>121</t>
  </si>
  <si>
    <t>125</t>
  </si>
  <si>
    <t>126</t>
  </si>
  <si>
    <t>127</t>
  </si>
  <si>
    <t>241</t>
  </si>
  <si>
    <t>422</t>
  </si>
  <si>
    <t>694</t>
  </si>
  <si>
    <t>Planejamento e Orçamento</t>
  </si>
  <si>
    <t>Normatização e Fiscalização</t>
  </si>
  <si>
    <t>Tecnologia da Informação</t>
  </si>
  <si>
    <t>Ordenamento Territorial</t>
  </si>
  <si>
    <t>Assistência ao Idoso</t>
  </si>
  <si>
    <t>Direitos Individuais, Coletivos e Difusos</t>
  </si>
  <si>
    <t>Serviços Financeiros</t>
  </si>
  <si>
    <t>Segurança Pública</t>
  </si>
  <si>
    <t>06</t>
  </si>
  <si>
    <t>181</t>
  </si>
  <si>
    <t>182</t>
  </si>
  <si>
    <t>183</t>
  </si>
  <si>
    <t>302</t>
  </si>
  <si>
    <t>306</t>
  </si>
  <si>
    <t>421</t>
  </si>
  <si>
    <t>781</t>
  </si>
  <si>
    <t>782</t>
  </si>
  <si>
    <t>Policiamento</t>
  </si>
  <si>
    <t>Defesa Civil</t>
  </si>
  <si>
    <t>Informação e Inteligência</t>
  </si>
  <si>
    <t>Assistência Hospitalar e Ambulatorial</t>
  </si>
  <si>
    <t>Alimentação e Nutrição</t>
  </si>
  <si>
    <t>Custódia e Reintegração Social</t>
  </si>
  <si>
    <t>Transporte Aéreo</t>
  </si>
  <si>
    <t>Transporte Rodoviário</t>
  </si>
  <si>
    <t>Assistência Social</t>
  </si>
  <si>
    <t>08</t>
  </si>
  <si>
    <t>243</t>
  </si>
  <si>
    <t>244</t>
  </si>
  <si>
    <t>Assistência à Criança e ao Adolescente</t>
  </si>
  <si>
    <t>Assistência Comunitária</t>
  </si>
  <si>
    <t>Previdência Social</t>
  </si>
  <si>
    <t>09</t>
  </si>
  <si>
    <t>272</t>
  </si>
  <si>
    <t>Previdência do Regime Estatutário</t>
  </si>
  <si>
    <t>10</t>
  </si>
  <si>
    <t>Saúde</t>
  </si>
  <si>
    <t>301</t>
  </si>
  <si>
    <t>303</t>
  </si>
  <si>
    <t>304</t>
  </si>
  <si>
    <t>305</t>
  </si>
  <si>
    <t>571</t>
  </si>
  <si>
    <t>573</t>
  </si>
  <si>
    <t>Atenção Básica</t>
  </si>
  <si>
    <t>Suporte Profilático e Terapêutico</t>
  </si>
  <si>
    <t>Vigilância Sanitária</t>
  </si>
  <si>
    <t>Vigilância Epidemiológica</t>
  </si>
  <si>
    <t>Desenvolvimento Científico</t>
  </si>
  <si>
    <t>Trabalho</t>
  </si>
  <si>
    <t>11</t>
  </si>
  <si>
    <t>333</t>
  </si>
  <si>
    <t>334</t>
  </si>
  <si>
    <t>Empregabilidade</t>
  </si>
  <si>
    <t>Fomento ao Trabalho</t>
  </si>
  <si>
    <t>12</t>
  </si>
  <si>
    <t>Educação</t>
  </si>
  <si>
    <t>361</t>
  </si>
  <si>
    <t>362</t>
  </si>
  <si>
    <t>363</t>
  </si>
  <si>
    <t>364</t>
  </si>
  <si>
    <t>366</t>
  </si>
  <si>
    <t>367</t>
  </si>
  <si>
    <t>392</t>
  </si>
  <si>
    <t>Ensino Fundamental</t>
  </si>
  <si>
    <t>Ensino Médio</t>
  </si>
  <si>
    <t>Ensino Profissional</t>
  </si>
  <si>
    <t>Ensino Superior</t>
  </si>
  <si>
    <t>Educação de Jovens e Adultos</t>
  </si>
  <si>
    <t>Educação Especial</t>
  </si>
  <si>
    <t>Difusão Cultural</t>
  </si>
  <si>
    <t>13</t>
  </si>
  <si>
    <t>Cultura</t>
  </si>
  <si>
    <t>391</t>
  </si>
  <si>
    <t>Patrimônio Histór, Artístico e Arqueológico</t>
  </si>
  <si>
    <t>14</t>
  </si>
  <si>
    <t>Direitos da Cidadania</t>
  </si>
  <si>
    <t>242</t>
  </si>
  <si>
    <t>Assistência ao Portador de Deficiência</t>
  </si>
  <si>
    <t>15</t>
  </si>
  <si>
    <t>Urbanismo</t>
  </si>
  <si>
    <t>451</t>
  </si>
  <si>
    <t>Infraestrutura Urbana</t>
  </si>
  <si>
    <t>Habitação</t>
  </si>
  <si>
    <t>16</t>
  </si>
  <si>
    <t>482</t>
  </si>
  <si>
    <t>Habitação Urbana</t>
  </si>
  <si>
    <t>17</t>
  </si>
  <si>
    <t>Saneamento</t>
  </si>
  <si>
    <t>512</t>
  </si>
  <si>
    <t>Saneamento Básico Urbano</t>
  </si>
  <si>
    <t>543</t>
  </si>
  <si>
    <t>Recuperação de Áreas Degradadas</t>
  </si>
  <si>
    <t>544</t>
  </si>
  <si>
    <t>Recursos Hídricos</t>
  </si>
  <si>
    <t>18</t>
  </si>
  <si>
    <t>Gestão Ambiental</t>
  </si>
  <si>
    <t>453</t>
  </si>
  <si>
    <t>Transportes Coletivos Urbanos</t>
  </si>
  <si>
    <t>541</t>
  </si>
  <si>
    <t>Preservação e Conservação Ambiental</t>
  </si>
  <si>
    <t>601</t>
  </si>
  <si>
    <t>Promoção da Produção Vegetal</t>
  </si>
  <si>
    <t>Continuação</t>
  </si>
  <si>
    <t>19</t>
  </si>
  <si>
    <t>Ciência e Tecnologia</t>
  </si>
  <si>
    <t>572</t>
  </si>
  <si>
    <t>Desenvolvimento Tecnológico e Engenharia</t>
  </si>
  <si>
    <t>20</t>
  </si>
  <si>
    <t>Agricultura</t>
  </si>
  <si>
    <t>131</t>
  </si>
  <si>
    <t>Comunicação Social</t>
  </si>
  <si>
    <t>602</t>
  </si>
  <si>
    <t>Promoção da Produção Animal</t>
  </si>
  <si>
    <t>604</t>
  </si>
  <si>
    <t>Defesa Sanitária Animal</t>
  </si>
  <si>
    <t>605</t>
  </si>
  <si>
    <t>Abastecimento</t>
  </si>
  <si>
    <t>606</t>
  </si>
  <si>
    <t>Extensão Rural</t>
  </si>
  <si>
    <t>Organização Agrária</t>
  </si>
  <si>
    <t>21</t>
  </si>
  <si>
    <t>631</t>
  </si>
  <si>
    <t>Reforma Agrária</t>
  </si>
  <si>
    <t>22</t>
  </si>
  <si>
    <t>Indústria</t>
  </si>
  <si>
    <t>661</t>
  </si>
  <si>
    <t>Promoção Industrial</t>
  </si>
  <si>
    <t>663</t>
  </si>
  <si>
    <t>Mineração</t>
  </si>
  <si>
    <t>665</t>
  </si>
  <si>
    <t>695</t>
  </si>
  <si>
    <t>Turismo</t>
  </si>
  <si>
    <t>751</t>
  </si>
  <si>
    <t>Conservação de Energia</t>
  </si>
  <si>
    <t>23</t>
  </si>
  <si>
    <t>Comércio e Serviços</t>
  </si>
  <si>
    <t>691</t>
  </si>
  <si>
    <t>Promoção Comercial</t>
  </si>
  <si>
    <t>24</t>
  </si>
  <si>
    <t>Comunicações</t>
  </si>
  <si>
    <t>26</t>
  </si>
  <si>
    <t>Transporte</t>
  </si>
  <si>
    <t>783</t>
  </si>
  <si>
    <t>Transporte Ferroviário</t>
  </si>
  <si>
    <t>784</t>
  </si>
  <si>
    <t>Transporte Hidroviário</t>
  </si>
  <si>
    <t>785</t>
  </si>
  <si>
    <t>Transportes Especiais</t>
  </si>
  <si>
    <t>27</t>
  </si>
  <si>
    <t>Desporto e Lazer</t>
  </si>
  <si>
    <t>811</t>
  </si>
  <si>
    <t>Desporto de Rendimento</t>
  </si>
  <si>
    <t>812</t>
  </si>
  <si>
    <t>Desporto Comunitário</t>
  </si>
  <si>
    <t>813</t>
  </si>
  <si>
    <t>Lazer</t>
  </si>
  <si>
    <t>28</t>
  </si>
  <si>
    <t>Encargos Especiais</t>
  </si>
  <si>
    <t>841</t>
  </si>
  <si>
    <t>Refinanciamento da Dívida Interna</t>
  </si>
  <si>
    <t>843</t>
  </si>
  <si>
    <t>Serviço da Dívida Interna</t>
  </si>
  <si>
    <t>844</t>
  </si>
  <si>
    <t>Serviço da Dívida Externa</t>
  </si>
  <si>
    <t>846</t>
  </si>
  <si>
    <t>Outros Encargos Especiais</t>
  </si>
  <si>
    <t>99</t>
  </si>
  <si>
    <t>Reserva de Contingência</t>
  </si>
  <si>
    <t>999</t>
  </si>
  <si>
    <t>Reserva de Contingência do RPPS</t>
  </si>
  <si>
    <t>TOTAL (III) = (I) + (II)</t>
  </si>
  <si>
    <t>Continua (2/3)</t>
  </si>
  <si>
    <t>(3/3)</t>
  </si>
  <si>
    <t>Continua (1/3)</t>
  </si>
  <si>
    <t>092</t>
  </si>
  <si>
    <t>Representação Judicial e Extrajudicial</t>
  </si>
  <si>
    <t>Controle Interno</t>
  </si>
  <si>
    <t>124</t>
  </si>
  <si>
    <t>129</t>
  </si>
  <si>
    <t>Administração de Receitas</t>
  </si>
  <si>
    <t>Administração de Concessões</t>
  </si>
  <si>
    <t>130</t>
  </si>
  <si>
    <t>Difusão do Conhecimento Científico e Tecnológico</t>
  </si>
  <si>
    <t>332</t>
  </si>
  <si>
    <t>Relações de Trabalho</t>
  </si>
  <si>
    <t>RREO - Anexo 2 (LRF, Art 52, inciso II, alínea "c")</t>
  </si>
  <si>
    <t>Difusão do Conhecimento Científ e Tecnológ</t>
  </si>
  <si>
    <t>331</t>
  </si>
  <si>
    <t>Proteção e Benefícios ao Trabalhador</t>
  </si>
  <si>
    <t>692</t>
  </si>
  <si>
    <t>Comercialização</t>
  </si>
  <si>
    <t>997</t>
  </si>
  <si>
    <t>Reserva do Regime Próprio de Previdência do Servidor - RPPS</t>
  </si>
  <si>
    <t xml:space="preserve">     Contador - CRC-RJ-097281/O-6</t>
  </si>
  <si>
    <t xml:space="preserve">Contador - CRC-RJ-079208/O-8 </t>
  </si>
  <si>
    <t>Normalização e Qualidade</t>
  </si>
  <si>
    <t>368</t>
  </si>
  <si>
    <t>Educação Básica</t>
  </si>
  <si>
    <t>752</t>
  </si>
  <si>
    <t>Energia Elétrica</t>
  </si>
  <si>
    <t>Renato Ferreira Costa</t>
  </si>
  <si>
    <t>Coordenador - ID: 4.284.985-3</t>
  </si>
  <si>
    <t>Ronald Marcio G. Rodrigues</t>
  </si>
  <si>
    <t>Superintendente - ID: 1.943.584-3</t>
  </si>
  <si>
    <t>FONTE: Siafe-Rio - Secretaria de Estado de Fazenda.</t>
  </si>
  <si>
    <t>Obs.:  1 - Excluídas a Imprensa Oficial, a CEDAE e a AGERIO por não se enquadrarem no conceito de Empresa Dependente.</t>
  </si>
  <si>
    <t>481</t>
  </si>
  <si>
    <t>Habitação Rural</t>
  </si>
  <si>
    <t xml:space="preserve"> Assistência ao Portador de Deficiência</t>
  </si>
  <si>
    <t xml:space="preserve"> Formação de Recursos Humanos</t>
  </si>
  <si>
    <t xml:space="preserve"> Assistência Comunitária</t>
  </si>
  <si>
    <t>FUNÇÃO/SUBFUNÇÃO - INTRA-ORÇAMENTÁRIAS</t>
  </si>
  <si>
    <t>(b/III b)</t>
  </si>
  <si>
    <t>(d/III d)</t>
  </si>
  <si>
    <t xml:space="preserve"> Tecnologia da Informação</t>
  </si>
  <si>
    <t>Patrimônio Histórico, Artístico e Arqueológico</t>
  </si>
  <si>
    <t>608</t>
  </si>
  <si>
    <t>609</t>
  </si>
  <si>
    <t>Promoção da Produção Agropecuária</t>
  </si>
  <si>
    <t>Defesa Agropecuária</t>
  </si>
  <si>
    <t>693</t>
  </si>
  <si>
    <t>Comércio Exterior</t>
  </si>
  <si>
    <t xml:space="preserve">          2 - Imprensa Oficial, CEDAE e AGERIO não constam nos Orçamentos Fiscal e da Seguridade Social no exercício de 2021.</t>
  </si>
  <si>
    <t>753</t>
  </si>
  <si>
    <t>Petróleo</t>
  </si>
  <si>
    <t>25</t>
  </si>
  <si>
    <t>Energia</t>
  </si>
  <si>
    <t>INSCRITAS EM RESTOS A PAGAR NÃO PROCESSADOS (f)</t>
  </si>
  <si>
    <t>JANEIRO A DEZEMBRO 2021/BIMESTRE NOVEMBRO - DEZEMBRO</t>
  </si>
  <si>
    <t>Yasmim da Costa Monteiro</t>
  </si>
  <si>
    <t xml:space="preserve"> Subsecretária de Contabilidade Geral - ID: 4.461.243-5</t>
  </si>
  <si>
    <t>Contadora - CRC-RJ-114428/O-0</t>
  </si>
  <si>
    <t>Emissão: 25/01/2022</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</si>
</sst>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_);\(#,##0.0\)"/>
    <numFmt numFmtId="173" formatCode="_(* #,##0.0_);_(* \(#,##0.0\);_(* &quot;-&quot;??_);_(@_)"/>
    <numFmt numFmtId="174" formatCode="_(* #,##0_);_(* \(#,##0\);_(* &quot;-&quot;??_);_(@_)"/>
    <numFmt numFmtId="175" formatCode="_(* #,##0.000_);_(* \(#,##0.000\);_(* &quot;-&quot;??_);_(@_)"/>
    <numFmt numFmtId="176" formatCode="_(* #,##0.0000_);_(* \(#,##0.0000\);_(* &quot;-&quot;??_);_(@_)"/>
    <numFmt numFmtId="177" formatCode="_(* #,##0.00000_);_(* \(#,##0.00000\);_(* &quot;-&quot;??_);_(@_)"/>
    <numFmt numFmtId="178" formatCode="_(* #,##0.000000_);_(* \(#,##0.000000\);_(* &quot;-&quot;??_);_(@_)"/>
    <numFmt numFmtId="179" formatCode="_(* #,##0.0000000_);_(* \(#,##0.0000000\);_(* &quot;-&quot;??_);_(@_)"/>
  </numFmts>
  <fonts count="50">
    <font>
      <sz val="10"/>
      <name val="Arial"/>
      <family val="0"/>
    </font>
    <font>
      <sz val="8"/>
      <name val="Times New Roman"/>
      <family val="1"/>
    </font>
    <font>
      <sz val="11"/>
      <name val="Times New Roman"/>
      <family val="1"/>
    </font>
    <font>
      <sz val="10"/>
      <name val="Times New Roman"/>
      <family val="1"/>
    </font>
    <font>
      <sz val="12"/>
      <name val="Times New Roman"/>
      <family val="1"/>
    </font>
    <font>
      <b/>
      <sz val="12"/>
      <name val="Times New Roman"/>
      <family val="1"/>
    </font>
    <font>
      <b/>
      <sz val="11.5"/>
      <name val="Times New Roman"/>
      <family val="1"/>
    </font>
    <font>
      <sz val="11.5"/>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10"/>
      <name val="Times New Roman"/>
      <family val="1"/>
    </font>
    <font>
      <b/>
      <sz val="11"/>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0" fontId="29" fillId="0" borderId="0">
      <alignment/>
      <protection/>
    </xf>
    <xf numFmtId="0" fontId="0" fillId="31" borderId="4" applyNumberFormat="0" applyFont="0" applyAlignment="0" applyProtection="0"/>
    <xf numFmtId="9" fontId="0" fillId="0" borderId="0" applyFont="0" applyFill="0" applyBorder="0" applyAlignment="0" applyProtection="0"/>
    <xf numFmtId="0" fontId="39" fillId="32" borderId="0" applyNumberFormat="0" applyBorder="0" applyAlignment="0" applyProtection="0"/>
    <xf numFmtId="0" fontId="40" fillId="21" borderId="5" applyNumberFormat="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1" fontId="0" fillId="0" borderId="0" applyFont="0" applyFill="0" applyBorder="0" applyAlignment="0" applyProtection="0"/>
  </cellStyleXfs>
  <cellXfs count="130">
    <xf numFmtId="0" fontId="0" fillId="0" borderId="0" xfId="0" applyAlignment="1">
      <alignmen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174" fontId="2" fillId="0" borderId="0" xfId="63" applyNumberFormat="1" applyFont="1" applyFill="1" applyAlignment="1">
      <alignment/>
    </xf>
    <xf numFmtId="174" fontId="2" fillId="0" borderId="0" xfId="0" applyNumberFormat="1" applyFont="1" applyFill="1" applyAlignment="1">
      <alignment/>
    </xf>
    <xf numFmtId="49" fontId="5" fillId="33" borderId="10" xfId="0" applyNumberFormat="1" applyFont="1" applyFill="1" applyBorder="1" applyAlignment="1">
      <alignment horizontal="center"/>
    </xf>
    <xf numFmtId="0" fontId="5" fillId="33" borderId="11" xfId="0" applyFont="1" applyFill="1" applyBorder="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5"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49" fontId="5" fillId="33" borderId="16" xfId="0" applyNumberFormat="1" applyFont="1" applyFill="1" applyBorder="1" applyAlignment="1">
      <alignment horizontal="center"/>
    </xf>
    <xf numFmtId="0" fontId="5" fillId="33" borderId="17" xfId="0" applyFont="1" applyFill="1" applyBorder="1" applyAlignment="1">
      <alignment/>
    </xf>
    <xf numFmtId="0" fontId="5" fillId="33" borderId="17" xfId="0" applyFont="1" applyFill="1" applyBorder="1" applyAlignment="1">
      <alignment horizont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49" fontId="4" fillId="34" borderId="0" xfId="0" applyNumberFormat="1" applyFont="1" applyFill="1" applyAlignment="1">
      <alignment horizontal="center"/>
    </xf>
    <xf numFmtId="0" fontId="4" fillId="34" borderId="0" xfId="0" applyFont="1" applyFill="1" applyAlignment="1">
      <alignment horizontal="right"/>
    </xf>
    <xf numFmtId="0" fontId="4" fillId="34" borderId="0" xfId="0" applyFont="1" applyFill="1" applyAlignment="1">
      <alignment/>
    </xf>
    <xf numFmtId="49" fontId="4" fillId="34" borderId="0" xfId="0" applyNumberFormat="1" applyFont="1" applyFill="1" applyAlignment="1">
      <alignment/>
    </xf>
    <xf numFmtId="0" fontId="4" fillId="34" borderId="0" xfId="0" applyFont="1" applyFill="1" applyBorder="1" applyAlignment="1">
      <alignment/>
    </xf>
    <xf numFmtId="172" fontId="4" fillId="34" borderId="0" xfId="0" applyNumberFormat="1" applyFont="1" applyFill="1" applyAlignment="1">
      <alignment/>
    </xf>
    <xf numFmtId="167" fontId="4" fillId="34" borderId="0" xfId="0" applyNumberFormat="1" applyFont="1" applyFill="1" applyAlignment="1">
      <alignment horizontal="right"/>
    </xf>
    <xf numFmtId="49" fontId="4" fillId="34" borderId="0" xfId="0" applyNumberFormat="1" applyFont="1" applyFill="1" applyBorder="1" applyAlignment="1">
      <alignment horizontal="center"/>
    </xf>
    <xf numFmtId="174" fontId="4" fillId="34" borderId="0" xfId="63" applyNumberFormat="1" applyFont="1" applyFill="1" applyBorder="1" applyAlignment="1">
      <alignment/>
    </xf>
    <xf numFmtId="171" fontId="4" fillId="34" borderId="0" xfId="63" applyFont="1" applyFill="1" applyBorder="1" applyAlignment="1">
      <alignment/>
    </xf>
    <xf numFmtId="49" fontId="2" fillId="34" borderId="0" xfId="0" applyNumberFormat="1" applyFont="1" applyFill="1" applyAlignment="1">
      <alignment horizontal="left"/>
    </xf>
    <xf numFmtId="0" fontId="2" fillId="34" borderId="0" xfId="0" applyFont="1" applyFill="1" applyAlignment="1">
      <alignment/>
    </xf>
    <xf numFmtId="0" fontId="3" fillId="34" borderId="0" xfId="0" applyFont="1" applyFill="1" applyAlignment="1">
      <alignment/>
    </xf>
    <xf numFmtId="174" fontId="5" fillId="34" borderId="0" xfId="63" applyNumberFormat="1" applyFont="1" applyFill="1" applyBorder="1" applyAlignment="1">
      <alignment/>
    </xf>
    <xf numFmtId="171" fontId="5" fillId="34" borderId="0" xfId="63" applyFont="1" applyFill="1" applyBorder="1" applyAlignment="1">
      <alignment/>
    </xf>
    <xf numFmtId="49" fontId="1" fillId="34" borderId="0" xfId="0" applyNumberFormat="1" applyFont="1" applyFill="1" applyAlignment="1">
      <alignment horizontal="center"/>
    </xf>
    <xf numFmtId="171" fontId="4" fillId="34" borderId="0" xfId="63" applyFont="1" applyFill="1" applyAlignment="1">
      <alignment horizontal="center"/>
    </xf>
    <xf numFmtId="174" fontId="4" fillId="34" borderId="0" xfId="0" applyNumberFormat="1" applyFont="1" applyFill="1" applyBorder="1" applyAlignment="1">
      <alignment/>
    </xf>
    <xf numFmtId="174" fontId="4" fillId="34" borderId="0" xfId="0" applyNumberFormat="1" applyFont="1" applyFill="1" applyAlignment="1">
      <alignment horizontal="right"/>
    </xf>
    <xf numFmtId="49" fontId="2" fillId="34" borderId="0" xfId="0" applyNumberFormat="1" applyFont="1" applyFill="1" applyAlignment="1">
      <alignment horizontal="center"/>
    </xf>
    <xf numFmtId="49" fontId="4" fillId="34" borderId="0" xfId="0" applyNumberFormat="1" applyFont="1" applyFill="1" applyAlignment="1">
      <alignment horizontal="left"/>
    </xf>
    <xf numFmtId="174" fontId="48" fillId="34" borderId="0" xfId="0" applyNumberFormat="1" applyFont="1" applyFill="1" applyAlignment="1">
      <alignment/>
    </xf>
    <xf numFmtId="174" fontId="4" fillId="34" borderId="0" xfId="0" applyNumberFormat="1" applyFont="1" applyFill="1" applyAlignment="1">
      <alignment/>
    </xf>
    <xf numFmtId="49" fontId="6" fillId="34" borderId="0" xfId="0" applyNumberFormat="1" applyFont="1" applyFill="1" applyAlignment="1">
      <alignment horizontal="center"/>
    </xf>
    <xf numFmtId="0" fontId="6" fillId="34" borderId="11" xfId="0" applyFont="1" applyFill="1" applyBorder="1" applyAlignment="1">
      <alignment/>
    </xf>
    <xf numFmtId="171" fontId="6" fillId="34" borderId="14" xfId="63" applyFont="1" applyFill="1" applyBorder="1" applyAlignment="1">
      <alignment horizontal="center"/>
    </xf>
    <xf numFmtId="0" fontId="6" fillId="34" borderId="14" xfId="0" applyFont="1" applyFill="1" applyBorder="1" applyAlignment="1">
      <alignment/>
    </xf>
    <xf numFmtId="171" fontId="6" fillId="34" borderId="14" xfId="63" applyFont="1" applyFill="1" applyBorder="1" applyAlignment="1">
      <alignment/>
    </xf>
    <xf numFmtId="49" fontId="7" fillId="34" borderId="0" xfId="0" applyNumberFormat="1" applyFont="1" applyFill="1" applyAlignment="1">
      <alignment horizontal="center"/>
    </xf>
    <xf numFmtId="0" fontId="7" fillId="34" borderId="14" xfId="0" applyFont="1" applyFill="1" applyBorder="1" applyAlignment="1">
      <alignment/>
    </xf>
    <xf numFmtId="174" fontId="7" fillId="34" borderId="14" xfId="63" applyNumberFormat="1" applyFont="1" applyFill="1" applyBorder="1" applyAlignment="1">
      <alignment/>
    </xf>
    <xf numFmtId="171" fontId="7" fillId="34" borderId="14" xfId="63" applyFont="1" applyFill="1" applyBorder="1" applyAlignment="1">
      <alignment horizontal="center"/>
    </xf>
    <xf numFmtId="171" fontId="7" fillId="34" borderId="14" xfId="63" applyFont="1" applyFill="1" applyBorder="1" applyAlignment="1">
      <alignment/>
    </xf>
    <xf numFmtId="174" fontId="7" fillId="34" borderId="15" xfId="63" applyNumberFormat="1" applyFont="1" applyFill="1" applyBorder="1" applyAlignment="1">
      <alignment/>
    </xf>
    <xf numFmtId="49" fontId="7" fillId="34" borderId="19" xfId="0" applyNumberFormat="1" applyFont="1" applyFill="1" applyBorder="1" applyAlignment="1">
      <alignment horizontal="center"/>
    </xf>
    <xf numFmtId="0" fontId="7" fillId="34" borderId="17" xfId="0" applyFont="1" applyFill="1" applyBorder="1" applyAlignment="1">
      <alignment/>
    </xf>
    <xf numFmtId="171" fontId="7" fillId="34" borderId="17" xfId="63" applyFont="1" applyFill="1" applyBorder="1" applyAlignment="1">
      <alignment/>
    </xf>
    <xf numFmtId="49" fontId="7" fillId="34" borderId="0" xfId="0" applyNumberFormat="1" applyFont="1" applyFill="1" applyBorder="1" applyAlignment="1">
      <alignment horizontal="center"/>
    </xf>
    <xf numFmtId="0" fontId="7" fillId="34" borderId="0" xfId="0" applyFont="1" applyFill="1" applyBorder="1" applyAlignment="1">
      <alignment/>
    </xf>
    <xf numFmtId="174" fontId="7" fillId="34" borderId="0" xfId="63" applyNumberFormat="1" applyFont="1" applyFill="1" applyBorder="1" applyAlignment="1">
      <alignment/>
    </xf>
    <xf numFmtId="171" fontId="7" fillId="34" borderId="0" xfId="63" applyFont="1" applyFill="1" applyBorder="1" applyAlignment="1">
      <alignment/>
    </xf>
    <xf numFmtId="174" fontId="7" fillId="34" borderId="0" xfId="63" applyNumberFormat="1" applyFont="1" applyFill="1" applyBorder="1" applyAlignment="1">
      <alignment horizontal="right"/>
    </xf>
    <xf numFmtId="0" fontId="7" fillId="34" borderId="15" xfId="0" applyFont="1" applyFill="1" applyBorder="1" applyAlignment="1">
      <alignment/>
    </xf>
    <xf numFmtId="171" fontId="7" fillId="34" borderId="15" xfId="63" applyFont="1" applyFill="1" applyBorder="1" applyAlignment="1">
      <alignment/>
    </xf>
    <xf numFmtId="49" fontId="7" fillId="34" borderId="13" xfId="0" applyNumberFormat="1" applyFont="1" applyFill="1" applyBorder="1" applyAlignment="1">
      <alignment horizontal="center"/>
    </xf>
    <xf numFmtId="0" fontId="7" fillId="34" borderId="0" xfId="0" applyFont="1" applyFill="1" applyAlignment="1">
      <alignment/>
    </xf>
    <xf numFmtId="171" fontId="6" fillId="34" borderId="0" xfId="63" applyFont="1" applyFill="1" applyBorder="1" applyAlignment="1">
      <alignment/>
    </xf>
    <xf numFmtId="0" fontId="6" fillId="34" borderId="15" xfId="0" applyFont="1" applyFill="1" applyBorder="1" applyAlignment="1">
      <alignment/>
    </xf>
    <xf numFmtId="171" fontId="6" fillId="34" borderId="11" xfId="63" applyFont="1" applyFill="1" applyBorder="1" applyAlignment="1">
      <alignment/>
    </xf>
    <xf numFmtId="49" fontId="6" fillId="34" borderId="0" xfId="0" applyNumberFormat="1" applyFont="1" applyFill="1" applyBorder="1" applyAlignment="1">
      <alignment horizontal="center"/>
    </xf>
    <xf numFmtId="49" fontId="6" fillId="34" borderId="13" xfId="0" applyNumberFormat="1" applyFont="1" applyFill="1" applyBorder="1" applyAlignment="1">
      <alignment horizontal="center"/>
    </xf>
    <xf numFmtId="0" fontId="6" fillId="34" borderId="0" xfId="0" applyFont="1" applyFill="1" applyBorder="1" applyAlignment="1">
      <alignment/>
    </xf>
    <xf numFmtId="49" fontId="6" fillId="34" borderId="19" xfId="0" applyNumberFormat="1" applyFont="1" applyFill="1" applyBorder="1" applyAlignment="1">
      <alignment horizontal="center"/>
    </xf>
    <xf numFmtId="0" fontId="6" fillId="34" borderId="17" xfId="0" applyFont="1" applyFill="1" applyBorder="1" applyAlignment="1">
      <alignment/>
    </xf>
    <xf numFmtId="171" fontId="6" fillId="34" borderId="17" xfId="63" applyFont="1" applyFill="1" applyBorder="1" applyAlignment="1">
      <alignment/>
    </xf>
    <xf numFmtId="0" fontId="7" fillId="34" borderId="0" xfId="0" applyFont="1" applyFill="1" applyAlignment="1">
      <alignment horizontal="right"/>
    </xf>
    <xf numFmtId="171" fontId="6" fillId="34" borderId="14" xfId="63" applyNumberFormat="1" applyFont="1" applyFill="1" applyBorder="1" applyAlignment="1">
      <alignment/>
    </xf>
    <xf numFmtId="171" fontId="6" fillId="34" borderId="14" xfId="63" applyNumberFormat="1" applyFont="1" applyFill="1" applyBorder="1" applyAlignment="1">
      <alignment horizontal="center"/>
    </xf>
    <xf numFmtId="171" fontId="6" fillId="34" borderId="14" xfId="63" applyNumberFormat="1" applyFont="1" applyFill="1" applyBorder="1" applyAlignment="1">
      <alignment/>
    </xf>
    <xf numFmtId="171" fontId="7" fillId="34" borderId="14" xfId="63" applyNumberFormat="1" applyFont="1" applyFill="1" applyBorder="1" applyAlignment="1">
      <alignment/>
    </xf>
    <xf numFmtId="171" fontId="7" fillId="34" borderId="17" xfId="63" applyNumberFormat="1" applyFont="1" applyFill="1" applyBorder="1" applyAlignment="1">
      <alignment/>
    </xf>
    <xf numFmtId="171" fontId="6" fillId="34" borderId="15" xfId="63" applyNumberFormat="1" applyFont="1" applyFill="1" applyBorder="1" applyAlignment="1">
      <alignment/>
    </xf>
    <xf numFmtId="171" fontId="7" fillId="34" borderId="15" xfId="63" applyNumberFormat="1" applyFont="1" applyFill="1" applyBorder="1" applyAlignment="1">
      <alignment/>
    </xf>
    <xf numFmtId="0" fontId="2" fillId="0" borderId="0" xfId="0" applyFont="1" applyFill="1" applyAlignment="1">
      <alignment/>
    </xf>
    <xf numFmtId="171" fontId="7" fillId="34" borderId="18" xfId="63" applyNumberFormat="1" applyFont="1" applyFill="1" applyBorder="1" applyAlignment="1">
      <alignment/>
    </xf>
    <xf numFmtId="171" fontId="7" fillId="34" borderId="13" xfId="63" applyNumberFormat="1" applyFont="1" applyFill="1" applyBorder="1" applyAlignment="1">
      <alignment/>
    </xf>
    <xf numFmtId="171" fontId="7" fillId="34" borderId="0" xfId="63" applyNumberFormat="1" applyFont="1" applyFill="1" applyBorder="1" applyAlignment="1" applyProtection="1">
      <alignment/>
      <protection locked="0"/>
    </xf>
    <xf numFmtId="171" fontId="6" fillId="34" borderId="11" xfId="63" applyNumberFormat="1" applyFont="1" applyFill="1" applyBorder="1" applyAlignment="1">
      <alignment/>
    </xf>
    <xf numFmtId="171" fontId="6" fillId="34" borderId="0" xfId="63" applyNumberFormat="1" applyFont="1" applyFill="1" applyBorder="1" applyAlignment="1">
      <alignment/>
    </xf>
    <xf numFmtId="171" fontId="7" fillId="34" borderId="0" xfId="63" applyNumberFormat="1" applyFont="1" applyFill="1" applyBorder="1" applyAlignment="1">
      <alignment/>
    </xf>
    <xf numFmtId="171" fontId="6" fillId="34" borderId="17" xfId="63" applyNumberFormat="1" applyFont="1" applyFill="1" applyBorder="1" applyAlignment="1">
      <alignment/>
    </xf>
    <xf numFmtId="171" fontId="6" fillId="34" borderId="18" xfId="63" applyNumberFormat="1" applyFont="1" applyFill="1" applyBorder="1" applyAlignment="1">
      <alignment/>
    </xf>
    <xf numFmtId="171" fontId="6" fillId="34" borderId="20" xfId="63" applyNumberFormat="1" applyFont="1" applyFill="1" applyBorder="1" applyAlignment="1">
      <alignment/>
    </xf>
    <xf numFmtId="171" fontId="6" fillId="34" borderId="21" xfId="63" applyNumberFormat="1" applyFont="1" applyFill="1" applyBorder="1" applyAlignment="1">
      <alignment/>
    </xf>
    <xf numFmtId="171" fontId="6" fillId="34" borderId="15" xfId="63" applyNumberFormat="1" applyFont="1" applyFill="1" applyBorder="1" applyAlignment="1">
      <alignment horizontal="center"/>
    </xf>
    <xf numFmtId="171" fontId="7" fillId="0" borderId="14" xfId="63" applyNumberFormat="1" applyFont="1" applyFill="1" applyBorder="1" applyAlignment="1">
      <alignment/>
    </xf>
    <xf numFmtId="43" fontId="7" fillId="34" borderId="0" xfId="0" applyNumberFormat="1" applyFont="1" applyFill="1" applyAlignment="1">
      <alignment/>
    </xf>
    <xf numFmtId="43" fontId="3" fillId="34" borderId="0" xfId="0" applyNumberFormat="1" applyFont="1" applyFill="1" applyAlignment="1">
      <alignment/>
    </xf>
    <xf numFmtId="49" fontId="7" fillId="0" borderId="0" xfId="0" applyNumberFormat="1" applyFont="1" applyFill="1" applyAlignment="1">
      <alignment horizontal="center"/>
    </xf>
    <xf numFmtId="0" fontId="7" fillId="0" borderId="14" xfId="0" applyFont="1" applyFill="1" applyBorder="1" applyAlignment="1">
      <alignment/>
    </xf>
    <xf numFmtId="49" fontId="6" fillId="0" borderId="0" xfId="0" applyNumberFormat="1" applyFont="1" applyFill="1" applyAlignment="1">
      <alignment horizontal="center"/>
    </xf>
    <xf numFmtId="0" fontId="6" fillId="0" borderId="14" xfId="0" applyFont="1" applyFill="1" applyBorder="1" applyAlignment="1">
      <alignment/>
    </xf>
    <xf numFmtId="0" fontId="7" fillId="0" borderId="15" xfId="0" applyFont="1" applyFill="1" applyBorder="1" applyAlignment="1">
      <alignment/>
    </xf>
    <xf numFmtId="171" fontId="7" fillId="0" borderId="0" xfId="63" applyFont="1" applyFill="1" applyBorder="1" applyAlignment="1">
      <alignment/>
    </xf>
    <xf numFmtId="171" fontId="7" fillId="0" borderId="14" xfId="63" applyFont="1" applyFill="1" applyBorder="1" applyAlignment="1">
      <alignment/>
    </xf>
    <xf numFmtId="171" fontId="7" fillId="0" borderId="0" xfId="63" applyNumberFormat="1" applyFont="1" applyFill="1" applyBorder="1" applyAlignment="1">
      <alignment/>
    </xf>
    <xf numFmtId="0" fontId="7" fillId="0" borderId="0" xfId="0" applyFont="1" applyFill="1" applyBorder="1" applyAlignment="1">
      <alignment/>
    </xf>
    <xf numFmtId="171" fontId="6" fillId="0" borderId="0" xfId="63" applyFont="1" applyFill="1" applyBorder="1" applyAlignment="1">
      <alignment/>
    </xf>
    <xf numFmtId="0" fontId="49" fillId="0" borderId="0" xfId="0" applyFont="1" applyFill="1" applyBorder="1" applyAlignment="1">
      <alignment/>
    </xf>
    <xf numFmtId="0" fontId="7" fillId="34" borderId="22" xfId="0" applyFont="1" applyFill="1" applyBorder="1" applyAlignment="1">
      <alignment horizontal="right"/>
    </xf>
    <xf numFmtId="171" fontId="6" fillId="34" borderId="15" xfId="63" applyNumberFormat="1" applyFont="1" applyFill="1" applyBorder="1" applyAlignment="1">
      <alignment/>
    </xf>
    <xf numFmtId="0" fontId="2" fillId="0" borderId="0" xfId="0" applyFont="1" applyFill="1" applyBorder="1" applyAlignment="1">
      <alignment/>
    </xf>
    <xf numFmtId="0" fontId="4" fillId="34" borderId="0" xfId="0" applyFont="1" applyFill="1" applyAlignment="1">
      <alignment horizontal="right" vertical="top"/>
    </xf>
    <xf numFmtId="0" fontId="4" fillId="0" borderId="0" xfId="0" applyFont="1" applyFill="1" applyBorder="1" applyAlignment="1">
      <alignment horizontal="right"/>
    </xf>
    <xf numFmtId="171" fontId="3" fillId="34" borderId="0" xfId="63" applyFont="1" applyFill="1" applyAlignment="1">
      <alignment/>
    </xf>
    <xf numFmtId="0" fontId="4" fillId="34" borderId="0" xfId="0" applyFont="1" applyFill="1" applyAlignment="1">
      <alignment horizontal="center"/>
    </xf>
    <xf numFmtId="0" fontId="5" fillId="34" borderId="0" xfId="0" applyFont="1" applyFill="1" applyAlignment="1">
      <alignment horizontal="center"/>
    </xf>
    <xf numFmtId="0" fontId="3" fillId="0" borderId="0" xfId="0" applyFont="1" applyFill="1" applyBorder="1" applyAlignment="1">
      <alignment horizontal="center"/>
    </xf>
    <xf numFmtId="0" fontId="5" fillId="33" borderId="21"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49" fontId="4" fillId="34" borderId="0" xfId="0" applyNumberFormat="1" applyFont="1" applyFill="1" applyAlignment="1">
      <alignment horizontal="center"/>
    </xf>
    <xf numFmtId="0" fontId="4" fillId="34" borderId="0" xfId="49" applyFont="1" applyFill="1" applyAlignment="1">
      <alignment horizontal="center"/>
      <protection/>
    </xf>
    <xf numFmtId="0" fontId="5" fillId="33" borderId="12" xfId="0" applyFont="1" applyFill="1" applyBorder="1" applyAlignment="1">
      <alignment horizontal="center" wrapText="1"/>
    </xf>
    <xf numFmtId="0" fontId="5" fillId="33" borderId="15" xfId="0" applyFont="1" applyFill="1" applyBorder="1" applyAlignment="1">
      <alignment horizontal="center" wrapText="1"/>
    </xf>
    <xf numFmtId="0" fontId="5" fillId="33" borderId="18" xfId="0" applyFont="1" applyFill="1" applyBorder="1" applyAlignment="1">
      <alignment horizontal="center" wrapText="1"/>
    </xf>
    <xf numFmtId="49" fontId="6" fillId="34" borderId="23" xfId="0" applyNumberFormat="1" applyFont="1" applyFill="1" applyBorder="1" applyAlignment="1">
      <alignment horizontal="left"/>
    </xf>
    <xf numFmtId="49" fontId="6" fillId="34" borderId="24" xfId="0" applyNumberFormat="1" applyFont="1" applyFill="1" applyBorder="1" applyAlignment="1">
      <alignment horizontal="left"/>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4 2 3" xfId="49"/>
    <cellStyle name="Nota" xfId="50"/>
    <cellStyle name="Percent" xfId="51"/>
    <cellStyle name="Ruim"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0</xdr:row>
      <xdr:rowOff>66675</xdr:rowOff>
    </xdr:from>
    <xdr:to>
      <xdr:col>5</xdr:col>
      <xdr:colOff>800100</xdr:colOff>
      <xdr:row>2</xdr:row>
      <xdr:rowOff>161925</xdr:rowOff>
    </xdr:to>
    <xdr:pic>
      <xdr:nvPicPr>
        <xdr:cNvPr id="1" name="Picture 1"/>
        <xdr:cNvPicPr preferRelativeResize="1">
          <a:picLocks noChangeAspect="1"/>
        </xdr:cNvPicPr>
      </xdr:nvPicPr>
      <xdr:blipFill>
        <a:blip r:embed="rId1"/>
        <a:stretch>
          <a:fillRect/>
        </a:stretch>
      </xdr:blipFill>
      <xdr:spPr>
        <a:xfrm>
          <a:off x="9058275" y="66675"/>
          <a:ext cx="704850" cy="609600"/>
        </a:xfrm>
        <a:prstGeom prst="rect">
          <a:avLst/>
        </a:prstGeom>
        <a:noFill/>
        <a:ln w="9525" cmpd="sng">
          <a:noFill/>
        </a:ln>
      </xdr:spPr>
    </xdr:pic>
    <xdr:clientData/>
  </xdr:twoCellAnchor>
  <xdr:twoCellAnchor editAs="oneCell">
    <xdr:from>
      <xdr:col>5</xdr:col>
      <xdr:colOff>76200</xdr:colOff>
      <xdr:row>142</xdr:row>
      <xdr:rowOff>66675</xdr:rowOff>
    </xdr:from>
    <xdr:to>
      <xdr:col>5</xdr:col>
      <xdr:colOff>847725</xdr:colOff>
      <xdr:row>145</xdr:row>
      <xdr:rowOff>161925</xdr:rowOff>
    </xdr:to>
    <xdr:pic>
      <xdr:nvPicPr>
        <xdr:cNvPr id="2" name="Picture 1"/>
        <xdr:cNvPicPr preferRelativeResize="1">
          <a:picLocks noChangeAspect="1"/>
        </xdr:cNvPicPr>
      </xdr:nvPicPr>
      <xdr:blipFill>
        <a:blip r:embed="rId1"/>
        <a:stretch>
          <a:fillRect/>
        </a:stretch>
      </xdr:blipFill>
      <xdr:spPr>
        <a:xfrm>
          <a:off x="9039225" y="27736800"/>
          <a:ext cx="771525" cy="666750"/>
        </a:xfrm>
        <a:prstGeom prst="rect">
          <a:avLst/>
        </a:prstGeom>
        <a:noFill/>
        <a:ln w="9525" cmpd="sng">
          <a:noFill/>
        </a:ln>
      </xdr:spPr>
    </xdr:pic>
    <xdr:clientData/>
  </xdr:twoCellAnchor>
  <xdr:twoCellAnchor editAs="oneCell">
    <xdr:from>
      <xdr:col>5</xdr:col>
      <xdr:colOff>76200</xdr:colOff>
      <xdr:row>287</xdr:row>
      <xdr:rowOff>123825</xdr:rowOff>
    </xdr:from>
    <xdr:to>
      <xdr:col>5</xdr:col>
      <xdr:colOff>942975</xdr:colOff>
      <xdr:row>290</xdr:row>
      <xdr:rowOff>171450</xdr:rowOff>
    </xdr:to>
    <xdr:pic>
      <xdr:nvPicPr>
        <xdr:cNvPr id="3" name="Picture 1"/>
        <xdr:cNvPicPr preferRelativeResize="1">
          <a:picLocks noChangeAspect="1"/>
        </xdr:cNvPicPr>
      </xdr:nvPicPr>
      <xdr:blipFill>
        <a:blip r:embed="rId1"/>
        <a:stretch>
          <a:fillRect/>
        </a:stretch>
      </xdr:blipFill>
      <xdr:spPr>
        <a:xfrm>
          <a:off x="9039225" y="55816500"/>
          <a:ext cx="8667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55"/>
  <sheetViews>
    <sheetView tabSelected="1" zoomScale="80" zoomScaleNormal="80" zoomScalePageLayoutView="0" workbookViewId="0" topLeftCell="A376">
      <selection activeCell="P305" sqref="N305:P322"/>
    </sheetView>
  </sheetViews>
  <sheetFormatPr defaultColWidth="9.140625" defaultRowHeight="12.75"/>
  <cols>
    <col min="1" max="1" width="5.8515625" style="1" customWidth="1"/>
    <col min="2" max="2" width="62.28125" style="2" customWidth="1"/>
    <col min="3" max="3" width="21.7109375" style="2" bestFit="1" customWidth="1"/>
    <col min="4" max="4" width="21.7109375" style="2" customWidth="1"/>
    <col min="5" max="5" width="22.8515625" style="2" customWidth="1"/>
    <col min="6" max="6" width="21.7109375" style="2" customWidth="1"/>
    <col min="7" max="7" width="11.140625" style="2" customWidth="1"/>
    <col min="8" max="8" width="23.140625" style="2" customWidth="1"/>
    <col min="9" max="9" width="22.8515625" style="2" customWidth="1"/>
    <col min="10" max="10" width="21.7109375" style="2" customWidth="1"/>
    <col min="11" max="11" width="10.421875" style="2" customWidth="1"/>
    <col min="12" max="12" width="21.28125" style="2" customWidth="1"/>
    <col min="13" max="13" width="18.7109375" style="3" customWidth="1"/>
    <col min="14" max="14" width="9.140625" style="2" customWidth="1"/>
    <col min="15" max="15" width="8.421875" style="2" customWidth="1"/>
    <col min="16" max="16384" width="9.140625" style="2" customWidth="1"/>
  </cols>
  <sheetData>
    <row r="1" spans="1:13" ht="15.75">
      <c r="A1" s="22"/>
      <c r="B1" s="24"/>
      <c r="C1" s="24"/>
      <c r="D1" s="24"/>
      <c r="E1" s="24"/>
      <c r="F1" s="24"/>
      <c r="G1" s="24"/>
      <c r="H1" s="24"/>
      <c r="I1" s="24"/>
      <c r="J1" s="24"/>
      <c r="K1" s="24"/>
      <c r="L1" s="24"/>
      <c r="M1" s="24"/>
    </row>
    <row r="2" spans="1:13" ht="24.75" customHeight="1">
      <c r="A2" s="22"/>
      <c r="B2" s="24"/>
      <c r="C2" s="24"/>
      <c r="D2" s="24"/>
      <c r="E2" s="24"/>
      <c r="F2" s="24"/>
      <c r="G2" s="24"/>
      <c r="H2" s="24"/>
      <c r="I2" s="24"/>
      <c r="J2" s="24"/>
      <c r="K2" s="24"/>
      <c r="L2" s="24"/>
      <c r="M2" s="24"/>
    </row>
    <row r="3" spans="1:13" ht="15.75">
      <c r="A3" s="22"/>
      <c r="B3" s="24"/>
      <c r="C3" s="24"/>
      <c r="D3" s="24"/>
      <c r="E3" s="24"/>
      <c r="F3" s="24"/>
      <c r="G3" s="24"/>
      <c r="H3" s="24"/>
      <c r="I3" s="24"/>
      <c r="J3" s="24"/>
      <c r="K3" s="24"/>
      <c r="L3" s="24"/>
      <c r="M3" s="24"/>
    </row>
    <row r="4" spans="1:13" s="4" customFormat="1" ht="15.75">
      <c r="A4" s="117" t="s">
        <v>14</v>
      </c>
      <c r="B4" s="117"/>
      <c r="C4" s="117"/>
      <c r="D4" s="117"/>
      <c r="E4" s="117"/>
      <c r="F4" s="117"/>
      <c r="G4" s="117"/>
      <c r="H4" s="117"/>
      <c r="I4" s="117"/>
      <c r="J4" s="117"/>
      <c r="K4" s="117"/>
      <c r="L4" s="117"/>
      <c r="M4" s="117"/>
    </row>
    <row r="5" spans="1:13" s="4" customFormat="1" ht="15.75">
      <c r="A5" s="117" t="s">
        <v>0</v>
      </c>
      <c r="B5" s="117"/>
      <c r="C5" s="117"/>
      <c r="D5" s="117"/>
      <c r="E5" s="117"/>
      <c r="F5" s="117"/>
      <c r="G5" s="117"/>
      <c r="H5" s="117"/>
      <c r="I5" s="117"/>
      <c r="J5" s="117"/>
      <c r="K5" s="117"/>
      <c r="L5" s="117"/>
      <c r="M5" s="117"/>
    </row>
    <row r="6" spans="1:13" s="4" customFormat="1" ht="15.75">
      <c r="A6" s="118" t="s">
        <v>1</v>
      </c>
      <c r="B6" s="118"/>
      <c r="C6" s="118"/>
      <c r="D6" s="118"/>
      <c r="E6" s="118"/>
      <c r="F6" s="118"/>
      <c r="G6" s="118"/>
      <c r="H6" s="118"/>
      <c r="I6" s="118"/>
      <c r="J6" s="118"/>
      <c r="K6" s="118"/>
      <c r="L6" s="118"/>
      <c r="M6" s="118"/>
    </row>
    <row r="7" spans="1:13" s="4" customFormat="1" ht="15.75">
      <c r="A7" s="117" t="s">
        <v>2</v>
      </c>
      <c r="B7" s="117"/>
      <c r="C7" s="117"/>
      <c r="D7" s="117"/>
      <c r="E7" s="117"/>
      <c r="F7" s="117"/>
      <c r="G7" s="117"/>
      <c r="H7" s="117"/>
      <c r="I7" s="117"/>
      <c r="J7" s="117"/>
      <c r="K7" s="117"/>
      <c r="L7" s="117"/>
      <c r="M7" s="117"/>
    </row>
    <row r="8" spans="1:13" s="4" customFormat="1" ht="15.75">
      <c r="A8" s="117" t="s">
        <v>283</v>
      </c>
      <c r="B8" s="117"/>
      <c r="C8" s="117"/>
      <c r="D8" s="117"/>
      <c r="E8" s="117"/>
      <c r="F8" s="117"/>
      <c r="G8" s="117"/>
      <c r="H8" s="117"/>
      <c r="I8" s="117"/>
      <c r="J8" s="117"/>
      <c r="K8" s="117"/>
      <c r="L8" s="117"/>
      <c r="M8" s="117"/>
    </row>
    <row r="9" spans="1:13" ht="15.75">
      <c r="A9" s="22"/>
      <c r="B9" s="22"/>
      <c r="C9" s="38"/>
      <c r="D9" s="38"/>
      <c r="E9" s="38"/>
      <c r="F9" s="38"/>
      <c r="G9" s="38"/>
      <c r="H9" s="38"/>
      <c r="I9" s="38"/>
      <c r="J9" s="38"/>
      <c r="K9" s="22"/>
      <c r="L9" s="23"/>
      <c r="M9" s="114" t="s">
        <v>287</v>
      </c>
    </row>
    <row r="10" spans="1:13" s="5" customFormat="1" ht="15.75">
      <c r="A10" s="25" t="s">
        <v>240</v>
      </c>
      <c r="B10" s="24"/>
      <c r="C10" s="39"/>
      <c r="D10" s="39"/>
      <c r="E10" s="39"/>
      <c r="F10" s="39"/>
      <c r="G10" s="39"/>
      <c r="H10" s="39"/>
      <c r="I10" s="39"/>
      <c r="J10" s="39"/>
      <c r="K10" s="40"/>
      <c r="L10" s="28"/>
      <c r="M10" s="28">
        <v>1</v>
      </c>
    </row>
    <row r="11" spans="1:14" s="5" customFormat="1" ht="15.75">
      <c r="A11" s="9"/>
      <c r="B11" s="10"/>
      <c r="C11" s="11" t="s">
        <v>3</v>
      </c>
      <c r="D11" s="11" t="s">
        <v>3</v>
      </c>
      <c r="E11" s="120" t="s">
        <v>4</v>
      </c>
      <c r="F11" s="121"/>
      <c r="G11" s="122"/>
      <c r="H11" s="11" t="s">
        <v>18</v>
      </c>
      <c r="I11" s="120" t="s">
        <v>5</v>
      </c>
      <c r="J11" s="121"/>
      <c r="K11" s="121"/>
      <c r="L11" s="12" t="s">
        <v>18</v>
      </c>
      <c r="M11" s="125" t="s">
        <v>282</v>
      </c>
      <c r="N11" s="6"/>
    </row>
    <row r="12" spans="1:14" s="5" customFormat="1" ht="15.75">
      <c r="A12" s="13" t="s">
        <v>23</v>
      </c>
      <c r="B12" s="14" t="s">
        <v>6</v>
      </c>
      <c r="C12" s="14" t="s">
        <v>7</v>
      </c>
      <c r="D12" s="14" t="s">
        <v>8</v>
      </c>
      <c r="E12" s="14" t="s">
        <v>9</v>
      </c>
      <c r="F12" s="14" t="s">
        <v>10</v>
      </c>
      <c r="G12" s="14" t="s">
        <v>11</v>
      </c>
      <c r="H12" s="15"/>
      <c r="I12" s="14" t="s">
        <v>9</v>
      </c>
      <c r="J12" s="14" t="s">
        <v>10</v>
      </c>
      <c r="K12" s="14" t="s">
        <v>11</v>
      </c>
      <c r="L12" s="16"/>
      <c r="M12" s="126"/>
      <c r="N12" s="6"/>
    </row>
    <row r="13" spans="1:14" s="5" customFormat="1" ht="45.75" customHeight="1">
      <c r="A13" s="17"/>
      <c r="B13" s="18"/>
      <c r="C13" s="18"/>
      <c r="D13" s="19" t="s">
        <v>12</v>
      </c>
      <c r="E13" s="19"/>
      <c r="F13" s="19" t="s">
        <v>13</v>
      </c>
      <c r="G13" s="19" t="s">
        <v>17</v>
      </c>
      <c r="H13" s="20" t="s">
        <v>19</v>
      </c>
      <c r="I13" s="19"/>
      <c r="J13" s="19" t="s">
        <v>20</v>
      </c>
      <c r="K13" s="19" t="s">
        <v>21</v>
      </c>
      <c r="L13" s="21" t="s">
        <v>22</v>
      </c>
      <c r="M13" s="127"/>
      <c r="N13" s="6"/>
    </row>
    <row r="14" spans="1:14" s="5" customFormat="1" ht="15">
      <c r="A14" s="45"/>
      <c r="B14" s="46" t="s">
        <v>15</v>
      </c>
      <c r="C14" s="78">
        <f>C15+C26+C29+C35+C59+C78+C91+C97+C109+C118+C137+C157+C165+C171+C177+C181+C192+C202+C221+C225+C240+C251+C255+C257+C270+C276+C282</f>
        <v>84698661868</v>
      </c>
      <c r="D14" s="78">
        <f>D15+D26+D29+D35+D59+D78+D91+D97+D109+D118+D137+D157+D165+D171+D177+D181+D192+D202+D221+D225+D240+D251+D255+D257+D270+D276+D282</f>
        <v>98688761604.09999</v>
      </c>
      <c r="E14" s="78">
        <f>E15+E26+E29+E35+E59+E78+E91+E97+E109+E118+E137+E157+E165+E171+E177+E181+E192+E202+E221+E225+E240+E251+E255+E257+E270+E276+E282</f>
        <v>14670057930.310003</v>
      </c>
      <c r="F14" s="78">
        <f>F15+F26+F29+F35+F59+F78+F91+F97+F109+F118+F137+F157+F165+F171+F177+F181+F192+F202+F221+F225+F240+F251+F255+F257+F270+F276+F282</f>
        <v>71782207557.36</v>
      </c>
      <c r="G14" s="47">
        <f aca="true" t="shared" si="0" ref="G14:G45">(F14/$F$286)*100</f>
        <v>92.41196845460958</v>
      </c>
      <c r="H14" s="79">
        <f>D14-F14</f>
        <v>26906554046.73999</v>
      </c>
      <c r="I14" s="79">
        <f>I15+I26+I29+I35+I59+I78+I91+I97+I109+I118+I137+I157+I165+I171+I177+I181+I192+I202+I221+I225+I240+I251+I255+I257+I270+I276+I282</f>
        <v>18496141165.65</v>
      </c>
      <c r="J14" s="79">
        <f>J15+J26+J29+J35+J59+J78+J91+J97+J109+J118+J137+J157+J165+J171+J177+J181+J192+J202+J221+J225+J240+J251+J255+J257+J270+J276+J282</f>
        <v>70998207050.63002</v>
      </c>
      <c r="K14" s="47">
        <f aca="true" t="shared" si="1" ref="K14:K45">(J14/$J$286)*100</f>
        <v>92.36411088983056</v>
      </c>
      <c r="L14" s="96">
        <f>D14-J14</f>
        <v>27690554553.46997</v>
      </c>
      <c r="M14" s="112">
        <f>M15+M26+M29+M35+M59+M78+M91+M97+M109+M118+M137+M157+M165+M171+M177+M181+M192+M202+M221+M225+M240+M251+M255+M257+M270+M276+M282</f>
        <v>784000506.7299992</v>
      </c>
      <c r="N14" s="6"/>
    </row>
    <row r="15" spans="1:14" s="5" customFormat="1" ht="15">
      <c r="A15" s="45" t="s">
        <v>25</v>
      </c>
      <c r="B15" s="48" t="s">
        <v>24</v>
      </c>
      <c r="C15" s="80">
        <f>SUM(C16:C25)</f>
        <v>1909992784</v>
      </c>
      <c r="D15" s="80">
        <f>SUM(D16:D25)</f>
        <v>2053227769.59</v>
      </c>
      <c r="E15" s="80">
        <f>SUM(E16:E25)</f>
        <v>571841349.05</v>
      </c>
      <c r="F15" s="80">
        <f>SUM(F16:F25)</f>
        <v>1939463161.28</v>
      </c>
      <c r="G15" s="47">
        <f t="shared" si="0"/>
        <v>2.4968528355145003</v>
      </c>
      <c r="H15" s="80">
        <f>D15-F15</f>
        <v>113764608.30999994</v>
      </c>
      <c r="I15" s="80">
        <f>SUM(I16:I25)</f>
        <v>633015881.54</v>
      </c>
      <c r="J15" s="80">
        <f>SUM(J16:J25)</f>
        <v>1796371493.1200001</v>
      </c>
      <c r="K15" s="49">
        <f t="shared" si="1"/>
        <v>2.336964026028793</v>
      </c>
      <c r="L15" s="83">
        <f>D15-J15</f>
        <v>256856276.4699998</v>
      </c>
      <c r="M15" s="83">
        <f>SUM(M16:M25)</f>
        <v>143091668.15999982</v>
      </c>
      <c r="N15" s="6"/>
    </row>
    <row r="16" spans="1:14" s="5" customFormat="1" ht="15">
      <c r="A16" s="50" t="s">
        <v>26</v>
      </c>
      <c r="B16" s="51" t="s">
        <v>31</v>
      </c>
      <c r="C16" s="81">
        <v>13496000</v>
      </c>
      <c r="D16" s="81">
        <v>35996000</v>
      </c>
      <c r="E16" s="81">
        <f>F16-2243427.4</f>
        <v>31227635.84</v>
      </c>
      <c r="F16" s="81">
        <v>33471063.24</v>
      </c>
      <c r="G16" s="53">
        <f t="shared" si="0"/>
        <v>0.043090439059086535</v>
      </c>
      <c r="H16" s="81">
        <f aca="true" t="shared" si="2" ref="H16:H141">D16-F16</f>
        <v>2524936.7600000016</v>
      </c>
      <c r="I16" s="81">
        <f>J16-2115795.41</f>
        <v>21025175.25</v>
      </c>
      <c r="J16" s="81">
        <v>23140970.66</v>
      </c>
      <c r="K16" s="54">
        <f t="shared" si="1"/>
        <v>0.030104917700447598</v>
      </c>
      <c r="L16" s="84">
        <f aca="true" t="shared" si="3" ref="L16:L141">D16-J16</f>
        <v>12855029.34</v>
      </c>
      <c r="M16" s="84">
        <f>F16-J16</f>
        <v>10330092.579999998</v>
      </c>
      <c r="N16" s="6"/>
    </row>
    <row r="17" spans="1:14" s="5" customFormat="1" ht="15">
      <c r="A17" s="50" t="s">
        <v>27</v>
      </c>
      <c r="B17" s="51" t="s">
        <v>32</v>
      </c>
      <c r="C17" s="81">
        <v>20002425</v>
      </c>
      <c r="D17" s="81">
        <v>20002425</v>
      </c>
      <c r="E17" s="81">
        <f>F17-1750873.04</f>
        <v>22490</v>
      </c>
      <c r="F17" s="81">
        <v>1773363.04</v>
      </c>
      <c r="G17" s="54">
        <f t="shared" si="0"/>
        <v>0.002283016570368036</v>
      </c>
      <c r="H17" s="81">
        <f t="shared" si="2"/>
        <v>18229061.96</v>
      </c>
      <c r="I17" s="81">
        <f>J17-1544733.5</f>
        <v>33474.55000000005</v>
      </c>
      <c r="J17" s="81">
        <v>1578208.05</v>
      </c>
      <c r="K17" s="54">
        <f t="shared" si="1"/>
        <v>0.002053147387700542</v>
      </c>
      <c r="L17" s="84">
        <f t="shared" si="3"/>
        <v>18424216.95</v>
      </c>
      <c r="M17" s="84">
        <f aca="true" t="shared" si="4" ref="M17:M80">F17-J17</f>
        <v>195154.99</v>
      </c>
      <c r="N17" s="6"/>
    </row>
    <row r="18" spans="1:14" s="5" customFormat="1" ht="15">
      <c r="A18" s="50" t="s">
        <v>28</v>
      </c>
      <c r="B18" s="51" t="s">
        <v>33</v>
      </c>
      <c r="C18" s="81">
        <v>1842034085</v>
      </c>
      <c r="D18" s="81">
        <v>1916779070.59</v>
      </c>
      <c r="E18" s="81">
        <f>F18-1355809122.08</f>
        <v>485431303.03</v>
      </c>
      <c r="F18" s="81">
        <v>1841240425.11</v>
      </c>
      <c r="G18" s="54">
        <f t="shared" si="0"/>
        <v>2.3704014946412872</v>
      </c>
      <c r="H18" s="81">
        <f t="shared" si="2"/>
        <v>75538645.48000002</v>
      </c>
      <c r="I18" s="81">
        <f>J18-1157041636.28</f>
        <v>609722240.4000001</v>
      </c>
      <c r="J18" s="81">
        <v>1766763876.68</v>
      </c>
      <c r="K18" s="54">
        <f t="shared" si="1"/>
        <v>2.298446417181325</v>
      </c>
      <c r="L18" s="84">
        <f t="shared" si="3"/>
        <v>150015193.90999985</v>
      </c>
      <c r="M18" s="84">
        <f t="shared" si="4"/>
        <v>74476548.42999983</v>
      </c>
      <c r="N18" s="6"/>
    </row>
    <row r="19" spans="1:14" s="5" customFormat="1" ht="15">
      <c r="A19" s="50" t="s">
        <v>50</v>
      </c>
      <c r="B19" s="51" t="s">
        <v>57</v>
      </c>
      <c r="C19" s="81">
        <v>26553600</v>
      </c>
      <c r="D19" s="81">
        <v>24553600</v>
      </c>
      <c r="E19" s="81">
        <f>F19-6749206.5</f>
        <v>6035678.4</v>
      </c>
      <c r="F19" s="81">
        <v>12784884.9</v>
      </c>
      <c r="G19" s="54">
        <f t="shared" si="0"/>
        <v>0.01645918146402109</v>
      </c>
      <c r="H19" s="81">
        <f>D19-F19</f>
        <v>11768715.1</v>
      </c>
      <c r="I19" s="81">
        <f>J19-2264432.91</f>
        <v>1862029.13</v>
      </c>
      <c r="J19" s="81">
        <v>4126462.04</v>
      </c>
      <c r="K19" s="54">
        <f t="shared" si="1"/>
        <v>0.005368262288277804</v>
      </c>
      <c r="L19" s="84">
        <f>D19-J19</f>
        <v>20427137.96</v>
      </c>
      <c r="M19" s="84">
        <f t="shared" si="4"/>
        <v>8658422.86</v>
      </c>
      <c r="N19" s="6"/>
    </row>
    <row r="20" spans="1:14" s="5" customFormat="1" ht="15">
      <c r="A20" s="50" t="s">
        <v>29</v>
      </c>
      <c r="B20" s="51" t="s">
        <v>34</v>
      </c>
      <c r="C20" s="81">
        <v>4826900</v>
      </c>
      <c r="D20" s="81">
        <v>4816900</v>
      </c>
      <c r="E20" s="81">
        <f>F20-1056802.81</f>
        <v>1122691.67</v>
      </c>
      <c r="F20" s="81">
        <v>2179494.48</v>
      </c>
      <c r="G20" s="54">
        <f t="shared" si="0"/>
        <v>0.002805867665351628</v>
      </c>
      <c r="H20" s="81">
        <f t="shared" si="2"/>
        <v>2637405.52</v>
      </c>
      <c r="I20" s="81">
        <f>J20-386116.08</f>
        <v>372549.81</v>
      </c>
      <c r="J20" s="81">
        <v>758665.89</v>
      </c>
      <c r="K20" s="54">
        <f t="shared" si="1"/>
        <v>0.0009869756336567963</v>
      </c>
      <c r="L20" s="84">
        <f t="shared" si="3"/>
        <v>4058234.11</v>
      </c>
      <c r="M20" s="84">
        <f t="shared" si="4"/>
        <v>1420828.5899999999</v>
      </c>
      <c r="N20" s="6"/>
    </row>
    <row r="21" spans="1:14" s="5" customFormat="1" ht="15">
      <c r="A21" s="50" t="s">
        <v>164</v>
      </c>
      <c r="B21" s="51" t="s">
        <v>165</v>
      </c>
      <c r="C21" s="81">
        <v>1000000</v>
      </c>
      <c r="D21" s="81">
        <v>1000000</v>
      </c>
      <c r="E21" s="81">
        <f>F21-0</f>
        <v>0</v>
      </c>
      <c r="F21" s="81">
        <v>0</v>
      </c>
      <c r="G21" s="54">
        <f t="shared" si="0"/>
        <v>0</v>
      </c>
      <c r="H21" s="81">
        <f t="shared" si="2"/>
        <v>1000000</v>
      </c>
      <c r="I21" s="81">
        <f>J21-0</f>
        <v>0</v>
      </c>
      <c r="J21" s="81">
        <v>0</v>
      </c>
      <c r="K21" s="54">
        <f t="shared" si="1"/>
        <v>0</v>
      </c>
      <c r="L21" s="84">
        <f t="shared" si="3"/>
        <v>1000000</v>
      </c>
      <c r="M21" s="84">
        <f t="shared" si="4"/>
        <v>0</v>
      </c>
      <c r="N21" s="6"/>
    </row>
    <row r="22" spans="1:14" s="5" customFormat="1" ht="15">
      <c r="A22" s="50" t="s">
        <v>117</v>
      </c>
      <c r="B22" s="51" t="s">
        <v>124</v>
      </c>
      <c r="C22" s="81">
        <v>500000</v>
      </c>
      <c r="D22" s="81">
        <v>500000</v>
      </c>
      <c r="E22" s="81">
        <f>F22-0</f>
        <v>0</v>
      </c>
      <c r="F22" s="81">
        <v>0</v>
      </c>
      <c r="G22" s="54">
        <f t="shared" si="0"/>
        <v>0</v>
      </c>
      <c r="H22" s="81">
        <f t="shared" si="2"/>
        <v>500000</v>
      </c>
      <c r="I22" s="81">
        <f>J22-0</f>
        <v>0</v>
      </c>
      <c r="J22" s="81">
        <v>0</v>
      </c>
      <c r="K22" s="54">
        <f t="shared" si="1"/>
        <v>0</v>
      </c>
      <c r="L22" s="84">
        <f t="shared" si="3"/>
        <v>500000</v>
      </c>
      <c r="M22" s="84">
        <f t="shared" si="4"/>
        <v>0</v>
      </c>
      <c r="N22" s="6"/>
    </row>
    <row r="23" spans="1:14" s="5" customFormat="1" ht="15">
      <c r="A23" s="50" t="s">
        <v>53</v>
      </c>
      <c r="B23" s="51" t="s">
        <v>60</v>
      </c>
      <c r="C23" s="81">
        <v>1349774</v>
      </c>
      <c r="D23" s="81">
        <v>1349774</v>
      </c>
      <c r="E23" s="81">
        <v>0</v>
      </c>
      <c r="F23" s="81">
        <v>0</v>
      </c>
      <c r="G23" s="54">
        <f t="shared" si="0"/>
        <v>0</v>
      </c>
      <c r="H23" s="81">
        <f t="shared" si="2"/>
        <v>1349774</v>
      </c>
      <c r="I23" s="81">
        <f>J23-0</f>
        <v>0</v>
      </c>
      <c r="J23" s="81">
        <v>0</v>
      </c>
      <c r="K23" s="54">
        <f t="shared" si="1"/>
        <v>0</v>
      </c>
      <c r="L23" s="84">
        <f t="shared" si="3"/>
        <v>1349774</v>
      </c>
      <c r="M23" s="84">
        <f t="shared" si="4"/>
        <v>0</v>
      </c>
      <c r="N23" s="6"/>
    </row>
    <row r="24" spans="1:14" s="5" customFormat="1" ht="15">
      <c r="A24" s="50" t="s">
        <v>30</v>
      </c>
      <c r="B24" s="51" t="s">
        <v>35</v>
      </c>
      <c r="C24" s="81">
        <v>130000</v>
      </c>
      <c r="D24" s="81">
        <v>130000</v>
      </c>
      <c r="E24" s="81">
        <f>F24-12380.4</f>
        <v>1550.1100000000006</v>
      </c>
      <c r="F24" s="81">
        <v>13930.51</v>
      </c>
      <c r="G24" s="54">
        <f t="shared" si="0"/>
        <v>1.7934052106825024E-05</v>
      </c>
      <c r="H24" s="81">
        <f t="shared" si="2"/>
        <v>116069.49</v>
      </c>
      <c r="I24" s="81">
        <f>J24-2897.4</f>
        <v>412.4000000000001</v>
      </c>
      <c r="J24" s="81">
        <v>3309.8</v>
      </c>
      <c r="K24" s="54">
        <f t="shared" si="1"/>
        <v>4.305837385515335E-06</v>
      </c>
      <c r="L24" s="84">
        <f t="shared" si="3"/>
        <v>126690.2</v>
      </c>
      <c r="M24" s="84">
        <f t="shared" si="4"/>
        <v>10620.71</v>
      </c>
      <c r="N24" s="6"/>
    </row>
    <row r="25" spans="1:14" s="5" customFormat="1" ht="15">
      <c r="A25" s="50" t="s">
        <v>160</v>
      </c>
      <c r="B25" s="51" t="s">
        <v>161</v>
      </c>
      <c r="C25" s="81">
        <v>100000</v>
      </c>
      <c r="D25" s="81">
        <v>48100000</v>
      </c>
      <c r="E25" s="81">
        <f>F25-0</f>
        <v>48000000</v>
      </c>
      <c r="F25" s="81">
        <v>48000000</v>
      </c>
      <c r="G25" s="54">
        <f t="shared" si="0"/>
        <v>0.06179490206227921</v>
      </c>
      <c r="H25" s="81">
        <f t="shared" si="2"/>
        <v>100000</v>
      </c>
      <c r="I25" s="81">
        <f>J25-0</f>
        <v>0</v>
      </c>
      <c r="J25" s="81">
        <v>0</v>
      </c>
      <c r="K25" s="54">
        <f t="shared" si="1"/>
        <v>0</v>
      </c>
      <c r="L25" s="84">
        <f t="shared" si="3"/>
        <v>48100000</v>
      </c>
      <c r="M25" s="84">
        <f t="shared" si="4"/>
        <v>48000000</v>
      </c>
      <c r="N25" s="6"/>
    </row>
    <row r="26" spans="1:14" s="5" customFormat="1" ht="15">
      <c r="A26" s="45" t="s">
        <v>36</v>
      </c>
      <c r="B26" s="48" t="s">
        <v>37</v>
      </c>
      <c r="C26" s="80">
        <f>SUM(C27:C28)</f>
        <v>4796855554</v>
      </c>
      <c r="D26" s="80">
        <f>SUM(D27:D28)</f>
        <v>4890522889</v>
      </c>
      <c r="E26" s="80">
        <f>SUM(E27:E28)</f>
        <v>953321009.7500002</v>
      </c>
      <c r="F26" s="80">
        <f>SUM(F27:F28)</f>
        <v>4666865835.91</v>
      </c>
      <c r="G26" s="54">
        <f t="shared" si="0"/>
        <v>6.008094109746984</v>
      </c>
      <c r="H26" s="80">
        <f t="shared" si="2"/>
        <v>223657053.09000015</v>
      </c>
      <c r="I26" s="80">
        <f>SUM(I27:I28)</f>
        <v>1134341610.85</v>
      </c>
      <c r="J26" s="80">
        <f>SUM(J27:J28)</f>
        <v>4515080736.32</v>
      </c>
      <c r="K26" s="49">
        <f t="shared" si="1"/>
        <v>5.87383027163779</v>
      </c>
      <c r="L26" s="83">
        <f t="shared" si="3"/>
        <v>375442152.6800003</v>
      </c>
      <c r="M26" s="83">
        <f>SUM(M27:M28)</f>
        <v>151785099.59000015</v>
      </c>
      <c r="N26" s="6"/>
    </row>
    <row r="27" spans="1:14" s="5" customFormat="1" ht="15">
      <c r="A27" s="50" t="s">
        <v>38</v>
      </c>
      <c r="B27" s="51" t="s">
        <v>40</v>
      </c>
      <c r="C27" s="81">
        <v>1741611727</v>
      </c>
      <c r="D27" s="81">
        <v>1747279062</v>
      </c>
      <c r="E27" s="81">
        <f>F27-1399516944.03</f>
        <v>126381166.37000012</v>
      </c>
      <c r="F27" s="81">
        <v>1525898110.4</v>
      </c>
      <c r="G27" s="54">
        <f t="shared" si="0"/>
        <v>1.9644317560246858</v>
      </c>
      <c r="H27" s="81">
        <f t="shared" si="2"/>
        <v>221380951.5999999</v>
      </c>
      <c r="I27" s="81">
        <f>J27-1066711243.34</f>
        <v>307401767.4699999</v>
      </c>
      <c r="J27" s="81">
        <v>1374113010.81</v>
      </c>
      <c r="K27" s="54">
        <f t="shared" si="1"/>
        <v>1.7876328400110986</v>
      </c>
      <c r="L27" s="84">
        <f t="shared" si="3"/>
        <v>373166051.19000006</v>
      </c>
      <c r="M27" s="84">
        <f t="shared" si="4"/>
        <v>151785099.59000015</v>
      </c>
      <c r="N27" s="6"/>
    </row>
    <row r="28" spans="1:14" s="5" customFormat="1" ht="15">
      <c r="A28" s="50" t="s">
        <v>28</v>
      </c>
      <c r="B28" s="51" t="s">
        <v>33</v>
      </c>
      <c r="C28" s="81">
        <v>3055243827</v>
      </c>
      <c r="D28" s="81">
        <v>3143243827</v>
      </c>
      <c r="E28" s="81">
        <f>F28-2314027882.13</f>
        <v>826939843.3800001</v>
      </c>
      <c r="F28" s="81">
        <v>3140967725.51</v>
      </c>
      <c r="G28" s="54">
        <f t="shared" si="0"/>
        <v>4.043662353722299</v>
      </c>
      <c r="H28" s="81">
        <f t="shared" si="2"/>
        <v>2276101.489999771</v>
      </c>
      <c r="I28" s="81">
        <f>J28-2314027882.13</f>
        <v>826939843.3800001</v>
      </c>
      <c r="J28" s="81">
        <v>3140967725.51</v>
      </c>
      <c r="K28" s="54">
        <f t="shared" si="1"/>
        <v>4.086197431626692</v>
      </c>
      <c r="L28" s="84">
        <f t="shared" si="3"/>
        <v>2276101.489999771</v>
      </c>
      <c r="M28" s="84">
        <f t="shared" si="4"/>
        <v>0</v>
      </c>
      <c r="N28" s="6"/>
    </row>
    <row r="29" spans="1:14" s="5" customFormat="1" ht="15">
      <c r="A29" s="45" t="s">
        <v>42</v>
      </c>
      <c r="B29" s="48" t="s">
        <v>43</v>
      </c>
      <c r="C29" s="80">
        <f>SUM(C30:C34)</f>
        <v>2838148651</v>
      </c>
      <c r="D29" s="80">
        <f>SUM(D30:D34)</f>
        <v>3290309485.72</v>
      </c>
      <c r="E29" s="80">
        <f>SUM(E30:E34)</f>
        <v>413433262.48000026</v>
      </c>
      <c r="F29" s="80">
        <f>SUM(F30:F34)</f>
        <v>2851278191.36</v>
      </c>
      <c r="G29" s="49">
        <f t="shared" si="0"/>
        <v>3.670717845570912</v>
      </c>
      <c r="H29" s="80">
        <f t="shared" si="2"/>
        <v>439031294.35999966</v>
      </c>
      <c r="I29" s="80">
        <f>SUM(I30:I34)</f>
        <v>677450913.5499998</v>
      </c>
      <c r="J29" s="80">
        <f>SUM(J30:J34)</f>
        <v>2737670997.9799995</v>
      </c>
      <c r="K29" s="49">
        <f t="shared" si="1"/>
        <v>3.5615342716609337</v>
      </c>
      <c r="L29" s="83">
        <f t="shared" si="3"/>
        <v>552638487.7400002</v>
      </c>
      <c r="M29" s="83">
        <f>SUM(M30:M34)</f>
        <v>113607193.38000035</v>
      </c>
      <c r="N29" s="6"/>
    </row>
    <row r="30" spans="1:14" s="5" customFormat="1" ht="15">
      <c r="A30" s="50" t="s">
        <v>44</v>
      </c>
      <c r="B30" s="51" t="s">
        <v>45</v>
      </c>
      <c r="C30" s="81">
        <v>40540840</v>
      </c>
      <c r="D30" s="81">
        <v>126660519</v>
      </c>
      <c r="E30" s="81">
        <f>F30-12249943.86</f>
        <v>9317328.48</v>
      </c>
      <c r="F30" s="81">
        <v>21567272.34</v>
      </c>
      <c r="G30" s="54">
        <f t="shared" si="0"/>
        <v>0.0277655725416834</v>
      </c>
      <c r="H30" s="81">
        <f t="shared" si="2"/>
        <v>105093246.66</v>
      </c>
      <c r="I30" s="81">
        <f>J30-3977036.99</f>
        <v>4956939.66</v>
      </c>
      <c r="J30" s="81">
        <v>8933976.65</v>
      </c>
      <c r="K30" s="54">
        <f t="shared" si="1"/>
        <v>0.011622530261916444</v>
      </c>
      <c r="L30" s="84">
        <f t="shared" si="3"/>
        <v>117726542.35</v>
      </c>
      <c r="M30" s="84">
        <f t="shared" si="4"/>
        <v>12633295.69</v>
      </c>
      <c r="N30" s="6"/>
    </row>
    <row r="31" spans="1:14" s="5" customFormat="1" ht="15">
      <c r="A31" s="50" t="s">
        <v>229</v>
      </c>
      <c r="B31" s="51" t="s">
        <v>230</v>
      </c>
      <c r="C31" s="81">
        <v>3025630</v>
      </c>
      <c r="D31" s="81">
        <v>3037949.29</v>
      </c>
      <c r="E31" s="81">
        <f>F31-330000</f>
        <v>-202482.91</v>
      </c>
      <c r="F31" s="81">
        <v>127517.09</v>
      </c>
      <c r="G31" s="54">
        <f t="shared" si="0"/>
        <v>0.0001641647101628509</v>
      </c>
      <c r="H31" s="81">
        <f>D31-F31</f>
        <v>2910432.2</v>
      </c>
      <c r="I31" s="81">
        <f>J31-44330.73</f>
        <v>53186.35999999999</v>
      </c>
      <c r="J31" s="81">
        <v>97517.09</v>
      </c>
      <c r="K31" s="54">
        <f t="shared" si="1"/>
        <v>0.0001268634756929916</v>
      </c>
      <c r="L31" s="84">
        <f>D31-J31</f>
        <v>2940432.2</v>
      </c>
      <c r="M31" s="84">
        <f t="shared" si="4"/>
        <v>30000</v>
      </c>
      <c r="N31" s="6"/>
    </row>
    <row r="32" spans="1:14" s="5" customFormat="1" ht="15">
      <c r="A32" s="50" t="s">
        <v>28</v>
      </c>
      <c r="B32" s="51" t="s">
        <v>33</v>
      </c>
      <c r="C32" s="81">
        <v>2699180000</v>
      </c>
      <c r="D32" s="81">
        <v>2915614371.73</v>
      </c>
      <c r="E32" s="81">
        <f>F32-2324430174.54</f>
        <v>389602606.74000025</v>
      </c>
      <c r="F32" s="81">
        <v>2714032781.28</v>
      </c>
      <c r="G32" s="54">
        <f t="shared" si="0"/>
        <v>3.494028956521101</v>
      </c>
      <c r="H32" s="81">
        <f t="shared" si="2"/>
        <v>201581590.4499998</v>
      </c>
      <c r="I32" s="81">
        <f>J32-1960885528.97</f>
        <v>655159924.1899998</v>
      </c>
      <c r="J32" s="81">
        <v>2616045453.16</v>
      </c>
      <c r="K32" s="54">
        <f t="shared" si="1"/>
        <v>3.4033072434659895</v>
      </c>
      <c r="L32" s="84">
        <f>D32-J32</f>
        <v>299568918.5700002</v>
      </c>
      <c r="M32" s="84">
        <f t="shared" si="4"/>
        <v>97987328.12000036</v>
      </c>
      <c r="N32" s="6"/>
    </row>
    <row r="33" spans="1:14" s="5" customFormat="1" ht="15">
      <c r="A33" s="50" t="s">
        <v>50</v>
      </c>
      <c r="B33" s="51" t="s">
        <v>269</v>
      </c>
      <c r="C33" s="81">
        <v>25811359</v>
      </c>
      <c r="D33" s="81">
        <v>72139318.77</v>
      </c>
      <c r="E33" s="81">
        <f>F33-11393838.28</f>
        <v>7719.25</v>
      </c>
      <c r="F33" s="81">
        <v>11401557.53</v>
      </c>
      <c r="G33" s="54">
        <f t="shared" si="0"/>
        <v>0.014678294394245667</v>
      </c>
      <c r="H33" s="81">
        <f t="shared" si="2"/>
        <v>60737761.239999995</v>
      </c>
      <c r="I33" s="81">
        <f>J33-7605916.83</f>
        <v>2899542.0999999996</v>
      </c>
      <c r="J33" s="81">
        <v>10505458.93</v>
      </c>
      <c r="K33" s="54">
        <f t="shared" si="1"/>
        <v>0.013666927854489674</v>
      </c>
      <c r="L33" s="84">
        <f>D33-J33</f>
        <v>61633859.839999996</v>
      </c>
      <c r="M33" s="84">
        <f t="shared" si="4"/>
        <v>896098.5999999996</v>
      </c>
      <c r="N33" s="6"/>
    </row>
    <row r="34" spans="1:14" s="5" customFormat="1" ht="15">
      <c r="A34" s="50" t="s">
        <v>29</v>
      </c>
      <c r="B34" s="51" t="s">
        <v>34</v>
      </c>
      <c r="C34" s="81">
        <v>69590822</v>
      </c>
      <c r="D34" s="81">
        <v>172857326.93</v>
      </c>
      <c r="E34" s="81">
        <f>F34-89440972.2</f>
        <v>14708090.920000002</v>
      </c>
      <c r="F34" s="81">
        <v>104149063.12</v>
      </c>
      <c r="G34" s="54">
        <f t="shared" si="0"/>
        <v>0.1340808574037195</v>
      </c>
      <c r="H34" s="81">
        <f t="shared" si="2"/>
        <v>68708263.81</v>
      </c>
      <c r="I34" s="81">
        <f>J34-87707270.91</f>
        <v>14381321.24000001</v>
      </c>
      <c r="J34" s="81">
        <v>102088592.15</v>
      </c>
      <c r="K34" s="54">
        <f t="shared" si="1"/>
        <v>0.1328107066028453</v>
      </c>
      <c r="L34" s="84">
        <f t="shared" si="3"/>
        <v>70768734.78</v>
      </c>
      <c r="M34" s="84">
        <f t="shared" si="4"/>
        <v>2060470.9699999988</v>
      </c>
      <c r="N34" s="6"/>
    </row>
    <row r="35" spans="1:14" s="5" customFormat="1" ht="15">
      <c r="A35" s="45" t="s">
        <v>46</v>
      </c>
      <c r="B35" s="48" t="s">
        <v>47</v>
      </c>
      <c r="C35" s="80">
        <f>SUM(C36:C58)</f>
        <v>5494260961</v>
      </c>
      <c r="D35" s="80">
        <f>SUM(D36:D58)</f>
        <v>6446511046.67</v>
      </c>
      <c r="E35" s="80">
        <f>SUM(E36:E58)</f>
        <v>1571550168.2799997</v>
      </c>
      <c r="F35" s="80">
        <f>SUM(F36:F58)</f>
        <v>3623877463.3499994</v>
      </c>
      <c r="G35" s="49">
        <f t="shared" si="0"/>
        <v>4.665357352779459</v>
      </c>
      <c r="H35" s="80">
        <f t="shared" si="2"/>
        <v>2822633583.3200006</v>
      </c>
      <c r="I35" s="80">
        <f>SUM(I36:I58)</f>
        <v>1637183798.91</v>
      </c>
      <c r="J35" s="80">
        <f>SUM(J36:J58)</f>
        <v>3622012640.8799996</v>
      </c>
      <c r="K35" s="49">
        <f t="shared" si="1"/>
        <v>4.712005994292776</v>
      </c>
      <c r="L35" s="83">
        <f t="shared" si="3"/>
        <v>2824498405.7900004</v>
      </c>
      <c r="M35" s="83">
        <f>SUM(M36:M58)</f>
        <v>1864822.4699999809</v>
      </c>
      <c r="N35" s="6"/>
    </row>
    <row r="36" spans="1:14" s="5" customFormat="1" ht="15">
      <c r="A36" s="50" t="s">
        <v>48</v>
      </c>
      <c r="B36" s="51" t="s">
        <v>55</v>
      </c>
      <c r="C36" s="81">
        <v>228494912</v>
      </c>
      <c r="D36" s="81">
        <v>227796420.56</v>
      </c>
      <c r="E36" s="81">
        <f>F36-1480</f>
        <v>0</v>
      </c>
      <c r="F36" s="81">
        <v>1480</v>
      </c>
      <c r="G36" s="54">
        <f t="shared" si="0"/>
        <v>1.9053428135869421E-06</v>
      </c>
      <c r="H36" s="81">
        <f t="shared" si="2"/>
        <v>227794940.56</v>
      </c>
      <c r="I36" s="81">
        <f>J36-1480</f>
        <v>0</v>
      </c>
      <c r="J36" s="81">
        <v>1480</v>
      </c>
      <c r="K36" s="54">
        <f t="shared" si="1"/>
        <v>1.925385017391593E-06</v>
      </c>
      <c r="L36" s="84">
        <f t="shared" si="3"/>
        <v>227794940.56</v>
      </c>
      <c r="M36" s="84">
        <f t="shared" si="4"/>
        <v>0</v>
      </c>
      <c r="N36" s="6"/>
    </row>
    <row r="37" spans="1:14" s="5" customFormat="1" ht="15">
      <c r="A37" s="50" t="s">
        <v>28</v>
      </c>
      <c r="B37" s="51" t="s">
        <v>33</v>
      </c>
      <c r="C37" s="81">
        <v>3903399115</v>
      </c>
      <c r="D37" s="81">
        <v>4036163659.86</v>
      </c>
      <c r="E37" s="81">
        <f>F37-1015346612.35</f>
        <v>1179693257.12</v>
      </c>
      <c r="F37" s="81">
        <v>2195039869.47</v>
      </c>
      <c r="G37" s="54">
        <f t="shared" si="0"/>
        <v>2.825880703264516</v>
      </c>
      <c r="H37" s="81">
        <f t="shared" si="2"/>
        <v>1841123790.3900003</v>
      </c>
      <c r="I37" s="81">
        <f>J37-970525178.52</f>
        <v>1223002108.9299998</v>
      </c>
      <c r="J37" s="81">
        <v>2193527287.45</v>
      </c>
      <c r="K37" s="54">
        <f t="shared" si="1"/>
        <v>2.8536382260107107</v>
      </c>
      <c r="L37" s="84">
        <f t="shared" si="3"/>
        <v>1842636372.4100003</v>
      </c>
      <c r="M37" s="84">
        <f t="shared" si="4"/>
        <v>1512582.019999981</v>
      </c>
      <c r="N37" s="6"/>
    </row>
    <row r="38" spans="1:14" s="5" customFormat="1" ht="15">
      <c r="A38" s="50" t="s">
        <v>39</v>
      </c>
      <c r="B38" s="51" t="s">
        <v>41</v>
      </c>
      <c r="C38" s="81">
        <v>91426191</v>
      </c>
      <c r="D38" s="81">
        <v>135089015.53</v>
      </c>
      <c r="E38" s="81">
        <f>F38-5316040.73</f>
        <v>848443.0599999996</v>
      </c>
      <c r="F38" s="81">
        <v>6164483.79</v>
      </c>
      <c r="G38" s="54">
        <f t="shared" si="0"/>
        <v>0.00793611816807412</v>
      </c>
      <c r="H38" s="81">
        <f t="shared" si="2"/>
        <v>128924531.74</v>
      </c>
      <c r="I38" s="81">
        <f>J38-2520549.11</f>
        <v>3643934.68</v>
      </c>
      <c r="J38" s="81">
        <v>6164483.79</v>
      </c>
      <c r="K38" s="54">
        <f t="shared" si="1"/>
        <v>0.00801959779001307</v>
      </c>
      <c r="L38" s="84">
        <f t="shared" si="3"/>
        <v>128924531.74</v>
      </c>
      <c r="M38" s="84">
        <f t="shared" si="4"/>
        <v>0</v>
      </c>
      <c r="N38" s="6"/>
    </row>
    <row r="39" spans="1:14" s="5" customFormat="1" ht="15">
      <c r="A39" s="50" t="s">
        <v>232</v>
      </c>
      <c r="B39" s="51" t="s">
        <v>231</v>
      </c>
      <c r="C39" s="81">
        <v>235819</v>
      </c>
      <c r="D39" s="81">
        <v>235819</v>
      </c>
      <c r="E39" s="81">
        <f>F39-1182</f>
        <v>-1182</v>
      </c>
      <c r="F39" s="81">
        <v>0</v>
      </c>
      <c r="G39" s="54">
        <f t="shared" si="0"/>
        <v>0</v>
      </c>
      <c r="H39" s="81">
        <f t="shared" si="2"/>
        <v>235819</v>
      </c>
      <c r="I39" s="81">
        <f aca="true" t="shared" si="5" ref="I39:I58">J39-0</f>
        <v>0</v>
      </c>
      <c r="J39" s="81">
        <v>0</v>
      </c>
      <c r="K39" s="54">
        <f t="shared" si="1"/>
        <v>0</v>
      </c>
      <c r="L39" s="84">
        <f t="shared" si="3"/>
        <v>235819</v>
      </c>
      <c r="M39" s="84">
        <f t="shared" si="4"/>
        <v>0</v>
      </c>
      <c r="N39" s="6"/>
    </row>
    <row r="40" spans="1:14" s="5" customFormat="1" ht="15">
      <c r="A40" s="50" t="s">
        <v>49</v>
      </c>
      <c r="B40" s="51" t="s">
        <v>56</v>
      </c>
      <c r="C40" s="81">
        <v>4835506</v>
      </c>
      <c r="D40" s="81">
        <v>3007238.35</v>
      </c>
      <c r="E40" s="81">
        <f>F40-1523324.35</f>
        <v>-134222.28000000003</v>
      </c>
      <c r="F40" s="81">
        <v>1389102.07</v>
      </c>
      <c r="G40" s="54">
        <f t="shared" si="0"/>
        <v>0.0017883213827116524</v>
      </c>
      <c r="H40" s="81">
        <f t="shared" si="2"/>
        <v>1618136.28</v>
      </c>
      <c r="I40" s="81">
        <f>J40-853214.03</f>
        <v>535888.04</v>
      </c>
      <c r="J40" s="81">
        <v>1389102.07</v>
      </c>
      <c r="K40" s="54">
        <f t="shared" si="1"/>
        <v>0.0018071326440578703</v>
      </c>
      <c r="L40" s="84">
        <f t="shared" si="3"/>
        <v>1618136.28</v>
      </c>
      <c r="M40" s="84">
        <f t="shared" si="4"/>
        <v>0</v>
      </c>
      <c r="N40" s="6"/>
    </row>
    <row r="41" spans="1:14" s="5" customFormat="1" ht="15">
      <c r="A41" s="50" t="s">
        <v>50</v>
      </c>
      <c r="B41" s="51" t="s">
        <v>57</v>
      </c>
      <c r="C41" s="81">
        <v>54861031</v>
      </c>
      <c r="D41" s="81">
        <v>58288425.06</v>
      </c>
      <c r="E41" s="81">
        <f>F41-10810621.12</f>
        <v>11333369.709999999</v>
      </c>
      <c r="F41" s="81">
        <v>22143990.83</v>
      </c>
      <c r="G41" s="54">
        <f t="shared" si="0"/>
        <v>0.028508036345997058</v>
      </c>
      <c r="H41" s="81">
        <f t="shared" si="2"/>
        <v>36144434.230000004</v>
      </c>
      <c r="I41" s="81">
        <f>J41-7379073.45</f>
        <v>14764917.379999999</v>
      </c>
      <c r="J41" s="81">
        <v>22143990.83</v>
      </c>
      <c r="K41" s="54">
        <f t="shared" si="1"/>
        <v>0.028807910925228934</v>
      </c>
      <c r="L41" s="84">
        <f t="shared" si="3"/>
        <v>36144434.230000004</v>
      </c>
      <c r="M41" s="84">
        <f t="shared" si="4"/>
        <v>0</v>
      </c>
      <c r="N41" s="6"/>
    </row>
    <row r="42" spans="1:14" s="5" customFormat="1" ht="15">
      <c r="A42" s="50" t="s">
        <v>51</v>
      </c>
      <c r="B42" s="51" t="s">
        <v>58</v>
      </c>
      <c r="C42" s="81">
        <v>4405000</v>
      </c>
      <c r="D42" s="81">
        <v>4134229.17</v>
      </c>
      <c r="E42" s="81">
        <f>F42-0</f>
        <v>0</v>
      </c>
      <c r="F42" s="81">
        <v>0</v>
      </c>
      <c r="G42" s="54">
        <f t="shared" si="0"/>
        <v>0</v>
      </c>
      <c r="H42" s="81">
        <f t="shared" si="2"/>
        <v>4134229.17</v>
      </c>
      <c r="I42" s="81">
        <f t="shared" si="5"/>
        <v>0</v>
      </c>
      <c r="J42" s="81">
        <v>0</v>
      </c>
      <c r="K42" s="54">
        <f t="shared" si="1"/>
        <v>0</v>
      </c>
      <c r="L42" s="84">
        <f t="shared" si="3"/>
        <v>4134229.17</v>
      </c>
      <c r="M42" s="84">
        <f t="shared" si="4"/>
        <v>0</v>
      </c>
      <c r="N42" s="6"/>
    </row>
    <row r="43" spans="1:14" s="5" customFormat="1" ht="15">
      <c r="A43" s="50" t="s">
        <v>29</v>
      </c>
      <c r="B43" s="51" t="s">
        <v>34</v>
      </c>
      <c r="C43" s="81">
        <v>3341354</v>
      </c>
      <c r="D43" s="81">
        <v>4651839.03</v>
      </c>
      <c r="E43" s="81">
        <f>F43-1787250.39</f>
        <v>309477.0800000001</v>
      </c>
      <c r="F43" s="81">
        <v>2096727.47</v>
      </c>
      <c r="G43" s="54">
        <f t="shared" si="0"/>
        <v>0.002699313930415426</v>
      </c>
      <c r="H43" s="81">
        <f t="shared" si="2"/>
        <v>2555111.5600000005</v>
      </c>
      <c r="I43" s="81">
        <f>J43-1721435.41</f>
        <v>375292.06000000006</v>
      </c>
      <c r="J43" s="81">
        <v>2096727.47</v>
      </c>
      <c r="K43" s="54">
        <f t="shared" si="1"/>
        <v>0.002727707875872555</v>
      </c>
      <c r="L43" s="84">
        <f t="shared" si="3"/>
        <v>2555111.5600000005</v>
      </c>
      <c r="M43" s="84">
        <f t="shared" si="4"/>
        <v>0</v>
      </c>
      <c r="N43" s="6"/>
    </row>
    <row r="44" spans="1:14" s="5" customFormat="1" ht="15">
      <c r="A44" s="50" t="s">
        <v>233</v>
      </c>
      <c r="B44" s="51" t="s">
        <v>234</v>
      </c>
      <c r="C44" s="81">
        <v>0</v>
      </c>
      <c r="D44" s="81">
        <v>0</v>
      </c>
      <c r="E44" s="81">
        <f>F44-0</f>
        <v>0</v>
      </c>
      <c r="F44" s="81">
        <v>0</v>
      </c>
      <c r="G44" s="54">
        <f t="shared" si="0"/>
        <v>0</v>
      </c>
      <c r="H44" s="81">
        <f t="shared" si="2"/>
        <v>0</v>
      </c>
      <c r="I44" s="81">
        <f t="shared" si="5"/>
        <v>0</v>
      </c>
      <c r="J44" s="81">
        <v>0</v>
      </c>
      <c r="K44" s="54">
        <f t="shared" si="1"/>
        <v>0</v>
      </c>
      <c r="L44" s="84">
        <f t="shared" si="3"/>
        <v>0</v>
      </c>
      <c r="M44" s="84">
        <f t="shared" si="4"/>
        <v>0</v>
      </c>
      <c r="N44" s="6"/>
    </row>
    <row r="45" spans="1:14" s="5" customFormat="1" ht="15">
      <c r="A45" s="50" t="s">
        <v>236</v>
      </c>
      <c r="B45" s="51" t="s">
        <v>235</v>
      </c>
      <c r="C45" s="81">
        <v>13812741</v>
      </c>
      <c r="D45" s="81">
        <v>14128976.96</v>
      </c>
      <c r="E45" s="81">
        <f>F45-1732572.8</f>
        <v>408178.74</v>
      </c>
      <c r="F45" s="81">
        <v>2140751.54</v>
      </c>
      <c r="G45" s="54">
        <f t="shared" si="0"/>
        <v>0.0027559902448744456</v>
      </c>
      <c r="H45" s="81">
        <f t="shared" si="2"/>
        <v>11988225.420000002</v>
      </c>
      <c r="I45" s="81">
        <f>J45-1351082.14</f>
        <v>437428.9500000002</v>
      </c>
      <c r="J45" s="81">
        <v>1788511.09</v>
      </c>
      <c r="K45" s="54">
        <f t="shared" si="1"/>
        <v>0.0023267381460302075</v>
      </c>
      <c r="L45" s="84">
        <f t="shared" si="3"/>
        <v>12340465.870000001</v>
      </c>
      <c r="M45" s="84">
        <f t="shared" si="4"/>
        <v>352240.44999999995</v>
      </c>
      <c r="N45" s="6"/>
    </row>
    <row r="46" spans="1:14" s="5" customFormat="1" ht="15">
      <c r="A46" s="50" t="s">
        <v>164</v>
      </c>
      <c r="B46" s="51" t="s">
        <v>165</v>
      </c>
      <c r="C46" s="81">
        <v>4312026</v>
      </c>
      <c r="D46" s="81">
        <v>29078796.8</v>
      </c>
      <c r="E46" s="81">
        <f>F46-25879019</f>
        <v>-942865.1900000013</v>
      </c>
      <c r="F46" s="81">
        <v>24936153.81</v>
      </c>
      <c r="G46" s="54">
        <f aca="true" t="shared" si="6" ref="G46:G77">(F46/$F$286)*100</f>
        <v>0.03210264963539334</v>
      </c>
      <c r="H46" s="81">
        <f t="shared" si="2"/>
        <v>4142642.990000002</v>
      </c>
      <c r="I46" s="81">
        <f>J46-20396138.15</f>
        <v>4540015.66</v>
      </c>
      <c r="J46" s="81">
        <v>24936153.81</v>
      </c>
      <c r="K46" s="54">
        <f aca="true" t="shared" si="7" ref="K46:K77">(J46/$J$286)*100</f>
        <v>0.032440335768342085</v>
      </c>
      <c r="L46" s="84">
        <f t="shared" si="3"/>
        <v>4142642.990000002</v>
      </c>
      <c r="M46" s="84">
        <f t="shared" si="4"/>
        <v>0</v>
      </c>
      <c r="N46" s="6"/>
    </row>
    <row r="47" spans="1:14" s="5" customFormat="1" ht="15">
      <c r="A47" s="50" t="s">
        <v>66</v>
      </c>
      <c r="B47" s="51" t="s">
        <v>74</v>
      </c>
      <c r="C47" s="81">
        <v>807000</v>
      </c>
      <c r="D47" s="81">
        <v>807000</v>
      </c>
      <c r="E47" s="81">
        <f aca="true" t="shared" si="8" ref="E47:E52">F47-0</f>
        <v>0</v>
      </c>
      <c r="F47" s="81">
        <v>0</v>
      </c>
      <c r="G47" s="54">
        <f t="shared" si="6"/>
        <v>0</v>
      </c>
      <c r="H47" s="81">
        <f t="shared" si="2"/>
        <v>807000</v>
      </c>
      <c r="I47" s="81">
        <f t="shared" si="5"/>
        <v>0</v>
      </c>
      <c r="J47" s="81">
        <v>0</v>
      </c>
      <c r="K47" s="54">
        <f t="shared" si="7"/>
        <v>0</v>
      </c>
      <c r="L47" s="84">
        <f t="shared" si="3"/>
        <v>807000</v>
      </c>
      <c r="M47" s="84">
        <f t="shared" si="4"/>
        <v>0</v>
      </c>
      <c r="N47" s="6"/>
    </row>
    <row r="48" spans="1:14" s="5" customFormat="1" ht="15">
      <c r="A48" s="50" t="s">
        <v>53</v>
      </c>
      <c r="B48" s="51" t="s">
        <v>60</v>
      </c>
      <c r="C48" s="81">
        <v>5000</v>
      </c>
      <c r="D48" s="81">
        <v>12541094.04</v>
      </c>
      <c r="E48" s="81">
        <f>F48-9458880</f>
        <v>2404800</v>
      </c>
      <c r="F48" s="81">
        <v>11863680</v>
      </c>
      <c r="G48" s="54">
        <f t="shared" si="6"/>
        <v>0.015273227993712928</v>
      </c>
      <c r="H48" s="81">
        <f t="shared" si="2"/>
        <v>677414.0399999991</v>
      </c>
      <c r="I48" s="81">
        <f t="shared" si="5"/>
        <v>11863680</v>
      </c>
      <c r="J48" s="81">
        <v>11863680</v>
      </c>
      <c r="K48" s="54">
        <f t="shared" si="7"/>
        <v>0.01543388629941101</v>
      </c>
      <c r="L48" s="84">
        <f t="shared" si="3"/>
        <v>677414.0399999991</v>
      </c>
      <c r="M48" s="84">
        <f t="shared" si="4"/>
        <v>0</v>
      </c>
      <c r="N48" s="6"/>
    </row>
    <row r="49" spans="1:14" s="5" customFormat="1" ht="15">
      <c r="A49" s="100" t="s">
        <v>135</v>
      </c>
      <c r="B49" s="51" t="s">
        <v>136</v>
      </c>
      <c r="C49" s="81">
        <v>0</v>
      </c>
      <c r="D49" s="81">
        <v>0</v>
      </c>
      <c r="E49" s="81">
        <f t="shared" si="8"/>
        <v>0</v>
      </c>
      <c r="F49" s="81">
        <v>0</v>
      </c>
      <c r="G49" s="54">
        <f t="shared" si="6"/>
        <v>0</v>
      </c>
      <c r="H49" s="81">
        <f t="shared" si="2"/>
        <v>0</v>
      </c>
      <c r="I49" s="81">
        <f t="shared" si="5"/>
        <v>0</v>
      </c>
      <c r="J49" s="81">
        <v>0</v>
      </c>
      <c r="K49" s="54">
        <f t="shared" si="7"/>
        <v>0</v>
      </c>
      <c r="L49" s="84">
        <f aca="true" t="shared" si="9" ref="L49:L56">D49-J49</f>
        <v>0</v>
      </c>
      <c r="M49" s="84">
        <f t="shared" si="4"/>
        <v>0</v>
      </c>
      <c r="N49" s="6"/>
    </row>
    <row r="50" spans="1:14" s="5" customFormat="1" ht="15">
      <c r="A50" s="50" t="s">
        <v>151</v>
      </c>
      <c r="B50" s="51" t="s">
        <v>152</v>
      </c>
      <c r="C50" s="81">
        <v>30000</v>
      </c>
      <c r="D50" s="81">
        <v>8030000</v>
      </c>
      <c r="E50" s="81">
        <f t="shared" si="8"/>
        <v>0</v>
      </c>
      <c r="F50" s="81">
        <v>0</v>
      </c>
      <c r="G50" s="54">
        <f t="shared" si="6"/>
        <v>0</v>
      </c>
      <c r="H50" s="81">
        <f t="shared" si="2"/>
        <v>8030000</v>
      </c>
      <c r="I50" s="81">
        <f t="shared" si="5"/>
        <v>0</v>
      </c>
      <c r="J50" s="81">
        <v>0</v>
      </c>
      <c r="K50" s="54">
        <f t="shared" si="7"/>
        <v>0</v>
      </c>
      <c r="L50" s="84">
        <f t="shared" si="9"/>
        <v>8030000</v>
      </c>
      <c r="M50" s="84">
        <f t="shared" si="4"/>
        <v>0</v>
      </c>
      <c r="N50" s="6"/>
    </row>
    <row r="51" spans="1:14" s="5" customFormat="1" ht="15">
      <c r="A51" s="50" t="s">
        <v>139</v>
      </c>
      <c r="B51" s="51" t="s">
        <v>140</v>
      </c>
      <c r="C51" s="81">
        <v>314500</v>
      </c>
      <c r="D51" s="81">
        <v>5000</v>
      </c>
      <c r="E51" s="81">
        <f t="shared" si="8"/>
        <v>0</v>
      </c>
      <c r="F51" s="81">
        <v>0</v>
      </c>
      <c r="G51" s="54">
        <f t="shared" si="6"/>
        <v>0</v>
      </c>
      <c r="H51" s="81">
        <f t="shared" si="2"/>
        <v>5000</v>
      </c>
      <c r="I51" s="81">
        <f t="shared" si="5"/>
        <v>0</v>
      </c>
      <c r="J51" s="81">
        <v>0</v>
      </c>
      <c r="K51" s="54">
        <f t="shared" si="7"/>
        <v>0</v>
      </c>
      <c r="L51" s="84">
        <f t="shared" si="9"/>
        <v>5000</v>
      </c>
      <c r="M51" s="84">
        <f t="shared" si="4"/>
        <v>0</v>
      </c>
      <c r="N51" s="6"/>
    </row>
    <row r="52" spans="1:14" s="5" customFormat="1" ht="15">
      <c r="A52" s="50" t="s">
        <v>143</v>
      </c>
      <c r="B52" s="51" t="s">
        <v>144</v>
      </c>
      <c r="C52" s="81">
        <v>8017000</v>
      </c>
      <c r="D52" s="81">
        <v>339309944</v>
      </c>
      <c r="E52" s="81">
        <f t="shared" si="8"/>
        <v>0</v>
      </c>
      <c r="F52" s="81">
        <v>0</v>
      </c>
      <c r="G52" s="54">
        <f t="shared" si="6"/>
        <v>0</v>
      </c>
      <c r="H52" s="81">
        <f t="shared" si="2"/>
        <v>339309944</v>
      </c>
      <c r="I52" s="81">
        <f t="shared" si="5"/>
        <v>0</v>
      </c>
      <c r="J52" s="81">
        <v>0</v>
      </c>
      <c r="K52" s="54">
        <f t="shared" si="7"/>
        <v>0</v>
      </c>
      <c r="L52" s="84">
        <f t="shared" si="9"/>
        <v>339309944</v>
      </c>
      <c r="M52" s="84">
        <f t="shared" si="4"/>
        <v>0</v>
      </c>
      <c r="N52" s="6"/>
    </row>
    <row r="53" spans="1:14" s="5" customFormat="1" ht="15">
      <c r="A53" s="50" t="s">
        <v>96</v>
      </c>
      <c r="B53" s="51" t="s">
        <v>102</v>
      </c>
      <c r="C53" s="81">
        <v>8112438</v>
      </c>
      <c r="D53" s="81">
        <v>96550005.03</v>
      </c>
      <c r="E53" s="81">
        <f>F53-10641680.56</f>
        <v>68439082.37</v>
      </c>
      <c r="F53" s="81">
        <v>79080762.93</v>
      </c>
      <c r="G53" s="54">
        <f t="shared" si="6"/>
        <v>0.10180808333895147</v>
      </c>
      <c r="H53" s="81">
        <f t="shared" si="2"/>
        <v>17469242.099999994</v>
      </c>
      <c r="I53" s="81">
        <f>J53-10252059.39</f>
        <v>68828703.54</v>
      </c>
      <c r="J53" s="81">
        <v>79080762.93</v>
      </c>
      <c r="K53" s="54">
        <f t="shared" si="7"/>
        <v>0.10287899737116116</v>
      </c>
      <c r="L53" s="84">
        <f t="shared" si="9"/>
        <v>17469242.099999994</v>
      </c>
      <c r="M53" s="84">
        <f t="shared" si="4"/>
        <v>0</v>
      </c>
      <c r="N53" s="6"/>
    </row>
    <row r="54" spans="1:14" s="5" customFormat="1" ht="15">
      <c r="A54" s="50" t="s">
        <v>97</v>
      </c>
      <c r="B54" s="51" t="s">
        <v>237</v>
      </c>
      <c r="C54" s="81">
        <v>11783077</v>
      </c>
      <c r="D54" s="81">
        <v>9273077</v>
      </c>
      <c r="E54" s="81">
        <f>F54-0</f>
        <v>0</v>
      </c>
      <c r="F54" s="81">
        <v>0</v>
      </c>
      <c r="G54" s="54">
        <f t="shared" si="6"/>
        <v>0</v>
      </c>
      <c r="H54" s="81">
        <f t="shared" si="2"/>
        <v>9273077</v>
      </c>
      <c r="I54" s="81">
        <f t="shared" si="5"/>
        <v>0</v>
      </c>
      <c r="J54" s="81">
        <v>0</v>
      </c>
      <c r="K54" s="54">
        <f t="shared" si="7"/>
        <v>0</v>
      </c>
      <c r="L54" s="84">
        <f t="shared" si="9"/>
        <v>9273077</v>
      </c>
      <c r="M54" s="84">
        <f t="shared" si="4"/>
        <v>0</v>
      </c>
      <c r="N54" s="6"/>
    </row>
    <row r="55" spans="1:14" s="5" customFormat="1" ht="15">
      <c r="A55" s="50" t="s">
        <v>180</v>
      </c>
      <c r="B55" s="51" t="s">
        <v>181</v>
      </c>
      <c r="C55" s="81">
        <v>250000</v>
      </c>
      <c r="D55" s="81">
        <v>250000</v>
      </c>
      <c r="E55" s="81">
        <f>F55-0</f>
        <v>0</v>
      </c>
      <c r="F55" s="81">
        <v>0</v>
      </c>
      <c r="G55" s="54">
        <f t="shared" si="6"/>
        <v>0</v>
      </c>
      <c r="H55" s="81">
        <f t="shared" si="2"/>
        <v>250000</v>
      </c>
      <c r="I55" s="81">
        <v>0</v>
      </c>
      <c r="J55" s="81">
        <v>0</v>
      </c>
      <c r="K55" s="54">
        <f t="shared" si="7"/>
        <v>0</v>
      </c>
      <c r="L55" s="84">
        <f t="shared" si="9"/>
        <v>250000</v>
      </c>
      <c r="M55" s="84">
        <f t="shared" si="4"/>
        <v>0</v>
      </c>
      <c r="N55" s="6"/>
    </row>
    <row r="56" spans="1:14" s="5" customFormat="1" ht="15">
      <c r="A56" s="50" t="s">
        <v>54</v>
      </c>
      <c r="B56" s="51" t="s">
        <v>61</v>
      </c>
      <c r="C56" s="81">
        <v>1155818251</v>
      </c>
      <c r="D56" s="81">
        <v>1467170506.28</v>
      </c>
      <c r="E56" s="81">
        <f>F56-969828631.77</f>
        <v>309191829.6700001</v>
      </c>
      <c r="F56" s="81">
        <v>1279020461.44</v>
      </c>
      <c r="G56" s="54">
        <f t="shared" si="6"/>
        <v>1.6466030031319991</v>
      </c>
      <c r="H56" s="81">
        <f t="shared" si="2"/>
        <v>188150044.8399999</v>
      </c>
      <c r="I56" s="81">
        <f>J56-969828631.77</f>
        <v>309191829.6700001</v>
      </c>
      <c r="J56" s="81">
        <v>1279020461.44</v>
      </c>
      <c r="K56" s="54">
        <f t="shared" si="7"/>
        <v>1.6639235360769309</v>
      </c>
      <c r="L56" s="84">
        <f t="shared" si="9"/>
        <v>188150044.8399999</v>
      </c>
      <c r="M56" s="84">
        <f t="shared" si="4"/>
        <v>0</v>
      </c>
      <c r="N56" s="6"/>
    </row>
    <row r="57" spans="1:14" s="5" customFormat="1" ht="15">
      <c r="A57" s="50" t="s">
        <v>185</v>
      </c>
      <c r="B57" s="51" t="s">
        <v>186</v>
      </c>
      <c r="C57" s="81">
        <v>0</v>
      </c>
      <c r="D57" s="81">
        <v>0</v>
      </c>
      <c r="E57" s="81">
        <f>F57-0</f>
        <v>0</v>
      </c>
      <c r="F57" s="81">
        <v>0</v>
      </c>
      <c r="G57" s="54">
        <f t="shared" si="6"/>
        <v>0</v>
      </c>
      <c r="H57" s="81">
        <f t="shared" si="2"/>
        <v>0</v>
      </c>
      <c r="I57" s="81">
        <f t="shared" si="5"/>
        <v>0</v>
      </c>
      <c r="J57" s="81">
        <v>0</v>
      </c>
      <c r="K57" s="54">
        <f t="shared" si="7"/>
        <v>0</v>
      </c>
      <c r="L57" s="84">
        <f t="shared" si="3"/>
        <v>0</v>
      </c>
      <c r="M57" s="84">
        <f t="shared" si="4"/>
        <v>0</v>
      </c>
      <c r="N57" s="6"/>
    </row>
    <row r="58" spans="1:14" s="5" customFormat="1" ht="15">
      <c r="A58" s="50" t="s">
        <v>209</v>
      </c>
      <c r="B58" s="51" t="s">
        <v>210</v>
      </c>
      <c r="C58" s="81">
        <v>0</v>
      </c>
      <c r="D58" s="81">
        <v>0</v>
      </c>
      <c r="E58" s="81">
        <f>F58-0</f>
        <v>0</v>
      </c>
      <c r="F58" s="81">
        <v>0</v>
      </c>
      <c r="G58" s="54">
        <f t="shared" si="6"/>
        <v>0</v>
      </c>
      <c r="H58" s="81">
        <f>D58-F58</f>
        <v>0</v>
      </c>
      <c r="I58" s="81">
        <f t="shared" si="5"/>
        <v>0</v>
      </c>
      <c r="J58" s="81">
        <v>0</v>
      </c>
      <c r="K58" s="54">
        <f t="shared" si="7"/>
        <v>0</v>
      </c>
      <c r="L58" s="84">
        <f>D58-J58</f>
        <v>0</v>
      </c>
      <c r="M58" s="84">
        <f t="shared" si="4"/>
        <v>0</v>
      </c>
      <c r="N58" s="6"/>
    </row>
    <row r="59" spans="1:14" s="5" customFormat="1" ht="15">
      <c r="A59" s="102" t="s">
        <v>63</v>
      </c>
      <c r="B59" s="103" t="s">
        <v>62</v>
      </c>
      <c r="C59" s="80">
        <f>SUM(C60:C77)</f>
        <v>11098430521</v>
      </c>
      <c r="D59" s="80">
        <f>SUM(D60:D77)</f>
        <v>13118359705.930002</v>
      </c>
      <c r="E59" s="80">
        <f>SUM(E60:E77)</f>
        <v>1684657434.0299993</v>
      </c>
      <c r="F59" s="80">
        <f>SUM(F60:F77)</f>
        <v>9958874257.090002</v>
      </c>
      <c r="G59" s="49">
        <f t="shared" si="6"/>
        <v>12.820992903488133</v>
      </c>
      <c r="H59" s="80">
        <f t="shared" si="2"/>
        <v>3159485448.84</v>
      </c>
      <c r="I59" s="80">
        <f>SUM(I60:I77)</f>
        <v>2006009587.0600002</v>
      </c>
      <c r="J59" s="80">
        <f>SUM(J60:J77)</f>
        <v>9802587724.050007</v>
      </c>
      <c r="K59" s="49">
        <f t="shared" si="7"/>
        <v>12.752537524022053</v>
      </c>
      <c r="L59" s="83">
        <f t="shared" si="3"/>
        <v>3315771981.8799953</v>
      </c>
      <c r="M59" s="83">
        <f>SUM(M60:M77)</f>
        <v>156286533.03999898</v>
      </c>
      <c r="N59" s="6"/>
    </row>
    <row r="60" spans="1:14" s="5" customFormat="1" ht="15">
      <c r="A60" s="50" t="s">
        <v>28</v>
      </c>
      <c r="B60" s="51" t="s">
        <v>33</v>
      </c>
      <c r="C60" s="81">
        <v>9619482989</v>
      </c>
      <c r="D60" s="81">
        <v>10937690446.54</v>
      </c>
      <c r="E60" s="81">
        <f>F60-7364480241.37</f>
        <v>1462625570.6899996</v>
      </c>
      <c r="F60" s="81">
        <v>8827105812.06</v>
      </c>
      <c r="G60" s="54">
        <f t="shared" si="6"/>
        <v>11.363961232283817</v>
      </c>
      <c r="H60" s="81">
        <f t="shared" si="2"/>
        <v>2110584634.4800014</v>
      </c>
      <c r="I60" s="81">
        <f>J60-7156154797.18</f>
        <v>1609982632.2600002</v>
      </c>
      <c r="J60" s="81">
        <v>8766137429.44</v>
      </c>
      <c r="K60" s="54">
        <f t="shared" si="7"/>
        <v>11.404182207459074</v>
      </c>
      <c r="L60" s="84">
        <f t="shared" si="3"/>
        <v>2171553017.1000004</v>
      </c>
      <c r="M60" s="84">
        <f t="shared" si="4"/>
        <v>60968382.61999893</v>
      </c>
      <c r="N60" s="6"/>
    </row>
    <row r="61" spans="1:14" s="5" customFormat="1" ht="15">
      <c r="A61" s="50" t="s">
        <v>49</v>
      </c>
      <c r="B61" s="51" t="s">
        <v>56</v>
      </c>
      <c r="C61" s="81">
        <v>214216173</v>
      </c>
      <c r="D61" s="81">
        <v>269556777</v>
      </c>
      <c r="E61" s="81">
        <f>F61-144959108.64</f>
        <v>52079667.57000002</v>
      </c>
      <c r="F61" s="81">
        <v>197038776.21</v>
      </c>
      <c r="G61" s="54">
        <f t="shared" si="6"/>
        <v>0.2536664974660063</v>
      </c>
      <c r="H61" s="81">
        <f t="shared" si="2"/>
        <v>72518000.78999999</v>
      </c>
      <c r="I61" s="81">
        <f>J61-129423535.97</f>
        <v>56328817.72999999</v>
      </c>
      <c r="J61" s="81">
        <v>185752353.7</v>
      </c>
      <c r="K61" s="54">
        <f t="shared" si="7"/>
        <v>0.24165189105351612</v>
      </c>
      <c r="L61" s="84">
        <f t="shared" si="3"/>
        <v>83804423.30000001</v>
      </c>
      <c r="M61" s="84">
        <f t="shared" si="4"/>
        <v>11286422.51000002</v>
      </c>
      <c r="N61" s="6"/>
    </row>
    <row r="62" spans="1:14" s="5" customFormat="1" ht="15">
      <c r="A62" s="100" t="s">
        <v>50</v>
      </c>
      <c r="B62" s="101" t="s">
        <v>57</v>
      </c>
      <c r="C62" s="81">
        <v>83880086</v>
      </c>
      <c r="D62" s="81">
        <v>95983901.6</v>
      </c>
      <c r="E62" s="81">
        <f>F62-19065234.88</f>
        <v>6128234.380000003</v>
      </c>
      <c r="F62" s="81">
        <v>25193469.26</v>
      </c>
      <c r="G62" s="54">
        <f t="shared" si="6"/>
        <v>0.03243391594855712</v>
      </c>
      <c r="H62" s="81">
        <f>D62-F62</f>
        <v>70790432.33999999</v>
      </c>
      <c r="I62" s="81">
        <f>J62-14501613.67</f>
        <v>5020117.000000002</v>
      </c>
      <c r="J62" s="81">
        <v>19521730.67</v>
      </c>
      <c r="K62" s="54">
        <f t="shared" si="7"/>
        <v>0.025396518747008073</v>
      </c>
      <c r="L62" s="84">
        <f t="shared" si="3"/>
        <v>76462170.92999999</v>
      </c>
      <c r="M62" s="84">
        <f t="shared" si="4"/>
        <v>5671738.59</v>
      </c>
      <c r="N62" s="6"/>
    </row>
    <row r="63" spans="1:14" s="5" customFormat="1" ht="15">
      <c r="A63" s="50" t="s">
        <v>29</v>
      </c>
      <c r="B63" s="51" t="s">
        <v>34</v>
      </c>
      <c r="C63" s="81">
        <v>14867754</v>
      </c>
      <c r="D63" s="81">
        <v>35191278.1</v>
      </c>
      <c r="E63" s="81">
        <f>F63-13117809.82</f>
        <v>9211176.34</v>
      </c>
      <c r="F63" s="81">
        <v>22328986.16</v>
      </c>
      <c r="G63" s="54">
        <f t="shared" si="6"/>
        <v>0.028746198185566414</v>
      </c>
      <c r="H63" s="81">
        <f t="shared" si="2"/>
        <v>12862291.940000001</v>
      </c>
      <c r="I63" s="81">
        <f>J63-2237719.44</f>
        <v>10609608.68</v>
      </c>
      <c r="J63" s="81">
        <v>12847328.12</v>
      </c>
      <c r="K63" s="54">
        <f t="shared" si="7"/>
        <v>0.016713549375514662</v>
      </c>
      <c r="L63" s="84">
        <f t="shared" si="3"/>
        <v>22343949.980000004</v>
      </c>
      <c r="M63" s="84">
        <f t="shared" si="4"/>
        <v>9481658.040000001</v>
      </c>
      <c r="N63" s="6"/>
    </row>
    <row r="64" spans="1:14" s="5" customFormat="1" ht="15">
      <c r="A64" s="50" t="s">
        <v>64</v>
      </c>
      <c r="B64" s="51" t="s">
        <v>72</v>
      </c>
      <c r="C64" s="81">
        <v>396826057</v>
      </c>
      <c r="D64" s="81">
        <v>618126283.41</v>
      </c>
      <c r="E64" s="81">
        <f>F64-240390352.15</f>
        <v>30325451.96000001</v>
      </c>
      <c r="F64" s="81">
        <v>270715804.11</v>
      </c>
      <c r="G64" s="54">
        <f t="shared" si="6"/>
        <v>0.3485178458685128</v>
      </c>
      <c r="H64" s="81">
        <f t="shared" si="2"/>
        <v>347410479.29999995</v>
      </c>
      <c r="I64" s="81">
        <f>J64-147868408.21</f>
        <v>119113354.07999998</v>
      </c>
      <c r="J64" s="81">
        <v>266981762.29</v>
      </c>
      <c r="K64" s="54">
        <f t="shared" si="7"/>
        <v>0.3473261385337634</v>
      </c>
      <c r="L64" s="84">
        <f t="shared" si="3"/>
        <v>351144521.12</v>
      </c>
      <c r="M64" s="84">
        <f t="shared" si="4"/>
        <v>3734041.8200000226</v>
      </c>
      <c r="N64" s="6"/>
    </row>
    <row r="65" spans="1:14" s="5" customFormat="1" ht="15">
      <c r="A65" s="50" t="s">
        <v>65</v>
      </c>
      <c r="B65" s="51" t="s">
        <v>73</v>
      </c>
      <c r="C65" s="81">
        <v>69139058</v>
      </c>
      <c r="D65" s="81">
        <v>155222689.23</v>
      </c>
      <c r="E65" s="81">
        <f>F65-81118111.37</f>
        <v>21422745.459999993</v>
      </c>
      <c r="F65" s="81">
        <v>102540856.83</v>
      </c>
      <c r="G65" s="54">
        <f t="shared" si="6"/>
        <v>0.13201046260816757</v>
      </c>
      <c r="H65" s="81">
        <f t="shared" si="2"/>
        <v>52681832.39999999</v>
      </c>
      <c r="I65" s="81">
        <f>J65-70167150.28</f>
        <v>18874681.5</v>
      </c>
      <c r="J65" s="81">
        <v>89041831.78</v>
      </c>
      <c r="K65" s="54">
        <f t="shared" si="7"/>
        <v>0.11583770866913148</v>
      </c>
      <c r="L65" s="84">
        <f t="shared" si="3"/>
        <v>66180857.44999999</v>
      </c>
      <c r="M65" s="84">
        <f t="shared" si="4"/>
        <v>13499025.049999997</v>
      </c>
      <c r="N65" s="6"/>
    </row>
    <row r="66" spans="1:14" s="5" customFormat="1" ht="15">
      <c r="A66" s="50" t="s">
        <v>66</v>
      </c>
      <c r="B66" s="51" t="s">
        <v>74</v>
      </c>
      <c r="C66" s="81">
        <v>20320379</v>
      </c>
      <c r="D66" s="81">
        <v>43333708.95</v>
      </c>
      <c r="E66" s="81">
        <f>F66-23496694.86</f>
        <v>-91095.68999999762</v>
      </c>
      <c r="F66" s="81">
        <v>23405599.17</v>
      </c>
      <c r="G66" s="54">
        <f t="shared" si="6"/>
        <v>0.03013222309206487</v>
      </c>
      <c r="H66" s="81">
        <f t="shared" si="2"/>
        <v>19928109.78</v>
      </c>
      <c r="I66" s="81">
        <f>J66-12011689.16</f>
        <v>11393910.010000002</v>
      </c>
      <c r="J66" s="81">
        <v>23405599.17</v>
      </c>
      <c r="K66" s="54">
        <f t="shared" si="7"/>
        <v>0.030449182408777777</v>
      </c>
      <c r="L66" s="84">
        <f t="shared" si="3"/>
        <v>19928109.78</v>
      </c>
      <c r="M66" s="84">
        <f t="shared" si="4"/>
        <v>0</v>
      </c>
      <c r="N66" s="6"/>
    </row>
    <row r="67" spans="1:14" s="5" customFormat="1" ht="15">
      <c r="A67" s="50" t="s">
        <v>82</v>
      </c>
      <c r="B67" s="51" t="s">
        <v>84</v>
      </c>
      <c r="C67" s="81">
        <v>0</v>
      </c>
      <c r="D67" s="81">
        <v>0</v>
      </c>
      <c r="E67" s="81">
        <f>F67-0</f>
        <v>0</v>
      </c>
      <c r="F67" s="81">
        <v>0</v>
      </c>
      <c r="G67" s="54">
        <f t="shared" si="6"/>
        <v>0</v>
      </c>
      <c r="H67" s="81">
        <f t="shared" si="2"/>
        <v>0</v>
      </c>
      <c r="I67" s="81">
        <f>J67-0</f>
        <v>0</v>
      </c>
      <c r="J67" s="81">
        <v>0</v>
      </c>
      <c r="K67" s="54">
        <f t="shared" si="7"/>
        <v>0</v>
      </c>
      <c r="L67" s="84">
        <f t="shared" si="3"/>
        <v>0</v>
      </c>
      <c r="M67" s="84">
        <f t="shared" si="4"/>
        <v>0</v>
      </c>
      <c r="N67" s="6"/>
    </row>
    <row r="68" spans="1:14" s="5" customFormat="1" ht="15">
      <c r="A68" s="50" t="s">
        <v>67</v>
      </c>
      <c r="B68" s="51" t="s">
        <v>75</v>
      </c>
      <c r="C68" s="81">
        <v>175320029</v>
      </c>
      <c r="D68" s="81">
        <v>451963679.95</v>
      </c>
      <c r="E68" s="81">
        <f>F68-95240034.92</f>
        <v>38430705.67</v>
      </c>
      <c r="F68" s="81">
        <v>133670740.59</v>
      </c>
      <c r="G68" s="54">
        <f t="shared" si="6"/>
        <v>0.1720868817364871</v>
      </c>
      <c r="H68" s="81">
        <f t="shared" si="2"/>
        <v>318292939.36</v>
      </c>
      <c r="I68" s="81">
        <f>J68-51114873.9</f>
        <v>31220797.28000001</v>
      </c>
      <c r="J68" s="81">
        <v>82335671.18</v>
      </c>
      <c r="K68" s="54">
        <f t="shared" si="7"/>
        <v>0.10711342411273837</v>
      </c>
      <c r="L68" s="84">
        <f t="shared" si="3"/>
        <v>369628008.77</v>
      </c>
      <c r="M68" s="84">
        <f t="shared" si="4"/>
        <v>51335069.41</v>
      </c>
      <c r="N68" s="6"/>
    </row>
    <row r="69" spans="1:14" s="5" customFormat="1" ht="15">
      <c r="A69" s="50" t="s">
        <v>68</v>
      </c>
      <c r="B69" s="51" t="s">
        <v>76</v>
      </c>
      <c r="C69" s="81">
        <v>250000000</v>
      </c>
      <c r="D69" s="81">
        <v>245929914.91</v>
      </c>
      <c r="E69" s="81">
        <f>F69-164418887.7</f>
        <v>454038.32000002265</v>
      </c>
      <c r="F69" s="81">
        <v>164872926.02</v>
      </c>
      <c r="G69" s="54">
        <f t="shared" si="6"/>
        <v>0.21225638158598553</v>
      </c>
      <c r="H69" s="81">
        <f t="shared" si="2"/>
        <v>81056988.88999999</v>
      </c>
      <c r="I69" s="81">
        <f>J69-108819653.22</f>
        <v>56053272.80000001</v>
      </c>
      <c r="J69" s="81">
        <v>164872926.02</v>
      </c>
      <c r="K69" s="54">
        <f t="shared" si="7"/>
        <v>0.2144890956300139</v>
      </c>
      <c r="L69" s="84">
        <f t="shared" si="3"/>
        <v>81056988.88999999</v>
      </c>
      <c r="M69" s="84">
        <f t="shared" si="4"/>
        <v>0</v>
      </c>
      <c r="N69" s="6"/>
    </row>
    <row r="70" spans="1:14" s="5" customFormat="1" ht="15">
      <c r="A70" s="50" t="s">
        <v>238</v>
      </c>
      <c r="B70" s="51" t="s">
        <v>239</v>
      </c>
      <c r="C70" s="81">
        <v>21677049</v>
      </c>
      <c r="D70" s="81">
        <v>33838580.46</v>
      </c>
      <c r="E70" s="81">
        <f>F70-13652378.99</f>
        <v>20157641.619999997</v>
      </c>
      <c r="F70" s="81">
        <v>33810020.61</v>
      </c>
      <c r="G70" s="54">
        <f t="shared" si="6"/>
        <v>0.04352681067330399</v>
      </c>
      <c r="H70" s="81">
        <f>D70-F70</f>
        <v>28559.85000000149</v>
      </c>
      <c r="I70" s="81">
        <f>J70-13129870.59</f>
        <v>20680150.02</v>
      </c>
      <c r="J70" s="81">
        <v>33810020.61</v>
      </c>
      <c r="K70" s="54">
        <f t="shared" si="7"/>
        <v>0.043984666973104714</v>
      </c>
      <c r="L70" s="84">
        <f t="shared" si="3"/>
        <v>28559.85000000149</v>
      </c>
      <c r="M70" s="84">
        <f t="shared" si="4"/>
        <v>0</v>
      </c>
      <c r="N70" s="6"/>
    </row>
    <row r="71" spans="1:14" s="5" customFormat="1" ht="15">
      <c r="A71" s="50" t="s">
        <v>106</v>
      </c>
      <c r="B71" s="51" t="s">
        <v>108</v>
      </c>
      <c r="C71" s="81">
        <v>251000</v>
      </c>
      <c r="D71" s="81">
        <v>821500</v>
      </c>
      <c r="E71" s="81">
        <f>F71-12930</f>
        <v>5962</v>
      </c>
      <c r="F71" s="81">
        <v>18892</v>
      </c>
      <c r="G71" s="54">
        <f t="shared" si="6"/>
        <v>2.4321443536678725E-05</v>
      </c>
      <c r="H71" s="81">
        <f>D71-F71</f>
        <v>802608</v>
      </c>
      <c r="I71" s="81">
        <f>J71-0</f>
        <v>18892</v>
      </c>
      <c r="J71" s="81">
        <v>18892</v>
      </c>
      <c r="K71" s="54">
        <f t="shared" si="7"/>
        <v>2.4577279559839174E-05</v>
      </c>
      <c r="L71" s="84">
        <f t="shared" si="3"/>
        <v>802608</v>
      </c>
      <c r="M71" s="84">
        <f t="shared" si="4"/>
        <v>0</v>
      </c>
      <c r="N71" s="6"/>
    </row>
    <row r="72" spans="1:14" s="5" customFormat="1" ht="15">
      <c r="A72" s="50" t="s">
        <v>115</v>
      </c>
      <c r="B72" s="51" t="s">
        <v>122</v>
      </c>
      <c r="C72" s="81">
        <v>10000</v>
      </c>
      <c r="D72" s="81">
        <v>10000</v>
      </c>
      <c r="E72" s="81">
        <f>F72-0</f>
        <v>0</v>
      </c>
      <c r="F72" s="81">
        <v>0</v>
      </c>
      <c r="G72" s="54">
        <f t="shared" si="6"/>
        <v>0</v>
      </c>
      <c r="H72" s="81">
        <f>D72-F72</f>
        <v>10000</v>
      </c>
      <c r="I72" s="81">
        <f>J72-0</f>
        <v>0</v>
      </c>
      <c r="J72" s="81">
        <v>0</v>
      </c>
      <c r="K72" s="54">
        <f t="shared" si="7"/>
        <v>0</v>
      </c>
      <c r="L72" s="84">
        <f t="shared" si="3"/>
        <v>10000</v>
      </c>
      <c r="M72" s="84">
        <f t="shared" si="4"/>
        <v>0</v>
      </c>
      <c r="N72" s="6"/>
    </row>
    <row r="73" spans="1:14" s="5" customFormat="1" ht="15">
      <c r="A73" s="50" t="s">
        <v>69</v>
      </c>
      <c r="B73" s="51" t="s">
        <v>77</v>
      </c>
      <c r="C73" s="81">
        <v>77679732</v>
      </c>
      <c r="D73" s="81">
        <v>55100894.89</v>
      </c>
      <c r="E73" s="81">
        <f>F73-19797821.81</f>
        <v>-6687114.6899999995</v>
      </c>
      <c r="F73" s="81">
        <v>13110707.12</v>
      </c>
      <c r="G73" s="54">
        <f t="shared" si="6"/>
        <v>0.01687864296765889</v>
      </c>
      <c r="H73" s="81">
        <f t="shared" si="2"/>
        <v>41990187.77</v>
      </c>
      <c r="I73" s="81">
        <f>J73-8872003.82</f>
        <v>4238703.299999999</v>
      </c>
      <c r="J73" s="81">
        <v>13110707.12</v>
      </c>
      <c r="K73" s="54">
        <f t="shared" si="7"/>
        <v>0.01705618855152519</v>
      </c>
      <c r="L73" s="84">
        <f t="shared" si="3"/>
        <v>41990187.77</v>
      </c>
      <c r="M73" s="84">
        <f t="shared" si="4"/>
        <v>0</v>
      </c>
      <c r="N73" s="6"/>
    </row>
    <row r="74" spans="1:14" s="5" customFormat="1" ht="15">
      <c r="A74" s="50" t="s">
        <v>53</v>
      </c>
      <c r="B74" s="51" t="s">
        <v>60</v>
      </c>
      <c r="C74" s="81">
        <v>138683765</v>
      </c>
      <c r="D74" s="81">
        <v>139640545.87</v>
      </c>
      <c r="E74" s="81">
        <f>F74-71091979.11</f>
        <v>47398866.57000001</v>
      </c>
      <c r="F74" s="81">
        <v>118490845.68</v>
      </c>
      <c r="G74" s="54">
        <f t="shared" si="6"/>
        <v>0.152544379251505</v>
      </c>
      <c r="H74" s="81">
        <f t="shared" si="2"/>
        <v>21149700.189999998</v>
      </c>
      <c r="I74" s="81">
        <f>J74-63888398.64</f>
        <v>54310363.67</v>
      </c>
      <c r="J74" s="81">
        <v>118198762.31</v>
      </c>
      <c r="K74" s="54">
        <f t="shared" si="7"/>
        <v>0.15376900407155686</v>
      </c>
      <c r="L74" s="84">
        <f t="shared" si="3"/>
        <v>21441783.560000002</v>
      </c>
      <c r="M74" s="84">
        <f t="shared" si="4"/>
        <v>292083.37000000477</v>
      </c>
      <c r="N74" s="6"/>
    </row>
    <row r="75" spans="1:14" s="5" customFormat="1" ht="15">
      <c r="A75" s="50" t="s">
        <v>70</v>
      </c>
      <c r="B75" s="51" t="s">
        <v>78</v>
      </c>
      <c r="C75" s="81">
        <v>7135200</v>
      </c>
      <c r="D75" s="81">
        <v>5865961.48</v>
      </c>
      <c r="E75" s="81">
        <f>F75-4335437.44</f>
        <v>-116197.17000000086</v>
      </c>
      <c r="F75" s="81">
        <v>4219240.27</v>
      </c>
      <c r="G75" s="54">
        <f t="shared" si="6"/>
        <v>0.005431823734622384</v>
      </c>
      <c r="H75" s="81">
        <f t="shared" si="2"/>
        <v>1646721.210000001</v>
      </c>
      <c r="I75" s="81">
        <f>J75-2996133.05</f>
        <v>1223107.2199999997</v>
      </c>
      <c r="J75" s="81">
        <v>4219240.27</v>
      </c>
      <c r="K75" s="54">
        <f t="shared" si="7"/>
        <v>0.005488960811238688</v>
      </c>
      <c r="L75" s="84">
        <f t="shared" si="3"/>
        <v>1646721.210000001</v>
      </c>
      <c r="M75" s="84">
        <f t="shared" si="4"/>
        <v>0</v>
      </c>
      <c r="N75" s="6"/>
    </row>
    <row r="76" spans="1:14" s="5" customFormat="1" ht="15">
      <c r="A76" s="50" t="s">
        <v>71</v>
      </c>
      <c r="B76" s="51" t="s">
        <v>79</v>
      </c>
      <c r="C76" s="81">
        <v>8931250</v>
      </c>
      <c r="D76" s="81">
        <v>30073543.54</v>
      </c>
      <c r="E76" s="81">
        <f>F76-19039800</f>
        <v>3311781</v>
      </c>
      <c r="F76" s="81">
        <v>22351581</v>
      </c>
      <c r="G76" s="54">
        <f t="shared" si="6"/>
        <v>0.028775286642335435</v>
      </c>
      <c r="H76" s="81">
        <f t="shared" si="2"/>
        <v>7721962.539999999</v>
      </c>
      <c r="I76" s="81">
        <f>J76-15392289.86</f>
        <v>6941179.510000002</v>
      </c>
      <c r="J76" s="81">
        <v>22333469.37</v>
      </c>
      <c r="K76" s="54">
        <f t="shared" si="7"/>
        <v>0.029054410345521666</v>
      </c>
      <c r="L76" s="84">
        <f t="shared" si="3"/>
        <v>7740074.169999998</v>
      </c>
      <c r="M76" s="84">
        <f t="shared" si="4"/>
        <v>18111.629999998957</v>
      </c>
      <c r="N76" s="6"/>
    </row>
    <row r="77" spans="1:14" s="5" customFormat="1" ht="15">
      <c r="A77" s="50" t="s">
        <v>199</v>
      </c>
      <c r="B77" s="51" t="s">
        <v>200</v>
      </c>
      <c r="C77" s="81">
        <v>10000</v>
      </c>
      <c r="D77" s="81">
        <v>10000</v>
      </c>
      <c r="E77" s="81">
        <f>F77-0</f>
        <v>0</v>
      </c>
      <c r="F77" s="81">
        <v>0</v>
      </c>
      <c r="G77" s="54">
        <f t="shared" si="6"/>
        <v>0</v>
      </c>
      <c r="H77" s="81">
        <f t="shared" si="2"/>
        <v>10000</v>
      </c>
      <c r="I77" s="81">
        <f>J77-0</f>
        <v>0</v>
      </c>
      <c r="J77" s="81">
        <v>0</v>
      </c>
      <c r="K77" s="54">
        <f t="shared" si="7"/>
        <v>0</v>
      </c>
      <c r="L77" s="84">
        <f t="shared" si="3"/>
        <v>10000</v>
      </c>
      <c r="M77" s="84">
        <f t="shared" si="4"/>
        <v>0</v>
      </c>
      <c r="N77" s="6"/>
    </row>
    <row r="78" spans="1:14" s="5" customFormat="1" ht="15">
      <c r="A78" s="45" t="s">
        <v>81</v>
      </c>
      <c r="B78" s="48" t="s">
        <v>80</v>
      </c>
      <c r="C78" s="80">
        <f>SUM(C79:C90)</f>
        <v>268131587</v>
      </c>
      <c r="D78" s="80">
        <f>SUM(D79:D90)</f>
        <v>1017802836.8199999</v>
      </c>
      <c r="E78" s="80">
        <f>SUM(E79:E90)</f>
        <v>198389175.85</v>
      </c>
      <c r="F78" s="80">
        <f>SUM(F79:F90)</f>
        <v>857511869.31</v>
      </c>
      <c r="G78" s="49">
        <f aca="true" t="shared" si="10" ref="G78:G85">(F78/$F$286)*100</f>
        <v>1.1039554579427795</v>
      </c>
      <c r="H78" s="80">
        <f>D78-F78</f>
        <v>160290967.51</v>
      </c>
      <c r="I78" s="80">
        <f>SUM(I79:I90)</f>
        <v>221936933.99000004</v>
      </c>
      <c r="J78" s="80">
        <f>SUM(J79:J90)</f>
        <v>857511869.31</v>
      </c>
      <c r="K78" s="49">
        <f aca="true" t="shared" si="11" ref="K78:K109">(J78/$J$286)*100</f>
        <v>1.1155679090573862</v>
      </c>
      <c r="L78" s="83">
        <f>D78-J78</f>
        <v>160290967.51</v>
      </c>
      <c r="M78" s="83">
        <f>SUM(M79:M90)</f>
        <v>0</v>
      </c>
      <c r="N78" s="6"/>
    </row>
    <row r="79" spans="1:14" s="5" customFormat="1" ht="15">
      <c r="A79" s="50" t="s">
        <v>28</v>
      </c>
      <c r="B79" s="51" t="s">
        <v>33</v>
      </c>
      <c r="C79" s="81">
        <v>85098655</v>
      </c>
      <c r="D79" s="81">
        <v>123952417.16</v>
      </c>
      <c r="E79" s="81">
        <f>F79-92139007.24</f>
        <v>13810901.400000006</v>
      </c>
      <c r="F79" s="81">
        <v>105949908.64</v>
      </c>
      <c r="G79" s="54">
        <f t="shared" si="10"/>
        <v>0.1363992547482548</v>
      </c>
      <c r="H79" s="81">
        <f t="shared" si="2"/>
        <v>18002508.519999996</v>
      </c>
      <c r="I79" s="81">
        <f>J79-88514731.81</f>
        <v>17435176.83</v>
      </c>
      <c r="J79" s="81">
        <v>105949908.64</v>
      </c>
      <c r="K79" s="54">
        <f t="shared" si="11"/>
        <v>0.13783403154693522</v>
      </c>
      <c r="L79" s="84">
        <f t="shared" si="3"/>
        <v>18002508.519999996</v>
      </c>
      <c r="M79" s="84">
        <f t="shared" si="4"/>
        <v>0</v>
      </c>
      <c r="N79" s="6"/>
    </row>
    <row r="80" spans="1:14" s="5" customFormat="1" ht="15">
      <c r="A80" s="50" t="s">
        <v>164</v>
      </c>
      <c r="B80" s="51" t="s">
        <v>165</v>
      </c>
      <c r="C80" s="81">
        <v>20000</v>
      </c>
      <c r="D80" s="81">
        <v>20000</v>
      </c>
      <c r="E80" s="81">
        <f>F80-0</f>
        <v>0</v>
      </c>
      <c r="F80" s="81">
        <v>0</v>
      </c>
      <c r="G80" s="54">
        <f t="shared" si="10"/>
        <v>0</v>
      </c>
      <c r="H80" s="81">
        <f t="shared" si="2"/>
        <v>20000</v>
      </c>
      <c r="I80" s="81">
        <f>J80-0</f>
        <v>0</v>
      </c>
      <c r="J80" s="81">
        <v>0</v>
      </c>
      <c r="K80" s="54">
        <f t="shared" si="11"/>
        <v>0</v>
      </c>
      <c r="L80" s="84">
        <f t="shared" si="3"/>
        <v>20000</v>
      </c>
      <c r="M80" s="84">
        <f t="shared" si="4"/>
        <v>0</v>
      </c>
      <c r="N80" s="6"/>
    </row>
    <row r="81" spans="1:14" s="5" customFormat="1" ht="15">
      <c r="A81" s="50" t="s">
        <v>64</v>
      </c>
      <c r="B81" s="51" t="s">
        <v>72</v>
      </c>
      <c r="C81" s="81">
        <v>0</v>
      </c>
      <c r="D81" s="81">
        <v>0</v>
      </c>
      <c r="E81" s="81">
        <f aca="true" t="shared" si="12" ref="E81:E90">F81-0</f>
        <v>0</v>
      </c>
      <c r="F81" s="81">
        <v>0</v>
      </c>
      <c r="G81" s="54">
        <f t="shared" si="10"/>
        <v>0</v>
      </c>
      <c r="H81" s="81">
        <f t="shared" si="2"/>
        <v>0</v>
      </c>
      <c r="I81" s="81">
        <v>0</v>
      </c>
      <c r="J81" s="81">
        <v>0</v>
      </c>
      <c r="K81" s="54">
        <f t="shared" si="11"/>
        <v>0</v>
      </c>
      <c r="L81" s="84">
        <f t="shared" si="3"/>
        <v>0</v>
      </c>
      <c r="M81" s="84">
        <f aca="true" t="shared" si="13" ref="M81:M141">F81-J81</f>
        <v>0</v>
      </c>
      <c r="N81" s="6"/>
    </row>
    <row r="82" spans="1:14" s="5" customFormat="1" ht="15">
      <c r="A82" s="50" t="s">
        <v>52</v>
      </c>
      <c r="B82" s="51" t="s">
        <v>59</v>
      </c>
      <c r="C82" s="81">
        <v>666576</v>
      </c>
      <c r="D82" s="81">
        <v>7521790.09</v>
      </c>
      <c r="E82" s="81">
        <f t="shared" si="12"/>
        <v>0</v>
      </c>
      <c r="F82" s="81">
        <v>0</v>
      </c>
      <c r="G82" s="54">
        <f t="shared" si="10"/>
        <v>0</v>
      </c>
      <c r="H82" s="81">
        <f t="shared" si="2"/>
        <v>7521790.09</v>
      </c>
      <c r="I82" s="81">
        <f aca="true" t="shared" si="14" ref="I82:I90">J82-0</f>
        <v>0</v>
      </c>
      <c r="J82" s="81">
        <v>0</v>
      </c>
      <c r="K82" s="54">
        <f t="shared" si="11"/>
        <v>0</v>
      </c>
      <c r="L82" s="84">
        <f t="shared" si="3"/>
        <v>7521790.09</v>
      </c>
      <c r="M82" s="84">
        <f t="shared" si="13"/>
        <v>0</v>
      </c>
      <c r="N82" s="6"/>
    </row>
    <row r="83" spans="1:14" s="5" customFormat="1" ht="15">
      <c r="A83" s="50" t="s">
        <v>131</v>
      </c>
      <c r="B83" s="51" t="s">
        <v>132</v>
      </c>
      <c r="C83" s="81">
        <v>5000</v>
      </c>
      <c r="D83" s="81">
        <v>31715574.13</v>
      </c>
      <c r="E83" s="81">
        <f>F83-31710579.13</f>
        <v>0</v>
      </c>
      <c r="F83" s="81">
        <v>31710579.13</v>
      </c>
      <c r="G83" s="54">
        <f t="shared" si="10"/>
        <v>0.04082400274326052</v>
      </c>
      <c r="H83" s="81">
        <f>D83-F83</f>
        <v>4995</v>
      </c>
      <c r="I83" s="81">
        <f>J83-31710579.13</f>
        <v>0</v>
      </c>
      <c r="J83" s="81">
        <v>31710579.13</v>
      </c>
      <c r="K83" s="54">
        <f t="shared" si="11"/>
        <v>0.041253428344400364</v>
      </c>
      <c r="L83" s="84">
        <f t="shared" si="3"/>
        <v>4995</v>
      </c>
      <c r="M83" s="84">
        <f t="shared" si="13"/>
        <v>0</v>
      </c>
      <c r="N83" s="6"/>
    </row>
    <row r="84" spans="1:14" s="5" customFormat="1" ht="15">
      <c r="A84" s="50" t="s">
        <v>82</v>
      </c>
      <c r="B84" s="51" t="s">
        <v>84</v>
      </c>
      <c r="C84" s="81">
        <v>65120994</v>
      </c>
      <c r="D84" s="81">
        <v>60221095.41</v>
      </c>
      <c r="E84" s="81">
        <f>F84-26088186.02</f>
        <v>7890158.750000004</v>
      </c>
      <c r="F84" s="81">
        <v>33978344.77</v>
      </c>
      <c r="G84" s="54">
        <f t="shared" si="10"/>
        <v>0.0437435101520939</v>
      </c>
      <c r="H84" s="81">
        <f t="shared" si="2"/>
        <v>26242750.639999993</v>
      </c>
      <c r="I84" s="81">
        <f>J84-23845274.77</f>
        <v>10133070.000000004</v>
      </c>
      <c r="J84" s="81">
        <v>33978344.77</v>
      </c>
      <c r="K84" s="54">
        <f t="shared" si="11"/>
        <v>0.044203645902651356</v>
      </c>
      <c r="L84" s="84">
        <f t="shared" si="3"/>
        <v>26242750.639999993</v>
      </c>
      <c r="M84" s="84">
        <f t="shared" si="13"/>
        <v>0</v>
      </c>
      <c r="N84" s="6"/>
    </row>
    <row r="85" spans="1:14" s="5" customFormat="1" ht="15">
      <c r="A85" s="50" t="s">
        <v>83</v>
      </c>
      <c r="B85" s="51" t="s">
        <v>85</v>
      </c>
      <c r="C85" s="81">
        <v>111929585</v>
      </c>
      <c r="D85" s="81">
        <v>705357729.03</v>
      </c>
      <c r="E85" s="81">
        <f>F85-457308933.29</f>
        <v>172461791.7</v>
      </c>
      <c r="F85" s="81">
        <v>629770724.99</v>
      </c>
      <c r="G85" s="54">
        <f t="shared" si="10"/>
        <v>0.8107629223426588</v>
      </c>
      <c r="H85" s="81">
        <f t="shared" si="2"/>
        <v>75587004.03999996</v>
      </c>
      <c r="I85" s="81">
        <f>J85-441394809.83</f>
        <v>188375915.16000003</v>
      </c>
      <c r="J85" s="81">
        <v>629770724.99</v>
      </c>
      <c r="K85" s="54">
        <f t="shared" si="11"/>
        <v>0.8192912961402617</v>
      </c>
      <c r="L85" s="84">
        <f t="shared" si="3"/>
        <v>75587004.03999996</v>
      </c>
      <c r="M85" s="84">
        <f t="shared" si="13"/>
        <v>0</v>
      </c>
      <c r="N85" s="6"/>
    </row>
    <row r="86" spans="1:14" s="5" customFormat="1" ht="15">
      <c r="A86" s="50" t="s">
        <v>67</v>
      </c>
      <c r="B86" s="51" t="s">
        <v>75</v>
      </c>
      <c r="C86" s="81">
        <v>538146</v>
      </c>
      <c r="D86" s="81">
        <v>538146</v>
      </c>
      <c r="E86" s="81">
        <f>F86-0</f>
        <v>0</v>
      </c>
      <c r="F86" s="81">
        <v>0</v>
      </c>
      <c r="G86" s="54">
        <f aca="true" t="shared" si="15" ref="G86:G117">(F86/$F$286)*100</f>
        <v>0</v>
      </c>
      <c r="H86" s="81">
        <f t="shared" si="2"/>
        <v>538146</v>
      </c>
      <c r="I86" s="97">
        <f>J86-0</f>
        <v>0</v>
      </c>
      <c r="J86" s="97">
        <v>0</v>
      </c>
      <c r="K86" s="54">
        <f t="shared" si="11"/>
        <v>0</v>
      </c>
      <c r="L86" s="84">
        <f t="shared" si="3"/>
        <v>538146</v>
      </c>
      <c r="M86" s="84">
        <f t="shared" si="13"/>
        <v>0</v>
      </c>
      <c r="N86" s="6"/>
    </row>
    <row r="87" spans="1:14" s="5" customFormat="1" ht="15">
      <c r="A87" s="50" t="s">
        <v>93</v>
      </c>
      <c r="B87" s="51" t="s">
        <v>99</v>
      </c>
      <c r="C87" s="81">
        <v>0</v>
      </c>
      <c r="D87" s="81">
        <v>0</v>
      </c>
      <c r="E87" s="81">
        <f t="shared" si="12"/>
        <v>0</v>
      </c>
      <c r="F87" s="81">
        <v>0</v>
      </c>
      <c r="G87" s="54">
        <f t="shared" si="15"/>
        <v>0</v>
      </c>
      <c r="H87" s="81">
        <f t="shared" si="2"/>
        <v>0</v>
      </c>
      <c r="I87" s="81">
        <f t="shared" si="14"/>
        <v>0</v>
      </c>
      <c r="J87" s="81">
        <v>0</v>
      </c>
      <c r="K87" s="54">
        <f t="shared" si="11"/>
        <v>0</v>
      </c>
      <c r="L87" s="84">
        <f t="shared" si="3"/>
        <v>0</v>
      </c>
      <c r="M87" s="84">
        <f t="shared" si="13"/>
        <v>0</v>
      </c>
      <c r="N87" s="6"/>
    </row>
    <row r="88" spans="1:14" s="5" customFormat="1" ht="15">
      <c r="A88" s="50" t="s">
        <v>68</v>
      </c>
      <c r="B88" s="51" t="s">
        <v>76</v>
      </c>
      <c r="C88" s="81">
        <v>3949485</v>
      </c>
      <c r="D88" s="81">
        <v>88011085</v>
      </c>
      <c r="E88" s="81">
        <f>F88-51875987.78</f>
        <v>4226324</v>
      </c>
      <c r="F88" s="81">
        <v>56102311.78</v>
      </c>
      <c r="G88" s="54">
        <f t="shared" si="15"/>
        <v>0.07222576795651152</v>
      </c>
      <c r="H88" s="81">
        <f>D88-F88</f>
        <v>31908773.22</v>
      </c>
      <c r="I88" s="81">
        <f>J88-50109539.78</f>
        <v>5992772</v>
      </c>
      <c r="J88" s="81">
        <v>56102311.78</v>
      </c>
      <c r="K88" s="54">
        <f t="shared" si="11"/>
        <v>0.07298550712313777</v>
      </c>
      <c r="L88" s="84">
        <f t="shared" si="3"/>
        <v>31908773.22</v>
      </c>
      <c r="M88" s="84">
        <f t="shared" si="13"/>
        <v>0</v>
      </c>
      <c r="N88" s="6"/>
    </row>
    <row r="89" spans="1:14" s="5" customFormat="1" ht="15">
      <c r="A89" s="50" t="s">
        <v>53</v>
      </c>
      <c r="B89" s="51" t="s">
        <v>60</v>
      </c>
      <c r="C89" s="81">
        <v>753146</v>
      </c>
      <c r="D89" s="81">
        <v>415000</v>
      </c>
      <c r="E89" s="81">
        <f t="shared" si="12"/>
        <v>0</v>
      </c>
      <c r="F89" s="81">
        <v>0</v>
      </c>
      <c r="G89" s="54">
        <f t="shared" si="15"/>
        <v>0</v>
      </c>
      <c r="H89" s="81">
        <f t="shared" si="2"/>
        <v>415000</v>
      </c>
      <c r="I89" s="81">
        <f t="shared" si="14"/>
        <v>0</v>
      </c>
      <c r="J89" s="81">
        <v>0</v>
      </c>
      <c r="K89" s="54">
        <f t="shared" si="11"/>
        <v>0</v>
      </c>
      <c r="L89" s="84">
        <f t="shared" si="3"/>
        <v>415000</v>
      </c>
      <c r="M89" s="84">
        <f t="shared" si="13"/>
        <v>0</v>
      </c>
      <c r="N89" s="6"/>
    </row>
    <row r="90" spans="1:14" s="5" customFormat="1" ht="15">
      <c r="A90" s="50" t="s">
        <v>96</v>
      </c>
      <c r="B90" s="51" t="s">
        <v>102</v>
      </c>
      <c r="C90" s="81">
        <v>50000</v>
      </c>
      <c r="D90" s="81">
        <v>50000</v>
      </c>
      <c r="E90" s="81">
        <f t="shared" si="12"/>
        <v>0</v>
      </c>
      <c r="F90" s="81">
        <v>0</v>
      </c>
      <c r="G90" s="54">
        <f t="shared" si="15"/>
        <v>0</v>
      </c>
      <c r="H90" s="81">
        <f t="shared" si="2"/>
        <v>50000</v>
      </c>
      <c r="I90" s="81">
        <f t="shared" si="14"/>
        <v>0</v>
      </c>
      <c r="J90" s="81">
        <v>0</v>
      </c>
      <c r="K90" s="54">
        <f t="shared" si="11"/>
        <v>0</v>
      </c>
      <c r="L90" s="84">
        <f t="shared" si="3"/>
        <v>50000</v>
      </c>
      <c r="M90" s="84">
        <f t="shared" si="13"/>
        <v>0</v>
      </c>
      <c r="N90" s="6"/>
    </row>
    <row r="91" spans="1:14" s="5" customFormat="1" ht="15">
      <c r="A91" s="45" t="s">
        <v>87</v>
      </c>
      <c r="B91" s="48" t="s">
        <v>86</v>
      </c>
      <c r="C91" s="80">
        <f>SUM(C92:C96)</f>
        <v>25193648990</v>
      </c>
      <c r="D91" s="80">
        <f>SUM(D92:D96)</f>
        <v>28745866773.769997</v>
      </c>
      <c r="E91" s="80">
        <f>SUM(E92:E96)</f>
        <v>4038068220.8999996</v>
      </c>
      <c r="F91" s="80">
        <f>SUM(F92:F96)</f>
        <v>24151649139.260002</v>
      </c>
      <c r="G91" s="49">
        <f t="shared" si="15"/>
        <v>31.092683191731286</v>
      </c>
      <c r="H91" s="80">
        <f t="shared" si="2"/>
        <v>4594217634.5099945</v>
      </c>
      <c r="I91" s="80">
        <f>SUM(I92:I96)</f>
        <v>4193568127.5300007</v>
      </c>
      <c r="J91" s="80">
        <f>SUM(J92:J96)</f>
        <v>24051826222</v>
      </c>
      <c r="K91" s="49">
        <f t="shared" si="11"/>
        <v>31.289882330233137</v>
      </c>
      <c r="L91" s="83">
        <f t="shared" si="3"/>
        <v>4694040551.769997</v>
      </c>
      <c r="M91" s="83">
        <f>SUM(M92:M96)</f>
        <v>99822917.26000023</v>
      </c>
      <c r="N91" s="6"/>
    </row>
    <row r="92" spans="1:14" s="5" customFormat="1" ht="15">
      <c r="A92" s="50" t="s">
        <v>28</v>
      </c>
      <c r="B92" s="51" t="s">
        <v>33</v>
      </c>
      <c r="C92" s="81">
        <v>11131796818</v>
      </c>
      <c r="D92" s="81">
        <v>13471669588.8</v>
      </c>
      <c r="E92" s="81">
        <f>F92-9043441540.52</f>
        <v>1578748972.7199993</v>
      </c>
      <c r="F92" s="81">
        <v>10622190513.24</v>
      </c>
      <c r="G92" s="54">
        <f t="shared" si="15"/>
        <v>13.674942134427855</v>
      </c>
      <c r="H92" s="81">
        <f t="shared" si="2"/>
        <v>2849479075.5599995</v>
      </c>
      <c r="I92" s="81">
        <f>J92-8946773350.59</f>
        <v>1575594245.3899994</v>
      </c>
      <c r="J92" s="81">
        <v>10522367595.98</v>
      </c>
      <c r="K92" s="54">
        <f t="shared" si="11"/>
        <v>13.688924943774788</v>
      </c>
      <c r="L92" s="84">
        <f>D92-J92</f>
        <v>2949301992.8199997</v>
      </c>
      <c r="M92" s="84">
        <f t="shared" si="13"/>
        <v>99822917.26000023</v>
      </c>
      <c r="N92" s="6"/>
    </row>
    <row r="93" spans="1:14" s="5" customFormat="1" ht="15">
      <c r="A93" s="50" t="s">
        <v>39</v>
      </c>
      <c r="B93" s="51" t="s">
        <v>41</v>
      </c>
      <c r="C93" s="81">
        <v>760000</v>
      </c>
      <c r="D93" s="81">
        <v>760000</v>
      </c>
      <c r="E93" s="81">
        <f>F93-0</f>
        <v>0</v>
      </c>
      <c r="F93" s="81">
        <v>0</v>
      </c>
      <c r="G93" s="54">
        <f t="shared" si="15"/>
        <v>0</v>
      </c>
      <c r="H93" s="81">
        <f t="shared" si="2"/>
        <v>760000</v>
      </c>
      <c r="I93" s="81">
        <f>J93-0</f>
        <v>0</v>
      </c>
      <c r="J93" s="81">
        <v>0</v>
      </c>
      <c r="K93" s="54">
        <f t="shared" si="11"/>
        <v>0</v>
      </c>
      <c r="L93" s="84">
        <f>D93-J93</f>
        <v>760000</v>
      </c>
      <c r="M93" s="84">
        <f t="shared" si="13"/>
        <v>0</v>
      </c>
      <c r="N93" s="6"/>
    </row>
    <row r="94" spans="1:14" s="5" customFormat="1" ht="15">
      <c r="A94" s="50" t="s">
        <v>232</v>
      </c>
      <c r="B94" s="51" t="s">
        <v>231</v>
      </c>
      <c r="C94" s="81">
        <v>4000000</v>
      </c>
      <c r="D94" s="81">
        <v>4000000</v>
      </c>
      <c r="E94" s="81">
        <f>F94-0</f>
        <v>0</v>
      </c>
      <c r="F94" s="81">
        <v>0</v>
      </c>
      <c r="G94" s="54">
        <f t="shared" si="15"/>
        <v>0</v>
      </c>
      <c r="H94" s="81">
        <f t="shared" si="2"/>
        <v>4000000</v>
      </c>
      <c r="I94" s="81">
        <f>J94-0</f>
        <v>0</v>
      </c>
      <c r="J94" s="81">
        <v>0</v>
      </c>
      <c r="K94" s="54">
        <f t="shared" si="11"/>
        <v>0</v>
      </c>
      <c r="L94" s="84">
        <f>D94-J94</f>
        <v>4000000</v>
      </c>
      <c r="M94" s="84">
        <f t="shared" si="13"/>
        <v>0</v>
      </c>
      <c r="N94" s="6"/>
    </row>
    <row r="95" spans="1:14" s="5" customFormat="1" ht="15">
      <c r="A95" s="50" t="s">
        <v>49</v>
      </c>
      <c r="B95" s="51" t="s">
        <v>56</v>
      </c>
      <c r="C95" s="81">
        <v>0</v>
      </c>
      <c r="D95" s="81">
        <v>0</v>
      </c>
      <c r="E95" s="81">
        <f>F95-0</f>
        <v>0</v>
      </c>
      <c r="F95" s="81">
        <v>0</v>
      </c>
      <c r="G95" s="54">
        <f t="shared" si="15"/>
        <v>0</v>
      </c>
      <c r="H95" s="81">
        <f t="shared" si="2"/>
        <v>0</v>
      </c>
      <c r="I95" s="81">
        <f>J95-0</f>
        <v>0</v>
      </c>
      <c r="J95" s="81">
        <v>0</v>
      </c>
      <c r="K95" s="54">
        <f t="shared" si="11"/>
        <v>0</v>
      </c>
      <c r="L95" s="84">
        <f t="shared" si="3"/>
        <v>0</v>
      </c>
      <c r="M95" s="84">
        <f t="shared" si="13"/>
        <v>0</v>
      </c>
      <c r="N95" s="6"/>
    </row>
    <row r="96" spans="1:14" s="5" customFormat="1" ht="15">
      <c r="A96" s="50" t="s">
        <v>88</v>
      </c>
      <c r="B96" s="51" t="s">
        <v>89</v>
      </c>
      <c r="C96" s="81">
        <v>14057092172</v>
      </c>
      <c r="D96" s="81">
        <v>15269437184.97</v>
      </c>
      <c r="E96" s="81">
        <f>F96-11070139377.84</f>
        <v>2459319248.1800003</v>
      </c>
      <c r="F96" s="81">
        <v>13529458626.02</v>
      </c>
      <c r="G96" s="54">
        <f t="shared" si="15"/>
        <v>17.41774105730343</v>
      </c>
      <c r="H96" s="81">
        <f t="shared" si="2"/>
        <v>1739978558.9499989</v>
      </c>
      <c r="I96" s="81">
        <f>J96-10911484743.88</f>
        <v>2617973882.1400013</v>
      </c>
      <c r="J96" s="81">
        <v>13529458626.02</v>
      </c>
      <c r="K96" s="54">
        <f t="shared" si="11"/>
        <v>17.600957386458347</v>
      </c>
      <c r="L96" s="84">
        <f t="shared" si="3"/>
        <v>1739978558.9499989</v>
      </c>
      <c r="M96" s="84">
        <f t="shared" si="13"/>
        <v>0</v>
      </c>
      <c r="N96" s="6"/>
    </row>
    <row r="97" spans="1:14" s="5" customFormat="1" ht="15">
      <c r="A97" s="45" t="s">
        <v>90</v>
      </c>
      <c r="B97" s="48" t="s">
        <v>91</v>
      </c>
      <c r="C97" s="80">
        <f>SUM(C98:C108)</f>
        <v>6405887795</v>
      </c>
      <c r="D97" s="80">
        <f>SUM(D98:D108)</f>
        <v>9179798346.93</v>
      </c>
      <c r="E97" s="80">
        <f>SUM(E98:E108)</f>
        <v>2657888112.9900002</v>
      </c>
      <c r="F97" s="80">
        <f>SUM(F98:F108)</f>
        <v>8271461532.929999</v>
      </c>
      <c r="G97" s="49">
        <f t="shared" si="15"/>
        <v>10.648628236235815</v>
      </c>
      <c r="H97" s="80">
        <f t="shared" si="2"/>
        <v>908336814.000001</v>
      </c>
      <c r="I97" s="80">
        <f>SUM(I98:I108)</f>
        <v>3276205374.7999997</v>
      </c>
      <c r="J97" s="80">
        <f>SUM(J98:J108)</f>
        <v>8234573031.2</v>
      </c>
      <c r="K97" s="49">
        <f t="shared" si="11"/>
        <v>10.712651039790105</v>
      </c>
      <c r="L97" s="83">
        <f t="shared" si="3"/>
        <v>945225315.7300005</v>
      </c>
      <c r="M97" s="83">
        <f>SUM(M98:M108)</f>
        <v>36888501.73000002</v>
      </c>
      <c r="N97" s="6"/>
    </row>
    <row r="98" spans="1:14" s="5" customFormat="1" ht="15">
      <c r="A98" s="50" t="s">
        <v>28</v>
      </c>
      <c r="B98" s="51" t="s">
        <v>33</v>
      </c>
      <c r="C98" s="81">
        <v>1006922747</v>
      </c>
      <c r="D98" s="81">
        <v>940099482.2</v>
      </c>
      <c r="E98" s="81">
        <f>F98-715338677.54</f>
        <v>184615628.87</v>
      </c>
      <c r="F98" s="81">
        <v>899954306.41</v>
      </c>
      <c r="G98" s="54">
        <f t="shared" si="15"/>
        <v>1.158595588023591</v>
      </c>
      <c r="H98" s="81">
        <f t="shared" si="2"/>
        <v>40145175.79000008</v>
      </c>
      <c r="I98" s="81">
        <f>J98-664017804.87</f>
        <v>235561563.48000002</v>
      </c>
      <c r="J98" s="81">
        <v>899579368.35</v>
      </c>
      <c r="K98" s="54">
        <f t="shared" si="11"/>
        <v>1.1702950255241102</v>
      </c>
      <c r="L98" s="84">
        <f t="shared" si="3"/>
        <v>40520113.850000024</v>
      </c>
      <c r="M98" s="84">
        <f t="shared" si="13"/>
        <v>374938.0599999428</v>
      </c>
      <c r="N98" s="6"/>
    </row>
    <row r="99" spans="1:14" s="5" customFormat="1" ht="15">
      <c r="A99" s="50" t="s">
        <v>29</v>
      </c>
      <c r="B99" s="51" t="s">
        <v>34</v>
      </c>
      <c r="C99" s="81">
        <v>19943579</v>
      </c>
      <c r="D99" s="81">
        <v>14257822.06</v>
      </c>
      <c r="E99" s="81">
        <f>F99-10455661.42</f>
        <v>1063957.08</v>
      </c>
      <c r="F99" s="81">
        <v>11519618.5</v>
      </c>
      <c r="G99" s="54">
        <f t="shared" si="15"/>
        <v>0.014830285354214994</v>
      </c>
      <c r="H99" s="81">
        <f t="shared" si="2"/>
        <v>2738203.5600000005</v>
      </c>
      <c r="I99" s="81">
        <f>J99-9220557.26</f>
        <v>2223401.24</v>
      </c>
      <c r="J99" s="81">
        <v>11443958.5</v>
      </c>
      <c r="K99" s="54">
        <f t="shared" si="11"/>
        <v>0.014887855564561603</v>
      </c>
      <c r="L99" s="84">
        <f t="shared" si="3"/>
        <v>2813863.5600000005</v>
      </c>
      <c r="M99" s="84">
        <f t="shared" si="13"/>
        <v>75660</v>
      </c>
      <c r="N99" s="6"/>
    </row>
    <row r="100" spans="1:14" s="5" customFormat="1" ht="15">
      <c r="A100" s="50" t="s">
        <v>65</v>
      </c>
      <c r="B100" s="51" t="s">
        <v>73</v>
      </c>
      <c r="C100" s="81">
        <v>132911151</v>
      </c>
      <c r="D100" s="81">
        <v>111779740.51</v>
      </c>
      <c r="E100" s="81">
        <f>F100-90353589.01</f>
        <v>20994654.599999994</v>
      </c>
      <c r="F100" s="81">
        <v>111348243.61</v>
      </c>
      <c r="G100" s="54">
        <f t="shared" si="15"/>
        <v>0.1433490376809741</v>
      </c>
      <c r="H100" s="81">
        <f t="shared" si="2"/>
        <v>431496.90000000596</v>
      </c>
      <c r="I100" s="81">
        <f>J100-90353589.01</f>
        <v>20994654.599999994</v>
      </c>
      <c r="J100" s="81">
        <v>111348243.61</v>
      </c>
      <c r="K100" s="54">
        <f t="shared" si="11"/>
        <v>0.14485691889159674</v>
      </c>
      <c r="L100" s="84">
        <f t="shared" si="3"/>
        <v>431496.90000000596</v>
      </c>
      <c r="M100" s="84">
        <f t="shared" si="13"/>
        <v>0</v>
      </c>
      <c r="N100" s="6"/>
    </row>
    <row r="101" spans="1:14" s="5" customFormat="1" ht="15">
      <c r="A101" s="50" t="s">
        <v>83</v>
      </c>
      <c r="B101" s="51" t="s">
        <v>85</v>
      </c>
      <c r="C101" s="81">
        <v>0</v>
      </c>
      <c r="D101" s="81">
        <v>0</v>
      </c>
      <c r="E101" s="81">
        <f>F101-0</f>
        <v>0</v>
      </c>
      <c r="F101" s="81">
        <v>0</v>
      </c>
      <c r="G101" s="54">
        <f t="shared" si="15"/>
        <v>0</v>
      </c>
      <c r="H101" s="81">
        <f t="shared" si="2"/>
        <v>0</v>
      </c>
      <c r="I101" s="81">
        <f>J101-0</f>
        <v>0</v>
      </c>
      <c r="J101" s="81">
        <v>0</v>
      </c>
      <c r="K101" s="54">
        <f t="shared" si="11"/>
        <v>0</v>
      </c>
      <c r="L101" s="84">
        <f t="shared" si="3"/>
        <v>0</v>
      </c>
      <c r="M101" s="84">
        <f t="shared" si="13"/>
        <v>0</v>
      </c>
      <c r="N101" s="6"/>
    </row>
    <row r="102" spans="1:14" s="5" customFormat="1" ht="15">
      <c r="A102" s="50" t="s">
        <v>92</v>
      </c>
      <c r="B102" s="51" t="s">
        <v>98</v>
      </c>
      <c r="C102" s="81">
        <v>219279646</v>
      </c>
      <c r="D102" s="81">
        <v>597923418.59</v>
      </c>
      <c r="E102" s="81">
        <f>F102-399428082.12</f>
        <v>197630999.73000002</v>
      </c>
      <c r="F102" s="81">
        <v>597059081.85</v>
      </c>
      <c r="G102" s="54">
        <f t="shared" si="15"/>
        <v>0.7686501560065645</v>
      </c>
      <c r="H102" s="81">
        <f t="shared" si="2"/>
        <v>864336.7400000095</v>
      </c>
      <c r="I102" s="81">
        <f>J102-399428082.12</f>
        <v>197630999.73000002</v>
      </c>
      <c r="J102" s="81">
        <v>597059081.85</v>
      </c>
      <c r="K102" s="54">
        <f t="shared" si="11"/>
        <v>0.776735547764575</v>
      </c>
      <c r="L102" s="84">
        <f t="shared" si="3"/>
        <v>864336.7400000095</v>
      </c>
      <c r="M102" s="84">
        <f t="shared" si="13"/>
        <v>0</v>
      </c>
      <c r="N102" s="6"/>
    </row>
    <row r="103" spans="1:14" s="5" customFormat="1" ht="15">
      <c r="A103" s="50" t="s">
        <v>67</v>
      </c>
      <c r="B103" s="51" t="s">
        <v>75</v>
      </c>
      <c r="C103" s="81">
        <v>4566998330</v>
      </c>
      <c r="D103" s="81">
        <v>6979937879.95</v>
      </c>
      <c r="E103" s="81">
        <f>F103-4257699598.75</f>
        <v>2205331521.04</v>
      </c>
      <c r="F103" s="81">
        <v>6463031119.79</v>
      </c>
      <c r="G103" s="54">
        <f t="shared" si="15"/>
        <v>8.320466147351786</v>
      </c>
      <c r="H103" s="81">
        <f t="shared" si="2"/>
        <v>516906760.15999985</v>
      </c>
      <c r="I103" s="81">
        <f>J103-3675871301.96</f>
        <v>2752515977.66</v>
      </c>
      <c r="J103" s="81">
        <v>6428387279.62</v>
      </c>
      <c r="K103" s="54">
        <f t="shared" si="11"/>
        <v>8.362919293358818</v>
      </c>
      <c r="L103" s="84">
        <f t="shared" si="3"/>
        <v>551550600.3299999</v>
      </c>
      <c r="M103" s="84">
        <f t="shared" si="13"/>
        <v>34643840.17000008</v>
      </c>
      <c r="N103" s="6"/>
    </row>
    <row r="104" spans="1:14" s="5" customFormat="1" ht="15">
      <c r="A104" s="50" t="s">
        <v>93</v>
      </c>
      <c r="B104" s="51" t="s">
        <v>99</v>
      </c>
      <c r="C104" s="81">
        <v>400758042</v>
      </c>
      <c r="D104" s="81">
        <v>392359515.84</v>
      </c>
      <c r="E104" s="81">
        <f>F104-94302186.94</f>
        <v>20907943.049999997</v>
      </c>
      <c r="F104" s="81">
        <v>115210129.99</v>
      </c>
      <c r="G104" s="54">
        <f t="shared" si="15"/>
        <v>0.1483208062357189</v>
      </c>
      <c r="H104" s="81">
        <f t="shared" si="2"/>
        <v>277149385.84999996</v>
      </c>
      <c r="I104" s="81">
        <f>J104-85547075.41</f>
        <v>28782454</v>
      </c>
      <c r="J104" s="81">
        <v>114329529.41</v>
      </c>
      <c r="K104" s="54">
        <f t="shared" si="11"/>
        <v>0.1487353803861118</v>
      </c>
      <c r="L104" s="84">
        <f t="shared" si="3"/>
        <v>278029986.42999995</v>
      </c>
      <c r="M104" s="84">
        <f t="shared" si="13"/>
        <v>880600.5799999982</v>
      </c>
      <c r="N104" s="6"/>
    </row>
    <row r="105" spans="1:14" s="5" customFormat="1" ht="15">
      <c r="A105" s="50" t="s">
        <v>94</v>
      </c>
      <c r="B105" s="51" t="s">
        <v>100</v>
      </c>
      <c r="C105" s="81">
        <v>12241567</v>
      </c>
      <c r="D105" s="81">
        <v>10616196</v>
      </c>
      <c r="E105" s="81">
        <f>F105-515248.08</f>
        <v>99550.74999999994</v>
      </c>
      <c r="F105" s="81">
        <v>614798.83</v>
      </c>
      <c r="G105" s="54">
        <f t="shared" si="15"/>
        <v>0.0007914881976636217</v>
      </c>
      <c r="H105" s="81">
        <f t="shared" si="2"/>
        <v>10001397.17</v>
      </c>
      <c r="I105" s="81">
        <f>J105-402285.78</f>
        <v>114906.71999999997</v>
      </c>
      <c r="J105" s="81">
        <v>517192.5</v>
      </c>
      <c r="K105" s="54">
        <f t="shared" si="11"/>
        <v>0.0006728342504103388</v>
      </c>
      <c r="L105" s="84">
        <f t="shared" si="3"/>
        <v>10099003.5</v>
      </c>
      <c r="M105" s="84">
        <f t="shared" si="13"/>
        <v>97606.32999999996</v>
      </c>
      <c r="N105" s="6"/>
    </row>
    <row r="106" spans="1:14" s="5" customFormat="1" ht="15">
      <c r="A106" s="50" t="s">
        <v>95</v>
      </c>
      <c r="B106" s="51" t="s">
        <v>101</v>
      </c>
      <c r="C106" s="81">
        <v>45392587</v>
      </c>
      <c r="D106" s="81">
        <v>132249291.78</v>
      </c>
      <c r="E106" s="81">
        <f>F106-45480376.08</f>
        <v>27022328.870000005</v>
      </c>
      <c r="F106" s="81">
        <v>72502704.95</v>
      </c>
      <c r="G106" s="54">
        <f t="shared" si="15"/>
        <v>0.09333953232574117</v>
      </c>
      <c r="H106" s="81">
        <f t="shared" si="2"/>
        <v>59746586.83</v>
      </c>
      <c r="I106" s="81">
        <f>J106-33526959.99</f>
        <v>38159888.370000005</v>
      </c>
      <c r="J106" s="81">
        <v>71686848.36</v>
      </c>
      <c r="K106" s="54">
        <f t="shared" si="11"/>
        <v>0.09325998903808588</v>
      </c>
      <c r="L106" s="84">
        <f t="shared" si="3"/>
        <v>60562443.42</v>
      </c>
      <c r="M106" s="84">
        <f t="shared" si="13"/>
        <v>815856.5900000036</v>
      </c>
      <c r="N106" s="6"/>
    </row>
    <row r="107" spans="1:14" s="5" customFormat="1" ht="15">
      <c r="A107" s="50" t="s">
        <v>68</v>
      </c>
      <c r="B107" s="51" t="s">
        <v>76</v>
      </c>
      <c r="C107" s="81">
        <v>1125146</v>
      </c>
      <c r="D107" s="81">
        <v>260000</v>
      </c>
      <c r="E107" s="81">
        <f>F107-0</f>
        <v>221529</v>
      </c>
      <c r="F107" s="81">
        <v>221529</v>
      </c>
      <c r="G107" s="54">
        <f t="shared" si="15"/>
        <v>0.0002851950595615552</v>
      </c>
      <c r="H107" s="81">
        <f t="shared" si="2"/>
        <v>38471</v>
      </c>
      <c r="I107" s="81">
        <f>J107-0</f>
        <v>221529</v>
      </c>
      <c r="J107" s="81">
        <v>221529</v>
      </c>
      <c r="K107" s="54">
        <f t="shared" si="11"/>
        <v>0.0002881950118363123</v>
      </c>
      <c r="L107" s="84">
        <f t="shared" si="3"/>
        <v>38471</v>
      </c>
      <c r="M107" s="84">
        <f t="shared" si="13"/>
        <v>0</v>
      </c>
      <c r="N107" s="6"/>
    </row>
    <row r="108" spans="1:14" s="5" customFormat="1" ht="15">
      <c r="A108" s="50" t="s">
        <v>97</v>
      </c>
      <c r="B108" s="51" t="s">
        <v>241</v>
      </c>
      <c r="C108" s="81">
        <v>315000</v>
      </c>
      <c r="D108" s="81">
        <v>315000</v>
      </c>
      <c r="E108" s="81">
        <f>F108-0</f>
        <v>0</v>
      </c>
      <c r="F108" s="81">
        <v>0</v>
      </c>
      <c r="G108" s="54">
        <f t="shared" si="15"/>
        <v>0</v>
      </c>
      <c r="H108" s="81">
        <f t="shared" si="2"/>
        <v>315000</v>
      </c>
      <c r="I108" s="81">
        <f>J108-0</f>
        <v>0</v>
      </c>
      <c r="J108" s="81">
        <v>0</v>
      </c>
      <c r="K108" s="54">
        <f t="shared" si="11"/>
        <v>0</v>
      </c>
      <c r="L108" s="84">
        <f t="shared" si="3"/>
        <v>315000</v>
      </c>
      <c r="M108" s="84">
        <f t="shared" si="13"/>
        <v>0</v>
      </c>
      <c r="N108" s="6"/>
    </row>
    <row r="109" spans="1:17" s="5" customFormat="1" ht="15">
      <c r="A109" s="45" t="s">
        <v>104</v>
      </c>
      <c r="B109" s="48" t="s">
        <v>103</v>
      </c>
      <c r="C109" s="80">
        <f>SUM(C110:C117)</f>
        <v>88292717</v>
      </c>
      <c r="D109" s="80">
        <f>SUM(D110:D117)</f>
        <v>91342188.05</v>
      </c>
      <c r="E109" s="80">
        <f>SUM(E110:E117)</f>
        <v>31793694.779999997</v>
      </c>
      <c r="F109" s="80">
        <f>SUM(F110:F117)</f>
        <v>42186946.69</v>
      </c>
      <c r="G109" s="49">
        <f t="shared" si="15"/>
        <v>0.0543112133128155</v>
      </c>
      <c r="H109" s="80">
        <f t="shared" si="2"/>
        <v>49155241.36</v>
      </c>
      <c r="I109" s="80">
        <f>SUM(I110:I117)</f>
        <v>32427868.53</v>
      </c>
      <c r="J109" s="80">
        <f>SUM(J110:J117)</f>
        <v>42186946.69</v>
      </c>
      <c r="K109" s="49">
        <f t="shared" si="11"/>
        <v>0.05488251019352963</v>
      </c>
      <c r="L109" s="83">
        <f t="shared" si="3"/>
        <v>49155241.36</v>
      </c>
      <c r="M109" s="83">
        <f>SUM(M110:M117)</f>
        <v>0</v>
      </c>
      <c r="N109" s="113"/>
      <c r="O109" s="85"/>
      <c r="P109" s="85"/>
      <c r="Q109" s="85"/>
    </row>
    <row r="110" spans="1:17" s="5" customFormat="1" ht="15">
      <c r="A110" s="50" t="s">
        <v>48</v>
      </c>
      <c r="B110" s="51" t="s">
        <v>55</v>
      </c>
      <c r="C110" s="81">
        <v>5000</v>
      </c>
      <c r="D110" s="81">
        <v>5000</v>
      </c>
      <c r="E110" s="81">
        <f>F110-892</f>
        <v>2700.4</v>
      </c>
      <c r="F110" s="81">
        <v>3592.4</v>
      </c>
      <c r="G110" s="49">
        <f t="shared" si="15"/>
        <v>4.624833461844413E-06</v>
      </c>
      <c r="H110" s="81">
        <f t="shared" si="2"/>
        <v>1407.6</v>
      </c>
      <c r="I110" s="81">
        <f>J110-892</f>
        <v>2700.4</v>
      </c>
      <c r="J110" s="81">
        <v>3592.4</v>
      </c>
      <c r="K110" s="49">
        <f aca="true" t="shared" si="16" ref="K110:K141">(J110/$J$286)*100</f>
        <v>4.673481848971324E-06</v>
      </c>
      <c r="L110" s="84">
        <f t="shared" si="3"/>
        <v>1407.6</v>
      </c>
      <c r="M110" s="84">
        <f t="shared" si="13"/>
        <v>0</v>
      </c>
      <c r="N110" s="113"/>
      <c r="O110" s="85"/>
      <c r="P110" s="85"/>
      <c r="Q110" s="85"/>
    </row>
    <row r="111" spans="1:14" s="5" customFormat="1" ht="15">
      <c r="A111" s="50" t="s">
        <v>28</v>
      </c>
      <c r="B111" s="51" t="s">
        <v>33</v>
      </c>
      <c r="C111" s="81">
        <v>12725717</v>
      </c>
      <c r="D111" s="81">
        <v>14024124.38</v>
      </c>
      <c r="E111" s="81">
        <f>F111-10128049.27</f>
        <v>2161841.09</v>
      </c>
      <c r="F111" s="81">
        <v>12289890.36</v>
      </c>
      <c r="G111" s="54">
        <f t="shared" si="15"/>
        <v>0.015821928565673944</v>
      </c>
      <c r="H111" s="81">
        <f t="shared" si="2"/>
        <v>1734234.0200000014</v>
      </c>
      <c r="I111" s="81">
        <f>J111-9702803.12</f>
        <v>2587087.24</v>
      </c>
      <c r="J111" s="81">
        <v>12289890.36</v>
      </c>
      <c r="K111" s="54">
        <f t="shared" si="16"/>
        <v>0.015988358624682005</v>
      </c>
      <c r="L111" s="84">
        <f t="shared" si="3"/>
        <v>1734234.0200000014</v>
      </c>
      <c r="M111" s="84">
        <f t="shared" si="13"/>
        <v>0</v>
      </c>
      <c r="N111" s="6"/>
    </row>
    <row r="112" spans="1:14" s="5" customFormat="1" ht="15">
      <c r="A112" s="50" t="s">
        <v>50</v>
      </c>
      <c r="B112" s="51" t="s">
        <v>57</v>
      </c>
      <c r="C112" s="81">
        <v>5025000</v>
      </c>
      <c r="D112" s="81">
        <v>121099</v>
      </c>
      <c r="E112" s="81">
        <f aca="true" t="shared" si="17" ref="E112:E117">F112-0</f>
        <v>0</v>
      </c>
      <c r="F112" s="81">
        <v>0</v>
      </c>
      <c r="G112" s="54">
        <f t="shared" si="15"/>
        <v>0</v>
      </c>
      <c r="H112" s="81">
        <f t="shared" si="2"/>
        <v>121099</v>
      </c>
      <c r="I112" s="81">
        <f aca="true" t="shared" si="18" ref="I112:I117">J112-0</f>
        <v>0</v>
      </c>
      <c r="J112" s="81">
        <v>0</v>
      </c>
      <c r="K112" s="54">
        <f t="shared" si="16"/>
        <v>0</v>
      </c>
      <c r="L112" s="84">
        <f t="shared" si="3"/>
        <v>121099</v>
      </c>
      <c r="M112" s="84">
        <f t="shared" si="13"/>
        <v>0</v>
      </c>
      <c r="N112" s="6"/>
    </row>
    <row r="113" spans="1:14" s="5" customFormat="1" ht="15">
      <c r="A113" s="50" t="s">
        <v>131</v>
      </c>
      <c r="B113" s="51" t="s">
        <v>132</v>
      </c>
      <c r="C113" s="81">
        <v>4525000</v>
      </c>
      <c r="D113" s="81">
        <v>3157000</v>
      </c>
      <c r="E113" s="81">
        <f t="shared" si="17"/>
        <v>0</v>
      </c>
      <c r="F113" s="81">
        <v>0</v>
      </c>
      <c r="G113" s="54">
        <f t="shared" si="15"/>
        <v>0</v>
      </c>
      <c r="H113" s="81">
        <f t="shared" si="2"/>
        <v>3157000</v>
      </c>
      <c r="I113" s="81">
        <f t="shared" si="18"/>
        <v>0</v>
      </c>
      <c r="J113" s="81">
        <v>0</v>
      </c>
      <c r="K113" s="54">
        <f t="shared" si="16"/>
        <v>0</v>
      </c>
      <c r="L113" s="84">
        <f t="shared" si="3"/>
        <v>3157000</v>
      </c>
      <c r="M113" s="84">
        <f t="shared" si="13"/>
        <v>0</v>
      </c>
      <c r="N113" s="6"/>
    </row>
    <row r="114" spans="1:14" s="5" customFormat="1" ht="15">
      <c r="A114" s="50" t="s">
        <v>242</v>
      </c>
      <c r="B114" s="51" t="s">
        <v>243</v>
      </c>
      <c r="C114" s="81">
        <v>0</v>
      </c>
      <c r="D114" s="81">
        <v>0</v>
      </c>
      <c r="E114" s="81">
        <f t="shared" si="17"/>
        <v>0</v>
      </c>
      <c r="F114" s="81">
        <v>0</v>
      </c>
      <c r="G114" s="54">
        <f t="shared" si="15"/>
        <v>0</v>
      </c>
      <c r="H114" s="81">
        <f>D114-F114</f>
        <v>0</v>
      </c>
      <c r="I114" s="81">
        <f t="shared" si="18"/>
        <v>0</v>
      </c>
      <c r="J114" s="81">
        <v>0</v>
      </c>
      <c r="K114" s="54">
        <f t="shared" si="16"/>
        <v>0</v>
      </c>
      <c r="L114" s="84">
        <f>D114-J114</f>
        <v>0</v>
      </c>
      <c r="M114" s="84">
        <f t="shared" si="13"/>
        <v>0</v>
      </c>
      <c r="N114" s="6"/>
    </row>
    <row r="115" spans="1:14" s="5" customFormat="1" ht="15">
      <c r="A115" s="50" t="s">
        <v>105</v>
      </c>
      <c r="B115" s="51" t="s">
        <v>107</v>
      </c>
      <c r="C115" s="81">
        <v>55225000</v>
      </c>
      <c r="D115" s="81">
        <v>70853862.9</v>
      </c>
      <c r="E115" s="81">
        <f>F115-264310.64</f>
        <v>29629153.29</v>
      </c>
      <c r="F115" s="81">
        <v>29893463.93</v>
      </c>
      <c r="G115" s="54">
        <f t="shared" si="15"/>
        <v>0.038484659913679706</v>
      </c>
      <c r="H115" s="81">
        <f t="shared" si="2"/>
        <v>40960398.970000006</v>
      </c>
      <c r="I115" s="81">
        <f>J115-55383.04</f>
        <v>29838080.89</v>
      </c>
      <c r="J115" s="81">
        <v>29893463.93</v>
      </c>
      <c r="K115" s="54">
        <f t="shared" si="16"/>
        <v>0.038889478086998656</v>
      </c>
      <c r="L115" s="84">
        <f t="shared" si="3"/>
        <v>40960398.970000006</v>
      </c>
      <c r="M115" s="84">
        <f t="shared" si="13"/>
        <v>0</v>
      </c>
      <c r="N115" s="6"/>
    </row>
    <row r="116" spans="1:14" s="5" customFormat="1" ht="15">
      <c r="A116" s="50" t="s">
        <v>106</v>
      </c>
      <c r="B116" s="51" t="s">
        <v>108</v>
      </c>
      <c r="C116" s="81">
        <v>10787000</v>
      </c>
      <c r="D116" s="81">
        <v>3181101.77</v>
      </c>
      <c r="E116" s="81">
        <f t="shared" si="17"/>
        <v>0</v>
      </c>
      <c r="F116" s="81">
        <v>0</v>
      </c>
      <c r="G116" s="54">
        <f t="shared" si="15"/>
        <v>0</v>
      </c>
      <c r="H116" s="81">
        <f t="shared" si="2"/>
        <v>3181101.77</v>
      </c>
      <c r="I116" s="81">
        <f t="shared" si="18"/>
        <v>0</v>
      </c>
      <c r="J116" s="81">
        <v>0</v>
      </c>
      <c r="K116" s="54">
        <f t="shared" si="16"/>
        <v>0</v>
      </c>
      <c r="L116" s="84">
        <f t="shared" si="3"/>
        <v>3181101.77</v>
      </c>
      <c r="M116" s="84">
        <f t="shared" si="13"/>
        <v>0</v>
      </c>
      <c r="N116" s="6"/>
    </row>
    <row r="117" spans="1:14" s="5" customFormat="1" ht="15">
      <c r="A117" s="50" t="s">
        <v>53</v>
      </c>
      <c r="B117" s="51" t="s">
        <v>60</v>
      </c>
      <c r="C117" s="81">
        <v>0</v>
      </c>
      <c r="D117" s="81">
        <v>0</v>
      </c>
      <c r="E117" s="81">
        <f t="shared" si="17"/>
        <v>0</v>
      </c>
      <c r="F117" s="81">
        <v>0</v>
      </c>
      <c r="G117" s="54">
        <f t="shared" si="15"/>
        <v>0</v>
      </c>
      <c r="H117" s="81">
        <f t="shared" si="2"/>
        <v>0</v>
      </c>
      <c r="I117" s="81">
        <f t="shared" si="18"/>
        <v>0</v>
      </c>
      <c r="J117" s="81">
        <v>0</v>
      </c>
      <c r="K117" s="54">
        <f t="shared" si="16"/>
        <v>0</v>
      </c>
      <c r="L117" s="84">
        <f t="shared" si="3"/>
        <v>0</v>
      </c>
      <c r="M117" s="84">
        <f t="shared" si="13"/>
        <v>0</v>
      </c>
      <c r="N117" s="6"/>
    </row>
    <row r="118" spans="1:14" s="5" customFormat="1" ht="15">
      <c r="A118" s="45" t="s">
        <v>109</v>
      </c>
      <c r="B118" s="48" t="s">
        <v>110</v>
      </c>
      <c r="C118" s="80">
        <f>SUM(C119:C136)</f>
        <v>7592137807</v>
      </c>
      <c r="D118" s="80">
        <f>SUM(D119:D136)</f>
        <v>8750187766.27</v>
      </c>
      <c r="E118" s="80">
        <f>SUM(E119:E136)</f>
        <v>848591689.8399999</v>
      </c>
      <c r="F118" s="80">
        <f>SUM(F119:F136)</f>
        <v>6837231517.219999</v>
      </c>
      <c r="G118" s="49">
        <f aca="true" t="shared" si="19" ref="G118:G141">(F118/$F$286)*100</f>
        <v>8.802209416327885</v>
      </c>
      <c r="H118" s="80">
        <f t="shared" si="2"/>
        <v>1912956249.0500011</v>
      </c>
      <c r="I118" s="80">
        <f>SUM(I119:I136)</f>
        <v>2122749223.0100002</v>
      </c>
      <c r="J118" s="80">
        <f>SUM(J119:J136)</f>
        <v>6783781082.709999</v>
      </c>
      <c r="K118" s="49">
        <f t="shared" si="16"/>
        <v>8.825263822915103</v>
      </c>
      <c r="L118" s="83">
        <f t="shared" si="3"/>
        <v>1966406683.5600014</v>
      </c>
      <c r="M118" s="83">
        <f>SUM(M119:M136)</f>
        <v>53450434.50999969</v>
      </c>
      <c r="N118" s="6"/>
    </row>
    <row r="119" spans="1:14" s="5" customFormat="1" ht="15">
      <c r="A119" s="50" t="s">
        <v>28</v>
      </c>
      <c r="B119" s="51" t="s">
        <v>33</v>
      </c>
      <c r="C119" s="81">
        <v>2372777065</v>
      </c>
      <c r="D119" s="81">
        <v>2639149815.7</v>
      </c>
      <c r="E119" s="81">
        <f>F119-1930553836.05</f>
        <v>212380587.84000015</v>
      </c>
      <c r="F119" s="81">
        <v>2142934423.89</v>
      </c>
      <c r="G119" s="54">
        <f t="shared" si="19"/>
        <v>2.7588004760451934</v>
      </c>
      <c r="H119" s="81">
        <f t="shared" si="2"/>
        <v>496215391.8099997</v>
      </c>
      <c r="I119" s="81">
        <f>J119-1514622511.91</f>
        <v>628111316.56</v>
      </c>
      <c r="J119" s="81">
        <v>2142733828.47</v>
      </c>
      <c r="K119" s="54">
        <f t="shared" si="16"/>
        <v>2.7875591956718013</v>
      </c>
      <c r="L119" s="84">
        <f t="shared" si="3"/>
        <v>496415987.2299998</v>
      </c>
      <c r="M119" s="84">
        <f t="shared" si="13"/>
        <v>200595.4200000763</v>
      </c>
      <c r="N119" s="6"/>
    </row>
    <row r="120" spans="1:14" s="5" customFormat="1" ht="15">
      <c r="A120" s="50" t="s">
        <v>50</v>
      </c>
      <c r="B120" s="51" t="s">
        <v>57</v>
      </c>
      <c r="C120" s="81">
        <v>4041463</v>
      </c>
      <c r="D120" s="81">
        <v>5041463</v>
      </c>
      <c r="E120" s="81">
        <f>F120-0</f>
        <v>0</v>
      </c>
      <c r="F120" s="81">
        <v>0</v>
      </c>
      <c r="G120" s="54">
        <f t="shared" si="19"/>
        <v>0</v>
      </c>
      <c r="H120" s="81">
        <f t="shared" si="2"/>
        <v>5041463</v>
      </c>
      <c r="I120" s="81">
        <f>J120-0</f>
        <v>0</v>
      </c>
      <c r="J120" s="81">
        <v>0</v>
      </c>
      <c r="K120" s="54">
        <f t="shared" si="16"/>
        <v>0</v>
      </c>
      <c r="L120" s="84">
        <f t="shared" si="3"/>
        <v>5041463</v>
      </c>
      <c r="M120" s="84">
        <f t="shared" si="13"/>
        <v>0</v>
      </c>
      <c r="N120" s="6"/>
    </row>
    <row r="121" spans="1:14" s="5" customFormat="1" ht="15">
      <c r="A121" s="50" t="s">
        <v>29</v>
      </c>
      <c r="B121" s="51" t="s">
        <v>34</v>
      </c>
      <c r="C121" s="81">
        <v>67089128</v>
      </c>
      <c r="D121" s="81">
        <v>41981753.22</v>
      </c>
      <c r="E121" s="81">
        <f>F121-6836749</f>
        <v>4892747.960000001</v>
      </c>
      <c r="F121" s="81">
        <v>11729496.96</v>
      </c>
      <c r="G121" s="54">
        <f t="shared" si="19"/>
        <v>0.01510048158089587</v>
      </c>
      <c r="H121" s="81">
        <f t="shared" si="2"/>
        <v>30252256.259999998</v>
      </c>
      <c r="I121" s="81">
        <f>J121-4536912</f>
        <v>7192584.960000001</v>
      </c>
      <c r="J121" s="81">
        <v>11729496.96</v>
      </c>
      <c r="K121" s="54">
        <f t="shared" si="16"/>
        <v>0.015259322775894757</v>
      </c>
      <c r="L121" s="84">
        <f t="shared" si="3"/>
        <v>30252256.259999998</v>
      </c>
      <c r="M121" s="84">
        <f t="shared" si="13"/>
        <v>0</v>
      </c>
      <c r="N121" s="6"/>
    </row>
    <row r="122" spans="1:14" s="5" customFormat="1" ht="15">
      <c r="A122" s="50" t="s">
        <v>131</v>
      </c>
      <c r="B122" s="51" t="s">
        <v>132</v>
      </c>
      <c r="C122" s="81">
        <v>50000</v>
      </c>
      <c r="D122" s="81">
        <v>50000</v>
      </c>
      <c r="E122" s="81">
        <f>F122-0</f>
        <v>0</v>
      </c>
      <c r="F122" s="81">
        <v>0</v>
      </c>
      <c r="G122" s="54">
        <f t="shared" si="19"/>
        <v>0</v>
      </c>
      <c r="H122" s="81">
        <f t="shared" si="2"/>
        <v>50000</v>
      </c>
      <c r="I122" s="81">
        <f>J122-0</f>
        <v>0</v>
      </c>
      <c r="J122" s="81">
        <v>0</v>
      </c>
      <c r="K122" s="54">
        <f t="shared" si="16"/>
        <v>0</v>
      </c>
      <c r="L122" s="84">
        <f t="shared" si="3"/>
        <v>50000</v>
      </c>
      <c r="M122" s="84">
        <f t="shared" si="13"/>
        <v>0</v>
      </c>
      <c r="N122" s="6"/>
    </row>
    <row r="123" spans="1:14" s="5" customFormat="1" ht="15">
      <c r="A123" s="50" t="s">
        <v>82</v>
      </c>
      <c r="B123" s="51" t="s">
        <v>84</v>
      </c>
      <c r="C123" s="81">
        <v>71660613</v>
      </c>
      <c r="D123" s="81">
        <v>62725093</v>
      </c>
      <c r="E123" s="81">
        <f>F123-50459834.79</f>
        <v>6724565.200000003</v>
      </c>
      <c r="F123" s="81">
        <v>57184399.99</v>
      </c>
      <c r="G123" s="54">
        <f t="shared" si="19"/>
        <v>0.07361884160150521</v>
      </c>
      <c r="H123" s="81">
        <f t="shared" si="2"/>
        <v>5540693.009999998</v>
      </c>
      <c r="I123" s="81">
        <f>J123-39953708.96</f>
        <v>17230691.03</v>
      </c>
      <c r="J123" s="81">
        <v>57184399.99</v>
      </c>
      <c r="K123" s="54">
        <f t="shared" si="16"/>
        <v>0.07439323443869862</v>
      </c>
      <c r="L123" s="84">
        <f t="shared" si="3"/>
        <v>5540693.009999998</v>
      </c>
      <c r="M123" s="84">
        <f t="shared" si="13"/>
        <v>0</v>
      </c>
      <c r="N123" s="6"/>
    </row>
    <row r="124" spans="1:14" s="5" customFormat="1" ht="15">
      <c r="A124" s="50" t="s">
        <v>67</v>
      </c>
      <c r="B124" s="51" t="s">
        <v>75</v>
      </c>
      <c r="C124" s="81">
        <v>14275821</v>
      </c>
      <c r="D124" s="81">
        <v>7132621</v>
      </c>
      <c r="E124" s="81">
        <f>F124-5574255.5</f>
        <v>-1034858.4500000002</v>
      </c>
      <c r="F124" s="81">
        <v>4539397.05</v>
      </c>
      <c r="G124" s="54">
        <f t="shared" si="19"/>
        <v>0.005843991585969774</v>
      </c>
      <c r="H124" s="81">
        <f t="shared" si="2"/>
        <v>2593223.95</v>
      </c>
      <c r="I124" s="81">
        <f>J124-2673684.9</f>
        <v>1865712.15</v>
      </c>
      <c r="J124" s="81">
        <v>4539397.05</v>
      </c>
      <c r="K124" s="54">
        <f t="shared" si="16"/>
        <v>0.005905464235176754</v>
      </c>
      <c r="L124" s="84">
        <f t="shared" si="3"/>
        <v>2593223.95</v>
      </c>
      <c r="M124" s="84">
        <f t="shared" si="13"/>
        <v>0</v>
      </c>
      <c r="N124" s="6"/>
    </row>
    <row r="125" spans="1:14" s="5" customFormat="1" ht="15">
      <c r="A125" s="50" t="s">
        <v>68</v>
      </c>
      <c r="B125" s="51" t="s">
        <v>76</v>
      </c>
      <c r="C125" s="81">
        <v>362133745</v>
      </c>
      <c r="D125" s="81">
        <v>371321253.29</v>
      </c>
      <c r="E125" s="81">
        <f>F125-303827474.93</f>
        <v>-8734799.430000007</v>
      </c>
      <c r="F125" s="81">
        <v>295092675.5</v>
      </c>
      <c r="G125" s="54">
        <f t="shared" si="19"/>
        <v>0.37990047878788413</v>
      </c>
      <c r="H125" s="81">
        <f t="shared" si="2"/>
        <v>76228577.79000002</v>
      </c>
      <c r="I125" s="81">
        <f>J125-248728765.07</f>
        <v>46363910.43000001</v>
      </c>
      <c r="J125" s="81">
        <v>295092675.5</v>
      </c>
      <c r="K125" s="54">
        <f t="shared" si="16"/>
        <v>0.3838966325335806</v>
      </c>
      <c r="L125" s="84">
        <f t="shared" si="3"/>
        <v>76228577.79000002</v>
      </c>
      <c r="M125" s="84">
        <f t="shared" si="13"/>
        <v>0</v>
      </c>
      <c r="N125" s="6"/>
    </row>
    <row r="126" spans="1:14" s="5" customFormat="1" ht="15">
      <c r="A126" s="50" t="s">
        <v>238</v>
      </c>
      <c r="B126" s="51" t="s">
        <v>239</v>
      </c>
      <c r="C126" s="81">
        <v>2465498</v>
      </c>
      <c r="D126" s="81">
        <v>2465498</v>
      </c>
      <c r="E126" s="81">
        <f>F126-0</f>
        <v>0</v>
      </c>
      <c r="F126" s="81">
        <v>0</v>
      </c>
      <c r="G126" s="54">
        <f t="shared" si="19"/>
        <v>0</v>
      </c>
      <c r="H126" s="81">
        <f t="shared" si="2"/>
        <v>2465498</v>
      </c>
      <c r="I126" s="81">
        <f>J126-0</f>
        <v>0</v>
      </c>
      <c r="J126" s="81">
        <v>0</v>
      </c>
      <c r="K126" s="54">
        <f t="shared" si="16"/>
        <v>0</v>
      </c>
      <c r="L126" s="84">
        <f t="shared" si="3"/>
        <v>2465498</v>
      </c>
      <c r="M126" s="84">
        <f t="shared" si="13"/>
        <v>0</v>
      </c>
      <c r="N126" s="6"/>
    </row>
    <row r="127" spans="1:14" s="5" customFormat="1" ht="15">
      <c r="A127" s="50" t="s">
        <v>111</v>
      </c>
      <c r="B127" s="51" t="s">
        <v>118</v>
      </c>
      <c r="C127" s="81">
        <v>1020266224</v>
      </c>
      <c r="D127" s="81">
        <v>1045465151.96</v>
      </c>
      <c r="E127" s="81">
        <f>F127-836711007.95</f>
        <v>183209778.5</v>
      </c>
      <c r="F127" s="81">
        <v>1019920786.45</v>
      </c>
      <c r="G127" s="54">
        <f t="shared" si="19"/>
        <v>1.3130396897908447</v>
      </c>
      <c r="H127" s="81">
        <f t="shared" si="2"/>
        <v>25544365.50999999</v>
      </c>
      <c r="I127" s="81">
        <f>J127-687028921.25</f>
        <v>332611489.35</v>
      </c>
      <c r="J127" s="81">
        <v>1019640410.6</v>
      </c>
      <c r="K127" s="54">
        <f t="shared" si="16"/>
        <v>1.3264867362812514</v>
      </c>
      <c r="L127" s="84">
        <f t="shared" si="3"/>
        <v>25824741.360000014</v>
      </c>
      <c r="M127" s="84">
        <f t="shared" si="13"/>
        <v>280375.85000002384</v>
      </c>
      <c r="N127" s="6"/>
    </row>
    <row r="128" spans="1:14" s="5" customFormat="1" ht="15">
      <c r="A128" s="50" t="s">
        <v>112</v>
      </c>
      <c r="B128" s="51" t="s">
        <v>119</v>
      </c>
      <c r="C128" s="81">
        <v>1967630518</v>
      </c>
      <c r="D128" s="81">
        <v>2548980676.42</v>
      </c>
      <c r="E128" s="81">
        <f>F128-1978019382.45</f>
        <v>383813387.01999974</v>
      </c>
      <c r="F128" s="81">
        <v>2361832769.47</v>
      </c>
      <c r="G128" s="54">
        <f t="shared" si="19"/>
        <v>3.0406088474350064</v>
      </c>
      <c r="H128" s="81">
        <f t="shared" si="2"/>
        <v>187147906.9500003</v>
      </c>
      <c r="I128" s="81">
        <f>J128-1539764012.88</f>
        <v>818830339.94</v>
      </c>
      <c r="J128" s="81">
        <v>2358594352.82</v>
      </c>
      <c r="K128" s="54">
        <f t="shared" si="16"/>
        <v>3.068379884475709</v>
      </c>
      <c r="L128" s="84">
        <f t="shared" si="3"/>
        <v>190386323.5999999</v>
      </c>
      <c r="M128" s="84">
        <f t="shared" si="13"/>
        <v>3238416.6499996185</v>
      </c>
      <c r="N128" s="6"/>
    </row>
    <row r="129" spans="1:14" s="5" customFormat="1" ht="15">
      <c r="A129" s="50" t="s">
        <v>113</v>
      </c>
      <c r="B129" s="51" t="s">
        <v>120</v>
      </c>
      <c r="C129" s="81">
        <v>94611461</v>
      </c>
      <c r="D129" s="81">
        <v>131474597.51</v>
      </c>
      <c r="E129" s="81">
        <f>F129-16592540.33</f>
        <v>49673280.15</v>
      </c>
      <c r="F129" s="81">
        <v>66265820.48</v>
      </c>
      <c r="G129" s="54">
        <f t="shared" si="19"/>
        <v>0.08531020597162867</v>
      </c>
      <c r="H129" s="81">
        <f t="shared" si="2"/>
        <v>65208777.03000001</v>
      </c>
      <c r="I129" s="81">
        <f>J129-2160494.18</f>
        <v>15200981.3</v>
      </c>
      <c r="J129" s="81">
        <v>17361475.48</v>
      </c>
      <c r="K129" s="54">
        <f t="shared" si="16"/>
        <v>0.022586165384461836</v>
      </c>
      <c r="L129" s="84">
        <f t="shared" si="3"/>
        <v>114113122.03</v>
      </c>
      <c r="M129" s="84">
        <f t="shared" si="13"/>
        <v>48904345</v>
      </c>
      <c r="N129" s="6"/>
    </row>
    <row r="130" spans="1:14" s="5" customFormat="1" ht="15">
      <c r="A130" s="50" t="s">
        <v>114</v>
      </c>
      <c r="B130" s="51" t="s">
        <v>121</v>
      </c>
      <c r="C130" s="81">
        <v>366912851</v>
      </c>
      <c r="D130" s="81">
        <v>426110528.8</v>
      </c>
      <c r="E130" s="81">
        <f>F130-203331008.53</f>
        <v>25582668.379999995</v>
      </c>
      <c r="F130" s="81">
        <v>228913676.91</v>
      </c>
      <c r="G130" s="54">
        <f t="shared" si="19"/>
        <v>0.2947020467785349</v>
      </c>
      <c r="H130" s="81">
        <f t="shared" si="2"/>
        <v>197196851.89000002</v>
      </c>
      <c r="I130" s="81">
        <f>J130-169414000.99</f>
        <v>58782084.41</v>
      </c>
      <c r="J130" s="81">
        <v>228196085.4</v>
      </c>
      <c r="K130" s="54">
        <f t="shared" si="16"/>
        <v>0.2968684620652517</v>
      </c>
      <c r="L130" s="84">
        <f t="shared" si="3"/>
        <v>197914443.4</v>
      </c>
      <c r="M130" s="84">
        <f t="shared" si="13"/>
        <v>717591.5099999905</v>
      </c>
      <c r="N130" s="6"/>
    </row>
    <row r="131" spans="1:14" s="5" customFormat="1" ht="15">
      <c r="A131" s="50" t="s">
        <v>115</v>
      </c>
      <c r="B131" s="51" t="s">
        <v>122</v>
      </c>
      <c r="C131" s="81">
        <v>11227300</v>
      </c>
      <c r="D131" s="81">
        <v>16271536</v>
      </c>
      <c r="E131" s="81">
        <f>F131-10216193.42</f>
        <v>5388094.85</v>
      </c>
      <c r="F131" s="81">
        <v>15604288.27</v>
      </c>
      <c r="G131" s="54">
        <f t="shared" si="19"/>
        <v>0.020088863862421296</v>
      </c>
      <c r="H131" s="81">
        <f t="shared" si="2"/>
        <v>667247.7300000004</v>
      </c>
      <c r="I131" s="81">
        <f>J131-9457398.51</f>
        <v>6146889.76</v>
      </c>
      <c r="J131" s="81">
        <v>15604288.27</v>
      </c>
      <c r="K131" s="54">
        <f t="shared" si="16"/>
        <v>0.02030017759602526</v>
      </c>
      <c r="L131" s="84">
        <f t="shared" si="3"/>
        <v>667247.7300000004</v>
      </c>
      <c r="M131" s="84">
        <f t="shared" si="13"/>
        <v>0</v>
      </c>
      <c r="N131" s="6"/>
    </row>
    <row r="132" spans="1:14" s="5" customFormat="1" ht="15">
      <c r="A132" s="50" t="s">
        <v>116</v>
      </c>
      <c r="B132" s="51" t="s">
        <v>123</v>
      </c>
      <c r="C132" s="81">
        <v>30194872</v>
      </c>
      <c r="D132" s="81">
        <v>13441696.51</v>
      </c>
      <c r="E132" s="81">
        <f>F132-6061815.65</f>
        <v>-2874658.68</v>
      </c>
      <c r="F132" s="81">
        <v>3187156.97</v>
      </c>
      <c r="G132" s="54">
        <f t="shared" si="19"/>
        <v>0.004103126100380428</v>
      </c>
      <c r="H132" s="81">
        <f t="shared" si="2"/>
        <v>10254539.54</v>
      </c>
      <c r="I132" s="81">
        <f>J132-772443.06</f>
        <v>2414713.91</v>
      </c>
      <c r="J132" s="81">
        <v>3187156.97</v>
      </c>
      <c r="K132" s="54">
        <f t="shared" si="16"/>
        <v>0.0041462866744008025</v>
      </c>
      <c r="L132" s="84">
        <f t="shared" si="3"/>
        <v>10254539.54</v>
      </c>
      <c r="M132" s="84">
        <f t="shared" si="13"/>
        <v>0</v>
      </c>
      <c r="N132" s="6"/>
    </row>
    <row r="133" spans="1:14" s="5" customFormat="1" ht="15">
      <c r="A133" s="50" t="s">
        <v>251</v>
      </c>
      <c r="B133" s="51" t="s">
        <v>252</v>
      </c>
      <c r="C133" s="81">
        <v>897353191</v>
      </c>
      <c r="D133" s="81">
        <v>1295424954.27</v>
      </c>
      <c r="E133" s="81">
        <f>F133-529680663.48</f>
        <v>-36190759.600000024</v>
      </c>
      <c r="F133" s="81">
        <v>493489903.88</v>
      </c>
      <c r="G133" s="54">
        <f t="shared" si="19"/>
        <v>0.6353158391455871</v>
      </c>
      <c r="H133" s="81">
        <f t="shared" si="2"/>
        <v>801935050.39</v>
      </c>
      <c r="I133" s="81">
        <f>J133-331165770.84</f>
        <v>162215022.96000004</v>
      </c>
      <c r="J133" s="81">
        <v>493380793.8</v>
      </c>
      <c r="K133" s="54">
        <f t="shared" si="16"/>
        <v>0.6418567488184399</v>
      </c>
      <c r="L133" s="84">
        <f t="shared" si="3"/>
        <v>802044160.47</v>
      </c>
      <c r="M133" s="84">
        <f t="shared" si="13"/>
        <v>109110.07999998331</v>
      </c>
      <c r="N133" s="6"/>
    </row>
    <row r="134" spans="1:14" s="5" customFormat="1" ht="15">
      <c r="A134" s="50" t="s">
        <v>117</v>
      </c>
      <c r="B134" s="51" t="s">
        <v>124</v>
      </c>
      <c r="C134" s="81">
        <v>791500</v>
      </c>
      <c r="D134" s="81">
        <v>721500</v>
      </c>
      <c r="E134" s="81">
        <f>F134-60385.3</f>
        <v>-17523.9</v>
      </c>
      <c r="F134" s="81">
        <v>42861.4</v>
      </c>
      <c r="G134" s="54">
        <f t="shared" si="19"/>
        <v>5.5179500317753625E-05</v>
      </c>
      <c r="H134" s="81">
        <f t="shared" si="2"/>
        <v>678638.6</v>
      </c>
      <c r="I134" s="81">
        <f>J134-38555.15</f>
        <v>4306.25</v>
      </c>
      <c r="J134" s="81">
        <v>42861.4</v>
      </c>
      <c r="K134" s="54">
        <f t="shared" si="16"/>
        <v>5.575993066515408E-05</v>
      </c>
      <c r="L134" s="84">
        <f t="shared" si="3"/>
        <v>678638.6</v>
      </c>
      <c r="M134" s="84">
        <f t="shared" si="13"/>
        <v>0</v>
      </c>
      <c r="N134" s="6"/>
    </row>
    <row r="135" spans="1:14" s="5" customFormat="1" ht="15">
      <c r="A135" s="50" t="s">
        <v>96</v>
      </c>
      <c r="B135" s="51" t="s">
        <v>102</v>
      </c>
      <c r="C135" s="81">
        <v>5000</v>
      </c>
      <c r="D135" s="81">
        <v>5000</v>
      </c>
      <c r="E135" s="81">
        <f>F135-0</f>
        <v>0</v>
      </c>
      <c r="F135" s="81">
        <v>0</v>
      </c>
      <c r="G135" s="54">
        <f t="shared" si="19"/>
        <v>0</v>
      </c>
      <c r="H135" s="81">
        <f t="shared" si="2"/>
        <v>5000</v>
      </c>
      <c r="I135" s="81">
        <f>J135-0</f>
        <v>0</v>
      </c>
      <c r="J135" s="81">
        <v>0</v>
      </c>
      <c r="K135" s="54">
        <f t="shared" si="16"/>
        <v>0</v>
      </c>
      <c r="L135" s="84">
        <f t="shared" si="3"/>
        <v>5000</v>
      </c>
      <c r="M135" s="84">
        <f t="shared" si="13"/>
        <v>0</v>
      </c>
      <c r="N135" s="6"/>
    </row>
    <row r="136" spans="1:14" s="5" customFormat="1" ht="15">
      <c r="A136" s="50" t="s">
        <v>97</v>
      </c>
      <c r="B136" s="51" t="s">
        <v>241</v>
      </c>
      <c r="C136" s="81">
        <v>308651557</v>
      </c>
      <c r="D136" s="81">
        <v>142424627.59</v>
      </c>
      <c r="E136" s="81">
        <f>F136-110714680</f>
        <v>25779180</v>
      </c>
      <c r="F136" s="81">
        <v>136493860</v>
      </c>
      <c r="G136" s="54">
        <f t="shared" si="19"/>
        <v>0.1757213481417177</v>
      </c>
      <c r="H136" s="81">
        <f>D136-F136</f>
        <v>5930767.590000004</v>
      </c>
      <c r="I136" s="81">
        <f>J136-110714680</f>
        <v>25779180</v>
      </c>
      <c r="J136" s="81">
        <v>136493860</v>
      </c>
      <c r="K136" s="54">
        <f t="shared" si="16"/>
        <v>0.17756975203374709</v>
      </c>
      <c r="L136" s="84">
        <f>D136-J136</f>
        <v>5930767.590000004</v>
      </c>
      <c r="M136" s="84">
        <f t="shared" si="13"/>
        <v>0</v>
      </c>
      <c r="N136" s="6"/>
    </row>
    <row r="137" spans="1:14" s="5" customFormat="1" ht="15">
      <c r="A137" s="45" t="s">
        <v>125</v>
      </c>
      <c r="B137" s="48" t="s">
        <v>126</v>
      </c>
      <c r="C137" s="80">
        <f>SUM(C138:C141)</f>
        <v>198792518</v>
      </c>
      <c r="D137" s="80">
        <f>SUM(D138:D141)</f>
        <v>281997060.59</v>
      </c>
      <c r="E137" s="80">
        <f>SUM(E138:E141)</f>
        <v>75416925.37000002</v>
      </c>
      <c r="F137" s="80">
        <f>SUM(F138:F141)</f>
        <v>191221765.60000002</v>
      </c>
      <c r="G137" s="49">
        <f t="shared" si="19"/>
        <v>0.24617771411308567</v>
      </c>
      <c r="H137" s="80">
        <f t="shared" si="2"/>
        <v>90775294.98999995</v>
      </c>
      <c r="I137" s="80">
        <f>SUM(I138:I141)</f>
        <v>106554846.86000001</v>
      </c>
      <c r="J137" s="80">
        <f>SUM(J138:J141)</f>
        <v>189486698.86</v>
      </c>
      <c r="K137" s="49">
        <f t="shared" si="16"/>
        <v>0.24651003444597072</v>
      </c>
      <c r="L137" s="83">
        <f t="shared" si="3"/>
        <v>92510361.72999996</v>
      </c>
      <c r="M137" s="83">
        <f>SUM(M138:M141)</f>
        <v>1735066.7400000095</v>
      </c>
      <c r="N137" s="6"/>
    </row>
    <row r="138" spans="1:14" s="5" customFormat="1" ht="15">
      <c r="A138" s="50" t="s">
        <v>28</v>
      </c>
      <c r="B138" s="51" t="s">
        <v>33</v>
      </c>
      <c r="C138" s="81">
        <v>104057254</v>
      </c>
      <c r="D138" s="81">
        <v>106799331.43</v>
      </c>
      <c r="E138" s="81">
        <f>F138-68107993.85</f>
        <v>15821540.830000013</v>
      </c>
      <c r="F138" s="81">
        <v>83929534.68</v>
      </c>
      <c r="G138" s="54">
        <f t="shared" si="19"/>
        <v>0.10805036199340139</v>
      </c>
      <c r="H138" s="81">
        <f t="shared" si="2"/>
        <v>22869796.75</v>
      </c>
      <c r="I138" s="81">
        <f>J138-64251789.51</f>
        <v>19677745.17000001</v>
      </c>
      <c r="J138" s="81">
        <v>83929534.68</v>
      </c>
      <c r="K138" s="54">
        <f t="shared" si="16"/>
        <v>0.10918693823616225</v>
      </c>
      <c r="L138" s="84">
        <f t="shared" si="3"/>
        <v>22869796.75</v>
      </c>
      <c r="M138" s="84">
        <f t="shared" si="13"/>
        <v>0</v>
      </c>
      <c r="N138" s="6"/>
    </row>
    <row r="139" spans="1:14" s="5" customFormat="1" ht="15">
      <c r="A139" s="50" t="s">
        <v>127</v>
      </c>
      <c r="B139" s="51" t="s">
        <v>128</v>
      </c>
      <c r="C139" s="81">
        <v>26088038</v>
      </c>
      <c r="D139" s="81">
        <v>8347038.02</v>
      </c>
      <c r="E139" s="81">
        <f>F139-7891.47</f>
        <v>509070.30000000005</v>
      </c>
      <c r="F139" s="81">
        <v>516961.77</v>
      </c>
      <c r="G139" s="54">
        <f t="shared" si="19"/>
        <v>0.0006655333738977607</v>
      </c>
      <c r="H139" s="81">
        <f t="shared" si="2"/>
        <v>7830076.25</v>
      </c>
      <c r="I139" s="81">
        <f>J139-7146.89</f>
        <v>509814.88</v>
      </c>
      <c r="J139" s="81">
        <v>516961.77</v>
      </c>
      <c r="K139" s="54">
        <f t="shared" si="16"/>
        <v>0.0006725340854879992</v>
      </c>
      <c r="L139" s="84">
        <f t="shared" si="3"/>
        <v>7830076.25</v>
      </c>
      <c r="M139" s="84">
        <f t="shared" si="13"/>
        <v>0</v>
      </c>
      <c r="N139" s="6"/>
    </row>
    <row r="140" spans="1:14" s="5" customFormat="1" ht="15">
      <c r="A140" s="50" t="s">
        <v>117</v>
      </c>
      <c r="B140" s="51" t="s">
        <v>124</v>
      </c>
      <c r="C140" s="81">
        <v>68647226</v>
      </c>
      <c r="D140" s="81">
        <v>166850691.14</v>
      </c>
      <c r="E140" s="81">
        <f>F140-47688954.91</f>
        <v>59086314.24000001</v>
      </c>
      <c r="F140" s="81">
        <v>106775269.15</v>
      </c>
      <c r="G140" s="54">
        <f t="shared" si="19"/>
        <v>0.13746181874578653</v>
      </c>
      <c r="H140" s="81">
        <f t="shared" si="2"/>
        <v>60075421.98999998</v>
      </c>
      <c r="I140" s="81">
        <f>J140-18672915.6</f>
        <v>86367286.81</v>
      </c>
      <c r="J140" s="81">
        <v>105040202.41</v>
      </c>
      <c r="K140" s="54">
        <f t="shared" si="16"/>
        <v>0.13665056212432047</v>
      </c>
      <c r="L140" s="84">
        <f>D140-J140</f>
        <v>61810488.72999999</v>
      </c>
      <c r="M140" s="84">
        <f t="shared" si="13"/>
        <v>1735066.7400000095</v>
      </c>
      <c r="N140" s="6"/>
    </row>
    <row r="141" spans="1:14" s="5" customFormat="1" ht="15">
      <c r="A141" s="56" t="s">
        <v>185</v>
      </c>
      <c r="B141" s="57" t="s">
        <v>186</v>
      </c>
      <c r="C141" s="82">
        <v>0</v>
      </c>
      <c r="D141" s="82">
        <v>0</v>
      </c>
      <c r="E141" s="82">
        <f>F141-0</f>
        <v>0</v>
      </c>
      <c r="F141" s="82">
        <v>0</v>
      </c>
      <c r="G141" s="58">
        <f t="shared" si="19"/>
        <v>0</v>
      </c>
      <c r="H141" s="82">
        <f t="shared" si="2"/>
        <v>0</v>
      </c>
      <c r="I141" s="82">
        <f>J141-0</f>
        <v>0</v>
      </c>
      <c r="J141" s="82">
        <v>0</v>
      </c>
      <c r="K141" s="58">
        <f t="shared" si="16"/>
        <v>0</v>
      </c>
      <c r="L141" s="86">
        <f t="shared" si="3"/>
        <v>0</v>
      </c>
      <c r="M141" s="86">
        <f t="shared" si="13"/>
        <v>0</v>
      </c>
      <c r="N141" s="6"/>
    </row>
    <row r="142" spans="1:13" s="5" customFormat="1" ht="15">
      <c r="A142" s="59"/>
      <c r="B142" s="60"/>
      <c r="C142" s="61"/>
      <c r="D142" s="61"/>
      <c r="E142" s="61"/>
      <c r="F142" s="61"/>
      <c r="G142" s="62"/>
      <c r="H142" s="61"/>
      <c r="I142" s="61"/>
      <c r="J142" s="61"/>
      <c r="K142" s="62"/>
      <c r="L142" s="63"/>
      <c r="M142" s="63" t="s">
        <v>228</v>
      </c>
    </row>
    <row r="143" spans="1:13" s="5" customFormat="1" ht="13.5" customHeight="1">
      <c r="A143" s="29"/>
      <c r="B143" s="26"/>
      <c r="C143" s="30"/>
      <c r="D143" s="30"/>
      <c r="E143" s="30"/>
      <c r="F143" s="30"/>
      <c r="G143" s="31"/>
      <c r="H143" s="30"/>
      <c r="I143" s="30"/>
      <c r="J143" s="30"/>
      <c r="K143" s="31"/>
      <c r="L143" s="30"/>
      <c r="M143" s="30"/>
    </row>
    <row r="144" spans="1:13" s="5" customFormat="1" ht="15.75">
      <c r="A144" s="29"/>
      <c r="B144" s="26"/>
      <c r="C144" s="30"/>
      <c r="D144" s="30"/>
      <c r="E144" s="30"/>
      <c r="F144" s="30"/>
      <c r="G144" s="31"/>
      <c r="H144" s="30"/>
      <c r="I144" s="30"/>
      <c r="J144" s="30"/>
      <c r="K144" s="31"/>
      <c r="L144" s="30"/>
      <c r="M144" s="30"/>
    </row>
    <row r="145" spans="1:13" s="5" customFormat="1" ht="15.75">
      <c r="A145" s="29"/>
      <c r="B145" s="26"/>
      <c r="C145" s="30"/>
      <c r="D145" s="30"/>
      <c r="E145" s="30"/>
      <c r="F145" s="30"/>
      <c r="G145" s="31"/>
      <c r="H145" s="30"/>
      <c r="I145" s="30"/>
      <c r="J145" s="30"/>
      <c r="K145" s="31"/>
      <c r="L145" s="30"/>
      <c r="M145" s="30"/>
    </row>
    <row r="146" spans="1:13" s="5" customFormat="1" ht="17.25" customHeight="1">
      <c r="A146" s="29"/>
      <c r="B146" s="26"/>
      <c r="C146" s="30"/>
      <c r="D146" s="30"/>
      <c r="E146" s="30"/>
      <c r="F146" s="30"/>
      <c r="G146" s="31"/>
      <c r="H146" s="30"/>
      <c r="I146" s="30"/>
      <c r="J146" s="30"/>
      <c r="K146" s="31"/>
      <c r="L146" s="23"/>
      <c r="M146" s="23" t="s">
        <v>157</v>
      </c>
    </row>
    <row r="147" spans="1:13" s="5" customFormat="1" ht="15.75">
      <c r="A147" s="117" t="s">
        <v>14</v>
      </c>
      <c r="B147" s="117"/>
      <c r="C147" s="117"/>
      <c r="D147" s="117"/>
      <c r="E147" s="117"/>
      <c r="F147" s="117"/>
      <c r="G147" s="117"/>
      <c r="H147" s="117"/>
      <c r="I147" s="117"/>
      <c r="J147" s="117"/>
      <c r="K147" s="117"/>
      <c r="L147" s="117"/>
      <c r="M147" s="117"/>
    </row>
    <row r="148" spans="1:13" s="5" customFormat="1" ht="15.75">
      <c r="A148" s="117" t="s">
        <v>0</v>
      </c>
      <c r="B148" s="117"/>
      <c r="C148" s="117"/>
      <c r="D148" s="117"/>
      <c r="E148" s="117"/>
      <c r="F148" s="117"/>
      <c r="G148" s="117"/>
      <c r="H148" s="117"/>
      <c r="I148" s="117"/>
      <c r="J148" s="117"/>
      <c r="K148" s="117"/>
      <c r="L148" s="117"/>
      <c r="M148" s="117"/>
    </row>
    <row r="149" spans="1:13" s="5" customFormat="1" ht="15.75">
      <c r="A149" s="118" t="s">
        <v>1</v>
      </c>
      <c r="B149" s="118"/>
      <c r="C149" s="118"/>
      <c r="D149" s="118"/>
      <c r="E149" s="118"/>
      <c r="F149" s="118"/>
      <c r="G149" s="118"/>
      <c r="H149" s="118"/>
      <c r="I149" s="118"/>
      <c r="J149" s="118"/>
      <c r="K149" s="118"/>
      <c r="L149" s="118"/>
      <c r="M149" s="118"/>
    </row>
    <row r="150" spans="1:13" s="5" customFormat="1" ht="15.75">
      <c r="A150" s="117" t="s">
        <v>2</v>
      </c>
      <c r="B150" s="117"/>
      <c r="C150" s="117"/>
      <c r="D150" s="117"/>
      <c r="E150" s="117"/>
      <c r="F150" s="117"/>
      <c r="G150" s="117"/>
      <c r="H150" s="117"/>
      <c r="I150" s="117"/>
      <c r="J150" s="117"/>
      <c r="K150" s="117"/>
      <c r="L150" s="117"/>
      <c r="M150" s="117"/>
    </row>
    <row r="151" spans="1:13" s="5" customFormat="1" ht="15.75">
      <c r="A151" s="117" t="str">
        <f>A8</f>
        <v>JANEIRO A DEZEMBRO 2021/BIMESTRE NOVEMBRO - DEZEMBRO</v>
      </c>
      <c r="B151" s="117"/>
      <c r="C151" s="117"/>
      <c r="D151" s="117"/>
      <c r="E151" s="117"/>
      <c r="F151" s="117"/>
      <c r="G151" s="117"/>
      <c r="H151" s="117"/>
      <c r="I151" s="117"/>
      <c r="J151" s="117"/>
      <c r="K151" s="117"/>
      <c r="L151" s="117"/>
      <c r="M151" s="117"/>
    </row>
    <row r="152" spans="1:13" s="5" customFormat="1" ht="15.75">
      <c r="A152" s="22"/>
      <c r="B152" s="22"/>
      <c r="C152" s="22"/>
      <c r="D152" s="22"/>
      <c r="E152" s="22"/>
      <c r="F152" s="22"/>
      <c r="G152" s="22"/>
      <c r="H152" s="22"/>
      <c r="I152" s="22"/>
      <c r="J152" s="22"/>
      <c r="K152" s="22"/>
      <c r="L152" s="23"/>
      <c r="M152" s="23" t="str">
        <f>M9</f>
        <v>Emissão: 25/01/2022</v>
      </c>
    </row>
    <row r="153" spans="1:13" s="5" customFormat="1" ht="15.75">
      <c r="A153" s="25" t="s">
        <v>240</v>
      </c>
      <c r="B153" s="24"/>
      <c r="C153" s="26"/>
      <c r="D153" s="24"/>
      <c r="E153" s="24"/>
      <c r="F153" s="27"/>
      <c r="G153" s="27"/>
      <c r="H153" s="27"/>
      <c r="I153" s="24"/>
      <c r="J153" s="24"/>
      <c r="K153" s="23"/>
      <c r="L153" s="28"/>
      <c r="M153" s="28">
        <v>1</v>
      </c>
    </row>
    <row r="154" spans="1:14" s="5" customFormat="1" ht="18" customHeight="1">
      <c r="A154" s="9"/>
      <c r="B154" s="10"/>
      <c r="C154" s="11" t="s">
        <v>3</v>
      </c>
      <c r="D154" s="11" t="s">
        <v>3</v>
      </c>
      <c r="E154" s="120" t="s">
        <v>4</v>
      </c>
      <c r="F154" s="121"/>
      <c r="G154" s="122"/>
      <c r="H154" s="11" t="s">
        <v>18</v>
      </c>
      <c r="I154" s="120" t="s">
        <v>5</v>
      </c>
      <c r="J154" s="121"/>
      <c r="K154" s="122"/>
      <c r="L154" s="12" t="s">
        <v>18</v>
      </c>
      <c r="M154" s="125" t="s">
        <v>282</v>
      </c>
      <c r="N154" s="6"/>
    </row>
    <row r="155" spans="1:14" s="5" customFormat="1" ht="14.25" customHeight="1">
      <c r="A155" s="13" t="s">
        <v>23</v>
      </c>
      <c r="B155" s="14" t="s">
        <v>6</v>
      </c>
      <c r="C155" s="14" t="s">
        <v>7</v>
      </c>
      <c r="D155" s="14" t="s">
        <v>8</v>
      </c>
      <c r="E155" s="14" t="s">
        <v>9</v>
      </c>
      <c r="F155" s="14" t="s">
        <v>10</v>
      </c>
      <c r="G155" s="14" t="s">
        <v>11</v>
      </c>
      <c r="H155" s="15"/>
      <c r="I155" s="14" t="s">
        <v>9</v>
      </c>
      <c r="J155" s="14" t="s">
        <v>10</v>
      </c>
      <c r="K155" s="14" t="s">
        <v>11</v>
      </c>
      <c r="L155" s="16"/>
      <c r="M155" s="126"/>
      <c r="N155" s="6"/>
    </row>
    <row r="156" spans="1:14" s="5" customFormat="1" ht="45.75" customHeight="1">
      <c r="A156" s="17"/>
      <c r="B156" s="18"/>
      <c r="C156" s="18"/>
      <c r="D156" s="19" t="s">
        <v>12</v>
      </c>
      <c r="E156" s="19"/>
      <c r="F156" s="19" t="s">
        <v>13</v>
      </c>
      <c r="G156" s="19" t="s">
        <v>17</v>
      </c>
      <c r="H156" s="20" t="s">
        <v>19</v>
      </c>
      <c r="I156" s="19"/>
      <c r="J156" s="19" t="s">
        <v>20</v>
      </c>
      <c r="K156" s="19" t="s">
        <v>21</v>
      </c>
      <c r="L156" s="21" t="s">
        <v>22</v>
      </c>
      <c r="M156" s="127"/>
      <c r="N156" s="6"/>
    </row>
    <row r="157" spans="1:14" s="5" customFormat="1" ht="15">
      <c r="A157" s="45" t="s">
        <v>129</v>
      </c>
      <c r="B157" s="48" t="s">
        <v>130</v>
      </c>
      <c r="C157" s="80">
        <f>SUM(C158:C164)</f>
        <v>220339809</v>
      </c>
      <c r="D157" s="80">
        <f>SUM(D158:D164)</f>
        <v>324222462.19</v>
      </c>
      <c r="E157" s="80">
        <f>SUM(E158:E164)</f>
        <v>54136263.01999999</v>
      </c>
      <c r="F157" s="80">
        <f>SUM(F158:F164)</f>
        <v>257068726.57</v>
      </c>
      <c r="G157" s="49">
        <f aca="true" t="shared" si="20" ref="G157:G188">(F157/$F$286)*100</f>
        <v>0.33094868295141633</v>
      </c>
      <c r="H157" s="80">
        <f aca="true" t="shared" si="21" ref="H157:H164">D157-F157</f>
        <v>67153735.62</v>
      </c>
      <c r="I157" s="80">
        <f>SUM(I158:I164)</f>
        <v>72749331.68999998</v>
      </c>
      <c r="J157" s="80">
        <f>SUM(J158:J164)</f>
        <v>257068726.57</v>
      </c>
      <c r="K157" s="49">
        <f aca="true" t="shared" si="22" ref="K157:K188">(J157/$J$286)*100</f>
        <v>0.3344299152552798</v>
      </c>
      <c r="L157" s="83">
        <f aca="true" t="shared" si="23" ref="L157:L164">D157-J157</f>
        <v>67153735.62</v>
      </c>
      <c r="M157" s="83">
        <f>SUM(M158:M164)</f>
        <v>0</v>
      </c>
      <c r="N157" s="6"/>
    </row>
    <row r="158" spans="1:14" s="5" customFormat="1" ht="15">
      <c r="A158" s="50" t="s">
        <v>28</v>
      </c>
      <c r="B158" s="51" t="s">
        <v>33</v>
      </c>
      <c r="C158" s="81">
        <v>13272176</v>
      </c>
      <c r="D158" s="81">
        <v>12693203.87</v>
      </c>
      <c r="E158" s="81">
        <f>F158-9685346.06</f>
        <v>2537815.969999999</v>
      </c>
      <c r="F158" s="81">
        <v>12223162.03</v>
      </c>
      <c r="G158" s="54">
        <f t="shared" si="20"/>
        <v>0.01573602292781708</v>
      </c>
      <c r="H158" s="81">
        <f t="shared" si="21"/>
        <v>470041.83999999985</v>
      </c>
      <c r="I158" s="81">
        <f>J158-9642549.3</f>
        <v>2580612.7299999986</v>
      </c>
      <c r="J158" s="81">
        <v>12223162.03</v>
      </c>
      <c r="K158" s="54">
        <f t="shared" si="22"/>
        <v>0.015901549349805276</v>
      </c>
      <c r="L158" s="84">
        <f t="shared" si="23"/>
        <v>470041.83999999985</v>
      </c>
      <c r="M158" s="83">
        <f aca="true" t="shared" si="24" ref="M158:M222">F158-J158</f>
        <v>0</v>
      </c>
      <c r="N158" s="6"/>
    </row>
    <row r="159" spans="1:14" s="5" customFormat="1" ht="15">
      <c r="A159" s="50" t="s">
        <v>49</v>
      </c>
      <c r="B159" s="51" t="s">
        <v>56</v>
      </c>
      <c r="C159" s="81">
        <v>196504700</v>
      </c>
      <c r="D159" s="81">
        <v>287864698.25</v>
      </c>
      <c r="E159" s="81">
        <f>F159-188857580.91</f>
        <v>48013958.03999999</v>
      </c>
      <c r="F159" s="81">
        <v>236871538.95</v>
      </c>
      <c r="G159" s="54">
        <f t="shared" si="20"/>
        <v>0.3049469489740959</v>
      </c>
      <c r="H159" s="81">
        <f t="shared" si="21"/>
        <v>50993159.30000001</v>
      </c>
      <c r="I159" s="81">
        <f>J159-170469676.46</f>
        <v>66401862.48999998</v>
      </c>
      <c r="J159" s="81">
        <v>236871538.95</v>
      </c>
      <c r="K159" s="54">
        <f t="shared" si="22"/>
        <v>0.3081546703654184</v>
      </c>
      <c r="L159" s="84">
        <f t="shared" si="23"/>
        <v>50993159.30000001</v>
      </c>
      <c r="M159" s="83">
        <f t="shared" si="24"/>
        <v>0</v>
      </c>
      <c r="N159" s="6"/>
    </row>
    <row r="160" spans="1:14" s="5" customFormat="1" ht="15">
      <c r="A160" s="50" t="s">
        <v>52</v>
      </c>
      <c r="B160" s="51" t="s">
        <v>59</v>
      </c>
      <c r="C160" s="81">
        <v>0</v>
      </c>
      <c r="D160" s="81">
        <v>0</v>
      </c>
      <c r="E160" s="81">
        <f>F160-0</f>
        <v>0</v>
      </c>
      <c r="F160" s="81">
        <v>0</v>
      </c>
      <c r="G160" s="54">
        <f t="shared" si="20"/>
        <v>0</v>
      </c>
      <c r="H160" s="81">
        <f t="shared" si="21"/>
        <v>0</v>
      </c>
      <c r="I160" s="81">
        <f>J160-0</f>
        <v>0</v>
      </c>
      <c r="J160" s="81">
        <v>0</v>
      </c>
      <c r="K160" s="54">
        <f t="shared" si="22"/>
        <v>0</v>
      </c>
      <c r="L160" s="84">
        <f t="shared" si="23"/>
        <v>0</v>
      </c>
      <c r="M160" s="83">
        <f t="shared" si="24"/>
        <v>0</v>
      </c>
      <c r="N160" s="6"/>
    </row>
    <row r="161" spans="1:14" s="5" customFormat="1" ht="15">
      <c r="A161" s="50" t="s">
        <v>131</v>
      </c>
      <c r="B161" s="51" t="s">
        <v>132</v>
      </c>
      <c r="C161" s="81">
        <v>11576</v>
      </c>
      <c r="D161" s="81">
        <v>11576</v>
      </c>
      <c r="E161" s="81">
        <f>F161-0</f>
        <v>0</v>
      </c>
      <c r="F161" s="81">
        <v>0</v>
      </c>
      <c r="G161" s="54">
        <f t="shared" si="20"/>
        <v>0</v>
      </c>
      <c r="H161" s="81">
        <f t="shared" si="21"/>
        <v>11576</v>
      </c>
      <c r="I161" s="81">
        <f>J161-0</f>
        <v>0</v>
      </c>
      <c r="J161" s="81">
        <v>0</v>
      </c>
      <c r="K161" s="54">
        <f t="shared" si="22"/>
        <v>0</v>
      </c>
      <c r="L161" s="84">
        <f t="shared" si="23"/>
        <v>11576</v>
      </c>
      <c r="M161" s="83">
        <f t="shared" si="24"/>
        <v>0</v>
      </c>
      <c r="N161" s="6"/>
    </row>
    <row r="162" spans="1:14" s="5" customFormat="1" ht="15">
      <c r="A162" s="50" t="s">
        <v>251</v>
      </c>
      <c r="B162" s="51" t="s">
        <v>252</v>
      </c>
      <c r="C162" s="81">
        <v>0</v>
      </c>
      <c r="D162" s="81">
        <v>0</v>
      </c>
      <c r="E162" s="81">
        <f>F162-0</f>
        <v>0</v>
      </c>
      <c r="F162" s="81">
        <v>0</v>
      </c>
      <c r="G162" s="54">
        <f t="shared" si="20"/>
        <v>0</v>
      </c>
      <c r="H162" s="81">
        <f t="shared" si="21"/>
        <v>0</v>
      </c>
      <c r="I162" s="81">
        <f>J162-0</f>
        <v>0</v>
      </c>
      <c r="J162" s="81">
        <v>0</v>
      </c>
      <c r="K162" s="54">
        <f t="shared" si="22"/>
        <v>0</v>
      </c>
      <c r="L162" s="84">
        <f t="shared" si="23"/>
        <v>0</v>
      </c>
      <c r="M162" s="83">
        <f t="shared" si="24"/>
        <v>0</v>
      </c>
      <c r="N162" s="6"/>
    </row>
    <row r="163" spans="1:14" s="5" customFormat="1" ht="15">
      <c r="A163" s="50" t="s">
        <v>127</v>
      </c>
      <c r="B163" s="51" t="s">
        <v>270</v>
      </c>
      <c r="C163" s="81">
        <v>0</v>
      </c>
      <c r="D163" s="81">
        <v>0</v>
      </c>
      <c r="E163" s="81">
        <f>F163-0</f>
        <v>0</v>
      </c>
      <c r="F163" s="81">
        <v>0</v>
      </c>
      <c r="G163" s="54">
        <f t="shared" si="20"/>
        <v>0</v>
      </c>
      <c r="H163" s="81">
        <f t="shared" si="21"/>
        <v>0</v>
      </c>
      <c r="I163" s="81">
        <f>J163-0</f>
        <v>0</v>
      </c>
      <c r="J163" s="81">
        <v>0</v>
      </c>
      <c r="K163" s="54">
        <f t="shared" si="22"/>
        <v>0</v>
      </c>
      <c r="L163" s="84">
        <f t="shared" si="23"/>
        <v>0</v>
      </c>
      <c r="M163" s="83">
        <f t="shared" si="24"/>
        <v>0</v>
      </c>
      <c r="N163" s="6"/>
    </row>
    <row r="164" spans="1:14" s="5" customFormat="1" ht="15">
      <c r="A164" s="59" t="s">
        <v>53</v>
      </c>
      <c r="B164" s="64" t="s">
        <v>60</v>
      </c>
      <c r="C164" s="84">
        <v>10551357</v>
      </c>
      <c r="D164" s="84">
        <v>23652984.07</v>
      </c>
      <c r="E164" s="84">
        <f>F164-4389536.58</f>
        <v>3584489.01</v>
      </c>
      <c r="F164" s="84">
        <v>7974025.59</v>
      </c>
      <c r="G164" s="65">
        <f t="shared" si="20"/>
        <v>0.010265711049503296</v>
      </c>
      <c r="H164" s="84">
        <f t="shared" si="21"/>
        <v>15678958.48</v>
      </c>
      <c r="I164" s="84">
        <f>J164-4207169.12</f>
        <v>3766856.4699999997</v>
      </c>
      <c r="J164" s="84">
        <v>7974025.59</v>
      </c>
      <c r="K164" s="65">
        <f t="shared" si="22"/>
        <v>0.010373695540056188</v>
      </c>
      <c r="L164" s="84">
        <f t="shared" si="23"/>
        <v>15678958.48</v>
      </c>
      <c r="M164" s="83">
        <f t="shared" si="24"/>
        <v>0</v>
      </c>
      <c r="N164" s="6"/>
    </row>
    <row r="165" spans="1:14" s="5" customFormat="1" ht="15">
      <c r="A165" s="45" t="s">
        <v>133</v>
      </c>
      <c r="B165" s="48" t="s">
        <v>134</v>
      </c>
      <c r="C165" s="80">
        <f>SUM(C166:C170)</f>
        <v>151959996</v>
      </c>
      <c r="D165" s="80">
        <f>SUM(D166:D170)</f>
        <v>1475463349.3</v>
      </c>
      <c r="E165" s="80">
        <f>SUM(E166:E169)</f>
        <v>21594164.199999996</v>
      </c>
      <c r="F165" s="80">
        <f>SUM(F166:F169)</f>
        <v>137429310.45</v>
      </c>
      <c r="G165" s="49">
        <f t="shared" si="20"/>
        <v>0.1769256412446732</v>
      </c>
      <c r="H165" s="80">
        <f aca="true" t="shared" si="25" ref="H165:H184">D165-F165</f>
        <v>1338034038.85</v>
      </c>
      <c r="I165" s="80">
        <f>SUM(I166:I169)</f>
        <v>90397731.33</v>
      </c>
      <c r="J165" s="80">
        <f>SUM(J166:J169)</f>
        <v>132793255.65</v>
      </c>
      <c r="K165" s="49">
        <f t="shared" si="22"/>
        <v>0.17275550326970374</v>
      </c>
      <c r="L165" s="83">
        <f aca="true" t="shared" si="26" ref="L165:L184">D165-J165</f>
        <v>1342670093.6499999</v>
      </c>
      <c r="M165" s="83">
        <f>SUM(M166:M170)</f>
        <v>4636054.799999997</v>
      </c>
      <c r="N165" s="6"/>
    </row>
    <row r="166" spans="1:14" s="5" customFormat="1" ht="15">
      <c r="A166" s="50" t="s">
        <v>28</v>
      </c>
      <c r="B166" s="51" t="s">
        <v>33</v>
      </c>
      <c r="C166" s="81">
        <v>46495439</v>
      </c>
      <c r="D166" s="81">
        <v>51338774.49</v>
      </c>
      <c r="E166" s="81">
        <f>F166-30646299.28</f>
        <v>10909131.979999997</v>
      </c>
      <c r="F166" s="81">
        <v>41555431.26</v>
      </c>
      <c r="G166" s="54">
        <f t="shared" si="20"/>
        <v>0.05349820426807241</v>
      </c>
      <c r="H166" s="81">
        <f t="shared" si="25"/>
        <v>9783343.230000004</v>
      </c>
      <c r="I166" s="81">
        <f>J166-28507637.87</f>
        <v>13047793.389999997</v>
      </c>
      <c r="J166" s="81">
        <v>41555431.26</v>
      </c>
      <c r="K166" s="54">
        <f t="shared" si="22"/>
        <v>0.05406094914814206</v>
      </c>
      <c r="L166" s="84">
        <f t="shared" si="26"/>
        <v>9783343.230000004</v>
      </c>
      <c r="M166" s="83">
        <f t="shared" si="24"/>
        <v>0</v>
      </c>
      <c r="N166" s="6"/>
    </row>
    <row r="167" spans="1:14" s="5" customFormat="1" ht="15">
      <c r="A167" s="50" t="s">
        <v>50</v>
      </c>
      <c r="B167" s="51" t="s">
        <v>57</v>
      </c>
      <c r="C167" s="81">
        <v>1331380</v>
      </c>
      <c r="D167" s="81">
        <v>24000</v>
      </c>
      <c r="E167" s="81">
        <f>F167-0</f>
        <v>0</v>
      </c>
      <c r="F167" s="81">
        <v>0</v>
      </c>
      <c r="G167" s="54">
        <f t="shared" si="20"/>
        <v>0</v>
      </c>
      <c r="H167" s="81">
        <f t="shared" si="25"/>
        <v>24000</v>
      </c>
      <c r="I167" s="81">
        <f>J167-0</f>
        <v>0</v>
      </c>
      <c r="J167" s="81">
        <v>0</v>
      </c>
      <c r="K167" s="54">
        <f t="shared" si="22"/>
        <v>0</v>
      </c>
      <c r="L167" s="84">
        <f t="shared" si="26"/>
        <v>24000</v>
      </c>
      <c r="M167" s="83">
        <f t="shared" si="24"/>
        <v>0</v>
      </c>
      <c r="N167" s="6"/>
    </row>
    <row r="168" spans="1:14" s="5" customFormat="1" ht="15">
      <c r="A168" s="50" t="s">
        <v>29</v>
      </c>
      <c r="B168" s="51" t="s">
        <v>34</v>
      </c>
      <c r="C168" s="81">
        <v>645620</v>
      </c>
      <c r="D168" s="81">
        <v>0</v>
      </c>
      <c r="E168" s="81">
        <f>F168-0</f>
        <v>0</v>
      </c>
      <c r="F168" s="81">
        <v>0</v>
      </c>
      <c r="G168" s="54">
        <f t="shared" si="20"/>
        <v>0</v>
      </c>
      <c r="H168" s="81">
        <f t="shared" si="25"/>
        <v>0</v>
      </c>
      <c r="I168" s="81">
        <f>J168-0</f>
        <v>0</v>
      </c>
      <c r="J168" s="81">
        <v>0</v>
      </c>
      <c r="K168" s="54">
        <f t="shared" si="22"/>
        <v>0</v>
      </c>
      <c r="L168" s="84">
        <f t="shared" si="26"/>
        <v>0</v>
      </c>
      <c r="M168" s="83">
        <f t="shared" si="24"/>
        <v>0</v>
      </c>
      <c r="N168" s="6"/>
    </row>
    <row r="169" spans="1:14" s="5" customFormat="1" ht="15">
      <c r="A169" s="50" t="s">
        <v>135</v>
      </c>
      <c r="B169" s="51" t="s">
        <v>136</v>
      </c>
      <c r="C169" s="81">
        <v>103487557</v>
      </c>
      <c r="D169" s="81">
        <v>1424100574.81</v>
      </c>
      <c r="E169" s="81">
        <f>F169-85188846.97</f>
        <v>10685032.219999999</v>
      </c>
      <c r="F169" s="81">
        <v>95873879.19</v>
      </c>
      <c r="G169" s="54">
        <f t="shared" si="20"/>
        <v>0.1234274369766008</v>
      </c>
      <c r="H169" s="81">
        <f t="shared" si="25"/>
        <v>1328226695.62</v>
      </c>
      <c r="I169" s="81">
        <f>J169-13887886.45</f>
        <v>77349937.94</v>
      </c>
      <c r="J169" s="81">
        <v>91237824.39</v>
      </c>
      <c r="K169" s="54">
        <f t="shared" si="22"/>
        <v>0.11869455412156166</v>
      </c>
      <c r="L169" s="84">
        <f t="shared" si="26"/>
        <v>1332862750.4199998</v>
      </c>
      <c r="M169" s="83">
        <f t="shared" si="24"/>
        <v>4636054.799999997</v>
      </c>
      <c r="N169" s="6"/>
    </row>
    <row r="170" spans="1:15" s="5" customFormat="1" ht="15">
      <c r="A170" s="50" t="s">
        <v>261</v>
      </c>
      <c r="B170" s="51" t="s">
        <v>262</v>
      </c>
      <c r="C170" s="81">
        <v>0</v>
      </c>
      <c r="D170" s="81">
        <v>0</v>
      </c>
      <c r="E170" s="81">
        <f>F170-0</f>
        <v>0</v>
      </c>
      <c r="F170" s="81">
        <v>0</v>
      </c>
      <c r="G170" s="54">
        <f t="shared" si="20"/>
        <v>0</v>
      </c>
      <c r="H170" s="81">
        <f t="shared" si="25"/>
        <v>0</v>
      </c>
      <c r="I170" s="81">
        <f>J170-0</f>
        <v>0</v>
      </c>
      <c r="J170" s="81">
        <v>0</v>
      </c>
      <c r="K170" s="54">
        <f t="shared" si="22"/>
        <v>0</v>
      </c>
      <c r="L170" s="84">
        <f t="shared" si="26"/>
        <v>0</v>
      </c>
      <c r="M170" s="83">
        <f t="shared" si="24"/>
        <v>0</v>
      </c>
      <c r="N170" s="110"/>
      <c r="O170" s="110"/>
    </row>
    <row r="171" spans="1:14" s="5" customFormat="1" ht="15">
      <c r="A171" s="45" t="s">
        <v>138</v>
      </c>
      <c r="B171" s="48" t="s">
        <v>137</v>
      </c>
      <c r="C171" s="80">
        <f>SUM(C172:C176)</f>
        <v>184563290</v>
      </c>
      <c r="D171" s="80">
        <f>SUM(D172:D176)</f>
        <v>362312377.71999997</v>
      </c>
      <c r="E171" s="80">
        <f>SUM(E172:E176)</f>
        <v>-17102420.259999998</v>
      </c>
      <c r="F171" s="80">
        <f>SUM(F172:F176)</f>
        <v>185857865.08</v>
      </c>
      <c r="G171" s="49">
        <f t="shared" si="20"/>
        <v>0.23927226187756048</v>
      </c>
      <c r="H171" s="80">
        <f t="shared" si="25"/>
        <v>176454512.63999996</v>
      </c>
      <c r="I171" s="80">
        <f>SUM(I172:I176)</f>
        <v>81119331.89</v>
      </c>
      <c r="J171" s="80">
        <f>SUM(J172:J176)</f>
        <v>185857865.08</v>
      </c>
      <c r="K171" s="49">
        <f t="shared" si="22"/>
        <v>0.24178915458744607</v>
      </c>
      <c r="L171" s="83">
        <f t="shared" si="26"/>
        <v>176454512.63999996</v>
      </c>
      <c r="M171" s="83">
        <f>SUM(M172:M180)</f>
        <v>0</v>
      </c>
      <c r="N171" s="6"/>
    </row>
    <row r="172" spans="1:14" s="5" customFormat="1" ht="15">
      <c r="A172" s="50" t="s">
        <v>28</v>
      </c>
      <c r="B172" s="51" t="s">
        <v>33</v>
      </c>
      <c r="C172" s="81">
        <v>61131477</v>
      </c>
      <c r="D172" s="81">
        <v>99900760.11</v>
      </c>
      <c r="E172" s="81">
        <f>F172-49016377.96</f>
        <v>43613545.089999996</v>
      </c>
      <c r="F172" s="81">
        <v>92629923.05</v>
      </c>
      <c r="G172" s="54">
        <f t="shared" si="20"/>
        <v>0.11925118797731686</v>
      </c>
      <c r="H172" s="81">
        <f t="shared" si="25"/>
        <v>7270837.060000002</v>
      </c>
      <c r="I172" s="81">
        <f>J172-48920140.41</f>
        <v>43709782.64</v>
      </c>
      <c r="J172" s="81">
        <v>92629923.05</v>
      </c>
      <c r="K172" s="54">
        <f t="shared" si="22"/>
        <v>0.12050558513689606</v>
      </c>
      <c r="L172" s="84">
        <f t="shared" si="26"/>
        <v>7270837.060000002</v>
      </c>
      <c r="M172" s="83">
        <f t="shared" si="24"/>
        <v>0</v>
      </c>
      <c r="N172" s="6"/>
    </row>
    <row r="173" spans="1:14" s="5" customFormat="1" ht="15">
      <c r="A173" s="50" t="s">
        <v>50</v>
      </c>
      <c r="B173" s="51" t="s">
        <v>57</v>
      </c>
      <c r="C173" s="81">
        <v>1902000</v>
      </c>
      <c r="D173" s="81">
        <v>1902000</v>
      </c>
      <c r="E173" s="81">
        <f>F173-0</f>
        <v>0</v>
      </c>
      <c r="F173" s="81">
        <v>0</v>
      </c>
      <c r="G173" s="54">
        <f t="shared" si="20"/>
        <v>0</v>
      </c>
      <c r="H173" s="81">
        <f t="shared" si="25"/>
        <v>1902000</v>
      </c>
      <c r="I173" s="81">
        <f>J173-0</f>
        <v>0</v>
      </c>
      <c r="J173" s="81">
        <v>0</v>
      </c>
      <c r="K173" s="54">
        <f t="shared" si="22"/>
        <v>0</v>
      </c>
      <c r="L173" s="84">
        <f t="shared" si="26"/>
        <v>1902000</v>
      </c>
      <c r="M173" s="83">
        <f t="shared" si="24"/>
        <v>0</v>
      </c>
      <c r="N173" s="6"/>
    </row>
    <row r="174" spans="1:14" s="5" customFormat="1" ht="15">
      <c r="A174" s="50" t="s">
        <v>67</v>
      </c>
      <c r="B174" s="51" t="s">
        <v>75</v>
      </c>
      <c r="C174" s="81">
        <v>0</v>
      </c>
      <c r="D174" s="81">
        <v>0</v>
      </c>
      <c r="E174" s="81">
        <f>F174-0</f>
        <v>0</v>
      </c>
      <c r="F174" s="81">
        <v>0</v>
      </c>
      <c r="G174" s="54">
        <f t="shared" si="20"/>
        <v>0</v>
      </c>
      <c r="H174" s="81">
        <f t="shared" si="25"/>
        <v>0</v>
      </c>
      <c r="I174" s="81">
        <f>J174-0</f>
        <v>0</v>
      </c>
      <c r="J174" s="81">
        <v>0</v>
      </c>
      <c r="K174" s="54">
        <f t="shared" si="22"/>
        <v>0</v>
      </c>
      <c r="L174" s="84">
        <f t="shared" si="26"/>
        <v>0</v>
      </c>
      <c r="M174" s="83">
        <f t="shared" si="24"/>
        <v>0</v>
      </c>
      <c r="N174" s="6"/>
    </row>
    <row r="175" spans="1:14" s="5" customFormat="1" ht="15">
      <c r="A175" s="50" t="s">
        <v>135</v>
      </c>
      <c r="B175" s="51" t="s">
        <v>136</v>
      </c>
      <c r="C175" s="81">
        <v>29726727</v>
      </c>
      <c r="D175" s="81">
        <v>156664760.42</v>
      </c>
      <c r="E175" s="81">
        <f>F175-118203771.85</f>
        <v>-61660490.49999999</v>
      </c>
      <c r="F175" s="81">
        <v>56543281.35</v>
      </c>
      <c r="G175" s="54">
        <f t="shared" si="20"/>
        <v>0.0727934694438156</v>
      </c>
      <c r="H175" s="81">
        <f t="shared" si="25"/>
        <v>100121479.07</v>
      </c>
      <c r="I175" s="81">
        <f>J175-30670195.77</f>
        <v>25873085.580000002</v>
      </c>
      <c r="J175" s="81">
        <v>56543281.35</v>
      </c>
      <c r="K175" s="54">
        <f t="shared" si="22"/>
        <v>0.07355918023341047</v>
      </c>
      <c r="L175" s="84">
        <f t="shared" si="26"/>
        <v>100121479.07</v>
      </c>
      <c r="M175" s="83">
        <f t="shared" si="24"/>
        <v>0</v>
      </c>
      <c r="N175" s="6"/>
    </row>
    <row r="176" spans="1:14" s="5" customFormat="1" ht="15">
      <c r="A176" s="50" t="s">
        <v>139</v>
      </c>
      <c r="B176" s="51" t="s">
        <v>140</v>
      </c>
      <c r="C176" s="81">
        <v>91803086</v>
      </c>
      <c r="D176" s="81">
        <v>103844857.19</v>
      </c>
      <c r="E176" s="81">
        <f>F176-35740135.53</f>
        <v>944525.1499999985</v>
      </c>
      <c r="F176" s="81">
        <v>36684660.68</v>
      </c>
      <c r="G176" s="54">
        <f t="shared" si="20"/>
        <v>0.04722760445642802</v>
      </c>
      <c r="H176" s="81">
        <f t="shared" si="25"/>
        <v>67160196.50999999</v>
      </c>
      <c r="I176" s="81">
        <f>J176-25148197.01</f>
        <v>11536463.669999998</v>
      </c>
      <c r="J176" s="81">
        <v>36684660.68</v>
      </c>
      <c r="K176" s="54">
        <f t="shared" si="22"/>
        <v>0.04772438921713952</v>
      </c>
      <c r="L176" s="84">
        <f t="shared" si="26"/>
        <v>67160196.50999999</v>
      </c>
      <c r="M176" s="83">
        <f t="shared" si="24"/>
        <v>0</v>
      </c>
      <c r="N176" s="6"/>
    </row>
    <row r="177" spans="1:14" s="5" customFormat="1" ht="15">
      <c r="A177" s="45" t="s">
        <v>141</v>
      </c>
      <c r="B177" s="48" t="s">
        <v>142</v>
      </c>
      <c r="C177" s="80">
        <f>SUM(C178:C180)</f>
        <v>289393511</v>
      </c>
      <c r="D177" s="80">
        <f>SUM(D178:D180)</f>
        <v>349064687.09</v>
      </c>
      <c r="E177" s="80">
        <f>SUM(E178:E180)</f>
        <v>-75810444.17</v>
      </c>
      <c r="F177" s="80">
        <f>SUM(F178:F180)</f>
        <v>105078682.54</v>
      </c>
      <c r="G177" s="49">
        <f t="shared" si="20"/>
        <v>0.13527764367484643</v>
      </c>
      <c r="H177" s="80">
        <f t="shared" si="25"/>
        <v>243986004.54999995</v>
      </c>
      <c r="I177" s="80">
        <f>SUM(I179:I180)</f>
        <v>46175864.730000004</v>
      </c>
      <c r="J177" s="80">
        <f>SUM(J179:J180)</f>
        <v>105078682.54</v>
      </c>
      <c r="K177" s="49">
        <f t="shared" si="22"/>
        <v>0.13670062230389432</v>
      </c>
      <c r="L177" s="83">
        <f t="shared" si="26"/>
        <v>243986004.54999995</v>
      </c>
      <c r="M177" s="83">
        <f t="shared" si="24"/>
        <v>0</v>
      </c>
      <c r="N177" s="6"/>
    </row>
    <row r="178" spans="1:14" s="5" customFormat="1" ht="15">
      <c r="A178" s="50" t="s">
        <v>51</v>
      </c>
      <c r="B178" s="51" t="s">
        <v>58</v>
      </c>
      <c r="C178" s="81">
        <v>0</v>
      </c>
      <c r="D178" s="81">
        <v>0</v>
      </c>
      <c r="E178" s="80">
        <f>F178-0</f>
        <v>0</v>
      </c>
      <c r="F178" s="80">
        <v>0</v>
      </c>
      <c r="G178" s="49">
        <f t="shared" si="20"/>
        <v>0</v>
      </c>
      <c r="H178" s="81">
        <f t="shared" si="25"/>
        <v>0</v>
      </c>
      <c r="I178" s="80">
        <f>J178-0</f>
        <v>0</v>
      </c>
      <c r="J178" s="80">
        <v>0</v>
      </c>
      <c r="K178" s="49">
        <f t="shared" si="22"/>
        <v>0</v>
      </c>
      <c r="L178" s="84">
        <f t="shared" si="26"/>
        <v>0</v>
      </c>
      <c r="M178" s="83">
        <f t="shared" si="24"/>
        <v>0</v>
      </c>
      <c r="N178" s="6"/>
    </row>
    <row r="179" spans="1:14" s="5" customFormat="1" ht="15">
      <c r="A179" s="50" t="s">
        <v>143</v>
      </c>
      <c r="B179" s="51" t="s">
        <v>144</v>
      </c>
      <c r="C179" s="81">
        <v>289393511</v>
      </c>
      <c r="D179" s="81">
        <v>349064687.09</v>
      </c>
      <c r="E179" s="81">
        <f>F179-180889126.71</f>
        <v>-75810444.17</v>
      </c>
      <c r="F179" s="81">
        <v>105078682.54</v>
      </c>
      <c r="G179" s="54">
        <f t="shared" si="20"/>
        <v>0.13527764367484643</v>
      </c>
      <c r="H179" s="81">
        <f t="shared" si="25"/>
        <v>243986004.54999995</v>
      </c>
      <c r="I179" s="81">
        <f>J179-58902817.81</f>
        <v>46175864.730000004</v>
      </c>
      <c r="J179" s="81">
        <v>105078682.54</v>
      </c>
      <c r="K179" s="54">
        <f t="shared" si="22"/>
        <v>0.13670062230389432</v>
      </c>
      <c r="L179" s="84">
        <f t="shared" si="26"/>
        <v>243986004.54999995</v>
      </c>
      <c r="M179" s="83">
        <f t="shared" si="24"/>
        <v>0</v>
      </c>
      <c r="N179" s="6"/>
    </row>
    <row r="180" spans="1:15" s="5" customFormat="1" ht="15">
      <c r="A180" s="50" t="s">
        <v>147</v>
      </c>
      <c r="B180" s="51" t="s">
        <v>148</v>
      </c>
      <c r="C180" s="81">
        <v>0</v>
      </c>
      <c r="D180" s="81">
        <v>0</v>
      </c>
      <c r="E180" s="81">
        <f>F180-0</f>
        <v>0</v>
      </c>
      <c r="F180" s="81">
        <v>0</v>
      </c>
      <c r="G180" s="54">
        <f t="shared" si="20"/>
        <v>0</v>
      </c>
      <c r="H180" s="81">
        <f t="shared" si="25"/>
        <v>0</v>
      </c>
      <c r="I180" s="81">
        <f>J180-0</f>
        <v>0</v>
      </c>
      <c r="J180" s="81">
        <v>0</v>
      </c>
      <c r="K180" s="54">
        <f t="shared" si="22"/>
        <v>0</v>
      </c>
      <c r="L180" s="84">
        <f t="shared" si="26"/>
        <v>0</v>
      </c>
      <c r="M180" s="83">
        <f t="shared" si="24"/>
        <v>0</v>
      </c>
      <c r="N180" s="6"/>
      <c r="O180" s="7"/>
    </row>
    <row r="181" spans="1:15" s="5" customFormat="1" ht="15">
      <c r="A181" s="45" t="s">
        <v>149</v>
      </c>
      <c r="B181" s="48" t="s">
        <v>150</v>
      </c>
      <c r="C181" s="80">
        <f>SUM(C182:C191)</f>
        <v>1325515588</v>
      </c>
      <c r="D181" s="80">
        <f>SUM(D182:D191)</f>
        <v>1940926434.0900002</v>
      </c>
      <c r="E181" s="80">
        <f>SUM(E182:E191)</f>
        <v>41906192.79</v>
      </c>
      <c r="F181" s="80">
        <f>SUM(F182:F191)</f>
        <v>352595106.46000004</v>
      </c>
      <c r="G181" s="49">
        <f t="shared" si="20"/>
        <v>0.45392875148613776</v>
      </c>
      <c r="H181" s="80">
        <f t="shared" si="25"/>
        <v>1588331327.63</v>
      </c>
      <c r="I181" s="80">
        <f>SUM(I182:I190)</f>
        <v>133568266.73999998</v>
      </c>
      <c r="J181" s="80">
        <f>SUM(J182:J190)</f>
        <v>345471043.08000004</v>
      </c>
      <c r="K181" s="49">
        <f t="shared" si="22"/>
        <v>0.449435655600593</v>
      </c>
      <c r="L181" s="83">
        <f t="shared" si="26"/>
        <v>1595455391.0100002</v>
      </c>
      <c r="M181" s="83">
        <f>SUM(M182:M191)</f>
        <v>7124063.380000021</v>
      </c>
      <c r="N181" s="6"/>
      <c r="O181" s="8"/>
    </row>
    <row r="182" spans="1:14" s="5" customFormat="1" ht="15">
      <c r="A182" s="50" t="s">
        <v>28</v>
      </c>
      <c r="B182" s="51" t="s">
        <v>33</v>
      </c>
      <c r="C182" s="81">
        <v>180982882</v>
      </c>
      <c r="D182" s="81">
        <v>215864878.71</v>
      </c>
      <c r="E182" s="81">
        <f>F182-114554051.57</f>
        <v>27345444.120000005</v>
      </c>
      <c r="F182" s="81">
        <v>141899495.69</v>
      </c>
      <c r="G182" s="54">
        <f t="shared" si="20"/>
        <v>0.18268052997604917</v>
      </c>
      <c r="H182" s="81">
        <f t="shared" si="25"/>
        <v>73965383.02000001</v>
      </c>
      <c r="I182" s="81">
        <f>J182-106904639.25</f>
        <v>29529212.949999988</v>
      </c>
      <c r="J182" s="81">
        <v>136433852.2</v>
      </c>
      <c r="K182" s="54">
        <f t="shared" si="22"/>
        <v>0.17749168573709392</v>
      </c>
      <c r="L182" s="84">
        <f t="shared" si="26"/>
        <v>79431026.51000002</v>
      </c>
      <c r="M182" s="84">
        <f t="shared" si="24"/>
        <v>5465643.49000001</v>
      </c>
      <c r="N182" s="6"/>
    </row>
    <row r="183" spans="1:14" s="5" customFormat="1" ht="15">
      <c r="A183" s="50" t="s">
        <v>29</v>
      </c>
      <c r="B183" s="51" t="s">
        <v>34</v>
      </c>
      <c r="C183" s="81">
        <v>150000</v>
      </c>
      <c r="D183" s="81">
        <v>150000</v>
      </c>
      <c r="E183" s="81">
        <f>F183-0</f>
        <v>0</v>
      </c>
      <c r="F183" s="81">
        <v>0</v>
      </c>
      <c r="G183" s="54">
        <f t="shared" si="20"/>
        <v>0</v>
      </c>
      <c r="H183" s="81">
        <f t="shared" si="25"/>
        <v>150000</v>
      </c>
      <c r="I183" s="81">
        <f>J183-0</f>
        <v>0</v>
      </c>
      <c r="J183" s="81">
        <v>0</v>
      </c>
      <c r="K183" s="54">
        <f t="shared" si="22"/>
        <v>0</v>
      </c>
      <c r="L183" s="84">
        <f t="shared" si="26"/>
        <v>150000</v>
      </c>
      <c r="M183" s="84">
        <f t="shared" si="24"/>
        <v>0</v>
      </c>
      <c r="N183" s="6"/>
    </row>
    <row r="184" spans="1:14" s="5" customFormat="1" ht="15">
      <c r="A184" s="50" t="s">
        <v>151</v>
      </c>
      <c r="B184" s="51" t="s">
        <v>152</v>
      </c>
      <c r="C184" s="81">
        <v>0</v>
      </c>
      <c r="D184" s="81">
        <v>0</v>
      </c>
      <c r="E184" s="81">
        <f>F184-0</f>
        <v>0</v>
      </c>
      <c r="F184" s="81">
        <v>0</v>
      </c>
      <c r="G184" s="54">
        <f t="shared" si="20"/>
        <v>0</v>
      </c>
      <c r="H184" s="81">
        <f t="shared" si="25"/>
        <v>0</v>
      </c>
      <c r="I184" s="81">
        <f>J184-0</f>
        <v>0</v>
      </c>
      <c r="J184" s="81">
        <v>0</v>
      </c>
      <c r="K184" s="54">
        <f t="shared" si="22"/>
        <v>0</v>
      </c>
      <c r="L184" s="84">
        <f t="shared" si="26"/>
        <v>0</v>
      </c>
      <c r="M184" s="84">
        <f t="shared" si="24"/>
        <v>0</v>
      </c>
      <c r="N184" s="6"/>
    </row>
    <row r="185" spans="1:14" s="5" customFormat="1" ht="15">
      <c r="A185" s="50" t="s">
        <v>153</v>
      </c>
      <c r="B185" s="51" t="s">
        <v>154</v>
      </c>
      <c r="C185" s="81">
        <v>738596580</v>
      </c>
      <c r="D185" s="81">
        <v>965691773.8</v>
      </c>
      <c r="E185" s="81">
        <f>F185-15325442.26</f>
        <v>6066487.92</v>
      </c>
      <c r="F185" s="81">
        <v>21391930.18</v>
      </c>
      <c r="G185" s="54">
        <f t="shared" si="20"/>
        <v>0.027539838133254474</v>
      </c>
      <c r="H185" s="81">
        <f aca="true" t="shared" si="27" ref="H185:H191">D185-F185</f>
        <v>944299843.62</v>
      </c>
      <c r="I185" s="81">
        <f>J185-9688560.57</f>
        <v>11488307.919999998</v>
      </c>
      <c r="J185" s="81">
        <v>21176868.49</v>
      </c>
      <c r="K185" s="54">
        <f t="shared" si="22"/>
        <v>0.02754974682832306</v>
      </c>
      <c r="L185" s="84">
        <f aca="true" t="shared" si="28" ref="L185:L191">D185-J185</f>
        <v>944514905.31</v>
      </c>
      <c r="M185" s="84">
        <f t="shared" si="24"/>
        <v>215061.69000000134</v>
      </c>
      <c r="N185" s="6"/>
    </row>
    <row r="186" spans="1:14" s="5" customFormat="1" ht="15">
      <c r="A186" s="50" t="s">
        <v>30</v>
      </c>
      <c r="B186" s="51" t="s">
        <v>35</v>
      </c>
      <c r="C186" s="81">
        <v>18002886</v>
      </c>
      <c r="D186" s="81">
        <v>19788431.49</v>
      </c>
      <c r="E186" s="81">
        <f>F186-3796649.51</f>
        <v>336575.79000000004</v>
      </c>
      <c r="F186" s="81">
        <v>4133225.3</v>
      </c>
      <c r="G186" s="54">
        <f t="shared" si="20"/>
        <v>0.005321088596142387</v>
      </c>
      <c r="H186" s="81">
        <f t="shared" si="27"/>
        <v>15655206.189999998</v>
      </c>
      <c r="I186" s="81">
        <f>J186-1986319.47</f>
        <v>1844138.6500000001</v>
      </c>
      <c r="J186" s="81">
        <v>3830458.12</v>
      </c>
      <c r="K186" s="54">
        <f t="shared" si="22"/>
        <v>0.00498318018513106</v>
      </c>
      <c r="L186" s="84">
        <f t="shared" si="28"/>
        <v>15957973.369999997</v>
      </c>
      <c r="M186" s="84">
        <f t="shared" si="24"/>
        <v>302767.1799999997</v>
      </c>
      <c r="N186" s="6"/>
    </row>
    <row r="187" spans="1:14" s="5" customFormat="1" ht="15">
      <c r="A187" s="50" t="s">
        <v>145</v>
      </c>
      <c r="B187" s="51" t="s">
        <v>146</v>
      </c>
      <c r="C187" s="81">
        <v>298035157</v>
      </c>
      <c r="D187" s="81">
        <v>534576816.02</v>
      </c>
      <c r="E187" s="81">
        <f>F187-75642937.92</f>
        <v>-2618262.2399999946</v>
      </c>
      <c r="F187" s="81">
        <v>73024675.68</v>
      </c>
      <c r="G187" s="54">
        <f t="shared" si="20"/>
        <v>0.09401151420365214</v>
      </c>
      <c r="H187" s="81">
        <f t="shared" si="27"/>
        <v>461552140.34</v>
      </c>
      <c r="I187" s="81">
        <f>J187-49867930.76</f>
        <v>22028650.589999996</v>
      </c>
      <c r="J187" s="81">
        <v>71896581.35</v>
      </c>
      <c r="K187" s="54">
        <f t="shared" si="22"/>
        <v>0.09353283819794989</v>
      </c>
      <c r="L187" s="84">
        <f t="shared" si="28"/>
        <v>462680234.66999996</v>
      </c>
      <c r="M187" s="84">
        <f t="shared" si="24"/>
        <v>1128094.330000013</v>
      </c>
      <c r="N187" s="6"/>
    </row>
    <row r="188" spans="1:14" s="5" customFormat="1" ht="15">
      <c r="A188" s="66" t="s">
        <v>147</v>
      </c>
      <c r="B188" s="51" t="s">
        <v>148</v>
      </c>
      <c r="C188" s="81">
        <v>77447033</v>
      </c>
      <c r="D188" s="81">
        <v>194777641.91</v>
      </c>
      <c r="E188" s="81">
        <f>F188-99720182.28</f>
        <v>10276014.179999992</v>
      </c>
      <c r="F188" s="81">
        <v>109996196.46</v>
      </c>
      <c r="G188" s="54">
        <f t="shared" si="20"/>
        <v>0.14160842057226922</v>
      </c>
      <c r="H188" s="81">
        <f t="shared" si="27"/>
        <v>84781445.45</v>
      </c>
      <c r="I188" s="81">
        <f>J188-42301522.7</f>
        <v>67682177.07</v>
      </c>
      <c r="J188" s="81">
        <v>109983699.77</v>
      </c>
      <c r="K188" s="54">
        <f t="shared" si="22"/>
        <v>0.1430817349286846</v>
      </c>
      <c r="L188" s="84">
        <f t="shared" si="28"/>
        <v>84793942.14</v>
      </c>
      <c r="M188" s="84">
        <f t="shared" si="24"/>
        <v>12496.689999997616</v>
      </c>
      <c r="N188" s="6"/>
    </row>
    <row r="189" spans="1:14" s="5" customFormat="1" ht="15">
      <c r="A189" s="66" t="s">
        <v>160</v>
      </c>
      <c r="B189" s="51" t="s">
        <v>161</v>
      </c>
      <c r="C189" s="87">
        <v>2977333</v>
      </c>
      <c r="D189" s="81">
        <v>3804173.53</v>
      </c>
      <c r="E189" s="81">
        <f>F189-1645577.86</f>
        <v>-109163.38000000012</v>
      </c>
      <c r="F189" s="81">
        <v>1536414.48</v>
      </c>
      <c r="G189" s="54">
        <f aca="true" t="shared" si="29" ref="G189:G220">(F189/$F$286)*100</f>
        <v>0.0019779704649722425</v>
      </c>
      <c r="H189" s="81">
        <f t="shared" si="27"/>
        <v>2267759.05</v>
      </c>
      <c r="I189" s="81">
        <f>J189-1149941.32</f>
        <v>386473.1599999999</v>
      </c>
      <c r="J189" s="81">
        <v>1536414.48</v>
      </c>
      <c r="K189" s="54">
        <f aca="true" t="shared" si="30" ref="K189:K220">(J189/$J$286)*100</f>
        <v>0.001998776635334794</v>
      </c>
      <c r="L189" s="84">
        <f t="shared" si="28"/>
        <v>2267759.05</v>
      </c>
      <c r="M189" s="84">
        <f t="shared" si="24"/>
        <v>0</v>
      </c>
      <c r="N189" s="6"/>
    </row>
    <row r="190" spans="1:14" s="5" customFormat="1" ht="15">
      <c r="A190" s="66" t="s">
        <v>97</v>
      </c>
      <c r="B190" s="51" t="s">
        <v>237</v>
      </c>
      <c r="C190" s="87">
        <v>9323717</v>
      </c>
      <c r="D190" s="81">
        <v>6272718.63</v>
      </c>
      <c r="E190" s="81">
        <f>F190-4072.27</f>
        <v>609096.4</v>
      </c>
      <c r="F190" s="81">
        <v>613168.67</v>
      </c>
      <c r="G190" s="54">
        <f t="shared" si="29"/>
        <v>0.0007893895397980833</v>
      </c>
      <c r="H190" s="81">
        <f t="shared" si="27"/>
        <v>5659549.96</v>
      </c>
      <c r="I190" s="81">
        <f>J190-3862.27</f>
        <v>609306.4</v>
      </c>
      <c r="J190" s="81">
        <v>613168.67</v>
      </c>
      <c r="K190" s="54">
        <f t="shared" si="30"/>
        <v>0.0007976930880756285</v>
      </c>
      <c r="L190" s="84">
        <f t="shared" si="28"/>
        <v>5659549.96</v>
      </c>
      <c r="M190" s="84">
        <f t="shared" si="24"/>
        <v>0</v>
      </c>
      <c r="N190" s="6"/>
    </row>
    <row r="191" spans="1:14" s="5" customFormat="1" ht="15">
      <c r="A191" s="59" t="s">
        <v>201</v>
      </c>
      <c r="B191" s="51" t="s">
        <v>202</v>
      </c>
      <c r="C191" s="87">
        <v>0</v>
      </c>
      <c r="D191" s="81">
        <v>0</v>
      </c>
      <c r="E191" s="81">
        <f>F191-0</f>
        <v>0</v>
      </c>
      <c r="F191" s="81">
        <v>0</v>
      </c>
      <c r="G191" s="54">
        <f t="shared" si="29"/>
        <v>0</v>
      </c>
      <c r="H191" s="81">
        <f t="shared" si="27"/>
        <v>0</v>
      </c>
      <c r="I191" s="81">
        <f>J191-0</f>
        <v>0</v>
      </c>
      <c r="J191" s="81">
        <v>0</v>
      </c>
      <c r="K191" s="54">
        <f t="shared" si="30"/>
        <v>0</v>
      </c>
      <c r="L191" s="84">
        <f t="shared" si="28"/>
        <v>0</v>
      </c>
      <c r="M191" s="84">
        <f t="shared" si="24"/>
        <v>0</v>
      </c>
      <c r="N191" s="6"/>
    </row>
    <row r="192" spans="1:14" ht="14.25">
      <c r="A192" s="45" t="s">
        <v>158</v>
      </c>
      <c r="B192" s="48" t="s">
        <v>159</v>
      </c>
      <c r="C192" s="80">
        <f>SUM(C193:C201)</f>
        <v>426391194</v>
      </c>
      <c r="D192" s="80">
        <f>SUM(D193:D201)</f>
        <v>1055849270.7599999</v>
      </c>
      <c r="E192" s="80">
        <f>SUM(E193:E201)</f>
        <v>328152526.52</v>
      </c>
      <c r="F192" s="80">
        <f>SUM(F193:F201)</f>
        <v>671214805.7799999</v>
      </c>
      <c r="G192" s="49">
        <f t="shared" si="29"/>
        <v>0.8641177747068093</v>
      </c>
      <c r="H192" s="80">
        <f>D192-F192</f>
        <v>384634464.98</v>
      </c>
      <c r="I192" s="80">
        <f>SUM(I193:I201)</f>
        <v>391533898.6999999</v>
      </c>
      <c r="J192" s="80">
        <f>SUM(J193:J201)</f>
        <v>671214805.7799999</v>
      </c>
      <c r="K192" s="49">
        <f t="shared" si="30"/>
        <v>0.8732073854731215</v>
      </c>
      <c r="L192" s="83">
        <f>D192-J192</f>
        <v>384634464.98</v>
      </c>
      <c r="M192" s="83">
        <f>SUM(M193:M201)</f>
        <v>0</v>
      </c>
      <c r="N192" s="3"/>
    </row>
    <row r="193" spans="1:14" ht="15">
      <c r="A193" s="50" t="s">
        <v>28</v>
      </c>
      <c r="B193" s="51" t="s">
        <v>33</v>
      </c>
      <c r="C193" s="81">
        <v>90890718</v>
      </c>
      <c r="D193" s="81">
        <v>143810315.84</v>
      </c>
      <c r="E193" s="81">
        <f>F193-82956200.15</f>
        <v>20470940.019999996</v>
      </c>
      <c r="F193" s="81">
        <v>103427140.17</v>
      </c>
      <c r="G193" s="54">
        <f t="shared" si="29"/>
        <v>0.1331514582788911</v>
      </c>
      <c r="H193" s="81">
        <f aca="true" t="shared" si="31" ref="H193:H276">D193-F193</f>
        <v>40383175.67</v>
      </c>
      <c r="I193" s="81">
        <f>J193-81592496.61</f>
        <v>21834643.560000002</v>
      </c>
      <c r="J193" s="81">
        <v>103427140.17</v>
      </c>
      <c r="K193" s="54">
        <f t="shared" si="30"/>
        <v>0.13455207167228256</v>
      </c>
      <c r="L193" s="84">
        <f>D193-J193</f>
        <v>40383175.67</v>
      </c>
      <c r="M193" s="83">
        <f t="shared" si="24"/>
        <v>0</v>
      </c>
      <c r="N193" s="3"/>
    </row>
    <row r="194" spans="1:14" ht="15">
      <c r="A194" s="50" t="s">
        <v>50</v>
      </c>
      <c r="B194" s="51" t="s">
        <v>57</v>
      </c>
      <c r="C194" s="81">
        <v>140907934</v>
      </c>
      <c r="D194" s="81">
        <v>192542652.45</v>
      </c>
      <c r="E194" s="81">
        <f>F194-80440715.31</f>
        <v>11825656.719999999</v>
      </c>
      <c r="F194" s="81">
        <v>92266372.03</v>
      </c>
      <c r="G194" s="54">
        <f t="shared" si="29"/>
        <v>0.11878315465074307</v>
      </c>
      <c r="H194" s="81">
        <f t="shared" si="31"/>
        <v>100276280.41999999</v>
      </c>
      <c r="I194" s="81">
        <f>J194-20514173.7</f>
        <v>71752198.33</v>
      </c>
      <c r="J194" s="81">
        <v>92266372.03</v>
      </c>
      <c r="K194" s="54">
        <f t="shared" si="30"/>
        <v>0.12003262859164915</v>
      </c>
      <c r="L194" s="84">
        <f aca="true" t="shared" si="32" ref="L194:L274">D194-J194</f>
        <v>100276280.41999999</v>
      </c>
      <c r="M194" s="83">
        <f t="shared" si="24"/>
        <v>0</v>
      </c>
      <c r="N194" s="3"/>
    </row>
    <row r="195" spans="1:14" ht="15">
      <c r="A195" s="50" t="s">
        <v>29</v>
      </c>
      <c r="B195" s="51" t="s">
        <v>34</v>
      </c>
      <c r="C195" s="81">
        <v>290941</v>
      </c>
      <c r="D195" s="81">
        <v>540580</v>
      </c>
      <c r="E195" s="81">
        <f>F195-420700</f>
        <v>-44716.96000000002</v>
      </c>
      <c r="F195" s="81">
        <v>375983.04</v>
      </c>
      <c r="G195" s="54">
        <f t="shared" si="29"/>
        <v>0.0004840382319557918</v>
      </c>
      <c r="H195" s="81">
        <f t="shared" si="31"/>
        <v>164596.96000000002</v>
      </c>
      <c r="I195" s="81">
        <f>J195-117168</f>
        <v>258815.03999999998</v>
      </c>
      <c r="J195" s="81">
        <v>375983.04</v>
      </c>
      <c r="K195" s="54">
        <f t="shared" si="30"/>
        <v>0.0004891298054117189</v>
      </c>
      <c r="L195" s="84">
        <f t="shared" si="32"/>
        <v>164596.96000000002</v>
      </c>
      <c r="M195" s="83">
        <f t="shared" si="24"/>
        <v>0</v>
      </c>
      <c r="N195" s="3"/>
    </row>
    <row r="196" spans="1:14" ht="15">
      <c r="A196" s="50" t="s">
        <v>114</v>
      </c>
      <c r="B196" s="51" t="s">
        <v>121</v>
      </c>
      <c r="C196" s="81">
        <v>82257852</v>
      </c>
      <c r="D196" s="81">
        <v>83284764.24</v>
      </c>
      <c r="E196" s="81">
        <f>F196-60027427.07</f>
        <v>20712705.479999997</v>
      </c>
      <c r="F196" s="81">
        <v>80740132.55</v>
      </c>
      <c r="G196" s="54">
        <f t="shared" si="29"/>
        <v>0.10394434548797274</v>
      </c>
      <c r="H196" s="81">
        <f t="shared" si="31"/>
        <v>2544631.6899999976</v>
      </c>
      <c r="I196" s="81">
        <f>J196-59930477.07</f>
        <v>20809655.479999997</v>
      </c>
      <c r="J196" s="81">
        <v>80740132.55</v>
      </c>
      <c r="K196" s="54">
        <f t="shared" si="30"/>
        <v>0.10503773075269006</v>
      </c>
      <c r="L196" s="84">
        <f t="shared" si="32"/>
        <v>2544631.6899999976</v>
      </c>
      <c r="M196" s="83">
        <f t="shared" si="24"/>
        <v>0</v>
      </c>
      <c r="N196" s="3"/>
    </row>
    <row r="197" spans="1:14" ht="15">
      <c r="A197" s="50" t="s">
        <v>116</v>
      </c>
      <c r="B197" s="51" t="s">
        <v>123</v>
      </c>
      <c r="C197" s="81">
        <v>0</v>
      </c>
      <c r="D197" s="81">
        <v>0</v>
      </c>
      <c r="E197" s="81">
        <f>F197-0</f>
        <v>0</v>
      </c>
      <c r="F197" s="81">
        <v>0</v>
      </c>
      <c r="G197" s="54">
        <f t="shared" si="29"/>
        <v>0</v>
      </c>
      <c r="H197" s="81">
        <f t="shared" si="31"/>
        <v>0</v>
      </c>
      <c r="I197" s="81">
        <f>J197-0</f>
        <v>0</v>
      </c>
      <c r="J197" s="81">
        <v>0</v>
      </c>
      <c r="K197" s="54">
        <f t="shared" si="30"/>
        <v>0</v>
      </c>
      <c r="L197" s="84">
        <f t="shared" si="32"/>
        <v>0</v>
      </c>
      <c r="M197" s="83">
        <f t="shared" si="24"/>
        <v>0</v>
      </c>
      <c r="N197" s="3"/>
    </row>
    <row r="198" spans="1:14" ht="15">
      <c r="A198" s="50" t="s">
        <v>96</v>
      </c>
      <c r="B198" s="51" t="s">
        <v>102</v>
      </c>
      <c r="C198" s="81">
        <v>45440641</v>
      </c>
      <c r="D198" s="81">
        <v>566928836.06</v>
      </c>
      <c r="E198" s="81">
        <f>F198-99969218.97</f>
        <v>265611187.67999998</v>
      </c>
      <c r="F198" s="81">
        <v>365580406.65</v>
      </c>
      <c r="G198" s="54">
        <f t="shared" si="29"/>
        <v>0.47064594635051993</v>
      </c>
      <c r="H198" s="81">
        <f t="shared" si="31"/>
        <v>201348429.40999997</v>
      </c>
      <c r="I198" s="81">
        <f>J198-98292766.11</f>
        <v>267287640.53999996</v>
      </c>
      <c r="J198" s="81">
        <v>365580406.65</v>
      </c>
      <c r="K198" s="54">
        <f t="shared" si="30"/>
        <v>0.47559664703772697</v>
      </c>
      <c r="L198" s="84">
        <f t="shared" si="32"/>
        <v>201348429.40999997</v>
      </c>
      <c r="M198" s="83">
        <f t="shared" si="24"/>
        <v>0</v>
      </c>
      <c r="N198" s="3"/>
    </row>
    <row r="199" spans="1:14" ht="15">
      <c r="A199" s="50" t="s">
        <v>160</v>
      </c>
      <c r="B199" s="51" t="s">
        <v>161</v>
      </c>
      <c r="C199" s="81">
        <v>55033108</v>
      </c>
      <c r="D199" s="81">
        <v>65850143.91</v>
      </c>
      <c r="E199" s="81">
        <f>F199-19168017.76</f>
        <v>9548302.91</v>
      </c>
      <c r="F199" s="81">
        <v>28716320.67</v>
      </c>
      <c r="G199" s="54">
        <f t="shared" si="29"/>
        <v>0.036969212987326125</v>
      </c>
      <c r="H199" s="81">
        <f t="shared" si="31"/>
        <v>37133823.239999995</v>
      </c>
      <c r="I199" s="81">
        <f>J199-19153825.59</f>
        <v>9562495.080000002</v>
      </c>
      <c r="J199" s="81">
        <v>28716320.67</v>
      </c>
      <c r="K199" s="54">
        <f t="shared" si="30"/>
        <v>0.03735809025177738</v>
      </c>
      <c r="L199" s="84">
        <f t="shared" si="32"/>
        <v>37133823.239999995</v>
      </c>
      <c r="M199" s="83">
        <f t="shared" si="24"/>
        <v>0</v>
      </c>
      <c r="N199" s="3"/>
    </row>
    <row r="200" spans="1:14" ht="15">
      <c r="A200" s="50" t="s">
        <v>97</v>
      </c>
      <c r="B200" s="51" t="s">
        <v>241</v>
      </c>
      <c r="C200" s="81">
        <v>11565000</v>
      </c>
      <c r="D200" s="81">
        <v>2886978.26</v>
      </c>
      <c r="E200" s="81">
        <f>F200-80000</f>
        <v>28450.67</v>
      </c>
      <c r="F200" s="81">
        <v>108450.67</v>
      </c>
      <c r="G200" s="54">
        <f t="shared" si="29"/>
        <v>0.00013961871940080338</v>
      </c>
      <c r="H200" s="81">
        <f t="shared" si="31"/>
        <v>2778527.59</v>
      </c>
      <c r="I200" s="81">
        <f>J200-80000</f>
        <v>28450.67</v>
      </c>
      <c r="J200" s="81">
        <v>108450.67</v>
      </c>
      <c r="K200" s="54">
        <f t="shared" si="30"/>
        <v>0.00014108736158383777</v>
      </c>
      <c r="L200" s="84">
        <f t="shared" si="32"/>
        <v>2778527.59</v>
      </c>
      <c r="M200" s="83">
        <f t="shared" si="24"/>
        <v>0</v>
      </c>
      <c r="N200" s="3"/>
    </row>
    <row r="201" spans="1:14" ht="15">
      <c r="A201" s="50" t="s">
        <v>187</v>
      </c>
      <c r="B201" s="51" t="s">
        <v>188</v>
      </c>
      <c r="C201" s="81">
        <v>5000</v>
      </c>
      <c r="D201" s="81">
        <v>5000</v>
      </c>
      <c r="E201" s="81">
        <f>F201-0</f>
        <v>0</v>
      </c>
      <c r="F201" s="81">
        <v>0</v>
      </c>
      <c r="G201" s="54">
        <f t="shared" si="29"/>
        <v>0</v>
      </c>
      <c r="H201" s="81">
        <f t="shared" si="31"/>
        <v>5000</v>
      </c>
      <c r="I201" s="81">
        <f>J201-0</f>
        <v>0</v>
      </c>
      <c r="J201" s="81">
        <v>0</v>
      </c>
      <c r="K201" s="54">
        <f t="shared" si="30"/>
        <v>0</v>
      </c>
      <c r="L201" s="84">
        <f t="shared" si="32"/>
        <v>5000</v>
      </c>
      <c r="M201" s="83">
        <f t="shared" si="24"/>
        <v>0</v>
      </c>
      <c r="N201" s="3"/>
    </row>
    <row r="202" spans="1:14" ht="14.25">
      <c r="A202" s="45" t="s">
        <v>162</v>
      </c>
      <c r="B202" s="48" t="s">
        <v>163</v>
      </c>
      <c r="C202" s="80">
        <f>SUM(C203:C220)</f>
        <v>391799992</v>
      </c>
      <c r="D202" s="80">
        <f>SUM(D203:D220)</f>
        <v>470323018.04999995</v>
      </c>
      <c r="E202" s="80">
        <f>SUM(E203:E220)</f>
        <v>92480062.53</v>
      </c>
      <c r="F202" s="80">
        <f>SUM(F203:F220)</f>
        <v>364685825.97999996</v>
      </c>
      <c r="G202" s="49">
        <f t="shared" si="29"/>
        <v>0.46949426874865613</v>
      </c>
      <c r="H202" s="80">
        <f t="shared" si="31"/>
        <v>105637192.07</v>
      </c>
      <c r="I202" s="80">
        <f>SUM(I203:I220)</f>
        <v>114727840.67999999</v>
      </c>
      <c r="J202" s="80">
        <f>SUM(J203:J220)</f>
        <v>364685825.97999996</v>
      </c>
      <c r="K202" s="49">
        <f t="shared" si="30"/>
        <v>0.4744328549979525</v>
      </c>
      <c r="L202" s="83">
        <f t="shared" si="32"/>
        <v>105637192.07</v>
      </c>
      <c r="M202" s="83">
        <f>SUM(M203:M220)</f>
        <v>0</v>
      </c>
      <c r="N202" s="3"/>
    </row>
    <row r="203" spans="1:14" ht="15">
      <c r="A203" s="50" t="s">
        <v>28</v>
      </c>
      <c r="B203" s="51" t="s">
        <v>33</v>
      </c>
      <c r="C203" s="81">
        <v>334376926</v>
      </c>
      <c r="D203" s="81">
        <v>367256738.28</v>
      </c>
      <c r="E203" s="81">
        <f>F203-249911722.24</f>
        <v>65072666.19</v>
      </c>
      <c r="F203" s="81">
        <v>314984388.43</v>
      </c>
      <c r="G203" s="54">
        <f t="shared" si="29"/>
        <v>0.4055089465453908</v>
      </c>
      <c r="H203" s="81">
        <f t="shared" si="31"/>
        <v>52272349.849999964</v>
      </c>
      <c r="I203" s="81">
        <f>J203-245142228.71</f>
        <v>69842159.72</v>
      </c>
      <c r="J203" s="81">
        <v>314984388.43</v>
      </c>
      <c r="K203" s="54">
        <f t="shared" si="30"/>
        <v>0.4097744744563351</v>
      </c>
      <c r="L203" s="84">
        <f t="shared" si="32"/>
        <v>52272349.849999964</v>
      </c>
      <c r="M203" s="83">
        <f t="shared" si="24"/>
        <v>0</v>
      </c>
      <c r="N203" s="3"/>
    </row>
    <row r="204" spans="1:14" ht="15">
      <c r="A204" s="50" t="s">
        <v>50</v>
      </c>
      <c r="B204" s="51" t="s">
        <v>57</v>
      </c>
      <c r="C204" s="81">
        <v>29000</v>
      </c>
      <c r="D204" s="81">
        <v>2108537.21</v>
      </c>
      <c r="E204" s="81">
        <f aca="true" t="shared" si="33" ref="E204:E209">F204-0</f>
        <v>0</v>
      </c>
      <c r="F204" s="81">
        <v>0</v>
      </c>
      <c r="G204" s="54">
        <f t="shared" si="29"/>
        <v>0</v>
      </c>
      <c r="H204" s="81">
        <f t="shared" si="31"/>
        <v>2108537.21</v>
      </c>
      <c r="I204" s="81">
        <f aca="true" t="shared" si="34" ref="I204:I219">J204-0</f>
        <v>0</v>
      </c>
      <c r="J204" s="81">
        <v>0</v>
      </c>
      <c r="K204" s="54">
        <f t="shared" si="30"/>
        <v>0</v>
      </c>
      <c r="L204" s="84">
        <f t="shared" si="32"/>
        <v>2108537.21</v>
      </c>
      <c r="M204" s="83">
        <f t="shared" si="24"/>
        <v>0</v>
      </c>
      <c r="N204" s="3"/>
    </row>
    <row r="205" spans="1:14" ht="15">
      <c r="A205" s="50" t="s">
        <v>51</v>
      </c>
      <c r="B205" s="51" t="s">
        <v>58</v>
      </c>
      <c r="C205" s="81">
        <v>0</v>
      </c>
      <c r="D205" s="81">
        <v>0</v>
      </c>
      <c r="E205" s="81">
        <f t="shared" si="33"/>
        <v>0</v>
      </c>
      <c r="F205" s="81">
        <v>0</v>
      </c>
      <c r="G205" s="54">
        <f t="shared" si="29"/>
        <v>0</v>
      </c>
      <c r="H205" s="81">
        <f t="shared" si="31"/>
        <v>0</v>
      </c>
      <c r="I205" s="81">
        <f t="shared" si="34"/>
        <v>0</v>
      </c>
      <c r="J205" s="81">
        <v>0</v>
      </c>
      <c r="K205" s="54">
        <f t="shared" si="30"/>
        <v>0</v>
      </c>
      <c r="L205" s="84">
        <f t="shared" si="32"/>
        <v>0</v>
      </c>
      <c r="M205" s="83">
        <f t="shared" si="24"/>
        <v>0</v>
      </c>
      <c r="N205" s="3"/>
    </row>
    <row r="206" spans="1:14" ht="15">
      <c r="A206" s="50" t="s">
        <v>29</v>
      </c>
      <c r="B206" s="51" t="s">
        <v>264</v>
      </c>
      <c r="C206" s="81">
        <v>0</v>
      </c>
      <c r="D206" s="81">
        <v>0</v>
      </c>
      <c r="E206" s="52">
        <f t="shared" si="33"/>
        <v>0</v>
      </c>
      <c r="F206" s="52">
        <v>0</v>
      </c>
      <c r="G206" s="54">
        <f t="shared" si="29"/>
        <v>0</v>
      </c>
      <c r="H206" s="81">
        <f t="shared" si="31"/>
        <v>0</v>
      </c>
      <c r="I206" s="81">
        <f t="shared" si="34"/>
        <v>0</v>
      </c>
      <c r="J206" s="81">
        <v>0</v>
      </c>
      <c r="K206" s="54">
        <f t="shared" si="30"/>
        <v>0</v>
      </c>
      <c r="L206" s="84">
        <f t="shared" si="32"/>
        <v>0</v>
      </c>
      <c r="M206" s="83">
        <f t="shared" si="24"/>
        <v>0</v>
      </c>
      <c r="N206" s="3"/>
    </row>
    <row r="207" spans="1:14" ht="15">
      <c r="A207" s="50" t="s">
        <v>94</v>
      </c>
      <c r="B207" s="51" t="s">
        <v>100</v>
      </c>
      <c r="C207" s="52">
        <v>0</v>
      </c>
      <c r="D207" s="52">
        <v>0</v>
      </c>
      <c r="E207" s="52">
        <f t="shared" si="33"/>
        <v>0</v>
      </c>
      <c r="F207" s="52">
        <v>0</v>
      </c>
      <c r="G207" s="54">
        <f t="shared" si="29"/>
        <v>0</v>
      </c>
      <c r="H207" s="81">
        <f t="shared" si="31"/>
        <v>0</v>
      </c>
      <c r="I207" s="81">
        <f t="shared" si="34"/>
        <v>0</v>
      </c>
      <c r="J207" s="81">
        <v>0</v>
      </c>
      <c r="K207" s="54">
        <f t="shared" si="30"/>
        <v>0</v>
      </c>
      <c r="L207" s="84">
        <f t="shared" si="32"/>
        <v>0</v>
      </c>
      <c r="M207" s="83">
        <f t="shared" si="24"/>
        <v>0</v>
      </c>
      <c r="N207" s="3"/>
    </row>
    <row r="208" spans="1:14" ht="15">
      <c r="A208" s="50" t="s">
        <v>68</v>
      </c>
      <c r="B208" s="51" t="s">
        <v>76</v>
      </c>
      <c r="C208" s="81">
        <v>775206</v>
      </c>
      <c r="D208" s="81">
        <v>553201</v>
      </c>
      <c r="E208" s="81">
        <f>F208-365</f>
        <v>-365</v>
      </c>
      <c r="F208" s="81">
        <v>0</v>
      </c>
      <c r="G208" s="54">
        <f t="shared" si="29"/>
        <v>0</v>
      </c>
      <c r="H208" s="81">
        <f t="shared" si="31"/>
        <v>553201</v>
      </c>
      <c r="I208" s="81">
        <f>J208-365</f>
        <v>-365</v>
      </c>
      <c r="J208" s="81">
        <v>0</v>
      </c>
      <c r="K208" s="54">
        <f t="shared" si="30"/>
        <v>0</v>
      </c>
      <c r="L208" s="84">
        <f t="shared" si="32"/>
        <v>553201</v>
      </c>
      <c r="M208" s="83">
        <f t="shared" si="24"/>
        <v>0</v>
      </c>
      <c r="N208" s="3"/>
    </row>
    <row r="209" spans="1:14" ht="15">
      <c r="A209" s="50" t="s">
        <v>106</v>
      </c>
      <c r="B209" s="51" t="s">
        <v>108</v>
      </c>
      <c r="C209" s="81">
        <v>100000</v>
      </c>
      <c r="D209" s="81">
        <v>100000</v>
      </c>
      <c r="E209" s="81">
        <f t="shared" si="33"/>
        <v>0</v>
      </c>
      <c r="F209" s="81">
        <v>0</v>
      </c>
      <c r="G209" s="54">
        <f t="shared" si="29"/>
        <v>0</v>
      </c>
      <c r="H209" s="81">
        <f t="shared" si="31"/>
        <v>100000</v>
      </c>
      <c r="I209" s="81">
        <f>J209-0</f>
        <v>0</v>
      </c>
      <c r="J209" s="81">
        <v>0</v>
      </c>
      <c r="K209" s="54">
        <f t="shared" si="30"/>
        <v>0</v>
      </c>
      <c r="L209" s="84">
        <f t="shared" si="32"/>
        <v>100000</v>
      </c>
      <c r="M209" s="83">
        <f t="shared" si="24"/>
        <v>0</v>
      </c>
      <c r="N209" s="3"/>
    </row>
    <row r="210" spans="1:14" ht="15">
      <c r="A210" s="50" t="s">
        <v>135</v>
      </c>
      <c r="B210" s="51" t="s">
        <v>136</v>
      </c>
      <c r="C210" s="52">
        <v>0</v>
      </c>
      <c r="D210" s="81">
        <v>0</v>
      </c>
      <c r="E210" s="52">
        <f aca="true" t="shared" si="35" ref="E210:E219">F210-0</f>
        <v>0</v>
      </c>
      <c r="F210" s="52">
        <v>0</v>
      </c>
      <c r="G210" s="54">
        <f t="shared" si="29"/>
        <v>0</v>
      </c>
      <c r="H210" s="52">
        <f t="shared" si="31"/>
        <v>0</v>
      </c>
      <c r="I210" s="81">
        <f t="shared" si="34"/>
        <v>0</v>
      </c>
      <c r="J210" s="52">
        <v>0</v>
      </c>
      <c r="K210" s="54">
        <f t="shared" si="30"/>
        <v>0</v>
      </c>
      <c r="L210" s="84">
        <f t="shared" si="32"/>
        <v>0</v>
      </c>
      <c r="M210" s="83">
        <f t="shared" si="24"/>
        <v>0</v>
      </c>
      <c r="N210" s="3"/>
    </row>
    <row r="211" spans="1:14" ht="15">
      <c r="A211" s="50" t="s">
        <v>96</v>
      </c>
      <c r="B211" s="51" t="s">
        <v>102</v>
      </c>
      <c r="C211" s="81">
        <v>87800</v>
      </c>
      <c r="D211" s="81">
        <v>87800</v>
      </c>
      <c r="E211" s="52">
        <f>F211-0</f>
        <v>0</v>
      </c>
      <c r="F211" s="52">
        <v>0</v>
      </c>
      <c r="G211" s="54">
        <f t="shared" si="29"/>
        <v>0</v>
      </c>
      <c r="H211" s="81">
        <f t="shared" si="31"/>
        <v>87800</v>
      </c>
      <c r="I211" s="81">
        <f>J211-0</f>
        <v>0</v>
      </c>
      <c r="J211" s="52">
        <v>0</v>
      </c>
      <c r="K211" s="54">
        <f t="shared" si="30"/>
        <v>0</v>
      </c>
      <c r="L211" s="84">
        <f t="shared" si="32"/>
        <v>87800</v>
      </c>
      <c r="M211" s="83">
        <f t="shared" si="24"/>
        <v>0</v>
      </c>
      <c r="N211" s="3"/>
    </row>
    <row r="212" spans="1:14" ht="15">
      <c r="A212" s="50" t="s">
        <v>155</v>
      </c>
      <c r="B212" s="51" t="s">
        <v>156</v>
      </c>
      <c r="C212" s="52">
        <v>0</v>
      </c>
      <c r="D212" s="81">
        <v>0</v>
      </c>
      <c r="E212" s="52">
        <f t="shared" si="35"/>
        <v>0</v>
      </c>
      <c r="F212" s="52">
        <v>0</v>
      </c>
      <c r="G212" s="54">
        <f t="shared" si="29"/>
        <v>0</v>
      </c>
      <c r="H212" s="81">
        <f t="shared" si="31"/>
        <v>0</v>
      </c>
      <c r="I212" s="81">
        <f t="shared" si="34"/>
        <v>0</v>
      </c>
      <c r="J212" s="52">
        <v>0</v>
      </c>
      <c r="K212" s="54">
        <f t="shared" si="30"/>
        <v>0</v>
      </c>
      <c r="L212" s="84">
        <f t="shared" si="32"/>
        <v>0</v>
      </c>
      <c r="M212" s="83">
        <f t="shared" si="24"/>
        <v>0</v>
      </c>
      <c r="N212" s="3"/>
    </row>
    <row r="213" spans="1:14" ht="15">
      <c r="A213" s="50" t="s">
        <v>166</v>
      </c>
      <c r="B213" s="51" t="s">
        <v>167</v>
      </c>
      <c r="C213" s="52">
        <v>0</v>
      </c>
      <c r="D213" s="81">
        <v>0</v>
      </c>
      <c r="E213" s="52">
        <f t="shared" si="35"/>
        <v>0</v>
      </c>
      <c r="F213" s="52">
        <v>0</v>
      </c>
      <c r="G213" s="54">
        <f t="shared" si="29"/>
        <v>0</v>
      </c>
      <c r="H213" s="81">
        <f t="shared" si="31"/>
        <v>0</v>
      </c>
      <c r="I213" s="81">
        <f t="shared" si="34"/>
        <v>0</v>
      </c>
      <c r="J213" s="52">
        <v>0</v>
      </c>
      <c r="K213" s="54">
        <f t="shared" si="30"/>
        <v>0</v>
      </c>
      <c r="L213" s="84">
        <f t="shared" si="32"/>
        <v>0</v>
      </c>
      <c r="M213" s="83">
        <f t="shared" si="24"/>
        <v>0</v>
      </c>
      <c r="N213" s="3"/>
    </row>
    <row r="214" spans="1:14" ht="15">
      <c r="A214" s="50" t="s">
        <v>168</v>
      </c>
      <c r="B214" s="51" t="s">
        <v>169</v>
      </c>
      <c r="C214" s="52">
        <v>0</v>
      </c>
      <c r="D214" s="81">
        <v>0</v>
      </c>
      <c r="E214" s="52">
        <f t="shared" si="35"/>
        <v>0</v>
      </c>
      <c r="F214" s="52">
        <v>0</v>
      </c>
      <c r="G214" s="54">
        <f t="shared" si="29"/>
        <v>0</v>
      </c>
      <c r="H214" s="81">
        <f t="shared" si="31"/>
        <v>0</v>
      </c>
      <c r="I214" s="81">
        <f t="shared" si="34"/>
        <v>0</v>
      </c>
      <c r="J214" s="52">
        <v>0</v>
      </c>
      <c r="K214" s="54">
        <f t="shared" si="30"/>
        <v>0</v>
      </c>
      <c r="L214" s="84">
        <f t="shared" si="32"/>
        <v>0</v>
      </c>
      <c r="M214" s="83">
        <f t="shared" si="24"/>
        <v>0</v>
      </c>
      <c r="N214" s="3"/>
    </row>
    <row r="215" spans="1:14" ht="15">
      <c r="A215" s="50" t="s">
        <v>170</v>
      </c>
      <c r="B215" s="51" t="s">
        <v>171</v>
      </c>
      <c r="C215" s="81">
        <v>700039</v>
      </c>
      <c r="D215" s="81">
        <v>267842</v>
      </c>
      <c r="E215" s="52">
        <f t="shared" si="35"/>
        <v>0</v>
      </c>
      <c r="F215" s="52">
        <v>0</v>
      </c>
      <c r="G215" s="54">
        <f t="shared" si="29"/>
        <v>0</v>
      </c>
      <c r="H215" s="81">
        <f t="shared" si="31"/>
        <v>267842</v>
      </c>
      <c r="I215" s="81">
        <f t="shared" si="34"/>
        <v>0</v>
      </c>
      <c r="J215" s="52">
        <v>0</v>
      </c>
      <c r="K215" s="54">
        <f t="shared" si="30"/>
        <v>0</v>
      </c>
      <c r="L215" s="84">
        <f t="shared" si="32"/>
        <v>267842</v>
      </c>
      <c r="M215" s="83">
        <f t="shared" si="24"/>
        <v>0</v>
      </c>
      <c r="N215" s="3"/>
    </row>
    <row r="216" spans="1:14" ht="15">
      <c r="A216" s="50" t="s">
        <v>172</v>
      </c>
      <c r="B216" s="51" t="s">
        <v>173</v>
      </c>
      <c r="C216" s="81">
        <v>2141298</v>
      </c>
      <c r="D216" s="81">
        <v>2480741.37</v>
      </c>
      <c r="E216" s="81">
        <f>F216-278806.24</f>
        <v>193775.53000000003</v>
      </c>
      <c r="F216" s="81">
        <v>472581.77</v>
      </c>
      <c r="G216" s="54">
        <f t="shared" si="29"/>
        <v>0.0006083988373660116</v>
      </c>
      <c r="H216" s="81">
        <f t="shared" si="31"/>
        <v>2008159.6</v>
      </c>
      <c r="I216" s="81">
        <f>J216-265806.24</f>
        <v>206775.53000000003</v>
      </c>
      <c r="J216" s="52">
        <v>472581.77</v>
      </c>
      <c r="K216" s="54">
        <f t="shared" si="30"/>
        <v>0.0006147985536827026</v>
      </c>
      <c r="L216" s="84">
        <f t="shared" si="32"/>
        <v>2008159.6</v>
      </c>
      <c r="M216" s="83">
        <f t="shared" si="24"/>
        <v>0</v>
      </c>
      <c r="N216" s="3"/>
    </row>
    <row r="217" spans="1:14" ht="15">
      <c r="A217" s="50" t="s">
        <v>271</v>
      </c>
      <c r="B217" s="51" t="s">
        <v>273</v>
      </c>
      <c r="C217" s="81">
        <v>46675253</v>
      </c>
      <c r="D217" s="81">
        <v>23963266.4</v>
      </c>
      <c r="E217" s="81">
        <f>F217-2608175.03</f>
        <v>727654.4200000004</v>
      </c>
      <c r="F217" s="81">
        <v>3335829.45</v>
      </c>
      <c r="G217" s="54">
        <f t="shared" si="29"/>
        <v>0.004294526128317015</v>
      </c>
      <c r="H217" s="81">
        <f t="shared" si="31"/>
        <v>20627436.95</v>
      </c>
      <c r="I217" s="81">
        <f>J217-2604654.32</f>
        <v>731175.1300000004</v>
      </c>
      <c r="J217" s="81">
        <v>3335829.45</v>
      </c>
      <c r="K217" s="54">
        <f t="shared" si="30"/>
        <v>0.0043397000294619174</v>
      </c>
      <c r="L217" s="55">
        <f t="shared" si="32"/>
        <v>20627436.95</v>
      </c>
      <c r="M217" s="83">
        <f t="shared" si="24"/>
        <v>0</v>
      </c>
      <c r="N217" s="3"/>
    </row>
    <row r="218" spans="1:14" ht="15">
      <c r="A218" s="50" t="s">
        <v>272</v>
      </c>
      <c r="B218" s="51" t="s">
        <v>274</v>
      </c>
      <c r="C218" s="81">
        <v>3254248</v>
      </c>
      <c r="D218" s="81">
        <v>23058819.04</v>
      </c>
      <c r="E218" s="81">
        <f>F218-2788251.57</f>
        <v>-805465.7299999997</v>
      </c>
      <c r="F218" s="81">
        <v>1982785.84</v>
      </c>
      <c r="G218" s="54">
        <f t="shared" si="29"/>
        <v>0.002552626183193209</v>
      </c>
      <c r="H218" s="81">
        <f t="shared" si="31"/>
        <v>21076033.2</v>
      </c>
      <c r="I218" s="81">
        <f>J218-676998.85</f>
        <v>1305786.9900000002</v>
      </c>
      <c r="J218" s="81">
        <v>1982785.84</v>
      </c>
      <c r="K218" s="54">
        <f t="shared" si="30"/>
        <v>0.0025794771277244627</v>
      </c>
      <c r="L218" s="55">
        <f t="shared" si="32"/>
        <v>21076033.2</v>
      </c>
      <c r="M218" s="83">
        <f t="shared" si="24"/>
        <v>0</v>
      </c>
      <c r="N218" s="3"/>
    </row>
    <row r="219" spans="1:14" ht="15">
      <c r="A219" s="50" t="s">
        <v>244</v>
      </c>
      <c r="B219" s="51" t="s">
        <v>245</v>
      </c>
      <c r="C219" s="52">
        <v>0</v>
      </c>
      <c r="D219" s="81">
        <v>0</v>
      </c>
      <c r="E219" s="52">
        <f t="shared" si="35"/>
        <v>0</v>
      </c>
      <c r="F219" s="52">
        <v>0</v>
      </c>
      <c r="G219" s="54">
        <f t="shared" si="29"/>
        <v>0</v>
      </c>
      <c r="H219" s="52">
        <f t="shared" si="31"/>
        <v>0</v>
      </c>
      <c r="I219" s="81">
        <f t="shared" si="34"/>
        <v>0</v>
      </c>
      <c r="J219" s="52">
        <v>0</v>
      </c>
      <c r="K219" s="54">
        <f t="shared" si="30"/>
        <v>0</v>
      </c>
      <c r="L219" s="55">
        <f t="shared" si="32"/>
        <v>0</v>
      </c>
      <c r="M219" s="83">
        <f t="shared" si="24"/>
        <v>0</v>
      </c>
      <c r="N219" s="3"/>
    </row>
    <row r="220" spans="1:14" ht="15">
      <c r="A220" s="50" t="s">
        <v>71</v>
      </c>
      <c r="B220" s="51" t="s">
        <v>79</v>
      </c>
      <c r="C220" s="52">
        <v>3660222</v>
      </c>
      <c r="D220" s="81">
        <v>50446072.75</v>
      </c>
      <c r="E220" s="52">
        <f>F220-16618443.37</f>
        <v>27291797.120000005</v>
      </c>
      <c r="F220" s="52">
        <v>43910240.49</v>
      </c>
      <c r="G220" s="54">
        <f t="shared" si="29"/>
        <v>0.056529771054389104</v>
      </c>
      <c r="H220" s="52">
        <f t="shared" si="31"/>
        <v>6535832.259999998</v>
      </c>
      <c r="I220" s="81">
        <f>J220-1267932.18</f>
        <v>42642308.31</v>
      </c>
      <c r="J220" s="81">
        <v>43910240.49</v>
      </c>
      <c r="K220" s="54">
        <f t="shared" si="30"/>
        <v>0.05712440483074844</v>
      </c>
      <c r="L220" s="55">
        <f t="shared" si="32"/>
        <v>6535832.259999998</v>
      </c>
      <c r="M220" s="83">
        <f t="shared" si="24"/>
        <v>0</v>
      </c>
      <c r="N220" s="3"/>
    </row>
    <row r="221" spans="1:14" ht="14.25">
      <c r="A221" s="45" t="s">
        <v>175</v>
      </c>
      <c r="B221" s="48" t="s">
        <v>174</v>
      </c>
      <c r="C221" s="80">
        <f>SUM(C222:C224)</f>
        <v>23867445</v>
      </c>
      <c r="D221" s="80">
        <f>SUM(D222:D224)</f>
        <v>94451300.22</v>
      </c>
      <c r="E221" s="80">
        <f>SUM(E222:E224)</f>
        <v>1989973.21</v>
      </c>
      <c r="F221" s="80">
        <f>SUM(F222:F224)</f>
        <v>14732922.45</v>
      </c>
      <c r="G221" s="49">
        <f aca="true" t="shared" si="36" ref="G221:G239">(F221/$F$286)*100</f>
        <v>0.01896707291435218</v>
      </c>
      <c r="H221" s="80">
        <f t="shared" si="31"/>
        <v>79718377.77</v>
      </c>
      <c r="I221" s="80">
        <f>SUM(I222:I224)</f>
        <v>3512250.48</v>
      </c>
      <c r="J221" s="80">
        <f>SUM(J222:J224)</f>
        <v>11976311</v>
      </c>
      <c r="K221" s="49">
        <f aca="true" t="shared" si="37" ref="K221:K252">(J221/$J$286)*100</f>
        <v>0.01558041200204198</v>
      </c>
      <c r="L221" s="83">
        <f t="shared" si="32"/>
        <v>82474989.22</v>
      </c>
      <c r="M221" s="83">
        <f>SUM(M222:M224)</f>
        <v>2756611.4499999997</v>
      </c>
      <c r="N221" s="3"/>
    </row>
    <row r="222" spans="1:14" ht="15">
      <c r="A222" s="50" t="s">
        <v>28</v>
      </c>
      <c r="B222" s="51" t="s">
        <v>33</v>
      </c>
      <c r="C222" s="81">
        <v>10931758</v>
      </c>
      <c r="D222" s="81">
        <v>26787468.01</v>
      </c>
      <c r="E222" s="81">
        <f>F222-9272185.18</f>
        <v>2282339.66</v>
      </c>
      <c r="F222" s="81">
        <v>11554524.84</v>
      </c>
      <c r="G222" s="54">
        <f t="shared" si="36"/>
        <v>0.01487522355966609</v>
      </c>
      <c r="H222" s="81">
        <f t="shared" si="31"/>
        <v>15232943.170000002</v>
      </c>
      <c r="I222" s="81">
        <f>J222-8187683.89</f>
        <v>3366840.95</v>
      </c>
      <c r="J222" s="81">
        <v>11554524.84</v>
      </c>
      <c r="K222" s="54">
        <f t="shared" si="37"/>
        <v>0.015031695277037158</v>
      </c>
      <c r="L222" s="84">
        <f t="shared" si="32"/>
        <v>15232943.170000002</v>
      </c>
      <c r="M222" s="83">
        <f t="shared" si="24"/>
        <v>0</v>
      </c>
      <c r="N222" s="3"/>
    </row>
    <row r="223" spans="1:14" ht="15">
      <c r="A223" s="50" t="s">
        <v>139</v>
      </c>
      <c r="B223" s="51" t="s">
        <v>140</v>
      </c>
      <c r="C223" s="81">
        <v>1147562</v>
      </c>
      <c r="D223" s="81">
        <v>1147562</v>
      </c>
      <c r="E223" s="81">
        <f>F223-0</f>
        <v>0</v>
      </c>
      <c r="F223" s="81">
        <v>0</v>
      </c>
      <c r="G223" s="54">
        <f t="shared" si="36"/>
        <v>0</v>
      </c>
      <c r="H223" s="81">
        <f t="shared" si="31"/>
        <v>1147562</v>
      </c>
      <c r="I223" s="81">
        <f>J223-0</f>
        <v>0</v>
      </c>
      <c r="J223" s="81">
        <v>0</v>
      </c>
      <c r="K223" s="54">
        <f t="shared" si="37"/>
        <v>0</v>
      </c>
      <c r="L223" s="84">
        <f t="shared" si="32"/>
        <v>1147562</v>
      </c>
      <c r="M223" s="83">
        <f aca="true" t="shared" si="38" ref="M223:M284">F223-J223</f>
        <v>0</v>
      </c>
      <c r="N223" s="3"/>
    </row>
    <row r="224" spans="1:14" ht="15">
      <c r="A224" s="50" t="s">
        <v>176</v>
      </c>
      <c r="B224" s="51" t="s">
        <v>177</v>
      </c>
      <c r="C224" s="81">
        <v>11788125</v>
      </c>
      <c r="D224" s="81">
        <v>66516270.21</v>
      </c>
      <c r="E224" s="81">
        <f>F224-3470764.06</f>
        <v>-292366.4500000002</v>
      </c>
      <c r="F224" s="81">
        <v>3178397.61</v>
      </c>
      <c r="G224" s="54">
        <f t="shared" si="36"/>
        <v>0.004091849354686089</v>
      </c>
      <c r="H224" s="81">
        <f t="shared" si="31"/>
        <v>63337872.6</v>
      </c>
      <c r="I224" s="81">
        <f>J224-276376.63</f>
        <v>145409.52999999997</v>
      </c>
      <c r="J224" s="81">
        <v>421786.16</v>
      </c>
      <c r="K224" s="54">
        <f t="shared" si="37"/>
        <v>0.0005487167250048197</v>
      </c>
      <c r="L224" s="84">
        <f t="shared" si="32"/>
        <v>66094484.050000004</v>
      </c>
      <c r="M224" s="84">
        <f t="shared" si="38"/>
        <v>2756611.4499999997</v>
      </c>
      <c r="N224" s="3"/>
    </row>
    <row r="225" spans="1:14" ht="14.25">
      <c r="A225" s="45" t="s">
        <v>178</v>
      </c>
      <c r="B225" s="48" t="s">
        <v>179</v>
      </c>
      <c r="C225" s="80">
        <f>SUM(C226:C239)</f>
        <v>120609356</v>
      </c>
      <c r="D225" s="80">
        <f>SUM(D226:D239)</f>
        <v>154655448.62</v>
      </c>
      <c r="E225" s="80">
        <f>SUM(E226:E239)</f>
        <v>19928927.119999997</v>
      </c>
      <c r="F225" s="80">
        <f>SUM(F226:F239)</f>
        <v>80540146.74000001</v>
      </c>
      <c r="G225" s="49">
        <f t="shared" si="36"/>
        <v>0.10368688499749784</v>
      </c>
      <c r="H225" s="80">
        <f t="shared" si="31"/>
        <v>74115301.88</v>
      </c>
      <c r="I225" s="80">
        <f>SUM(I226:I239)</f>
        <v>21905550.350000013</v>
      </c>
      <c r="J225" s="80">
        <f>SUM(J226:J239)</f>
        <v>79557486.01000002</v>
      </c>
      <c r="K225" s="49">
        <f t="shared" si="37"/>
        <v>0.10349918350337521</v>
      </c>
      <c r="L225" s="83">
        <f t="shared" si="32"/>
        <v>75097962.60999998</v>
      </c>
      <c r="M225" s="83">
        <f>SUM(M226:M239)</f>
        <v>982660.7299999904</v>
      </c>
      <c r="N225" s="3"/>
    </row>
    <row r="226" spans="1:14" ht="15">
      <c r="A226" s="50" t="s">
        <v>28</v>
      </c>
      <c r="B226" s="51" t="s">
        <v>33</v>
      </c>
      <c r="C226" s="81">
        <v>70382648</v>
      </c>
      <c r="D226" s="81">
        <v>93334201.74</v>
      </c>
      <c r="E226" s="81">
        <f>F226-59774257.96</f>
        <v>16657488.979999997</v>
      </c>
      <c r="F226" s="81">
        <v>76431746.94</v>
      </c>
      <c r="G226" s="54">
        <f t="shared" si="36"/>
        <v>0.09839775659596266</v>
      </c>
      <c r="H226" s="81">
        <f t="shared" si="31"/>
        <v>16902454.799999997</v>
      </c>
      <c r="I226" s="81">
        <f>J226-56976477.37</f>
        <v>18690628.81000001</v>
      </c>
      <c r="J226" s="81">
        <v>75667106.18</v>
      </c>
      <c r="K226" s="54">
        <f t="shared" si="37"/>
        <v>0.09843804901915597</v>
      </c>
      <c r="L226" s="84">
        <f t="shared" si="32"/>
        <v>17667095.559999987</v>
      </c>
      <c r="M226" s="84">
        <f t="shared" si="38"/>
        <v>764640.7599999905</v>
      </c>
      <c r="N226" s="3"/>
    </row>
    <row r="227" spans="1:14" ht="15">
      <c r="A227" s="50" t="s">
        <v>232</v>
      </c>
      <c r="B227" s="51" t="s">
        <v>231</v>
      </c>
      <c r="C227" s="81">
        <v>5000</v>
      </c>
      <c r="D227" s="81">
        <v>5000</v>
      </c>
      <c r="E227" s="81">
        <f>F227-0</f>
        <v>0</v>
      </c>
      <c r="F227" s="81">
        <v>0</v>
      </c>
      <c r="G227" s="54">
        <f t="shared" si="36"/>
        <v>0</v>
      </c>
      <c r="H227" s="81">
        <f t="shared" si="31"/>
        <v>5000</v>
      </c>
      <c r="I227" s="81">
        <f>J227-0</f>
        <v>0</v>
      </c>
      <c r="J227" s="81">
        <v>0</v>
      </c>
      <c r="K227" s="54">
        <f t="shared" si="37"/>
        <v>0</v>
      </c>
      <c r="L227" s="84">
        <f t="shared" si="32"/>
        <v>5000</v>
      </c>
      <c r="M227" s="84">
        <f t="shared" si="38"/>
        <v>0</v>
      </c>
      <c r="N227" s="3"/>
    </row>
    <row r="228" spans="1:14" ht="15">
      <c r="A228" s="50" t="s">
        <v>49</v>
      </c>
      <c r="B228" s="51" t="s">
        <v>56</v>
      </c>
      <c r="C228" s="81">
        <v>110000</v>
      </c>
      <c r="D228" s="81">
        <v>260000</v>
      </c>
      <c r="E228" s="81">
        <f>F228-175335</f>
        <v>0</v>
      </c>
      <c r="F228" s="81">
        <v>175335</v>
      </c>
      <c r="G228" s="54">
        <f t="shared" si="36"/>
        <v>0.00022572519068936927</v>
      </c>
      <c r="H228" s="81">
        <f t="shared" si="31"/>
        <v>84665</v>
      </c>
      <c r="I228" s="81">
        <f>J228-175335</f>
        <v>0</v>
      </c>
      <c r="J228" s="81">
        <v>175335</v>
      </c>
      <c r="K228" s="54">
        <f t="shared" si="37"/>
        <v>0.0002280995824488885</v>
      </c>
      <c r="L228" s="84">
        <f t="shared" si="32"/>
        <v>84665</v>
      </c>
      <c r="M228" s="84">
        <f t="shared" si="38"/>
        <v>0</v>
      </c>
      <c r="N228" s="3"/>
    </row>
    <row r="229" spans="1:14" ht="15">
      <c r="A229" s="50" t="s">
        <v>51</v>
      </c>
      <c r="B229" s="51" t="s">
        <v>58</v>
      </c>
      <c r="C229" s="81">
        <v>0</v>
      </c>
      <c r="D229" s="81">
        <v>0</v>
      </c>
      <c r="E229" s="81">
        <f aca="true" t="shared" si="39" ref="E229:E238">F229-0</f>
        <v>0</v>
      </c>
      <c r="F229" s="81">
        <v>0</v>
      </c>
      <c r="G229" s="54">
        <f t="shared" si="36"/>
        <v>0</v>
      </c>
      <c r="H229" s="81">
        <f t="shared" si="31"/>
        <v>0</v>
      </c>
      <c r="I229" s="81">
        <f aca="true" t="shared" si="40" ref="I229:I238">J229-0</f>
        <v>0</v>
      </c>
      <c r="J229" s="81">
        <v>0</v>
      </c>
      <c r="K229" s="54">
        <f t="shared" si="37"/>
        <v>0</v>
      </c>
      <c r="L229" s="84">
        <f t="shared" si="32"/>
        <v>0</v>
      </c>
      <c r="M229" s="84">
        <f t="shared" si="38"/>
        <v>0</v>
      </c>
      <c r="N229" s="3"/>
    </row>
    <row r="230" spans="1:14" ht="15">
      <c r="A230" s="50" t="s">
        <v>160</v>
      </c>
      <c r="B230" s="51" t="s">
        <v>161</v>
      </c>
      <c r="C230" s="81">
        <v>0</v>
      </c>
      <c r="D230" s="81">
        <v>0</v>
      </c>
      <c r="E230" s="81">
        <f t="shared" si="39"/>
        <v>0</v>
      </c>
      <c r="F230" s="81">
        <v>0</v>
      </c>
      <c r="G230" s="54">
        <f t="shared" si="36"/>
        <v>0</v>
      </c>
      <c r="H230" s="81">
        <f>D230-F230</f>
        <v>0</v>
      </c>
      <c r="I230" s="81">
        <f t="shared" si="40"/>
        <v>0</v>
      </c>
      <c r="J230" s="81">
        <v>0</v>
      </c>
      <c r="K230" s="54">
        <f t="shared" si="37"/>
        <v>0</v>
      </c>
      <c r="L230" s="84">
        <f>D230-J230</f>
        <v>0</v>
      </c>
      <c r="M230" s="84">
        <f t="shared" si="38"/>
        <v>0</v>
      </c>
      <c r="N230" s="3"/>
    </row>
    <row r="231" spans="1:14" ht="15">
      <c r="A231" s="50" t="s">
        <v>97</v>
      </c>
      <c r="B231" s="51" t="s">
        <v>241</v>
      </c>
      <c r="C231" s="81">
        <v>0</v>
      </c>
      <c r="D231" s="81">
        <v>0</v>
      </c>
      <c r="E231" s="81">
        <f>F231-0</f>
        <v>0</v>
      </c>
      <c r="F231" s="81">
        <v>0</v>
      </c>
      <c r="G231" s="54">
        <f t="shared" si="36"/>
        <v>0</v>
      </c>
      <c r="H231" s="81">
        <f>D231-F231</f>
        <v>0</v>
      </c>
      <c r="I231" s="81">
        <f>J231-0</f>
        <v>0</v>
      </c>
      <c r="J231" s="81">
        <v>0</v>
      </c>
      <c r="K231" s="54">
        <f t="shared" si="37"/>
        <v>0</v>
      </c>
      <c r="L231" s="84">
        <f>D231-J231</f>
        <v>0</v>
      </c>
      <c r="M231" s="84">
        <f t="shared" si="38"/>
        <v>0</v>
      </c>
      <c r="N231" s="3"/>
    </row>
    <row r="232" spans="1:14" ht="15">
      <c r="A232" s="50" t="s">
        <v>180</v>
      </c>
      <c r="B232" s="51" t="s">
        <v>181</v>
      </c>
      <c r="C232" s="81">
        <v>1587120</v>
      </c>
      <c r="D232" s="81">
        <v>12257540.61</v>
      </c>
      <c r="E232" s="81">
        <f>F232-150689.68</f>
        <v>3162185.6599999997</v>
      </c>
      <c r="F232" s="81">
        <v>3312875.34</v>
      </c>
      <c r="G232" s="54">
        <f t="shared" si="36"/>
        <v>0.004264975149579998</v>
      </c>
      <c r="H232" s="81">
        <f>D232-F232</f>
        <v>8944665.27</v>
      </c>
      <c r="I232" s="81">
        <f>J232-141734.9</f>
        <v>3171098.44</v>
      </c>
      <c r="J232" s="81">
        <v>3312833.34</v>
      </c>
      <c r="K232" s="54">
        <f t="shared" si="37"/>
        <v>0.004309783566183344</v>
      </c>
      <c r="L232" s="84">
        <f>D232-J232</f>
        <v>8944707.27</v>
      </c>
      <c r="M232" s="84">
        <f t="shared" si="38"/>
        <v>42</v>
      </c>
      <c r="N232" s="3"/>
    </row>
    <row r="233" spans="1:14" ht="15">
      <c r="A233" s="50" t="s">
        <v>182</v>
      </c>
      <c r="B233" s="51" t="s">
        <v>183</v>
      </c>
      <c r="C233" s="81">
        <v>24425</v>
      </c>
      <c r="D233" s="81">
        <v>8543.27</v>
      </c>
      <c r="E233" s="81">
        <f>F233-5335.98</f>
        <v>203</v>
      </c>
      <c r="F233" s="81">
        <v>5538.98</v>
      </c>
      <c r="G233" s="54">
        <f t="shared" si="36"/>
        <v>7.130848471352568E-06</v>
      </c>
      <c r="H233" s="81">
        <f>D233-F233</f>
        <v>3004.290000000001</v>
      </c>
      <c r="I233" s="81">
        <f>J233-4578.48</f>
        <v>960.5</v>
      </c>
      <c r="J233" s="81">
        <v>5538.98</v>
      </c>
      <c r="K233" s="54">
        <f t="shared" si="37"/>
        <v>7.205857502453841E-06</v>
      </c>
      <c r="L233" s="84">
        <f>D233-J233</f>
        <v>3004.290000000001</v>
      </c>
      <c r="M233" s="84">
        <f t="shared" si="38"/>
        <v>0</v>
      </c>
      <c r="N233" s="3"/>
    </row>
    <row r="234" spans="1:14" ht="15">
      <c r="A234" s="50" t="s">
        <v>184</v>
      </c>
      <c r="B234" s="51" t="s">
        <v>250</v>
      </c>
      <c r="C234" s="81">
        <v>30000</v>
      </c>
      <c r="D234" s="81">
        <v>330000</v>
      </c>
      <c r="E234" s="81">
        <f>F234-13600</f>
        <v>126498</v>
      </c>
      <c r="F234" s="81">
        <v>140098</v>
      </c>
      <c r="G234" s="54">
        <f t="shared" si="36"/>
        <v>0.00018036129560669153</v>
      </c>
      <c r="H234" s="81">
        <f t="shared" si="31"/>
        <v>189902</v>
      </c>
      <c r="I234" s="81">
        <f>J234-0</f>
        <v>0</v>
      </c>
      <c r="J234" s="81">
        <v>0</v>
      </c>
      <c r="K234" s="54">
        <f t="shared" si="37"/>
        <v>0</v>
      </c>
      <c r="L234" s="84">
        <f t="shared" si="32"/>
        <v>330000</v>
      </c>
      <c r="M234" s="84">
        <f t="shared" si="38"/>
        <v>140098</v>
      </c>
      <c r="N234" s="3"/>
    </row>
    <row r="235" spans="1:14" ht="15">
      <c r="A235" s="50" t="s">
        <v>191</v>
      </c>
      <c r="B235" s="51" t="s">
        <v>192</v>
      </c>
      <c r="C235" s="81">
        <v>48460163</v>
      </c>
      <c r="D235" s="81">
        <v>48460163</v>
      </c>
      <c r="E235" s="81">
        <f>F235-492001</f>
        <v>-17448.52000000002</v>
      </c>
      <c r="F235" s="81">
        <v>474552.48</v>
      </c>
      <c r="G235" s="54">
        <f t="shared" si="36"/>
        <v>0.0006109359171877439</v>
      </c>
      <c r="H235" s="81">
        <f t="shared" si="31"/>
        <v>47985610.52</v>
      </c>
      <c r="I235" s="81">
        <f>J235-353809.91</f>
        <v>42862.600000000035</v>
      </c>
      <c r="J235" s="81">
        <v>396672.51</v>
      </c>
      <c r="K235" s="54">
        <f t="shared" si="37"/>
        <v>0.0005160454780845385</v>
      </c>
      <c r="L235" s="84">
        <f t="shared" si="32"/>
        <v>48063490.49</v>
      </c>
      <c r="M235" s="84">
        <f t="shared" si="38"/>
        <v>77879.96999999997</v>
      </c>
      <c r="N235" s="3"/>
    </row>
    <row r="236" spans="1:14" ht="15">
      <c r="A236" s="50" t="s">
        <v>185</v>
      </c>
      <c r="B236" s="51" t="s">
        <v>186</v>
      </c>
      <c r="C236" s="81">
        <v>0</v>
      </c>
      <c r="D236" s="81">
        <v>0</v>
      </c>
      <c r="E236" s="81">
        <f t="shared" si="39"/>
        <v>0</v>
      </c>
      <c r="F236" s="81">
        <v>0</v>
      </c>
      <c r="G236" s="54">
        <f t="shared" si="36"/>
        <v>0</v>
      </c>
      <c r="H236" s="81">
        <f t="shared" si="31"/>
        <v>0</v>
      </c>
      <c r="I236" s="81">
        <f t="shared" si="40"/>
        <v>0</v>
      </c>
      <c r="J236" s="81">
        <v>0</v>
      </c>
      <c r="K236" s="54">
        <f t="shared" si="37"/>
        <v>0</v>
      </c>
      <c r="L236" s="84">
        <f t="shared" si="32"/>
        <v>0</v>
      </c>
      <c r="M236" s="84">
        <f t="shared" si="38"/>
        <v>0</v>
      </c>
      <c r="N236" s="3"/>
    </row>
    <row r="237" spans="1:14" ht="15">
      <c r="A237" s="50" t="s">
        <v>187</v>
      </c>
      <c r="B237" s="51" t="s">
        <v>188</v>
      </c>
      <c r="C237" s="81">
        <v>0</v>
      </c>
      <c r="D237" s="81">
        <v>0</v>
      </c>
      <c r="E237" s="81">
        <f t="shared" si="39"/>
        <v>0</v>
      </c>
      <c r="F237" s="81">
        <v>0</v>
      </c>
      <c r="G237" s="54">
        <f t="shared" si="36"/>
        <v>0</v>
      </c>
      <c r="H237" s="81">
        <f>D237-F237</f>
        <v>0</v>
      </c>
      <c r="I237" s="81">
        <f t="shared" si="40"/>
        <v>0</v>
      </c>
      <c r="J237" s="81">
        <v>0</v>
      </c>
      <c r="K237" s="54">
        <f t="shared" si="37"/>
        <v>0</v>
      </c>
      <c r="L237" s="84">
        <f>D237-J237</f>
        <v>0</v>
      </c>
      <c r="M237" s="84">
        <f t="shared" si="38"/>
        <v>0</v>
      </c>
      <c r="N237" s="3"/>
    </row>
    <row r="238" spans="1:14" ht="15">
      <c r="A238" s="50" t="s">
        <v>253</v>
      </c>
      <c r="B238" s="51" t="s">
        <v>254</v>
      </c>
      <c r="C238" s="81">
        <v>0</v>
      </c>
      <c r="D238" s="81">
        <v>0</v>
      </c>
      <c r="E238" s="81">
        <f t="shared" si="39"/>
        <v>0</v>
      </c>
      <c r="F238" s="81">
        <v>0</v>
      </c>
      <c r="G238" s="54">
        <f t="shared" si="36"/>
        <v>0</v>
      </c>
      <c r="H238" s="81">
        <f t="shared" si="31"/>
        <v>0</v>
      </c>
      <c r="I238" s="81">
        <f t="shared" si="40"/>
        <v>0</v>
      </c>
      <c r="J238" s="81">
        <v>0</v>
      </c>
      <c r="K238" s="54">
        <f t="shared" si="37"/>
        <v>0</v>
      </c>
      <c r="L238" s="84">
        <f t="shared" si="32"/>
        <v>0</v>
      </c>
      <c r="M238" s="84">
        <f t="shared" si="38"/>
        <v>0</v>
      </c>
      <c r="N238" s="3"/>
    </row>
    <row r="239" spans="1:14" ht="15">
      <c r="A239" s="50" t="s">
        <v>278</v>
      </c>
      <c r="B239" s="51" t="s">
        <v>279</v>
      </c>
      <c r="C239" s="81">
        <v>10000</v>
      </c>
      <c r="D239" s="97">
        <v>0</v>
      </c>
      <c r="E239" s="97">
        <f>F239-0</f>
        <v>0</v>
      </c>
      <c r="F239" s="97">
        <v>0</v>
      </c>
      <c r="G239" s="54">
        <f t="shared" si="36"/>
        <v>0</v>
      </c>
      <c r="H239" s="81">
        <f t="shared" si="31"/>
        <v>0</v>
      </c>
      <c r="I239" s="81">
        <f>J239-0</f>
        <v>0</v>
      </c>
      <c r="J239" s="81">
        <v>0</v>
      </c>
      <c r="K239" s="54">
        <f t="shared" si="37"/>
        <v>0</v>
      </c>
      <c r="L239" s="84">
        <f t="shared" si="32"/>
        <v>0</v>
      </c>
      <c r="M239" s="84">
        <f t="shared" si="38"/>
        <v>0</v>
      </c>
      <c r="N239" s="3"/>
    </row>
    <row r="240" spans="1:14" ht="14.25">
      <c r="A240" s="45" t="s">
        <v>189</v>
      </c>
      <c r="B240" s="48" t="s">
        <v>190</v>
      </c>
      <c r="C240" s="80">
        <f>SUM(C241:C250)</f>
        <v>412323855</v>
      </c>
      <c r="D240" s="80">
        <f>SUM(D241:D250)</f>
        <v>421036944.86</v>
      </c>
      <c r="E240" s="80">
        <f>SUM(E241:E250)</f>
        <v>62918261.34</v>
      </c>
      <c r="F240" s="80">
        <f>SUM(F241:F250)</f>
        <v>223080770.73000002</v>
      </c>
      <c r="G240" s="49">
        <f aca="true" t="shared" si="41" ref="G240:G273">(F240/$F$286)*100</f>
        <v>0.2871927995674607</v>
      </c>
      <c r="H240" s="80">
        <f t="shared" si="31"/>
        <v>197956174.13</v>
      </c>
      <c r="I240" s="80">
        <f>SUM(I241:I250)</f>
        <v>80778156.6</v>
      </c>
      <c r="J240" s="80">
        <f>SUM(J241:J250)</f>
        <v>214709921.21</v>
      </c>
      <c r="K240" s="49">
        <f t="shared" si="37"/>
        <v>0.2793238279615294</v>
      </c>
      <c r="L240" s="83">
        <f t="shared" si="32"/>
        <v>206327023.65</v>
      </c>
      <c r="M240" s="83">
        <f>SUM(M241:M254)</f>
        <v>8370849.52</v>
      </c>
      <c r="N240" s="3"/>
    </row>
    <row r="241" spans="1:14" ht="15">
      <c r="A241" s="50" t="s">
        <v>28</v>
      </c>
      <c r="B241" s="51" t="s">
        <v>33</v>
      </c>
      <c r="C241" s="81">
        <v>92519470</v>
      </c>
      <c r="D241" s="81">
        <v>105069860.4</v>
      </c>
      <c r="E241" s="81">
        <f>F241-68865236.26</f>
        <v>19305394.689999998</v>
      </c>
      <c r="F241" s="81">
        <v>88170630.95</v>
      </c>
      <c r="G241" s="54">
        <f t="shared" si="41"/>
        <v>0.11351032300676278</v>
      </c>
      <c r="H241" s="81">
        <f t="shared" si="31"/>
        <v>16899229.450000003</v>
      </c>
      <c r="I241" s="81">
        <f>J241-59974139.78</f>
        <v>19921341.950000003</v>
      </c>
      <c r="J241" s="81">
        <v>79895481.73</v>
      </c>
      <c r="K241" s="54">
        <f t="shared" si="37"/>
        <v>0.1039388942433958</v>
      </c>
      <c r="L241" s="84">
        <f t="shared" si="32"/>
        <v>25174378.67</v>
      </c>
      <c r="M241" s="84">
        <f t="shared" si="38"/>
        <v>8275149.219999999</v>
      </c>
      <c r="N241" s="3"/>
    </row>
    <row r="242" spans="1:14" ht="15">
      <c r="A242" s="50" t="s">
        <v>39</v>
      </c>
      <c r="B242" s="51" t="s">
        <v>41</v>
      </c>
      <c r="C242" s="81">
        <v>5000</v>
      </c>
      <c r="D242" s="81">
        <v>5000</v>
      </c>
      <c r="E242" s="81">
        <f aca="true" t="shared" si="42" ref="E242:E248">F242-0</f>
        <v>0</v>
      </c>
      <c r="F242" s="81">
        <v>0</v>
      </c>
      <c r="G242" s="54">
        <f t="shared" si="41"/>
        <v>0</v>
      </c>
      <c r="H242" s="81">
        <f t="shared" si="31"/>
        <v>5000</v>
      </c>
      <c r="I242" s="81">
        <f aca="true" t="shared" si="43" ref="I242:I248">J242-0</f>
        <v>0</v>
      </c>
      <c r="J242" s="81">
        <v>0</v>
      </c>
      <c r="K242" s="54">
        <f t="shared" si="37"/>
        <v>0</v>
      </c>
      <c r="L242" s="84">
        <f t="shared" si="32"/>
        <v>5000</v>
      </c>
      <c r="M242" s="84">
        <f t="shared" si="38"/>
        <v>0</v>
      </c>
      <c r="N242" s="3"/>
    </row>
    <row r="243" spans="1:14" ht="15">
      <c r="A243" s="50" t="s">
        <v>131</v>
      </c>
      <c r="B243" s="51" t="s">
        <v>132</v>
      </c>
      <c r="C243" s="81">
        <v>1164010</v>
      </c>
      <c r="D243" s="81">
        <v>1164010</v>
      </c>
      <c r="E243" s="81">
        <f>F243-0</f>
        <v>0</v>
      </c>
      <c r="F243" s="81">
        <v>0</v>
      </c>
      <c r="G243" s="54">
        <f t="shared" si="41"/>
        <v>0</v>
      </c>
      <c r="H243" s="81">
        <f>D243-F243</f>
        <v>1164010</v>
      </c>
      <c r="I243" s="81">
        <f>J243-0</f>
        <v>0</v>
      </c>
      <c r="J243" s="81">
        <v>0</v>
      </c>
      <c r="K243" s="54">
        <f t="shared" si="37"/>
        <v>0</v>
      </c>
      <c r="L243" s="84">
        <f>D243-J243</f>
        <v>1164010</v>
      </c>
      <c r="M243" s="84">
        <f t="shared" si="38"/>
        <v>0</v>
      </c>
      <c r="N243" s="3"/>
    </row>
    <row r="244" spans="1:14" ht="15">
      <c r="A244" s="50" t="s">
        <v>83</v>
      </c>
      <c r="B244" s="51" t="s">
        <v>85</v>
      </c>
      <c r="C244" s="81">
        <v>11012515</v>
      </c>
      <c r="D244" s="81">
        <v>11012515</v>
      </c>
      <c r="E244" s="81">
        <f>F244-1098420.5</f>
        <v>239838.34000000008</v>
      </c>
      <c r="F244" s="81">
        <v>1338258.84</v>
      </c>
      <c r="G244" s="54">
        <f t="shared" si="41"/>
        <v>0.001722866123995404</v>
      </c>
      <c r="H244" s="81">
        <f>D244-F244</f>
        <v>9674256.16</v>
      </c>
      <c r="I244" s="81">
        <f>J244-1098420.5</f>
        <v>239838.34000000008</v>
      </c>
      <c r="J244" s="81">
        <v>1338258.84</v>
      </c>
      <c r="K244" s="54">
        <f t="shared" si="37"/>
        <v>0.0017409888648161173</v>
      </c>
      <c r="L244" s="84">
        <f>D244-J244</f>
        <v>9674256.16</v>
      </c>
      <c r="M244" s="84">
        <f t="shared" si="38"/>
        <v>0</v>
      </c>
      <c r="N244" s="3"/>
    </row>
    <row r="245" spans="1:14" ht="15">
      <c r="A245" s="50" t="s">
        <v>53</v>
      </c>
      <c r="B245" s="51" t="s">
        <v>60</v>
      </c>
      <c r="C245" s="81">
        <v>0</v>
      </c>
      <c r="D245" s="81">
        <v>0</v>
      </c>
      <c r="E245" s="81">
        <f t="shared" si="42"/>
        <v>0</v>
      </c>
      <c r="F245" s="81">
        <v>0</v>
      </c>
      <c r="G245" s="54">
        <f t="shared" si="41"/>
        <v>0</v>
      </c>
      <c r="H245" s="81">
        <f t="shared" si="31"/>
        <v>0</v>
      </c>
      <c r="I245" s="81">
        <f t="shared" si="43"/>
        <v>0</v>
      </c>
      <c r="J245" s="81">
        <v>0</v>
      </c>
      <c r="K245" s="54">
        <f t="shared" si="37"/>
        <v>0</v>
      </c>
      <c r="L245" s="84">
        <f t="shared" si="32"/>
        <v>0</v>
      </c>
      <c r="M245" s="84">
        <f t="shared" si="38"/>
        <v>0</v>
      </c>
      <c r="N245" s="3"/>
    </row>
    <row r="246" spans="1:14" ht="15">
      <c r="A246" s="50" t="s">
        <v>191</v>
      </c>
      <c r="B246" s="51" t="s">
        <v>192</v>
      </c>
      <c r="C246" s="81">
        <v>19923393</v>
      </c>
      <c r="D246" s="81">
        <v>12858274.3</v>
      </c>
      <c r="E246" s="81">
        <f>F246-11512974.02</f>
        <v>-1007154.1799999997</v>
      </c>
      <c r="F246" s="81">
        <v>10505819.84</v>
      </c>
      <c r="G246" s="54">
        <f t="shared" si="41"/>
        <v>0.01352512725201562</v>
      </c>
      <c r="H246" s="81">
        <f t="shared" si="31"/>
        <v>2352454.460000001</v>
      </c>
      <c r="I246" s="81">
        <f>J246-8382254.64</f>
        <v>2027864.8999999994</v>
      </c>
      <c r="J246" s="81">
        <v>10410119.54</v>
      </c>
      <c r="K246" s="54">
        <f t="shared" si="37"/>
        <v>0.013542897426737475</v>
      </c>
      <c r="L246" s="84">
        <f t="shared" si="32"/>
        <v>2448154.7600000016</v>
      </c>
      <c r="M246" s="84">
        <f t="shared" si="38"/>
        <v>95700.30000000075</v>
      </c>
      <c r="N246" s="3"/>
    </row>
    <row r="247" spans="1:14" ht="15">
      <c r="A247" s="50" t="s">
        <v>244</v>
      </c>
      <c r="B247" s="51" t="s">
        <v>245</v>
      </c>
      <c r="C247" s="81">
        <v>0</v>
      </c>
      <c r="D247" s="81">
        <v>0</v>
      </c>
      <c r="E247" s="81">
        <f t="shared" si="42"/>
        <v>0</v>
      </c>
      <c r="F247" s="81">
        <v>0</v>
      </c>
      <c r="G247" s="54">
        <f t="shared" si="41"/>
        <v>0</v>
      </c>
      <c r="H247" s="81">
        <f t="shared" si="31"/>
        <v>0</v>
      </c>
      <c r="I247" s="81">
        <f t="shared" si="43"/>
        <v>0</v>
      </c>
      <c r="J247" s="81">
        <v>0</v>
      </c>
      <c r="K247" s="54">
        <f t="shared" si="37"/>
        <v>0</v>
      </c>
      <c r="L247" s="84">
        <f t="shared" si="32"/>
        <v>0</v>
      </c>
      <c r="M247" s="84">
        <f t="shared" si="38"/>
        <v>0</v>
      </c>
      <c r="N247" s="3"/>
    </row>
    <row r="248" spans="1:14" ht="15">
      <c r="A248" s="50" t="s">
        <v>275</v>
      </c>
      <c r="B248" s="51" t="s">
        <v>276</v>
      </c>
      <c r="C248" s="81">
        <v>260000</v>
      </c>
      <c r="D248" s="81">
        <v>0</v>
      </c>
      <c r="E248" s="81">
        <f t="shared" si="42"/>
        <v>0</v>
      </c>
      <c r="F248" s="81">
        <v>0</v>
      </c>
      <c r="G248" s="54">
        <f t="shared" si="41"/>
        <v>0</v>
      </c>
      <c r="H248" s="81">
        <f t="shared" si="31"/>
        <v>0</v>
      </c>
      <c r="I248" s="81">
        <f t="shared" si="43"/>
        <v>0</v>
      </c>
      <c r="J248" s="81">
        <v>0</v>
      </c>
      <c r="K248" s="54">
        <f t="shared" si="37"/>
        <v>0</v>
      </c>
      <c r="L248" s="84">
        <f t="shared" si="32"/>
        <v>0</v>
      </c>
      <c r="M248" s="84">
        <f t="shared" si="38"/>
        <v>0</v>
      </c>
      <c r="N248" s="3"/>
    </row>
    <row r="249" spans="1:14" ht="15">
      <c r="A249" s="50" t="s">
        <v>54</v>
      </c>
      <c r="B249" s="51" t="s">
        <v>61</v>
      </c>
      <c r="C249" s="81">
        <v>148474599</v>
      </c>
      <c r="D249" s="81">
        <v>151169012.8</v>
      </c>
      <c r="E249" s="81">
        <f>F249-64833845.12</f>
        <v>29586329.96</v>
      </c>
      <c r="F249" s="81">
        <v>94420175.08</v>
      </c>
      <c r="G249" s="54">
        <f t="shared" si="41"/>
        <v>0.12155594732858033</v>
      </c>
      <c r="H249" s="81">
        <f t="shared" si="31"/>
        <v>56748837.72000001</v>
      </c>
      <c r="I249" s="81">
        <f>J249-62790073.8</f>
        <v>31630101.28</v>
      </c>
      <c r="J249" s="81">
        <v>94420175.08</v>
      </c>
      <c r="K249" s="54">
        <f t="shared" si="37"/>
        <v>0.12283458813413721</v>
      </c>
      <c r="L249" s="84">
        <f t="shared" si="32"/>
        <v>56748837.72000001</v>
      </c>
      <c r="M249" s="84">
        <f t="shared" si="38"/>
        <v>0</v>
      </c>
      <c r="N249" s="3"/>
    </row>
    <row r="250" spans="1:14" ht="15">
      <c r="A250" s="50" t="s">
        <v>185</v>
      </c>
      <c r="B250" s="51" t="s">
        <v>186</v>
      </c>
      <c r="C250" s="81">
        <v>138964868</v>
      </c>
      <c r="D250" s="81">
        <v>139758272.36</v>
      </c>
      <c r="E250" s="81">
        <f>F250-13852033.49</f>
        <v>14793852.53</v>
      </c>
      <c r="F250" s="81">
        <v>28645886.02</v>
      </c>
      <c r="G250" s="54">
        <f t="shared" si="41"/>
        <v>0.03687853585610652</v>
      </c>
      <c r="H250" s="81">
        <f t="shared" si="31"/>
        <v>111112386.34000002</v>
      </c>
      <c r="I250" s="81">
        <f>J250-1686875.89</f>
        <v>26959010.13</v>
      </c>
      <c r="J250" s="81">
        <v>28645886.02</v>
      </c>
      <c r="K250" s="54">
        <f t="shared" si="37"/>
        <v>0.037266459292442766</v>
      </c>
      <c r="L250" s="84">
        <f t="shared" si="32"/>
        <v>111112386.34000002</v>
      </c>
      <c r="M250" s="84">
        <f t="shared" si="38"/>
        <v>0</v>
      </c>
      <c r="N250" s="3"/>
    </row>
    <row r="251" spans="1:14" ht="15">
      <c r="A251" s="45" t="s">
        <v>193</v>
      </c>
      <c r="B251" s="48" t="s">
        <v>194</v>
      </c>
      <c r="C251" s="80">
        <f>SUM(C252:C254)</f>
        <v>0</v>
      </c>
      <c r="D251" s="80">
        <f>SUM(D252:D254)</f>
        <v>0</v>
      </c>
      <c r="E251" s="80">
        <f>SUM(E252:E254)</f>
        <v>0</v>
      </c>
      <c r="F251" s="80">
        <f>SUM(F252:F254)</f>
        <v>0</v>
      </c>
      <c r="G251" s="49">
        <f t="shared" si="41"/>
        <v>0</v>
      </c>
      <c r="H251" s="80">
        <f t="shared" si="31"/>
        <v>0</v>
      </c>
      <c r="I251" s="80">
        <f>SUM(I252:I254)</f>
        <v>0</v>
      </c>
      <c r="J251" s="80">
        <f>SUM(J252:J254)</f>
        <v>0</v>
      </c>
      <c r="K251" s="49">
        <f t="shared" si="37"/>
        <v>0</v>
      </c>
      <c r="L251" s="83">
        <f t="shared" si="32"/>
        <v>0</v>
      </c>
      <c r="M251" s="84">
        <f t="shared" si="38"/>
        <v>0</v>
      </c>
      <c r="N251" s="3"/>
    </row>
    <row r="252" spans="1:14" ht="15">
      <c r="A252" s="50" t="s">
        <v>28</v>
      </c>
      <c r="B252" s="51" t="s">
        <v>33</v>
      </c>
      <c r="C252" s="81">
        <v>0</v>
      </c>
      <c r="D252" s="81">
        <v>0</v>
      </c>
      <c r="E252" s="81">
        <f>F252-0</f>
        <v>0</v>
      </c>
      <c r="F252" s="81">
        <v>0</v>
      </c>
      <c r="G252" s="54">
        <f t="shared" si="41"/>
        <v>0</v>
      </c>
      <c r="H252" s="81">
        <f t="shared" si="31"/>
        <v>0</v>
      </c>
      <c r="I252" s="81">
        <f>J252-0</f>
        <v>0</v>
      </c>
      <c r="J252" s="81">
        <v>0</v>
      </c>
      <c r="K252" s="54">
        <f t="shared" si="37"/>
        <v>0</v>
      </c>
      <c r="L252" s="84">
        <f t="shared" si="32"/>
        <v>0</v>
      </c>
      <c r="M252" s="84">
        <f t="shared" si="38"/>
        <v>0</v>
      </c>
      <c r="N252" s="3"/>
    </row>
    <row r="253" spans="1:14" ht="15">
      <c r="A253" s="50" t="s">
        <v>164</v>
      </c>
      <c r="B253" s="51" t="s">
        <v>165</v>
      </c>
      <c r="C253" s="81">
        <v>0</v>
      </c>
      <c r="D253" s="81">
        <v>0</v>
      </c>
      <c r="E253" s="81">
        <f>F253-0</f>
        <v>0</v>
      </c>
      <c r="F253" s="81">
        <v>0</v>
      </c>
      <c r="G253" s="54">
        <f t="shared" si="41"/>
        <v>0</v>
      </c>
      <c r="H253" s="81">
        <f t="shared" si="31"/>
        <v>0</v>
      </c>
      <c r="I253" s="81">
        <f>J253-0</f>
        <v>0</v>
      </c>
      <c r="J253" s="81">
        <v>0</v>
      </c>
      <c r="K253" s="54">
        <f aca="true" t="shared" si="44" ref="K253:K273">(J253/$J$286)*100</f>
        <v>0</v>
      </c>
      <c r="L253" s="84">
        <f t="shared" si="32"/>
        <v>0</v>
      </c>
      <c r="M253" s="84">
        <f t="shared" si="38"/>
        <v>0</v>
      </c>
      <c r="N253" s="3"/>
    </row>
    <row r="254" spans="1:14" ht="15">
      <c r="A254" s="50" t="s">
        <v>117</v>
      </c>
      <c r="B254" s="51" t="s">
        <v>124</v>
      </c>
      <c r="C254" s="81">
        <v>0</v>
      </c>
      <c r="D254" s="81">
        <v>0</v>
      </c>
      <c r="E254" s="81">
        <f>F254-0</f>
        <v>0</v>
      </c>
      <c r="F254" s="81">
        <v>0</v>
      </c>
      <c r="G254" s="54">
        <f t="shared" si="41"/>
        <v>0</v>
      </c>
      <c r="H254" s="81">
        <f t="shared" si="31"/>
        <v>0</v>
      </c>
      <c r="I254" s="81">
        <f>J254-0</f>
        <v>0</v>
      </c>
      <c r="J254" s="81">
        <v>0</v>
      </c>
      <c r="K254" s="54">
        <f t="shared" si="44"/>
        <v>0</v>
      </c>
      <c r="L254" s="84">
        <f t="shared" si="32"/>
        <v>0</v>
      </c>
      <c r="M254" s="84">
        <f t="shared" si="38"/>
        <v>0</v>
      </c>
      <c r="N254" s="3"/>
    </row>
    <row r="255" spans="1:14" ht="14.25">
      <c r="A255" s="45" t="s">
        <v>280</v>
      </c>
      <c r="B255" s="48" t="s">
        <v>281</v>
      </c>
      <c r="C255" s="80">
        <f>C256</f>
        <v>614700</v>
      </c>
      <c r="D255" s="80">
        <f>D256</f>
        <v>29555.1</v>
      </c>
      <c r="E255" s="80">
        <f>E256</f>
        <v>9750.130000000001</v>
      </c>
      <c r="F255" s="80">
        <f>F256</f>
        <v>20811.83</v>
      </c>
      <c r="G255" s="49">
        <f t="shared" si="41"/>
        <v>2.679302076222509E-05</v>
      </c>
      <c r="H255" s="80">
        <f t="shared" si="31"/>
        <v>8743.269999999997</v>
      </c>
      <c r="I255" s="80">
        <f>I256</f>
        <v>11377.250000000002</v>
      </c>
      <c r="J255" s="80">
        <f>J256</f>
        <v>20811.83</v>
      </c>
      <c r="K255" s="49">
        <f t="shared" si="44"/>
        <v>2.7074855180068167E-05</v>
      </c>
      <c r="L255" s="83">
        <f t="shared" si="32"/>
        <v>8743.269999999997</v>
      </c>
      <c r="M255" s="83">
        <f>M256</f>
        <v>0</v>
      </c>
      <c r="N255" s="3"/>
    </row>
    <row r="256" spans="1:14" ht="15">
      <c r="A256" s="50" t="s">
        <v>187</v>
      </c>
      <c r="B256" s="51" t="s">
        <v>188</v>
      </c>
      <c r="C256" s="81">
        <v>614700</v>
      </c>
      <c r="D256" s="81">
        <v>29555.1</v>
      </c>
      <c r="E256" s="81">
        <f>F256-11061.7</f>
        <v>9750.130000000001</v>
      </c>
      <c r="F256" s="81">
        <v>20811.83</v>
      </c>
      <c r="G256" s="81">
        <f t="shared" si="41"/>
        <v>2.679302076222509E-05</v>
      </c>
      <c r="H256" s="81">
        <f t="shared" si="31"/>
        <v>8743.269999999997</v>
      </c>
      <c r="I256" s="81">
        <f>J256-9434.58</f>
        <v>11377.250000000002</v>
      </c>
      <c r="J256" s="81">
        <v>20811.83</v>
      </c>
      <c r="K256" s="54">
        <f t="shared" si="44"/>
        <v>2.7074855180068167E-05</v>
      </c>
      <c r="L256" s="84">
        <f t="shared" si="32"/>
        <v>8743.269999999997</v>
      </c>
      <c r="M256" s="83">
        <f t="shared" si="38"/>
        <v>0</v>
      </c>
      <c r="N256" s="3"/>
    </row>
    <row r="257" spans="1:14" ht="14.25">
      <c r="A257" s="45" t="s">
        <v>195</v>
      </c>
      <c r="B257" s="48" t="s">
        <v>196</v>
      </c>
      <c r="C257" s="80">
        <f>SUM(C258:C269)</f>
        <v>1342460224</v>
      </c>
      <c r="D257" s="80">
        <f>SUM(D258:D269)</f>
        <v>2159206947.59</v>
      </c>
      <c r="E257" s="80">
        <f>SUM(E258:E269)</f>
        <v>52612659.82000002</v>
      </c>
      <c r="F257" s="80">
        <f>SUM(F258:F269)</f>
        <v>1037620532.75</v>
      </c>
      <c r="G257" s="49">
        <f t="shared" si="41"/>
        <v>1.3358262333145048</v>
      </c>
      <c r="H257" s="80">
        <f t="shared" si="31"/>
        <v>1121586414.8400002</v>
      </c>
      <c r="I257" s="80">
        <f>SUM(I258:I269)</f>
        <v>375056122.05999994</v>
      </c>
      <c r="J257" s="80">
        <f>SUM(J258:J269)</f>
        <v>1036097292.3</v>
      </c>
      <c r="K257" s="49">
        <f t="shared" si="44"/>
        <v>1.3478960832124445</v>
      </c>
      <c r="L257" s="83">
        <f t="shared" si="32"/>
        <v>1123109655.2900002</v>
      </c>
      <c r="M257" s="83">
        <f>SUM(M258:M269)</f>
        <v>1523240.4500000477</v>
      </c>
      <c r="N257" s="3"/>
    </row>
    <row r="258" spans="1:14" ht="15">
      <c r="A258" s="50" t="s">
        <v>28</v>
      </c>
      <c r="B258" s="51" t="s">
        <v>33</v>
      </c>
      <c r="C258" s="81">
        <v>332356479</v>
      </c>
      <c r="D258" s="81">
        <v>356989019.82</v>
      </c>
      <c r="E258" s="81">
        <f>F258-216670715.67</f>
        <v>38384517.20000002</v>
      </c>
      <c r="F258" s="81">
        <v>255055232.87</v>
      </c>
      <c r="G258" s="54">
        <f t="shared" si="41"/>
        <v>0.3283565236598639</v>
      </c>
      <c r="H258" s="81">
        <f t="shared" si="31"/>
        <v>101933786.94999999</v>
      </c>
      <c r="I258" s="81">
        <f>J258-203309509.72</f>
        <v>50536408.47</v>
      </c>
      <c r="J258" s="81">
        <v>253845918.19</v>
      </c>
      <c r="K258" s="54">
        <f t="shared" si="44"/>
        <v>0.3302372483844852</v>
      </c>
      <c r="L258" s="84">
        <f t="shared" si="32"/>
        <v>103143101.63</v>
      </c>
      <c r="M258" s="84">
        <f t="shared" si="38"/>
        <v>1209314.6800000072</v>
      </c>
      <c r="N258" s="3"/>
    </row>
    <row r="259" spans="1:14" ht="15">
      <c r="A259" s="50" t="s">
        <v>29</v>
      </c>
      <c r="B259" s="51" t="s">
        <v>34</v>
      </c>
      <c r="C259" s="81">
        <v>18500</v>
      </c>
      <c r="D259" s="81">
        <v>18500</v>
      </c>
      <c r="E259" s="81">
        <f>F259-0</f>
        <v>0</v>
      </c>
      <c r="F259" s="81">
        <v>0</v>
      </c>
      <c r="G259" s="54">
        <f t="shared" si="41"/>
        <v>0</v>
      </c>
      <c r="H259" s="81">
        <f t="shared" si="31"/>
        <v>18500</v>
      </c>
      <c r="I259" s="81">
        <f>J259-0</f>
        <v>0</v>
      </c>
      <c r="J259" s="81">
        <v>0</v>
      </c>
      <c r="K259" s="54">
        <f t="shared" si="44"/>
        <v>0</v>
      </c>
      <c r="L259" s="84">
        <f t="shared" si="32"/>
        <v>18500</v>
      </c>
      <c r="M259" s="84">
        <f t="shared" si="38"/>
        <v>0</v>
      </c>
      <c r="N259" s="3"/>
    </row>
    <row r="260" spans="1:14" ht="15">
      <c r="A260" s="50" t="s">
        <v>131</v>
      </c>
      <c r="B260" s="51" t="s">
        <v>263</v>
      </c>
      <c r="C260" s="81">
        <v>0</v>
      </c>
      <c r="D260" s="81">
        <v>0</v>
      </c>
      <c r="E260" s="81">
        <f aca="true" t="shared" si="45" ref="E260:E268">F260-0</f>
        <v>0</v>
      </c>
      <c r="F260" s="81">
        <v>0</v>
      </c>
      <c r="G260" s="54">
        <f t="shared" si="41"/>
        <v>0</v>
      </c>
      <c r="H260" s="81">
        <f t="shared" si="31"/>
        <v>0</v>
      </c>
      <c r="I260" s="81">
        <f aca="true" t="shared" si="46" ref="I260:I268">J260-0</f>
        <v>0</v>
      </c>
      <c r="J260" s="81">
        <v>0</v>
      </c>
      <c r="K260" s="54">
        <f t="shared" si="44"/>
        <v>0</v>
      </c>
      <c r="L260" s="84">
        <f t="shared" si="32"/>
        <v>0</v>
      </c>
      <c r="M260" s="84">
        <f t="shared" si="38"/>
        <v>0</v>
      </c>
      <c r="N260" s="3"/>
    </row>
    <row r="261" spans="1:14" ht="15">
      <c r="A261" s="50" t="s">
        <v>83</v>
      </c>
      <c r="B261" s="51" t="s">
        <v>85</v>
      </c>
      <c r="C261" s="81">
        <v>20168</v>
      </c>
      <c r="D261" s="81">
        <v>20168</v>
      </c>
      <c r="E261" s="81">
        <f>F261-0</f>
        <v>0</v>
      </c>
      <c r="F261" s="81">
        <v>0</v>
      </c>
      <c r="G261" s="54">
        <f t="shared" si="41"/>
        <v>0</v>
      </c>
      <c r="H261" s="81">
        <f t="shared" si="31"/>
        <v>20168</v>
      </c>
      <c r="I261" s="81">
        <f>J261-0</f>
        <v>0</v>
      </c>
      <c r="J261" s="81">
        <v>0</v>
      </c>
      <c r="K261" s="54">
        <f t="shared" si="44"/>
        <v>0</v>
      </c>
      <c r="L261" s="84">
        <f t="shared" si="32"/>
        <v>20168</v>
      </c>
      <c r="M261" s="84">
        <f t="shared" si="38"/>
        <v>0</v>
      </c>
      <c r="N261" s="3"/>
    </row>
    <row r="262" spans="1:14" ht="15">
      <c r="A262" s="50" t="s">
        <v>135</v>
      </c>
      <c r="B262" s="51" t="s">
        <v>136</v>
      </c>
      <c r="C262" s="81">
        <v>20820000</v>
      </c>
      <c r="D262" s="81">
        <v>42522816.04</v>
      </c>
      <c r="E262" s="81">
        <f>F262-7055814.76</f>
        <v>4198090.890000001</v>
      </c>
      <c r="F262" s="81">
        <v>11253905.65</v>
      </c>
      <c r="G262" s="54">
        <f t="shared" si="41"/>
        <v>0.01448820828041418</v>
      </c>
      <c r="H262" s="81">
        <f t="shared" si="31"/>
        <v>31268910.39</v>
      </c>
      <c r="I262" s="81">
        <f>J262-4961888.2</f>
        <v>6292017.45</v>
      </c>
      <c r="J262" s="81">
        <v>11253905.65</v>
      </c>
      <c r="K262" s="54">
        <f t="shared" si="44"/>
        <v>0.014640609003816621</v>
      </c>
      <c r="L262" s="84">
        <f t="shared" si="32"/>
        <v>31268910.39</v>
      </c>
      <c r="M262" s="84">
        <f t="shared" si="38"/>
        <v>0</v>
      </c>
      <c r="N262" s="3"/>
    </row>
    <row r="263" spans="1:14" ht="15">
      <c r="A263" s="50" t="s">
        <v>151</v>
      </c>
      <c r="B263" s="51" t="s">
        <v>152</v>
      </c>
      <c r="C263" s="81">
        <v>462995268</v>
      </c>
      <c r="D263" s="81">
        <v>349760946.54</v>
      </c>
      <c r="E263" s="81">
        <f>F263-230810214.54</f>
        <v>44007968.02000001</v>
      </c>
      <c r="F263" s="81">
        <v>274818182.56</v>
      </c>
      <c r="G263" s="54">
        <f t="shared" si="41"/>
        <v>0.35379922242143264</v>
      </c>
      <c r="H263" s="81">
        <f t="shared" si="31"/>
        <v>74942763.98000002</v>
      </c>
      <c r="I263" s="81">
        <f>J263-224640376.38</f>
        <v>50177806.18000001</v>
      </c>
      <c r="J263" s="81">
        <v>274818182.56</v>
      </c>
      <c r="K263" s="54">
        <f t="shared" si="44"/>
        <v>0.3575208183836565</v>
      </c>
      <c r="L263" s="84">
        <f t="shared" si="32"/>
        <v>74942763.98000002</v>
      </c>
      <c r="M263" s="84">
        <f t="shared" si="38"/>
        <v>0</v>
      </c>
      <c r="N263" s="3"/>
    </row>
    <row r="264" spans="1:14" ht="15">
      <c r="A264" s="50" t="s">
        <v>145</v>
      </c>
      <c r="B264" s="51" t="s">
        <v>146</v>
      </c>
      <c r="C264" s="81">
        <v>0</v>
      </c>
      <c r="D264" s="81">
        <v>0</v>
      </c>
      <c r="E264" s="81">
        <f t="shared" si="45"/>
        <v>0</v>
      </c>
      <c r="F264" s="81">
        <v>0</v>
      </c>
      <c r="G264" s="54">
        <f t="shared" si="41"/>
        <v>0</v>
      </c>
      <c r="H264" s="81">
        <f t="shared" si="31"/>
        <v>0</v>
      </c>
      <c r="I264" s="81">
        <f t="shared" si="46"/>
        <v>0</v>
      </c>
      <c r="J264" s="81">
        <v>0</v>
      </c>
      <c r="K264" s="54">
        <f t="shared" si="44"/>
        <v>0</v>
      </c>
      <c r="L264" s="84">
        <f t="shared" si="32"/>
        <v>0</v>
      </c>
      <c r="M264" s="84">
        <f t="shared" si="38"/>
        <v>0</v>
      </c>
      <c r="N264" s="3"/>
    </row>
    <row r="265" spans="1:14" ht="15">
      <c r="A265" s="50" t="s">
        <v>70</v>
      </c>
      <c r="B265" s="51" t="s">
        <v>78</v>
      </c>
      <c r="C265" s="81">
        <v>29034000</v>
      </c>
      <c r="D265" s="81">
        <v>29024000</v>
      </c>
      <c r="E265" s="81">
        <f t="shared" si="45"/>
        <v>0</v>
      </c>
      <c r="F265" s="81">
        <v>0</v>
      </c>
      <c r="G265" s="54">
        <f t="shared" si="41"/>
        <v>0</v>
      </c>
      <c r="H265" s="81">
        <f t="shared" si="31"/>
        <v>29024000</v>
      </c>
      <c r="I265" s="81">
        <f t="shared" si="46"/>
        <v>0</v>
      </c>
      <c r="J265" s="81">
        <v>0</v>
      </c>
      <c r="K265" s="54">
        <f t="shared" si="44"/>
        <v>0</v>
      </c>
      <c r="L265" s="84">
        <f t="shared" si="32"/>
        <v>29024000</v>
      </c>
      <c r="M265" s="84">
        <f t="shared" si="38"/>
        <v>0</v>
      </c>
      <c r="N265" s="3"/>
    </row>
    <row r="266" spans="1:14" ht="15">
      <c r="A266" s="50" t="s">
        <v>71</v>
      </c>
      <c r="B266" s="51" t="s">
        <v>79</v>
      </c>
      <c r="C266" s="81">
        <v>254572311</v>
      </c>
      <c r="D266" s="81">
        <v>1138426359.83</v>
      </c>
      <c r="E266" s="81">
        <f>F266-529490474.22</f>
        <v>-34046499.370000005</v>
      </c>
      <c r="F266" s="81">
        <v>495443974.85</v>
      </c>
      <c r="G266" s="54">
        <f t="shared" si="41"/>
        <v>0.6378314979833766</v>
      </c>
      <c r="H266" s="81">
        <f t="shared" si="31"/>
        <v>642982384.9799999</v>
      </c>
      <c r="I266" s="81">
        <f>J266-227503253.85</f>
        <v>267626795.23</v>
      </c>
      <c r="J266" s="81">
        <v>495130049.08</v>
      </c>
      <c r="K266" s="54">
        <f t="shared" si="44"/>
        <v>0.6441324176749974</v>
      </c>
      <c r="L266" s="84">
        <f t="shared" si="32"/>
        <v>643296310.75</v>
      </c>
      <c r="M266" s="84">
        <f t="shared" si="38"/>
        <v>313925.77000004053</v>
      </c>
      <c r="N266" s="3"/>
    </row>
    <row r="267" spans="1:14" ht="15">
      <c r="A267" s="50" t="s">
        <v>197</v>
      </c>
      <c r="B267" s="51" t="s">
        <v>198</v>
      </c>
      <c r="C267" s="81">
        <v>219809276</v>
      </c>
      <c r="D267" s="81">
        <v>219779276</v>
      </c>
      <c r="E267" s="81">
        <f>F267-947933.24</f>
        <v>-43960.44999999995</v>
      </c>
      <c r="F267" s="81">
        <v>903972.79</v>
      </c>
      <c r="G267" s="54">
        <f t="shared" si="41"/>
        <v>0.001163768958854485</v>
      </c>
      <c r="H267" s="81">
        <f t="shared" si="31"/>
        <v>218875303.21</v>
      </c>
      <c r="I267" s="81">
        <f>J267-626142.09</f>
        <v>277830.70000000007</v>
      </c>
      <c r="J267" s="81">
        <v>903972.79</v>
      </c>
      <c r="K267" s="54">
        <f t="shared" si="44"/>
        <v>0.0011760105851322143</v>
      </c>
      <c r="L267" s="84">
        <f t="shared" si="32"/>
        <v>218875303.21</v>
      </c>
      <c r="M267" s="84">
        <f t="shared" si="38"/>
        <v>0</v>
      </c>
      <c r="N267" s="3"/>
    </row>
    <row r="268" spans="1:14" ht="15">
      <c r="A268" s="50" t="s">
        <v>199</v>
      </c>
      <c r="B268" s="51" t="s">
        <v>200</v>
      </c>
      <c r="C268" s="81">
        <v>140000</v>
      </c>
      <c r="D268" s="81">
        <v>1000</v>
      </c>
      <c r="E268" s="81">
        <f t="shared" si="45"/>
        <v>0</v>
      </c>
      <c r="F268" s="81">
        <v>0</v>
      </c>
      <c r="G268" s="54">
        <f t="shared" si="41"/>
        <v>0</v>
      </c>
      <c r="H268" s="81">
        <f t="shared" si="31"/>
        <v>1000</v>
      </c>
      <c r="I268" s="81">
        <f t="shared" si="46"/>
        <v>0</v>
      </c>
      <c r="J268" s="81">
        <v>0</v>
      </c>
      <c r="K268" s="54">
        <f t="shared" si="44"/>
        <v>0</v>
      </c>
      <c r="L268" s="84">
        <f t="shared" si="32"/>
        <v>1000</v>
      </c>
      <c r="M268" s="84">
        <f t="shared" si="38"/>
        <v>0</v>
      </c>
      <c r="N268" s="3"/>
    </row>
    <row r="269" spans="1:14" ht="15">
      <c r="A269" s="50" t="s">
        <v>201</v>
      </c>
      <c r="B269" s="51" t="s">
        <v>202</v>
      </c>
      <c r="C269" s="81">
        <v>22694222</v>
      </c>
      <c r="D269" s="81">
        <v>22664861.36</v>
      </c>
      <c r="E269" s="81">
        <f>F269-32720.5</f>
        <v>112543.53</v>
      </c>
      <c r="F269" s="81">
        <v>145264.03</v>
      </c>
      <c r="G269" s="54">
        <f t="shared" si="41"/>
        <v>0.0001870120105629581</v>
      </c>
      <c r="H269" s="81">
        <f t="shared" si="31"/>
        <v>22519597.33</v>
      </c>
      <c r="I269" s="81">
        <f>J269-0</f>
        <v>145264.03</v>
      </c>
      <c r="J269" s="81">
        <v>145264.03</v>
      </c>
      <c r="K269" s="54">
        <f t="shared" si="44"/>
        <v>0.00018897918035670468</v>
      </c>
      <c r="L269" s="84">
        <f t="shared" si="32"/>
        <v>22519597.33</v>
      </c>
      <c r="M269" s="84">
        <f t="shared" si="38"/>
        <v>0</v>
      </c>
      <c r="N269" s="3"/>
    </row>
    <row r="270" spans="1:14" ht="14.25">
      <c r="A270" s="45" t="s">
        <v>203</v>
      </c>
      <c r="B270" s="48" t="s">
        <v>204</v>
      </c>
      <c r="C270" s="80">
        <f>SUM(C271:C275)</f>
        <v>70564945</v>
      </c>
      <c r="D270" s="80">
        <f>SUM(D271:D275)</f>
        <v>73701222.12</v>
      </c>
      <c r="E270" s="80">
        <f>SUM(E271:E275)</f>
        <v>8003819.66</v>
      </c>
      <c r="F270" s="80">
        <f>SUM(F271:F275)</f>
        <v>22098635.27</v>
      </c>
      <c r="G270" s="49">
        <f t="shared" si="41"/>
        <v>0.028449645879576647</v>
      </c>
      <c r="H270" s="80">
        <f t="shared" si="31"/>
        <v>51602586.85000001</v>
      </c>
      <c r="I270" s="80">
        <f>SUM(I271:I275)</f>
        <v>8874125.44</v>
      </c>
      <c r="J270" s="80">
        <f>SUM(J271:J275)</f>
        <v>22023845.75</v>
      </c>
      <c r="K270" s="49">
        <f t="shared" si="44"/>
        <v>0.028651609886752378</v>
      </c>
      <c r="L270" s="83">
        <f t="shared" si="32"/>
        <v>51677376.370000005</v>
      </c>
      <c r="M270" s="83">
        <f>SUM(M271:M275)</f>
        <v>74789.51999999955</v>
      </c>
      <c r="N270" s="3"/>
    </row>
    <row r="271" spans="1:14" ht="15">
      <c r="A271" s="50" t="s">
        <v>28</v>
      </c>
      <c r="B271" s="51" t="s">
        <v>33</v>
      </c>
      <c r="C271" s="81">
        <v>15834260</v>
      </c>
      <c r="D271" s="81">
        <v>16983938.43</v>
      </c>
      <c r="E271" s="81">
        <f>F271-13043126.37</f>
        <v>2802682.7300000004</v>
      </c>
      <c r="F271" s="81">
        <v>15845809.1</v>
      </c>
      <c r="G271" s="54">
        <f t="shared" si="41"/>
        <v>0.020399796279834848</v>
      </c>
      <c r="H271" s="81">
        <f t="shared" si="31"/>
        <v>1138129.33</v>
      </c>
      <c r="I271" s="81">
        <f>J271-12283780.73</f>
        <v>3562028.369999999</v>
      </c>
      <c r="J271" s="81">
        <v>15845809.1</v>
      </c>
      <c r="K271" s="54">
        <f t="shared" si="44"/>
        <v>0.020614380695667137</v>
      </c>
      <c r="L271" s="84">
        <f t="shared" si="32"/>
        <v>1138129.33</v>
      </c>
      <c r="M271" s="83">
        <f t="shared" si="38"/>
        <v>0</v>
      </c>
      <c r="N271" s="3"/>
    </row>
    <row r="272" spans="1:14" ht="15">
      <c r="A272" s="50" t="s">
        <v>53</v>
      </c>
      <c r="B272" s="51" t="s">
        <v>60</v>
      </c>
      <c r="C272" s="81">
        <v>5923</v>
      </c>
      <c r="D272" s="81">
        <v>5923</v>
      </c>
      <c r="E272" s="81">
        <f>F272-0</f>
        <v>0</v>
      </c>
      <c r="F272" s="81">
        <v>0</v>
      </c>
      <c r="G272" s="54">
        <f t="shared" si="41"/>
        <v>0</v>
      </c>
      <c r="H272" s="81">
        <f t="shared" si="31"/>
        <v>5923</v>
      </c>
      <c r="I272" s="81">
        <f>J272-0</f>
        <v>0</v>
      </c>
      <c r="J272" s="81">
        <v>0</v>
      </c>
      <c r="K272" s="54">
        <f t="shared" si="44"/>
        <v>0</v>
      </c>
      <c r="L272" s="84">
        <f t="shared" si="32"/>
        <v>5923</v>
      </c>
      <c r="M272" s="83">
        <f t="shared" si="38"/>
        <v>0</v>
      </c>
      <c r="N272" s="3"/>
    </row>
    <row r="273" spans="1:14" ht="15">
      <c r="A273" s="50" t="s">
        <v>205</v>
      </c>
      <c r="B273" s="51" t="s">
        <v>206</v>
      </c>
      <c r="C273" s="81">
        <v>2992857</v>
      </c>
      <c r="D273" s="81">
        <v>1458385.82</v>
      </c>
      <c r="E273" s="81">
        <f>F273-0</f>
        <v>0</v>
      </c>
      <c r="F273" s="81">
        <v>0</v>
      </c>
      <c r="G273" s="54">
        <f t="shared" si="41"/>
        <v>0</v>
      </c>
      <c r="H273" s="81">
        <f t="shared" si="31"/>
        <v>1458385.82</v>
      </c>
      <c r="I273" s="81">
        <f>J273-0</f>
        <v>0</v>
      </c>
      <c r="J273" s="81">
        <v>0</v>
      </c>
      <c r="K273" s="54">
        <f t="shared" si="44"/>
        <v>0</v>
      </c>
      <c r="L273" s="84">
        <f t="shared" si="32"/>
        <v>1458385.82</v>
      </c>
      <c r="M273" s="83">
        <f t="shared" si="38"/>
        <v>0</v>
      </c>
      <c r="N273" s="3"/>
    </row>
    <row r="274" spans="1:14" ht="15">
      <c r="A274" s="50" t="s">
        <v>207</v>
      </c>
      <c r="B274" s="51" t="s">
        <v>208</v>
      </c>
      <c r="C274" s="81">
        <v>51731905</v>
      </c>
      <c r="D274" s="81">
        <v>55252974.87</v>
      </c>
      <c r="E274" s="81">
        <f>F274-1051689.24</f>
        <v>5201136.93</v>
      </c>
      <c r="F274" s="81">
        <v>6252826.17</v>
      </c>
      <c r="G274" s="54">
        <f aca="true" t="shared" si="47" ref="G274:G285">(F274/$F$286)*100</f>
        <v>0.0080498495997418</v>
      </c>
      <c r="H274" s="81">
        <f t="shared" si="31"/>
        <v>49000148.699999996</v>
      </c>
      <c r="I274" s="81">
        <f>J274-865939.58</f>
        <v>5312097.07</v>
      </c>
      <c r="J274" s="81">
        <v>6178036.65</v>
      </c>
      <c r="K274" s="54">
        <f aca="true" t="shared" si="48" ref="K274:K285">(J274/$J$286)*100</f>
        <v>0.008037229191085236</v>
      </c>
      <c r="L274" s="84">
        <f t="shared" si="32"/>
        <v>49074938.22</v>
      </c>
      <c r="M274" s="83">
        <f t="shared" si="38"/>
        <v>74789.51999999955</v>
      </c>
      <c r="N274" s="3"/>
    </row>
    <row r="275" spans="1:14" ht="15">
      <c r="A275" s="50" t="s">
        <v>209</v>
      </c>
      <c r="B275" s="51" t="s">
        <v>210</v>
      </c>
      <c r="C275" s="81">
        <v>0</v>
      </c>
      <c r="D275" s="81">
        <v>0</v>
      </c>
      <c r="E275" s="81">
        <f>F275-0</f>
        <v>0</v>
      </c>
      <c r="F275" s="81">
        <v>0</v>
      </c>
      <c r="G275" s="54">
        <f t="shared" si="47"/>
        <v>0</v>
      </c>
      <c r="H275" s="81">
        <f t="shared" si="31"/>
        <v>0</v>
      </c>
      <c r="I275" s="54">
        <f>J275-0</f>
        <v>0</v>
      </c>
      <c r="J275" s="81">
        <v>0</v>
      </c>
      <c r="K275" s="54">
        <f t="shared" si="48"/>
        <v>0</v>
      </c>
      <c r="L275" s="84">
        <f aca="true" t="shared" si="49" ref="L275:L376">D275-J275</f>
        <v>0</v>
      </c>
      <c r="M275" s="83">
        <f t="shared" si="38"/>
        <v>0</v>
      </c>
      <c r="N275" s="3"/>
    </row>
    <row r="276" spans="1:14" ht="14.25">
      <c r="A276" s="45" t="s">
        <v>211</v>
      </c>
      <c r="B276" s="48" t="s">
        <v>212</v>
      </c>
      <c r="C276" s="80">
        <f>SUM(C277:C281)</f>
        <v>13380693696</v>
      </c>
      <c r="D276" s="80">
        <f>SUM(D277:D281)</f>
        <v>11471546645.56</v>
      </c>
      <c r="E276" s="80">
        <f>SUM(E277:E281)</f>
        <v>1034287151.08</v>
      </c>
      <c r="F276" s="80">
        <f>SUM(F277:F281)</f>
        <v>4938561734.73</v>
      </c>
      <c r="G276" s="49">
        <f t="shared" si="47"/>
        <v>6.357873723461667</v>
      </c>
      <c r="H276" s="80">
        <f t="shared" si="31"/>
        <v>6532984910.83</v>
      </c>
      <c r="I276" s="80">
        <f>SUM(I277:I281)</f>
        <v>1034287151.08</v>
      </c>
      <c r="J276" s="80">
        <f>SUM(J277:J281)</f>
        <v>4938561734.73</v>
      </c>
      <c r="K276" s="49">
        <f t="shared" si="48"/>
        <v>6.4247518726436335</v>
      </c>
      <c r="L276" s="83">
        <f t="shared" si="49"/>
        <v>6532984910.83</v>
      </c>
      <c r="M276" s="83">
        <f>SUM(M277:M281)</f>
        <v>0</v>
      </c>
      <c r="N276" s="3"/>
    </row>
    <row r="277" spans="1:14" ht="15">
      <c r="A277" s="50" t="s">
        <v>39</v>
      </c>
      <c r="B277" s="51" t="s">
        <v>41</v>
      </c>
      <c r="C277" s="81">
        <v>1875317172</v>
      </c>
      <c r="D277" s="81">
        <v>2829922692.96</v>
      </c>
      <c r="E277" s="81">
        <f>F277-2016741440.84</f>
        <v>807736357.3500001</v>
      </c>
      <c r="F277" s="81">
        <v>2824477798.19</v>
      </c>
      <c r="G277" s="54">
        <f t="shared" si="47"/>
        <v>3.6362151857548555</v>
      </c>
      <c r="H277" s="81">
        <f aca="true" t="shared" si="50" ref="H277:H364">D277-F277</f>
        <v>5444894.769999981</v>
      </c>
      <c r="I277" s="81">
        <f>J277-2016741440.84</f>
        <v>807736357.3500001</v>
      </c>
      <c r="J277" s="81">
        <v>2824477798.19</v>
      </c>
      <c r="K277" s="54">
        <f t="shared" si="48"/>
        <v>3.674464347696096</v>
      </c>
      <c r="L277" s="84">
        <f t="shared" si="49"/>
        <v>5444894.769999981</v>
      </c>
      <c r="M277" s="83">
        <f t="shared" si="38"/>
        <v>0</v>
      </c>
      <c r="N277" s="3"/>
    </row>
    <row r="278" spans="1:14" ht="15">
      <c r="A278" s="50" t="s">
        <v>213</v>
      </c>
      <c r="B278" s="51" t="s">
        <v>214</v>
      </c>
      <c r="C278" s="81">
        <v>5154696016</v>
      </c>
      <c r="D278" s="81">
        <v>3810821778.2</v>
      </c>
      <c r="E278" s="81">
        <f>F278-584539377.24</f>
        <v>1213495.1100000143</v>
      </c>
      <c r="F278" s="81">
        <v>585752872.35</v>
      </c>
      <c r="G278" s="54">
        <f t="shared" si="47"/>
        <v>0.7540946120743122</v>
      </c>
      <c r="H278" s="81">
        <f t="shared" si="50"/>
        <v>3225068905.85</v>
      </c>
      <c r="I278" s="81">
        <f>J278-584539377.24</f>
        <v>1213495.1100000143</v>
      </c>
      <c r="J278" s="81">
        <v>585752872.35</v>
      </c>
      <c r="K278" s="54">
        <f t="shared" si="48"/>
        <v>0.7620268948086355</v>
      </c>
      <c r="L278" s="84">
        <f t="shared" si="49"/>
        <v>3225068905.85</v>
      </c>
      <c r="M278" s="83">
        <f t="shared" si="38"/>
        <v>0</v>
      </c>
      <c r="N278" s="3"/>
    </row>
    <row r="279" spans="1:14" ht="15">
      <c r="A279" s="50" t="s">
        <v>215</v>
      </c>
      <c r="B279" s="51" t="s">
        <v>216</v>
      </c>
      <c r="C279" s="81">
        <v>4342496089</v>
      </c>
      <c r="D279" s="81">
        <v>3758400353.39</v>
      </c>
      <c r="E279" s="81">
        <f>F279-663087341.98</f>
        <v>61337227.04999995</v>
      </c>
      <c r="F279" s="81">
        <v>724424569.03</v>
      </c>
      <c r="G279" s="54">
        <f t="shared" si="47"/>
        <v>0.9326196936399516</v>
      </c>
      <c r="H279" s="81">
        <f t="shared" si="50"/>
        <v>3033975784.3599997</v>
      </c>
      <c r="I279" s="81">
        <f>J279-663087341.98</f>
        <v>61337227.04999995</v>
      </c>
      <c r="J279" s="81">
        <v>724424569.03</v>
      </c>
      <c r="K279" s="54">
        <f t="shared" si="48"/>
        <v>0.9424298725950837</v>
      </c>
      <c r="L279" s="84">
        <f t="shared" si="49"/>
        <v>3033975784.3599997</v>
      </c>
      <c r="M279" s="83">
        <f t="shared" si="38"/>
        <v>0</v>
      </c>
      <c r="N279" s="3"/>
    </row>
    <row r="280" spans="1:14" ht="15">
      <c r="A280" s="50" t="s">
        <v>217</v>
      </c>
      <c r="B280" s="51" t="s">
        <v>218</v>
      </c>
      <c r="C280" s="81">
        <v>1361337200</v>
      </c>
      <c r="D280" s="81">
        <v>268033039.84</v>
      </c>
      <c r="E280" s="81">
        <f>F280-0</f>
        <v>0</v>
      </c>
      <c r="F280" s="81">
        <v>0</v>
      </c>
      <c r="G280" s="54">
        <f t="shared" si="47"/>
        <v>0</v>
      </c>
      <c r="H280" s="81">
        <f t="shared" si="50"/>
        <v>268033039.84</v>
      </c>
      <c r="I280" s="81">
        <f>J280-0</f>
        <v>0</v>
      </c>
      <c r="J280" s="81">
        <v>0</v>
      </c>
      <c r="K280" s="54">
        <f t="shared" si="48"/>
        <v>0</v>
      </c>
      <c r="L280" s="84">
        <f t="shared" si="49"/>
        <v>268033039.84</v>
      </c>
      <c r="M280" s="83">
        <f t="shared" si="38"/>
        <v>0</v>
      </c>
      <c r="N280" s="3"/>
    </row>
    <row r="281" spans="1:14" ht="15">
      <c r="A281" s="50" t="s">
        <v>219</v>
      </c>
      <c r="B281" s="51" t="s">
        <v>220</v>
      </c>
      <c r="C281" s="81">
        <v>646847219</v>
      </c>
      <c r="D281" s="81">
        <v>804368781.17</v>
      </c>
      <c r="E281" s="81">
        <f>F281-639906423.59</f>
        <v>164000071.56999993</v>
      </c>
      <c r="F281" s="81">
        <v>803906495.16</v>
      </c>
      <c r="G281" s="54">
        <f t="shared" si="47"/>
        <v>1.0349442319925486</v>
      </c>
      <c r="H281" s="81">
        <f t="shared" si="50"/>
        <v>462286.00999999046</v>
      </c>
      <c r="I281" s="81">
        <f>J281-639906423.59</f>
        <v>164000071.56999993</v>
      </c>
      <c r="J281" s="81">
        <v>803906495.16</v>
      </c>
      <c r="K281" s="54">
        <f t="shared" si="48"/>
        <v>1.0458307575438184</v>
      </c>
      <c r="L281" s="84">
        <f t="shared" si="49"/>
        <v>462286.00999999046</v>
      </c>
      <c r="M281" s="83">
        <f t="shared" si="38"/>
        <v>0</v>
      </c>
      <c r="N281" s="3"/>
    </row>
    <row r="282" spans="1:14" ht="14.25">
      <c r="A282" s="45" t="s">
        <v>221</v>
      </c>
      <c r="B282" s="48" t="s">
        <v>222</v>
      </c>
      <c r="C282" s="80">
        <f>SUM(C283:C284)</f>
        <v>472984382</v>
      </c>
      <c r="D282" s="80">
        <f>SUM(D283:D284)</f>
        <v>470046071.49</v>
      </c>
      <c r="E282" s="80">
        <f>SUM(E283:E284)</f>
        <v>0</v>
      </c>
      <c r="F282" s="80">
        <f>SUM(F283:F284)</f>
        <v>0</v>
      </c>
      <c r="G282" s="49">
        <f t="shared" si="47"/>
        <v>0</v>
      </c>
      <c r="H282" s="80">
        <f t="shared" si="50"/>
        <v>470046071.49</v>
      </c>
      <c r="I282" s="80">
        <f>SUM(I283:I284)</f>
        <v>0</v>
      </c>
      <c r="J282" s="80">
        <f>J283+J284</f>
        <v>0</v>
      </c>
      <c r="K282" s="49">
        <f t="shared" si="48"/>
        <v>0</v>
      </c>
      <c r="L282" s="83">
        <f t="shared" si="49"/>
        <v>470046071.49</v>
      </c>
      <c r="M282" s="83">
        <f>SUM(M283:M284)</f>
        <v>0</v>
      </c>
      <c r="N282" s="3"/>
    </row>
    <row r="283" spans="1:14" ht="15">
      <c r="A283" s="50" t="s">
        <v>246</v>
      </c>
      <c r="B283" s="64" t="s">
        <v>247</v>
      </c>
      <c r="C283" s="81">
        <v>470484382</v>
      </c>
      <c r="D283" s="88">
        <v>467546071.49</v>
      </c>
      <c r="E283" s="81">
        <f>F283-0</f>
        <v>0</v>
      </c>
      <c r="F283" s="81">
        <v>0</v>
      </c>
      <c r="G283" s="54">
        <f t="shared" si="47"/>
        <v>0</v>
      </c>
      <c r="H283" s="81">
        <f t="shared" si="50"/>
        <v>467546071.49</v>
      </c>
      <c r="I283" s="81">
        <f>J283-0</f>
        <v>0</v>
      </c>
      <c r="J283" s="81">
        <v>0</v>
      </c>
      <c r="K283" s="54">
        <f t="shared" si="48"/>
        <v>0</v>
      </c>
      <c r="L283" s="84">
        <f t="shared" si="49"/>
        <v>467546071.49</v>
      </c>
      <c r="M283" s="83">
        <f t="shared" si="38"/>
        <v>0</v>
      </c>
      <c r="N283" s="3"/>
    </row>
    <row r="284" spans="1:14" ht="15">
      <c r="A284" s="50" t="s">
        <v>223</v>
      </c>
      <c r="B284" s="51" t="s">
        <v>224</v>
      </c>
      <c r="C284" s="81">
        <v>2500000</v>
      </c>
      <c r="D284" s="81">
        <v>2500000</v>
      </c>
      <c r="E284" s="81">
        <f>F284-0</f>
        <v>0</v>
      </c>
      <c r="F284" s="81">
        <v>0</v>
      </c>
      <c r="G284" s="54">
        <f t="shared" si="47"/>
        <v>0</v>
      </c>
      <c r="H284" s="81">
        <f t="shared" si="50"/>
        <v>2500000</v>
      </c>
      <c r="I284" s="81">
        <f>J284-0</f>
        <v>0</v>
      </c>
      <c r="J284" s="81">
        <v>0</v>
      </c>
      <c r="K284" s="54">
        <f t="shared" si="48"/>
        <v>0</v>
      </c>
      <c r="L284" s="84">
        <f>D284-J284</f>
        <v>2500000</v>
      </c>
      <c r="M284" s="83">
        <f t="shared" si="38"/>
        <v>0</v>
      </c>
      <c r="N284" s="3"/>
    </row>
    <row r="285" spans="1:14" ht="14.25">
      <c r="A285" s="45"/>
      <c r="B285" s="48" t="s">
        <v>16</v>
      </c>
      <c r="C285" s="80">
        <f>C302</f>
        <v>4805674768</v>
      </c>
      <c r="D285" s="80">
        <f>D302</f>
        <v>6323405147.310001</v>
      </c>
      <c r="E285" s="80">
        <f>E302</f>
        <v>884646411.1099999</v>
      </c>
      <c r="F285" s="80">
        <f>F302</f>
        <v>5894102944.15</v>
      </c>
      <c r="G285" s="49">
        <f t="shared" si="47"/>
        <v>7.588031545390432</v>
      </c>
      <c r="H285" s="80">
        <f>D285-F285</f>
        <v>429302203.16000175</v>
      </c>
      <c r="I285" s="80">
        <f>I302</f>
        <v>1196544126.3600001</v>
      </c>
      <c r="J285" s="80">
        <f>J302</f>
        <v>5869535589.49</v>
      </c>
      <c r="K285" s="49">
        <f t="shared" si="48"/>
        <v>7.635889110169444</v>
      </c>
      <c r="L285" s="83">
        <f>D285-J285</f>
        <v>453869557.8200016</v>
      </c>
      <c r="M285" s="83">
        <f>M302</f>
        <v>24567354.65999993</v>
      </c>
      <c r="N285" s="3"/>
    </row>
    <row r="286" spans="1:14" ht="14.25">
      <c r="A286" s="128" t="s">
        <v>225</v>
      </c>
      <c r="B286" s="129"/>
      <c r="C286" s="94">
        <f aca="true" t="shared" si="51" ref="C286:L286">C14+C285</f>
        <v>89504336636</v>
      </c>
      <c r="D286" s="94">
        <f t="shared" si="51"/>
        <v>105012166751.40999</v>
      </c>
      <c r="E286" s="94">
        <f t="shared" si="51"/>
        <v>15554704341.420004</v>
      </c>
      <c r="F286" s="94">
        <f t="shared" si="51"/>
        <v>77676310501.51</v>
      </c>
      <c r="G286" s="94">
        <f t="shared" si="51"/>
        <v>100.00000000000001</v>
      </c>
      <c r="H286" s="94">
        <f t="shared" si="51"/>
        <v>27335856249.899994</v>
      </c>
      <c r="I286" s="94">
        <f t="shared" si="51"/>
        <v>19692685292.010002</v>
      </c>
      <c r="J286" s="94">
        <f t="shared" si="51"/>
        <v>76867742640.12003</v>
      </c>
      <c r="K286" s="94">
        <f t="shared" si="51"/>
        <v>100</v>
      </c>
      <c r="L286" s="95">
        <f t="shared" si="51"/>
        <v>28144424111.28997</v>
      </c>
      <c r="M286" s="95">
        <f>M14+M285</f>
        <v>808567861.3899992</v>
      </c>
      <c r="N286" s="3"/>
    </row>
    <row r="287" spans="1:13" ht="15">
      <c r="A287" s="67"/>
      <c r="B287" s="67"/>
      <c r="C287" s="98"/>
      <c r="D287" s="98"/>
      <c r="E287" s="98"/>
      <c r="F287" s="98"/>
      <c r="G287" s="98"/>
      <c r="H287" s="98"/>
      <c r="I287" s="98"/>
      <c r="J287" s="98"/>
      <c r="K287" s="98"/>
      <c r="L287" s="63"/>
      <c r="M287" s="63" t="s">
        <v>226</v>
      </c>
    </row>
    <row r="288" spans="1:13" ht="15.75">
      <c r="A288" s="67"/>
      <c r="B288" s="67"/>
      <c r="C288" s="98"/>
      <c r="D288" s="98"/>
      <c r="E288" s="98"/>
      <c r="F288" s="98"/>
      <c r="G288" s="34"/>
      <c r="H288" s="116"/>
      <c r="I288" s="98"/>
      <c r="J288" s="98"/>
      <c r="L288" s="98"/>
      <c r="M288" s="35"/>
    </row>
    <row r="289" spans="1:13" ht="15">
      <c r="A289" s="32"/>
      <c r="B289" s="33"/>
      <c r="C289" s="99"/>
      <c r="D289" s="99"/>
      <c r="E289" s="99"/>
      <c r="F289" s="99"/>
      <c r="G289" s="99"/>
      <c r="H289" s="99"/>
      <c r="I289" s="99"/>
      <c r="J289" s="99"/>
      <c r="K289" s="99"/>
      <c r="L289" s="99"/>
      <c r="M289" s="99"/>
    </row>
    <row r="290" spans="1:13" ht="15.75">
      <c r="A290" s="32"/>
      <c r="B290" s="33"/>
      <c r="C290" s="34"/>
      <c r="D290" s="34"/>
      <c r="E290" s="34"/>
      <c r="F290" s="35"/>
      <c r="G290" s="36"/>
      <c r="H290" s="35"/>
      <c r="I290" s="35"/>
      <c r="J290" s="35"/>
      <c r="K290" s="36"/>
      <c r="L290" s="35"/>
      <c r="M290" s="35"/>
    </row>
    <row r="291" spans="1:13" ht="15.75">
      <c r="A291" s="29"/>
      <c r="B291" s="26"/>
      <c r="C291" s="30"/>
      <c r="D291" s="30"/>
      <c r="E291" s="30"/>
      <c r="F291" s="30"/>
      <c r="G291" s="31"/>
      <c r="H291" s="30"/>
      <c r="I291" s="30"/>
      <c r="J291" s="30"/>
      <c r="K291" s="31"/>
      <c r="L291" s="23"/>
      <c r="M291" s="23" t="s">
        <v>157</v>
      </c>
    </row>
    <row r="292" spans="1:13" ht="15.75">
      <c r="A292" s="117" t="s">
        <v>14</v>
      </c>
      <c r="B292" s="117"/>
      <c r="C292" s="117"/>
      <c r="D292" s="117"/>
      <c r="E292" s="117"/>
      <c r="F292" s="117"/>
      <c r="G292" s="117"/>
      <c r="H292" s="117"/>
      <c r="I292" s="117"/>
      <c r="J292" s="117"/>
      <c r="K292" s="117"/>
      <c r="L292" s="117"/>
      <c r="M292" s="117"/>
    </row>
    <row r="293" spans="1:13" ht="15.75">
      <c r="A293" s="117" t="s">
        <v>0</v>
      </c>
      <c r="B293" s="117"/>
      <c r="C293" s="117"/>
      <c r="D293" s="117"/>
      <c r="E293" s="117"/>
      <c r="F293" s="117"/>
      <c r="G293" s="117"/>
      <c r="H293" s="117"/>
      <c r="I293" s="117"/>
      <c r="J293" s="117"/>
      <c r="K293" s="117"/>
      <c r="L293" s="117"/>
      <c r="M293" s="117"/>
    </row>
    <row r="294" spans="1:13" ht="15.75">
      <c r="A294" s="118" t="s">
        <v>1</v>
      </c>
      <c r="B294" s="118"/>
      <c r="C294" s="118"/>
      <c r="D294" s="118"/>
      <c r="E294" s="118"/>
      <c r="F294" s="118"/>
      <c r="G294" s="118"/>
      <c r="H294" s="118"/>
      <c r="I294" s="118"/>
      <c r="J294" s="118"/>
      <c r="K294" s="118"/>
      <c r="L294" s="118"/>
      <c r="M294" s="118"/>
    </row>
    <row r="295" spans="1:13" ht="15.75">
      <c r="A295" s="117" t="s">
        <v>2</v>
      </c>
      <c r="B295" s="117"/>
      <c r="C295" s="117"/>
      <c r="D295" s="117"/>
      <c r="E295" s="117"/>
      <c r="F295" s="117"/>
      <c r="G295" s="117"/>
      <c r="H295" s="117"/>
      <c r="I295" s="117"/>
      <c r="J295" s="117"/>
      <c r="K295" s="117"/>
      <c r="L295" s="117"/>
      <c r="M295" s="117"/>
    </row>
    <row r="296" spans="1:13" ht="15.75">
      <c r="A296" s="117" t="str">
        <f>A151</f>
        <v>JANEIRO A DEZEMBRO 2021/BIMESTRE NOVEMBRO - DEZEMBRO</v>
      </c>
      <c r="B296" s="117"/>
      <c r="C296" s="117"/>
      <c r="D296" s="117"/>
      <c r="E296" s="117"/>
      <c r="F296" s="117"/>
      <c r="G296" s="117"/>
      <c r="H296" s="117"/>
      <c r="I296" s="117"/>
      <c r="J296" s="117"/>
      <c r="K296" s="117"/>
      <c r="L296" s="117"/>
      <c r="M296" s="117"/>
    </row>
    <row r="297" spans="1:13" ht="15.75">
      <c r="A297" s="22"/>
      <c r="B297" s="22"/>
      <c r="C297" s="22"/>
      <c r="D297" s="22"/>
      <c r="E297" s="22"/>
      <c r="F297" s="22"/>
      <c r="G297" s="22"/>
      <c r="H297" s="22"/>
      <c r="I297" s="22"/>
      <c r="J297" s="22"/>
      <c r="K297" s="22"/>
      <c r="L297" s="23"/>
      <c r="M297" s="115" t="str">
        <f>M9</f>
        <v>Emissão: 25/01/2022</v>
      </c>
    </row>
    <row r="298" spans="1:13" ht="15.75">
      <c r="A298" s="25" t="s">
        <v>240</v>
      </c>
      <c r="B298" s="24"/>
      <c r="C298" s="26"/>
      <c r="D298" s="24"/>
      <c r="E298" s="24"/>
      <c r="F298" s="27"/>
      <c r="G298" s="27"/>
      <c r="H298" s="27"/>
      <c r="I298" s="24"/>
      <c r="J298" s="24"/>
      <c r="K298" s="23"/>
      <c r="L298" s="28"/>
      <c r="M298" s="28">
        <v>1</v>
      </c>
    </row>
    <row r="299" spans="1:15" ht="15.75">
      <c r="A299" s="9"/>
      <c r="B299" s="10"/>
      <c r="C299" s="11" t="s">
        <v>3</v>
      </c>
      <c r="D299" s="11" t="s">
        <v>3</v>
      </c>
      <c r="E299" s="120" t="s">
        <v>4</v>
      </c>
      <c r="F299" s="121"/>
      <c r="G299" s="122"/>
      <c r="H299" s="11" t="s">
        <v>18</v>
      </c>
      <c r="I299" s="120" t="s">
        <v>5</v>
      </c>
      <c r="J299" s="121"/>
      <c r="K299" s="122"/>
      <c r="L299" s="12" t="s">
        <v>18</v>
      </c>
      <c r="M299" s="125" t="s">
        <v>282</v>
      </c>
      <c r="N299" s="3"/>
      <c r="O299" s="3"/>
    </row>
    <row r="300" spans="1:15" ht="15.75">
      <c r="A300" s="13" t="s">
        <v>23</v>
      </c>
      <c r="B300" s="14" t="s">
        <v>266</v>
      </c>
      <c r="C300" s="14" t="s">
        <v>7</v>
      </c>
      <c r="D300" s="14" t="s">
        <v>8</v>
      </c>
      <c r="E300" s="14" t="s">
        <v>9</v>
      </c>
      <c r="F300" s="14" t="s">
        <v>10</v>
      </c>
      <c r="G300" s="14" t="s">
        <v>11</v>
      </c>
      <c r="H300" s="15"/>
      <c r="I300" s="14" t="s">
        <v>9</v>
      </c>
      <c r="J300" s="14" t="s">
        <v>10</v>
      </c>
      <c r="K300" s="14" t="s">
        <v>11</v>
      </c>
      <c r="L300" s="16"/>
      <c r="M300" s="126"/>
      <c r="N300" s="3"/>
      <c r="O300" s="3"/>
    </row>
    <row r="301" spans="1:15" ht="45.75" customHeight="1">
      <c r="A301" s="17"/>
      <c r="B301" s="18"/>
      <c r="C301" s="18"/>
      <c r="D301" s="19" t="s">
        <v>12</v>
      </c>
      <c r="E301" s="19"/>
      <c r="F301" s="19" t="s">
        <v>13</v>
      </c>
      <c r="G301" s="19" t="s">
        <v>267</v>
      </c>
      <c r="H301" s="20" t="s">
        <v>19</v>
      </c>
      <c r="I301" s="19"/>
      <c r="J301" s="19" t="s">
        <v>20</v>
      </c>
      <c r="K301" s="19" t="s">
        <v>268</v>
      </c>
      <c r="L301" s="21" t="s">
        <v>22</v>
      </c>
      <c r="M301" s="127"/>
      <c r="N301" s="3"/>
      <c r="O301" s="3"/>
    </row>
    <row r="302" spans="1:15" ht="14.25">
      <c r="A302" s="45"/>
      <c r="B302" s="69" t="s">
        <v>16</v>
      </c>
      <c r="C302" s="89">
        <f>C303+C308+C311+C317+C323+C329+C333+C335+C340+C344+C353+C355+C358+C361+C363+C365+C367+C372+C377+C379+C381+C383+C386+C389</f>
        <v>4805674768</v>
      </c>
      <c r="D302" s="89">
        <f>D303+D308+D311+D317+D323+D329+D333+D335+D340+D344+D353+D355+D358+D361+D363+D365+D367+D372+D377+D379+D381+D383+D386+D389</f>
        <v>6323405147.310001</v>
      </c>
      <c r="E302" s="89">
        <f>E303+E308+E311+E317+E323+E329+E333+E335+E340+E344+E353+E355+E358+E361+E363+E365+E367+E372+E377+E379+E381+E383+E386+E389</f>
        <v>884646411.1099999</v>
      </c>
      <c r="F302" s="89">
        <f>F303+F308+F311+F317+F323+F329+F333+F335+F340+F344+F353+F355+F358+F361+F363+F365+F367+F372+F377+F379+F381+F383+F386+F389</f>
        <v>5894102944.15</v>
      </c>
      <c r="G302" s="68">
        <f aca="true" t="shared" si="52" ref="G302:G331">(F302/$F$286)*100</f>
        <v>7.588031545390432</v>
      </c>
      <c r="H302" s="89">
        <f>D302-F302</f>
        <v>429302203.16000175</v>
      </c>
      <c r="I302" s="89">
        <f>I303+I308+I311+I317+I323+I329+I333+I335+I340+I344+I353+I355+I358+I361+I363+I365+I367+I372+I377+I379+I381+I383+I386+I389</f>
        <v>1196544126.3600001</v>
      </c>
      <c r="J302" s="89">
        <f>J303+J308+J311+J317+J323+J329+J333+J335+J340+J344+J353+J355+J358+J361+J363+J365+J367+J372+J377+J379+J381+J383+J386+J389</f>
        <v>5869535589.49</v>
      </c>
      <c r="K302" s="70">
        <f aca="true" t="shared" si="53" ref="K302:K331">(J302/$J$286)*100</f>
        <v>7.635889110169444</v>
      </c>
      <c r="L302" s="90">
        <f>D302-J302</f>
        <v>453869557.8200016</v>
      </c>
      <c r="M302" s="83">
        <f>M303+M308+M311+M317+M323+M329+M333+M335+M340+M344+M353+M355+M358+M361+M363+M365+M367+M372+M377+M379+M381+M383+M386+M389</f>
        <v>24567354.65999993</v>
      </c>
      <c r="N302" s="3"/>
      <c r="O302" s="3"/>
    </row>
    <row r="303" spans="1:15" ht="15">
      <c r="A303" s="45" t="s">
        <v>25</v>
      </c>
      <c r="B303" s="69" t="s">
        <v>24</v>
      </c>
      <c r="C303" s="80">
        <f>SUM(C304:C307)</f>
        <v>167295000</v>
      </c>
      <c r="D303" s="80">
        <f>SUM(D304:D307)</f>
        <v>123805000</v>
      </c>
      <c r="E303" s="80">
        <f>SUM(E304:E307)</f>
        <v>9889040.899999991</v>
      </c>
      <c r="F303" s="80">
        <f>SUM(F304:F307)</f>
        <v>122595764.44</v>
      </c>
      <c r="G303" s="68">
        <f t="shared" si="52"/>
        <v>0.15782902618375108</v>
      </c>
      <c r="H303" s="80">
        <f t="shared" si="50"/>
        <v>1209235.5600000024</v>
      </c>
      <c r="I303" s="80">
        <f>SUM(I304:I307)</f>
        <v>27391598.069999993</v>
      </c>
      <c r="J303" s="80">
        <f>SUM(J304:J307)</f>
        <v>122595764.44</v>
      </c>
      <c r="K303" s="49">
        <f t="shared" si="53"/>
        <v>0.15948922165435478</v>
      </c>
      <c r="L303" s="90">
        <f t="shared" si="49"/>
        <v>1209235.5600000024</v>
      </c>
      <c r="M303" s="84">
        <f>SUM(M304:M307)</f>
        <v>0</v>
      </c>
      <c r="N303" s="3"/>
      <c r="O303" s="3"/>
    </row>
    <row r="304" spans="1:15" ht="15">
      <c r="A304" s="50" t="s">
        <v>26</v>
      </c>
      <c r="B304" s="64" t="s">
        <v>31</v>
      </c>
      <c r="C304" s="81">
        <v>2000000</v>
      </c>
      <c r="D304" s="81">
        <v>0</v>
      </c>
      <c r="E304" s="81">
        <f>F304-0</f>
        <v>0</v>
      </c>
      <c r="F304" s="81">
        <v>0</v>
      </c>
      <c r="G304" s="68">
        <f t="shared" si="52"/>
        <v>0</v>
      </c>
      <c r="H304" s="80">
        <f t="shared" si="50"/>
        <v>0</v>
      </c>
      <c r="I304" s="81">
        <f>J304-0</f>
        <v>0</v>
      </c>
      <c r="J304" s="81">
        <v>0</v>
      </c>
      <c r="K304" s="49">
        <f t="shared" si="53"/>
        <v>0</v>
      </c>
      <c r="L304" s="91">
        <f t="shared" si="49"/>
        <v>0</v>
      </c>
      <c r="M304" s="84">
        <f>F304-J304</f>
        <v>0</v>
      </c>
      <c r="N304" s="3"/>
      <c r="O304" s="3"/>
    </row>
    <row r="305" spans="1:15" ht="15">
      <c r="A305" s="50" t="s">
        <v>28</v>
      </c>
      <c r="B305" s="64" t="s">
        <v>33</v>
      </c>
      <c r="C305" s="81">
        <v>165275000</v>
      </c>
      <c r="D305" s="81">
        <v>123775000</v>
      </c>
      <c r="E305" s="81">
        <f>F305-112704683.54</f>
        <v>9889040.899999991</v>
      </c>
      <c r="F305" s="81">
        <v>122593724.44</v>
      </c>
      <c r="G305" s="68">
        <f t="shared" si="52"/>
        <v>0.15782639990041342</v>
      </c>
      <c r="H305" s="81">
        <f>D305-F305</f>
        <v>1181275.5600000024</v>
      </c>
      <c r="I305" s="81">
        <f>J305-95204166.37</f>
        <v>27389558.069999993</v>
      </c>
      <c r="J305" s="81">
        <v>122593724.44</v>
      </c>
      <c r="K305" s="49">
        <f t="shared" si="53"/>
        <v>0.15948656774527672</v>
      </c>
      <c r="L305" s="91">
        <f>D305-J305</f>
        <v>1181275.5600000024</v>
      </c>
      <c r="M305" s="84">
        <f>F305-J305</f>
        <v>0</v>
      </c>
      <c r="N305" s="3"/>
      <c r="O305" s="3"/>
    </row>
    <row r="306" spans="1:15" ht="15">
      <c r="A306" s="50" t="s">
        <v>50</v>
      </c>
      <c r="B306" s="64" t="s">
        <v>57</v>
      </c>
      <c r="C306" s="81">
        <v>20000</v>
      </c>
      <c r="D306" s="81">
        <v>20000</v>
      </c>
      <c r="E306" s="81">
        <f>F306-0</f>
        <v>0</v>
      </c>
      <c r="F306" s="81">
        <v>0</v>
      </c>
      <c r="G306" s="62">
        <f t="shared" si="52"/>
        <v>0</v>
      </c>
      <c r="H306" s="81">
        <f t="shared" si="50"/>
        <v>20000</v>
      </c>
      <c r="I306" s="81">
        <f>J306-0</f>
        <v>0</v>
      </c>
      <c r="J306" s="81">
        <v>0</v>
      </c>
      <c r="K306" s="54">
        <f t="shared" si="53"/>
        <v>0</v>
      </c>
      <c r="L306" s="91">
        <f t="shared" si="49"/>
        <v>20000</v>
      </c>
      <c r="M306" s="84">
        <f>F306-J306</f>
        <v>0</v>
      </c>
      <c r="N306" s="3"/>
      <c r="O306" s="3"/>
    </row>
    <row r="307" spans="1:15" ht="15">
      <c r="A307" s="100" t="s">
        <v>29</v>
      </c>
      <c r="B307" s="104" t="s">
        <v>34</v>
      </c>
      <c r="C307" s="97">
        <v>0</v>
      </c>
      <c r="D307" s="97">
        <v>10000</v>
      </c>
      <c r="E307" s="97">
        <f>F307-2040</f>
        <v>0</v>
      </c>
      <c r="F307" s="97">
        <v>2040</v>
      </c>
      <c r="G307" s="105">
        <f t="shared" si="52"/>
        <v>2.626283337646866E-06</v>
      </c>
      <c r="H307" s="97">
        <f t="shared" si="50"/>
        <v>7960</v>
      </c>
      <c r="I307" s="97">
        <f>J307-0</f>
        <v>2040</v>
      </c>
      <c r="J307" s="97">
        <v>2040</v>
      </c>
      <c r="K307" s="106">
        <f t="shared" si="53"/>
        <v>2.65390907802625E-06</v>
      </c>
      <c r="L307" s="107">
        <f t="shared" si="49"/>
        <v>7960</v>
      </c>
      <c r="M307" s="84">
        <f>F307-J307</f>
        <v>0</v>
      </c>
      <c r="N307" s="3"/>
      <c r="O307" s="3"/>
    </row>
    <row r="308" spans="1:15" ht="15">
      <c r="A308" s="45" t="s">
        <v>36</v>
      </c>
      <c r="B308" s="69" t="s">
        <v>37</v>
      </c>
      <c r="C308" s="80">
        <f>SUM(C309:C310)</f>
        <v>556600552</v>
      </c>
      <c r="D308" s="80">
        <f>SUM(D309:D310)</f>
        <v>516600552</v>
      </c>
      <c r="E308" s="80">
        <f>SUM(E309:E310)</f>
        <v>112302537.39000005</v>
      </c>
      <c r="F308" s="80">
        <f>SUM(F309:F310)</f>
        <v>507347906.44</v>
      </c>
      <c r="G308" s="68">
        <f t="shared" si="52"/>
        <v>0.6531565456242123</v>
      </c>
      <c r="H308" s="80">
        <f t="shared" si="50"/>
        <v>9252645.560000002</v>
      </c>
      <c r="I308" s="80">
        <f>SUM(I309:I310)</f>
        <v>112302537.39000005</v>
      </c>
      <c r="J308" s="80">
        <f>SUM(J309:J310)</f>
        <v>507347906.44</v>
      </c>
      <c r="K308" s="49">
        <f t="shared" si="53"/>
        <v>0.6600270659895728</v>
      </c>
      <c r="L308" s="90">
        <f t="shared" si="49"/>
        <v>9252645.560000002</v>
      </c>
      <c r="M308" s="84">
        <f>SUM(M309:M310)</f>
        <v>0</v>
      </c>
      <c r="N308" s="3"/>
      <c r="O308" s="3"/>
    </row>
    <row r="309" spans="1:15" ht="15">
      <c r="A309" s="50" t="s">
        <v>38</v>
      </c>
      <c r="B309" s="64" t="s">
        <v>40</v>
      </c>
      <c r="C309" s="81">
        <v>6600552</v>
      </c>
      <c r="D309" s="81">
        <v>6600552</v>
      </c>
      <c r="E309" s="81">
        <f>F309-116209.77</f>
        <v>0</v>
      </c>
      <c r="F309" s="81">
        <v>116209.77</v>
      </c>
      <c r="G309" s="62">
        <f t="shared" si="52"/>
        <v>0.00014960773657979152</v>
      </c>
      <c r="H309" s="81">
        <f t="shared" si="50"/>
        <v>6484342.23</v>
      </c>
      <c r="I309" s="81">
        <f>J309-116209.77</f>
        <v>0</v>
      </c>
      <c r="J309" s="81">
        <v>116209.77</v>
      </c>
      <c r="K309" s="54">
        <f t="shared" si="53"/>
        <v>0.00015118145272467772</v>
      </c>
      <c r="L309" s="91">
        <f t="shared" si="49"/>
        <v>6484342.23</v>
      </c>
      <c r="M309" s="84">
        <f aca="true" t="shared" si="54" ref="M309:M373">F309-J309</f>
        <v>0</v>
      </c>
      <c r="N309" s="3"/>
      <c r="O309" s="3"/>
    </row>
    <row r="310" spans="1:15" ht="15">
      <c r="A310" s="50" t="s">
        <v>28</v>
      </c>
      <c r="B310" s="64" t="s">
        <v>33</v>
      </c>
      <c r="C310" s="81">
        <v>550000000</v>
      </c>
      <c r="D310" s="81">
        <v>510000000</v>
      </c>
      <c r="E310" s="81">
        <f>F310-394929159.28</f>
        <v>112302537.39000005</v>
      </c>
      <c r="F310" s="81">
        <v>507231696.67</v>
      </c>
      <c r="G310" s="62">
        <f t="shared" si="52"/>
        <v>0.6530069378876326</v>
      </c>
      <c r="H310" s="81">
        <f t="shared" si="50"/>
        <v>2768303.3299999833</v>
      </c>
      <c r="I310" s="81">
        <f>J310-394929159.28</f>
        <v>112302537.39000005</v>
      </c>
      <c r="J310" s="81">
        <v>507231696.67</v>
      </c>
      <c r="K310" s="54">
        <f t="shared" si="53"/>
        <v>0.6598758845368482</v>
      </c>
      <c r="L310" s="91">
        <f t="shared" si="49"/>
        <v>2768303.3299999833</v>
      </c>
      <c r="M310" s="84">
        <f t="shared" si="54"/>
        <v>0</v>
      </c>
      <c r="N310" s="3"/>
      <c r="O310" s="3"/>
    </row>
    <row r="311" spans="1:15" ht="14.25">
      <c r="A311" s="45" t="s">
        <v>42</v>
      </c>
      <c r="B311" s="69" t="s">
        <v>43</v>
      </c>
      <c r="C311" s="80">
        <f>SUM(C312:C316)</f>
        <v>394605410</v>
      </c>
      <c r="D311" s="80">
        <f>SUM(D312:D316)</f>
        <v>456575026.32</v>
      </c>
      <c r="E311" s="80">
        <f>SUM(E312:E316)</f>
        <v>55149377.27999998</v>
      </c>
      <c r="F311" s="80">
        <f>SUM(F312:F316)</f>
        <v>452071313.92</v>
      </c>
      <c r="G311" s="68">
        <f t="shared" si="52"/>
        <v>0.5819938035177558</v>
      </c>
      <c r="H311" s="80">
        <f>D311-F311</f>
        <v>4503712.399999976</v>
      </c>
      <c r="I311" s="80">
        <f>SUM(I312+I313+I314+I316+I315)</f>
        <v>86806143.15000002</v>
      </c>
      <c r="J311" s="80">
        <f>SUM(J312+J313+J314+J316+J315)</f>
        <v>443090262.68</v>
      </c>
      <c r="K311" s="49">
        <f t="shared" si="53"/>
        <v>0.5764319953487685</v>
      </c>
      <c r="L311" s="90">
        <f t="shared" si="49"/>
        <v>13484763.639999986</v>
      </c>
      <c r="M311" s="83">
        <f>SUM(M312:M316)</f>
        <v>8981051.24000001</v>
      </c>
      <c r="N311" s="3"/>
      <c r="O311" s="3"/>
    </row>
    <row r="312" spans="1:15" ht="15">
      <c r="A312" s="50" t="s">
        <v>44</v>
      </c>
      <c r="B312" s="64" t="s">
        <v>45</v>
      </c>
      <c r="C312" s="80">
        <v>0</v>
      </c>
      <c r="D312" s="81">
        <v>0</v>
      </c>
      <c r="E312" s="81">
        <f>F312-0</f>
        <v>0</v>
      </c>
      <c r="F312" s="81">
        <v>0</v>
      </c>
      <c r="G312" s="68">
        <f t="shared" si="52"/>
        <v>0</v>
      </c>
      <c r="H312" s="80">
        <f>D312-F312</f>
        <v>0</v>
      </c>
      <c r="I312" s="80">
        <f>J312-0</f>
        <v>0</v>
      </c>
      <c r="J312" s="80">
        <v>0</v>
      </c>
      <c r="K312" s="49"/>
      <c r="L312" s="90">
        <f t="shared" si="49"/>
        <v>0</v>
      </c>
      <c r="M312" s="84">
        <f t="shared" si="54"/>
        <v>0</v>
      </c>
      <c r="N312" s="3"/>
      <c r="O312" s="3"/>
    </row>
    <row r="313" spans="1:15" ht="15">
      <c r="A313" s="50" t="s">
        <v>229</v>
      </c>
      <c r="B313" s="64" t="s">
        <v>230</v>
      </c>
      <c r="C313" s="81">
        <v>0</v>
      </c>
      <c r="D313" s="81">
        <v>519587.74</v>
      </c>
      <c r="E313" s="81">
        <f>F313-0</f>
        <v>19587.74</v>
      </c>
      <c r="F313" s="81">
        <v>19587.74</v>
      </c>
      <c r="G313" s="62">
        <f t="shared" si="52"/>
        <v>2.5217134894195605E-05</v>
      </c>
      <c r="H313" s="81">
        <f>D313-F313</f>
        <v>500000</v>
      </c>
      <c r="I313" s="81">
        <f>J313-0</f>
        <v>19587.74</v>
      </c>
      <c r="J313" s="81">
        <v>19587.74</v>
      </c>
      <c r="K313" s="54">
        <f t="shared" si="53"/>
        <v>2.5482392649028384E-05</v>
      </c>
      <c r="L313" s="91">
        <f t="shared" si="49"/>
        <v>500000</v>
      </c>
      <c r="M313" s="84">
        <f t="shared" si="54"/>
        <v>0</v>
      </c>
      <c r="N313" s="3"/>
      <c r="O313" s="3"/>
    </row>
    <row r="314" spans="1:15" ht="15">
      <c r="A314" s="50" t="s">
        <v>28</v>
      </c>
      <c r="B314" s="64" t="s">
        <v>33</v>
      </c>
      <c r="C314" s="81">
        <v>394465410</v>
      </c>
      <c r="D314" s="81">
        <v>455399445.52</v>
      </c>
      <c r="E314" s="81">
        <f>F314-396902749.97</f>
        <v>55110883.149999976</v>
      </c>
      <c r="F314" s="81">
        <v>452013633.12</v>
      </c>
      <c r="G314" s="62">
        <f t="shared" si="52"/>
        <v>0.5819195456138626</v>
      </c>
      <c r="H314" s="81">
        <f t="shared" si="50"/>
        <v>3385812.399999976</v>
      </c>
      <c r="I314" s="81">
        <f>J314-356277759.53</f>
        <v>86754822.35000002</v>
      </c>
      <c r="J314" s="81">
        <v>443032581.88</v>
      </c>
      <c r="K314" s="54">
        <f t="shared" si="53"/>
        <v>0.5763569563297745</v>
      </c>
      <c r="L314" s="91">
        <f t="shared" si="49"/>
        <v>12366863.639999986</v>
      </c>
      <c r="M314" s="84">
        <f t="shared" si="54"/>
        <v>8981051.24000001</v>
      </c>
      <c r="N314" s="3"/>
      <c r="O314" s="3"/>
    </row>
    <row r="315" spans="1:15" ht="15">
      <c r="A315" s="50" t="s">
        <v>50</v>
      </c>
      <c r="B315" s="64" t="s">
        <v>57</v>
      </c>
      <c r="C315" s="81">
        <v>0</v>
      </c>
      <c r="D315" s="81">
        <v>15993.06</v>
      </c>
      <c r="E315" s="81">
        <f>F315-0</f>
        <v>15993.06</v>
      </c>
      <c r="F315" s="81">
        <v>15993.06</v>
      </c>
      <c r="G315" s="62">
        <f t="shared" si="52"/>
        <v>2.058936617450323E-05</v>
      </c>
      <c r="H315" s="81">
        <f t="shared" si="50"/>
        <v>0</v>
      </c>
      <c r="I315" s="81">
        <f>J315-0</f>
        <v>15993.06</v>
      </c>
      <c r="J315" s="81">
        <v>15993.06</v>
      </c>
      <c r="K315" s="54">
        <f t="shared" si="53"/>
        <v>2.0805944666381613E-05</v>
      </c>
      <c r="L315" s="91">
        <f t="shared" si="49"/>
        <v>0</v>
      </c>
      <c r="M315" s="84">
        <f t="shared" si="54"/>
        <v>0</v>
      </c>
      <c r="N315" s="3"/>
      <c r="O315" s="3"/>
    </row>
    <row r="316" spans="1:15" ht="15">
      <c r="A316" s="50" t="s">
        <v>29</v>
      </c>
      <c r="B316" s="64" t="s">
        <v>264</v>
      </c>
      <c r="C316" s="81">
        <v>140000</v>
      </c>
      <c r="D316" s="81">
        <v>640000</v>
      </c>
      <c r="E316" s="81">
        <f>F316-19186.67</f>
        <v>2913.3300000000017</v>
      </c>
      <c r="F316" s="81">
        <v>22100</v>
      </c>
      <c r="G316" s="62">
        <f t="shared" si="52"/>
        <v>2.8451402824507718E-05</v>
      </c>
      <c r="H316" s="81">
        <f t="shared" si="50"/>
        <v>617900</v>
      </c>
      <c r="I316" s="81">
        <f>J316-6360</f>
        <v>15740</v>
      </c>
      <c r="J316" s="81">
        <v>22100</v>
      </c>
      <c r="K316" s="54">
        <f t="shared" si="53"/>
        <v>2.875068167861771E-05</v>
      </c>
      <c r="L316" s="91">
        <f t="shared" si="49"/>
        <v>617900</v>
      </c>
      <c r="M316" s="84">
        <f t="shared" si="54"/>
        <v>0</v>
      </c>
      <c r="N316" s="3"/>
      <c r="O316" s="3"/>
    </row>
    <row r="317" spans="1:15" ht="14.25">
      <c r="A317" s="45" t="s">
        <v>46</v>
      </c>
      <c r="B317" s="69" t="s">
        <v>47</v>
      </c>
      <c r="C317" s="80">
        <f>SUM(C318:C322)</f>
        <v>147675998</v>
      </c>
      <c r="D317" s="80">
        <f>SUM(D318:D322)</f>
        <v>153243588.81</v>
      </c>
      <c r="E317" s="80">
        <f>SUM(E318:E322)</f>
        <v>23659205.040000007</v>
      </c>
      <c r="F317" s="80">
        <f>SUM(F318:F322)</f>
        <v>147615533.62</v>
      </c>
      <c r="G317" s="68">
        <f t="shared" si="52"/>
        <v>0.1900393217274788</v>
      </c>
      <c r="H317" s="80">
        <f t="shared" si="50"/>
        <v>5628055.189999998</v>
      </c>
      <c r="I317" s="80">
        <f>SUM(I318:I322)</f>
        <v>33314242.159999996</v>
      </c>
      <c r="J317" s="80">
        <f>SUM(J318:J322)</f>
        <v>147521606.5</v>
      </c>
      <c r="K317" s="49">
        <f t="shared" si="53"/>
        <v>0.19191614249772856</v>
      </c>
      <c r="L317" s="90">
        <f t="shared" si="49"/>
        <v>5721982.310000002</v>
      </c>
      <c r="M317" s="83">
        <f>SUM(M318:M322)</f>
        <v>93927.12000000477</v>
      </c>
      <c r="N317" s="3"/>
      <c r="O317" s="3"/>
    </row>
    <row r="318" spans="1:15" ht="15">
      <c r="A318" s="50" t="s">
        <v>28</v>
      </c>
      <c r="B318" s="64" t="s">
        <v>33</v>
      </c>
      <c r="C318" s="81">
        <v>147225998</v>
      </c>
      <c r="D318" s="81">
        <v>153117088.81</v>
      </c>
      <c r="E318" s="81">
        <f>F318-123956328.58</f>
        <v>23659205.040000007</v>
      </c>
      <c r="F318" s="97">
        <v>147615533.62</v>
      </c>
      <c r="G318" s="62">
        <f t="shared" si="52"/>
        <v>0.1900393217274788</v>
      </c>
      <c r="H318" s="81">
        <f t="shared" si="50"/>
        <v>5501555.189999998</v>
      </c>
      <c r="I318" s="81">
        <f>J318-114207364.34</f>
        <v>33314242.159999996</v>
      </c>
      <c r="J318" s="81">
        <v>147521606.5</v>
      </c>
      <c r="K318" s="54">
        <f t="shared" si="53"/>
        <v>0.19191614249772856</v>
      </c>
      <c r="L318" s="91">
        <f t="shared" si="49"/>
        <v>5595482.310000002</v>
      </c>
      <c r="M318" s="84">
        <f t="shared" si="54"/>
        <v>93927.12000000477</v>
      </c>
      <c r="N318" s="3"/>
      <c r="O318" s="3"/>
    </row>
    <row r="319" spans="1:15" ht="15">
      <c r="A319" s="50" t="s">
        <v>39</v>
      </c>
      <c r="B319" s="64" t="s">
        <v>41</v>
      </c>
      <c r="C319" s="81">
        <v>0</v>
      </c>
      <c r="D319" s="81">
        <v>0</v>
      </c>
      <c r="E319" s="81">
        <f>F319-0</f>
        <v>0</v>
      </c>
      <c r="F319" s="81">
        <v>0</v>
      </c>
      <c r="G319" s="62">
        <f t="shared" si="52"/>
        <v>0</v>
      </c>
      <c r="H319" s="81">
        <f t="shared" si="50"/>
        <v>0</v>
      </c>
      <c r="I319" s="81">
        <f>J319-0</f>
        <v>0</v>
      </c>
      <c r="J319" s="81">
        <v>0</v>
      </c>
      <c r="K319" s="54">
        <f t="shared" si="53"/>
        <v>0</v>
      </c>
      <c r="L319" s="91">
        <f t="shared" si="49"/>
        <v>0</v>
      </c>
      <c r="M319" s="84">
        <f t="shared" si="54"/>
        <v>0</v>
      </c>
      <c r="N319" s="3"/>
      <c r="O319" s="3"/>
    </row>
    <row r="320" spans="1:15" ht="15">
      <c r="A320" s="100" t="s">
        <v>51</v>
      </c>
      <c r="B320" s="104" t="s">
        <v>58</v>
      </c>
      <c r="C320" s="97">
        <v>0</v>
      </c>
      <c r="D320" s="97">
        <v>126500</v>
      </c>
      <c r="E320" s="97">
        <f>F320-0</f>
        <v>0</v>
      </c>
      <c r="F320" s="97">
        <v>0</v>
      </c>
      <c r="G320" s="105">
        <f t="shared" si="52"/>
        <v>0</v>
      </c>
      <c r="H320" s="97">
        <f t="shared" si="50"/>
        <v>126500</v>
      </c>
      <c r="I320" s="97">
        <f>J320-0</f>
        <v>0</v>
      </c>
      <c r="J320" s="97">
        <v>0</v>
      </c>
      <c r="K320" s="106">
        <f t="shared" si="53"/>
        <v>0</v>
      </c>
      <c r="L320" s="107">
        <f t="shared" si="49"/>
        <v>126500</v>
      </c>
      <c r="M320" s="84">
        <f t="shared" si="54"/>
        <v>0</v>
      </c>
      <c r="N320" s="119"/>
      <c r="O320" s="119"/>
    </row>
    <row r="321" spans="1:15" ht="15">
      <c r="A321" s="50" t="s">
        <v>53</v>
      </c>
      <c r="B321" s="64" t="s">
        <v>60</v>
      </c>
      <c r="C321" s="81">
        <v>0</v>
      </c>
      <c r="D321" s="81">
        <v>0</v>
      </c>
      <c r="E321" s="81">
        <f>F321-0</f>
        <v>0</v>
      </c>
      <c r="F321" s="81">
        <v>0</v>
      </c>
      <c r="G321" s="62">
        <f t="shared" si="52"/>
        <v>0</v>
      </c>
      <c r="H321" s="81">
        <f t="shared" si="50"/>
        <v>0</v>
      </c>
      <c r="I321" s="81">
        <f>J321-0</f>
        <v>0</v>
      </c>
      <c r="J321" s="81">
        <v>0</v>
      </c>
      <c r="K321" s="54">
        <f t="shared" si="53"/>
        <v>0</v>
      </c>
      <c r="L321" s="91">
        <f t="shared" si="49"/>
        <v>0</v>
      </c>
      <c r="M321" s="84">
        <f t="shared" si="54"/>
        <v>0</v>
      </c>
      <c r="N321" s="3"/>
      <c r="O321" s="3"/>
    </row>
    <row r="322" spans="1:15" ht="15">
      <c r="A322" s="50" t="s">
        <v>96</v>
      </c>
      <c r="B322" s="64" t="s">
        <v>102</v>
      </c>
      <c r="C322" s="81">
        <v>450000</v>
      </c>
      <c r="D322" s="81">
        <v>0</v>
      </c>
      <c r="E322" s="81">
        <f>F322-0</f>
        <v>0</v>
      </c>
      <c r="F322" s="81">
        <v>0</v>
      </c>
      <c r="G322" s="62">
        <f t="shared" si="52"/>
        <v>0</v>
      </c>
      <c r="H322" s="81">
        <v>0</v>
      </c>
      <c r="I322" s="81">
        <f>J322-0</f>
        <v>0</v>
      </c>
      <c r="J322" s="81">
        <v>0</v>
      </c>
      <c r="K322" s="54">
        <f t="shared" si="53"/>
        <v>0</v>
      </c>
      <c r="L322" s="91">
        <f t="shared" si="49"/>
        <v>0</v>
      </c>
      <c r="M322" s="84">
        <f t="shared" si="54"/>
        <v>0</v>
      </c>
      <c r="N322" s="3"/>
      <c r="O322" s="3"/>
    </row>
    <row r="323" spans="1:15" ht="14.25">
      <c r="A323" s="45" t="s">
        <v>63</v>
      </c>
      <c r="B323" s="69" t="s">
        <v>62</v>
      </c>
      <c r="C323" s="80">
        <f>SUM(C324:C328)</f>
        <v>841111849</v>
      </c>
      <c r="D323" s="80">
        <f>SUM(D324:D328)</f>
        <v>760238034.04</v>
      </c>
      <c r="E323" s="80">
        <f>SUM(E324:E328)</f>
        <v>142377573.09000003</v>
      </c>
      <c r="F323" s="80">
        <f>SUM(F324:F328)</f>
        <v>702914501.55</v>
      </c>
      <c r="G323" s="68">
        <f t="shared" si="52"/>
        <v>0.9049277662799594</v>
      </c>
      <c r="H323" s="80">
        <f t="shared" si="50"/>
        <v>57323532.49000001</v>
      </c>
      <c r="I323" s="80">
        <f>SUM(I324:I328)</f>
        <v>141569912.06000003</v>
      </c>
      <c r="J323" s="80">
        <f>SUM(J324:J328)</f>
        <v>699538979.28</v>
      </c>
      <c r="K323" s="49">
        <f t="shared" si="53"/>
        <v>0.9100553174237297</v>
      </c>
      <c r="L323" s="90">
        <f t="shared" si="49"/>
        <v>60699054.75999999</v>
      </c>
      <c r="M323" s="83">
        <f>SUM(M324:M328)</f>
        <v>3375522.269999963</v>
      </c>
      <c r="N323" s="3"/>
      <c r="O323" s="3"/>
    </row>
    <row r="324" spans="1:15" ht="15">
      <c r="A324" s="50" t="s">
        <v>28</v>
      </c>
      <c r="B324" s="64" t="s">
        <v>33</v>
      </c>
      <c r="C324" s="81">
        <v>722706091</v>
      </c>
      <c r="D324" s="81">
        <v>696402606.04</v>
      </c>
      <c r="E324" s="81">
        <f>F324-507745855.08</f>
        <v>131822119.53000003</v>
      </c>
      <c r="F324" s="81">
        <v>639567974.61</v>
      </c>
      <c r="G324" s="62">
        <f t="shared" si="52"/>
        <v>0.8233758406915672</v>
      </c>
      <c r="H324" s="81">
        <f t="shared" si="50"/>
        <v>56834631.42999995</v>
      </c>
      <c r="I324" s="81">
        <f>J324-505263848.67</f>
        <v>133820191.40000004</v>
      </c>
      <c r="J324" s="81">
        <v>639084040.07</v>
      </c>
      <c r="K324" s="54">
        <f t="shared" si="53"/>
        <v>0.8314073213546396</v>
      </c>
      <c r="L324" s="91">
        <f t="shared" si="49"/>
        <v>57318565.96999991</v>
      </c>
      <c r="M324" s="84">
        <f t="shared" si="54"/>
        <v>483934.53999996185</v>
      </c>
      <c r="N324" s="3"/>
      <c r="O324" s="3"/>
    </row>
    <row r="325" spans="1:15" ht="15">
      <c r="A325" s="50" t="s">
        <v>49</v>
      </c>
      <c r="B325" s="64" t="s">
        <v>56</v>
      </c>
      <c r="C325" s="81">
        <v>115145728</v>
      </c>
      <c r="D325" s="81">
        <v>61985428</v>
      </c>
      <c r="E325" s="81">
        <f>F325-51387259.38</f>
        <v>10109267.559999995</v>
      </c>
      <c r="F325" s="81">
        <v>61496526.94</v>
      </c>
      <c r="G325" s="62">
        <f t="shared" si="52"/>
        <v>0.07917024707140863</v>
      </c>
      <c r="H325" s="81">
        <f t="shared" si="50"/>
        <v>488901.0600000024</v>
      </c>
      <c r="I325" s="81">
        <f>J325-51361570.82</f>
        <v>7305501.339999996</v>
      </c>
      <c r="J325" s="81">
        <v>58667072.16</v>
      </c>
      <c r="K325" s="54">
        <f t="shared" si="53"/>
        <v>0.07632209577776719</v>
      </c>
      <c r="L325" s="91">
        <f t="shared" si="49"/>
        <v>3318355.8400000036</v>
      </c>
      <c r="M325" s="84">
        <f t="shared" si="54"/>
        <v>2829454.780000001</v>
      </c>
      <c r="N325" s="3"/>
      <c r="O325" s="3"/>
    </row>
    <row r="326" spans="1:15" ht="15">
      <c r="A326" s="50" t="s">
        <v>29</v>
      </c>
      <c r="B326" s="64" t="s">
        <v>34</v>
      </c>
      <c r="C326" s="81">
        <v>2850000</v>
      </c>
      <c r="D326" s="81">
        <v>1850000</v>
      </c>
      <c r="E326" s="81">
        <f>F326-1403814</f>
        <v>446186</v>
      </c>
      <c r="F326" s="81">
        <v>1850000</v>
      </c>
      <c r="G326" s="62">
        <f t="shared" si="52"/>
        <v>0.002381678516983678</v>
      </c>
      <c r="H326" s="81">
        <f t="shared" si="50"/>
        <v>0</v>
      </c>
      <c r="I326" s="81">
        <f>J326-1343647.73</f>
        <v>444219.32000000007</v>
      </c>
      <c r="J326" s="81">
        <v>1787867.05</v>
      </c>
      <c r="K326" s="54">
        <f t="shared" si="53"/>
        <v>0.0023259002913230452</v>
      </c>
      <c r="L326" s="91">
        <f t="shared" si="49"/>
        <v>62132.94999999995</v>
      </c>
      <c r="M326" s="84">
        <f t="shared" si="54"/>
        <v>62132.94999999995</v>
      </c>
      <c r="N326" s="3"/>
      <c r="O326" s="3"/>
    </row>
    <row r="327" spans="1:15" ht="15">
      <c r="A327" s="50" t="s">
        <v>64</v>
      </c>
      <c r="B327" s="64" t="s">
        <v>72</v>
      </c>
      <c r="C327" s="81">
        <v>0</v>
      </c>
      <c r="D327" s="81">
        <v>0</v>
      </c>
      <c r="E327" s="81">
        <f>F327-0</f>
        <v>0</v>
      </c>
      <c r="F327" s="81">
        <v>0</v>
      </c>
      <c r="G327" s="62">
        <f t="shared" si="52"/>
        <v>0</v>
      </c>
      <c r="H327" s="81">
        <f t="shared" si="50"/>
        <v>0</v>
      </c>
      <c r="I327" s="81">
        <f>J327-0</f>
        <v>0</v>
      </c>
      <c r="J327" s="81">
        <v>0</v>
      </c>
      <c r="K327" s="54">
        <f t="shared" si="53"/>
        <v>0</v>
      </c>
      <c r="L327" s="91">
        <f t="shared" si="49"/>
        <v>0</v>
      </c>
      <c r="M327" s="84">
        <f t="shared" si="54"/>
        <v>0</v>
      </c>
      <c r="N327" s="3"/>
      <c r="O327" s="3"/>
    </row>
    <row r="328" spans="1:15" ht="15">
      <c r="A328" s="50" t="s">
        <v>65</v>
      </c>
      <c r="B328" s="64" t="s">
        <v>73</v>
      </c>
      <c r="C328" s="81">
        <v>410030</v>
      </c>
      <c r="D328" s="81">
        <v>0</v>
      </c>
      <c r="E328" s="81">
        <f>F328-0</f>
        <v>0</v>
      </c>
      <c r="F328" s="81">
        <v>0</v>
      </c>
      <c r="G328" s="62">
        <f t="shared" si="52"/>
        <v>0</v>
      </c>
      <c r="H328" s="81">
        <f t="shared" si="50"/>
        <v>0</v>
      </c>
      <c r="I328" s="81">
        <f>J328-0</f>
        <v>0</v>
      </c>
      <c r="J328" s="81">
        <v>0</v>
      </c>
      <c r="K328" s="54">
        <f t="shared" si="53"/>
        <v>0</v>
      </c>
      <c r="L328" s="91">
        <f t="shared" si="49"/>
        <v>0</v>
      </c>
      <c r="M328" s="84">
        <f t="shared" si="54"/>
        <v>0</v>
      </c>
      <c r="N328" s="3"/>
      <c r="O328" s="3"/>
    </row>
    <row r="329" spans="1:15" ht="15">
      <c r="A329" s="45" t="s">
        <v>81</v>
      </c>
      <c r="B329" s="69" t="s">
        <v>80</v>
      </c>
      <c r="C329" s="80">
        <f>SUM(C330:C332)</f>
        <v>8558965</v>
      </c>
      <c r="D329" s="80">
        <f>SUM(D330:D332)</f>
        <v>5755847.42</v>
      </c>
      <c r="E329" s="80">
        <f>SUM(E330:E332)</f>
        <v>831159</v>
      </c>
      <c r="F329" s="80">
        <f>SUM(F330:F332)</f>
        <v>5650794.47</v>
      </c>
      <c r="G329" s="68">
        <f t="shared" si="52"/>
        <v>0.0072747977259941445</v>
      </c>
      <c r="H329" s="80">
        <f t="shared" si="50"/>
        <v>105052.95000000019</v>
      </c>
      <c r="I329" s="80">
        <f>SUM(I330:I332)</f>
        <v>1274886.2599999998</v>
      </c>
      <c r="J329" s="80">
        <f>SUM(J330:J332)</f>
        <v>5650794.47</v>
      </c>
      <c r="K329" s="49">
        <f t="shared" si="53"/>
        <v>0.007351320951957614</v>
      </c>
      <c r="L329" s="90">
        <f t="shared" si="49"/>
        <v>105052.95000000019</v>
      </c>
      <c r="M329" s="84">
        <f>SUM(M330:M332)</f>
        <v>0</v>
      </c>
      <c r="N329" s="3"/>
      <c r="O329" s="3"/>
    </row>
    <row r="330" spans="1:15" ht="15">
      <c r="A330" s="50" t="s">
        <v>28</v>
      </c>
      <c r="B330" s="64" t="s">
        <v>33</v>
      </c>
      <c r="C330" s="81">
        <v>8276400</v>
      </c>
      <c r="D330" s="81">
        <v>5463058.31</v>
      </c>
      <c r="E330" s="81">
        <f>F330-4503150.59</f>
        <v>855033.25</v>
      </c>
      <c r="F330" s="81">
        <v>5358183.84</v>
      </c>
      <c r="G330" s="62">
        <f t="shared" si="52"/>
        <v>0.0068980926171768155</v>
      </c>
      <c r="H330" s="81">
        <f>D330-F330</f>
        <v>104874.46999999974</v>
      </c>
      <c r="I330" s="81">
        <f>J330-4157346.95</f>
        <v>1200836.8899999997</v>
      </c>
      <c r="J330" s="81">
        <v>5358183.84</v>
      </c>
      <c r="K330" s="54">
        <f t="shared" si="53"/>
        <v>0.006970653301328211</v>
      </c>
      <c r="L330" s="91">
        <f>D330-J330</f>
        <v>104874.46999999974</v>
      </c>
      <c r="M330" s="84">
        <f t="shared" si="54"/>
        <v>0</v>
      </c>
      <c r="N330" s="3"/>
      <c r="O330" s="3"/>
    </row>
    <row r="331" spans="1:15" ht="15">
      <c r="A331" s="50" t="s">
        <v>82</v>
      </c>
      <c r="B331" s="64" t="s">
        <v>84</v>
      </c>
      <c r="C331" s="81">
        <v>282565</v>
      </c>
      <c r="D331" s="81">
        <v>292789.11</v>
      </c>
      <c r="E331" s="81">
        <f>F331-316484.88</f>
        <v>-23874.25</v>
      </c>
      <c r="F331" s="81">
        <v>292610.63</v>
      </c>
      <c r="G331" s="62">
        <f t="shared" si="52"/>
        <v>0.00037670510881732957</v>
      </c>
      <c r="H331" s="81">
        <f>D331-F331</f>
        <v>178.47999999998137</v>
      </c>
      <c r="I331" s="81">
        <f>J331-218561.26</f>
        <v>74049.37</v>
      </c>
      <c r="J331" s="81">
        <v>292610.63</v>
      </c>
      <c r="K331" s="54">
        <f t="shared" si="53"/>
        <v>0.00038066765062940203</v>
      </c>
      <c r="L331" s="91">
        <f>D331-J331</f>
        <v>178.47999999998137</v>
      </c>
      <c r="M331" s="84">
        <f t="shared" si="54"/>
        <v>0</v>
      </c>
      <c r="N331" s="3"/>
      <c r="O331" s="3"/>
    </row>
    <row r="332" spans="1:15" ht="15">
      <c r="A332" s="50" t="s">
        <v>83</v>
      </c>
      <c r="B332" s="64" t="s">
        <v>265</v>
      </c>
      <c r="C332" s="81">
        <v>0</v>
      </c>
      <c r="D332" s="81">
        <v>0</v>
      </c>
      <c r="E332" s="81">
        <f>F332-0</f>
        <v>0</v>
      </c>
      <c r="F332" s="81">
        <v>0</v>
      </c>
      <c r="G332" s="62">
        <f aca="true" t="shared" si="55" ref="G332:G343">(F332/$F$286)*100</f>
        <v>0</v>
      </c>
      <c r="H332" s="81">
        <f t="shared" si="50"/>
        <v>0</v>
      </c>
      <c r="I332" s="81">
        <f>J332-0</f>
        <v>0</v>
      </c>
      <c r="J332" s="81">
        <v>0</v>
      </c>
      <c r="K332" s="54">
        <f aca="true" t="shared" si="56" ref="K332:K343">(J332/$J$286)*100</f>
        <v>0</v>
      </c>
      <c r="L332" s="91">
        <f t="shared" si="49"/>
        <v>0</v>
      </c>
      <c r="M332" s="84">
        <f t="shared" si="54"/>
        <v>0</v>
      </c>
      <c r="N332" s="3"/>
      <c r="O332" s="3"/>
    </row>
    <row r="333" spans="1:15" ht="14.25">
      <c r="A333" s="45" t="s">
        <v>87</v>
      </c>
      <c r="B333" s="69" t="s">
        <v>86</v>
      </c>
      <c r="C333" s="80">
        <f>C334</f>
        <v>173285000</v>
      </c>
      <c r="D333" s="80">
        <f>D334</f>
        <v>564531261.79</v>
      </c>
      <c r="E333" s="80">
        <f>E334</f>
        <v>309086724.6</v>
      </c>
      <c r="F333" s="80">
        <f>F334</f>
        <v>401717960.35</v>
      </c>
      <c r="G333" s="68">
        <f t="shared" si="55"/>
        <v>0.5171692086768086</v>
      </c>
      <c r="H333" s="80">
        <f t="shared" si="50"/>
        <v>162813301.43999994</v>
      </c>
      <c r="I333" s="80">
        <f>I334</f>
        <v>309185039.49</v>
      </c>
      <c r="J333" s="80">
        <f>J334</f>
        <v>401447171.56</v>
      </c>
      <c r="K333" s="49">
        <f t="shared" si="56"/>
        <v>0.5222570063485517</v>
      </c>
      <c r="L333" s="90">
        <f t="shared" si="49"/>
        <v>163084090.22999996</v>
      </c>
      <c r="M333" s="83">
        <f>M334</f>
        <v>270788.79000002146</v>
      </c>
      <c r="N333" s="3"/>
      <c r="O333" s="3"/>
    </row>
    <row r="334" spans="1:15" ht="15">
      <c r="A334" s="50" t="s">
        <v>28</v>
      </c>
      <c r="B334" s="64" t="s">
        <v>33</v>
      </c>
      <c r="C334" s="81">
        <v>173285000</v>
      </c>
      <c r="D334" s="81">
        <v>564531261.79</v>
      </c>
      <c r="E334" s="81">
        <f>F334-92631235.75</f>
        <v>309086724.6</v>
      </c>
      <c r="F334" s="81">
        <v>401717960.35</v>
      </c>
      <c r="G334" s="62">
        <f t="shared" si="55"/>
        <v>0.5171692086768086</v>
      </c>
      <c r="H334" s="81">
        <f t="shared" si="50"/>
        <v>162813301.43999994</v>
      </c>
      <c r="I334" s="81">
        <f>J334-92262132.07</f>
        <v>309185039.49</v>
      </c>
      <c r="J334" s="81">
        <v>401447171.56</v>
      </c>
      <c r="K334" s="54">
        <f t="shared" si="56"/>
        <v>0.5222570063485517</v>
      </c>
      <c r="L334" s="91">
        <f t="shared" si="49"/>
        <v>163084090.22999996</v>
      </c>
      <c r="M334" s="84">
        <f t="shared" si="54"/>
        <v>270788.79000002146</v>
      </c>
      <c r="N334" s="3"/>
      <c r="O334" s="3"/>
    </row>
    <row r="335" spans="1:15" ht="14.25">
      <c r="A335" s="45" t="s">
        <v>90</v>
      </c>
      <c r="B335" s="69" t="s">
        <v>91</v>
      </c>
      <c r="C335" s="80">
        <f>SUM(C336:C338)</f>
        <v>809752021</v>
      </c>
      <c r="D335" s="80">
        <f>SUM(D336:D339)</f>
        <v>825557449.64</v>
      </c>
      <c r="E335" s="80">
        <f>SUM(E336:E339)</f>
        <v>155215387.89999995</v>
      </c>
      <c r="F335" s="80">
        <f>SUM(F336:F339)</f>
        <v>811064968.02</v>
      </c>
      <c r="G335" s="68">
        <f t="shared" si="55"/>
        <v>1.0441600055196147</v>
      </c>
      <c r="H335" s="80">
        <f>D335-F335</f>
        <v>14492481.620000005</v>
      </c>
      <c r="I335" s="80">
        <f>SUM(I336:I339)</f>
        <v>163528222.9800001</v>
      </c>
      <c r="J335" s="80">
        <f>SUM(J336:J339)</f>
        <v>799759941.22</v>
      </c>
      <c r="K335" s="49">
        <f t="shared" si="56"/>
        <v>1.0404363569830872</v>
      </c>
      <c r="L335" s="90">
        <f>D335-J335</f>
        <v>25797508.419999957</v>
      </c>
      <c r="M335" s="83">
        <f>SUM(M336:M339)</f>
        <v>11305026.799999934</v>
      </c>
      <c r="N335" s="3"/>
      <c r="O335" s="3"/>
    </row>
    <row r="336" spans="1:15" ht="15">
      <c r="A336" s="50" t="s">
        <v>28</v>
      </c>
      <c r="B336" s="64" t="s">
        <v>33</v>
      </c>
      <c r="C336" s="81">
        <v>58314717</v>
      </c>
      <c r="D336" s="81">
        <v>69663630.59</v>
      </c>
      <c r="E336" s="81">
        <f>F336-51069839.28</f>
        <v>18470009.099999994</v>
      </c>
      <c r="F336" s="81">
        <v>69539848.38</v>
      </c>
      <c r="G336" s="62">
        <f t="shared" si="55"/>
        <v>0.08952516916808011</v>
      </c>
      <c r="H336" s="81">
        <f t="shared" si="50"/>
        <v>123782.21000000834</v>
      </c>
      <c r="I336" s="81">
        <f>J336-51002753.68</f>
        <v>18537094.699999996</v>
      </c>
      <c r="J336" s="81">
        <v>69539848.38</v>
      </c>
      <c r="K336" s="54">
        <f t="shared" si="56"/>
        <v>0.09046687985306422</v>
      </c>
      <c r="L336" s="91">
        <f t="shared" si="49"/>
        <v>123782.21000000834</v>
      </c>
      <c r="M336" s="84">
        <f t="shared" si="54"/>
        <v>0</v>
      </c>
      <c r="N336" s="3"/>
      <c r="O336" s="3"/>
    </row>
    <row r="337" spans="1:15" ht="15">
      <c r="A337" s="50" t="s">
        <v>65</v>
      </c>
      <c r="B337" s="64" t="s">
        <v>73</v>
      </c>
      <c r="C337" s="81">
        <v>5000</v>
      </c>
      <c r="D337" s="81">
        <v>0</v>
      </c>
      <c r="E337" s="81">
        <f>F337-0</f>
        <v>0</v>
      </c>
      <c r="F337" s="81">
        <v>0</v>
      </c>
      <c r="G337" s="62">
        <f t="shared" si="55"/>
        <v>0</v>
      </c>
      <c r="H337" s="81">
        <f t="shared" si="50"/>
        <v>0</v>
      </c>
      <c r="I337" s="81">
        <f>J337-0</f>
        <v>0</v>
      </c>
      <c r="J337" s="81">
        <v>0</v>
      </c>
      <c r="K337" s="54">
        <f t="shared" si="56"/>
        <v>0</v>
      </c>
      <c r="L337" s="91">
        <f t="shared" si="49"/>
        <v>0</v>
      </c>
      <c r="M337" s="84">
        <f t="shared" si="54"/>
        <v>0</v>
      </c>
      <c r="N337" s="3"/>
      <c r="O337" s="3"/>
    </row>
    <row r="338" spans="1:15" ht="15">
      <c r="A338" s="50" t="s">
        <v>67</v>
      </c>
      <c r="B338" s="64" t="s">
        <v>75</v>
      </c>
      <c r="C338" s="81">
        <v>751432304</v>
      </c>
      <c r="D338" s="81">
        <v>755593871.05</v>
      </c>
      <c r="E338" s="81">
        <f>F338-604779740.84</f>
        <v>136445430.79999995</v>
      </c>
      <c r="F338" s="81">
        <v>741225171.64</v>
      </c>
      <c r="G338" s="62">
        <f t="shared" si="55"/>
        <v>0.9542486851581229</v>
      </c>
      <c r="H338" s="81">
        <f t="shared" si="50"/>
        <v>14368699.409999967</v>
      </c>
      <c r="I338" s="81">
        <f>J338-585228964.56</f>
        <v>144692252.7600001</v>
      </c>
      <c r="J338" s="81">
        <v>729921217.32</v>
      </c>
      <c r="K338" s="54">
        <f t="shared" si="56"/>
        <v>0.9495806592595684</v>
      </c>
      <c r="L338" s="91">
        <f t="shared" si="49"/>
        <v>25672653.7299999</v>
      </c>
      <c r="M338" s="84">
        <f t="shared" si="54"/>
        <v>11303954.319999933</v>
      </c>
      <c r="N338" s="3"/>
      <c r="O338" s="3"/>
    </row>
    <row r="339" spans="1:15" ht="15">
      <c r="A339" s="50" t="s">
        <v>94</v>
      </c>
      <c r="B339" s="64" t="s">
        <v>100</v>
      </c>
      <c r="C339" s="81">
        <v>0</v>
      </c>
      <c r="D339" s="81">
        <v>299948</v>
      </c>
      <c r="E339" s="81">
        <f>F339-0</f>
        <v>299948</v>
      </c>
      <c r="F339" s="81">
        <v>299948</v>
      </c>
      <c r="G339" s="62">
        <f t="shared" si="55"/>
        <v>0.0003861511934120109</v>
      </c>
      <c r="H339" s="81">
        <f t="shared" si="50"/>
        <v>0</v>
      </c>
      <c r="I339" s="81">
        <f>J339-0</f>
        <v>298875.52</v>
      </c>
      <c r="J339" s="81">
        <v>298875.52</v>
      </c>
      <c r="K339" s="54">
        <f t="shared" si="56"/>
        <v>0.00038881787045481176</v>
      </c>
      <c r="L339" s="91">
        <f t="shared" si="49"/>
        <v>1072.4799999999814</v>
      </c>
      <c r="M339" s="84">
        <f t="shared" si="54"/>
        <v>1072.4799999999814</v>
      </c>
      <c r="N339" s="3"/>
      <c r="O339" s="3"/>
    </row>
    <row r="340" spans="1:15" ht="15">
      <c r="A340" s="45" t="s">
        <v>104</v>
      </c>
      <c r="B340" s="69" t="s">
        <v>103</v>
      </c>
      <c r="C340" s="80">
        <f>C341+C342+C343</f>
        <v>179230</v>
      </c>
      <c r="D340" s="80">
        <f>D341+D342+D343</f>
        <v>2505642.71</v>
      </c>
      <c r="E340" s="80">
        <f>E341+E342+E343</f>
        <v>301059.07999999996</v>
      </c>
      <c r="F340" s="80">
        <f>F341+F342+F343</f>
        <v>971371.73</v>
      </c>
      <c r="G340" s="68">
        <f t="shared" si="55"/>
        <v>0.0012505379358628483</v>
      </c>
      <c r="H340" s="80">
        <f t="shared" si="50"/>
        <v>1534270.98</v>
      </c>
      <c r="I340" s="80">
        <f>I341+I342+I343</f>
        <v>301059.07999999996</v>
      </c>
      <c r="J340" s="80">
        <f>J341+J342+J343</f>
        <v>971371.73</v>
      </c>
      <c r="K340" s="49">
        <f t="shared" si="56"/>
        <v>0.0012636922805809134</v>
      </c>
      <c r="L340" s="90">
        <f t="shared" si="49"/>
        <v>1534270.98</v>
      </c>
      <c r="M340" s="84">
        <f>M341+M342+M343</f>
        <v>0</v>
      </c>
      <c r="N340" s="3"/>
      <c r="O340" s="3"/>
    </row>
    <row r="341" spans="1:15" ht="15">
      <c r="A341" s="50" t="s">
        <v>28</v>
      </c>
      <c r="B341" s="64" t="s">
        <v>33</v>
      </c>
      <c r="C341" s="81">
        <v>157076</v>
      </c>
      <c r="D341" s="81">
        <v>1006008</v>
      </c>
      <c r="E341" s="81">
        <f>F341-666062.68</f>
        <v>301059.07999999996</v>
      </c>
      <c r="F341" s="81">
        <v>967121.76</v>
      </c>
      <c r="G341" s="62">
        <f t="shared" si="55"/>
        <v>0.0012450665508645644</v>
      </c>
      <c r="H341" s="81">
        <f t="shared" si="50"/>
        <v>38886.23999999999</v>
      </c>
      <c r="I341" s="81">
        <f>J341-666062.68</f>
        <v>301059.07999999996</v>
      </c>
      <c r="J341" s="81">
        <v>967121.76</v>
      </c>
      <c r="K341" s="54">
        <f t="shared" si="56"/>
        <v>0.0012581633423631002</v>
      </c>
      <c r="L341" s="91">
        <f t="shared" si="49"/>
        <v>38886.23999999999</v>
      </c>
      <c r="M341" s="84">
        <f t="shared" si="54"/>
        <v>0</v>
      </c>
      <c r="N341" s="3"/>
      <c r="O341" s="3"/>
    </row>
    <row r="342" spans="1:15" ht="15">
      <c r="A342" s="50" t="s">
        <v>105</v>
      </c>
      <c r="B342" s="64" t="s">
        <v>107</v>
      </c>
      <c r="C342" s="81">
        <v>22154</v>
      </c>
      <c r="D342" s="81">
        <v>1374523.04</v>
      </c>
      <c r="E342" s="81">
        <f>F342-4249.97</f>
        <v>0</v>
      </c>
      <c r="F342" s="81">
        <v>4249.97</v>
      </c>
      <c r="G342" s="62">
        <f t="shared" si="55"/>
        <v>5.47138499828385E-06</v>
      </c>
      <c r="H342" s="81">
        <f t="shared" si="50"/>
        <v>1370273.07</v>
      </c>
      <c r="I342" s="81">
        <f>J342-4249.97</f>
        <v>0</v>
      </c>
      <c r="J342" s="81">
        <v>4249.97</v>
      </c>
      <c r="K342" s="54">
        <f t="shared" si="56"/>
        <v>5.528938217813344E-06</v>
      </c>
      <c r="L342" s="91">
        <f t="shared" si="49"/>
        <v>1370273.07</v>
      </c>
      <c r="M342" s="84">
        <f t="shared" si="54"/>
        <v>0</v>
      </c>
      <c r="N342" s="3"/>
      <c r="O342" s="3"/>
    </row>
    <row r="343" spans="1:15" ht="15">
      <c r="A343" s="50" t="s">
        <v>106</v>
      </c>
      <c r="B343" s="64" t="s">
        <v>108</v>
      </c>
      <c r="C343" s="81">
        <v>0</v>
      </c>
      <c r="D343" s="81">
        <v>125111.67</v>
      </c>
      <c r="E343" s="81">
        <f>F343-0</f>
        <v>0</v>
      </c>
      <c r="F343" s="81">
        <v>0</v>
      </c>
      <c r="G343" s="62">
        <f t="shared" si="55"/>
        <v>0</v>
      </c>
      <c r="H343" s="81">
        <f t="shared" si="50"/>
        <v>125111.67</v>
      </c>
      <c r="I343" s="81">
        <f>J343-0</f>
        <v>0</v>
      </c>
      <c r="J343" s="81">
        <v>0</v>
      </c>
      <c r="K343" s="54">
        <f t="shared" si="56"/>
        <v>0</v>
      </c>
      <c r="L343" s="91">
        <f t="shared" si="49"/>
        <v>125111.67</v>
      </c>
      <c r="M343" s="84">
        <f t="shared" si="54"/>
        <v>0</v>
      </c>
      <c r="N343" s="3"/>
      <c r="O343" s="3"/>
    </row>
    <row r="344" spans="1:15" ht="14.25">
      <c r="A344" s="45" t="s">
        <v>109</v>
      </c>
      <c r="B344" s="69" t="s">
        <v>110</v>
      </c>
      <c r="C344" s="80">
        <f>SUM(C345:C352)</f>
        <v>943563039</v>
      </c>
      <c r="D344" s="80">
        <f>SUM(D345:D352)</f>
        <v>947789132.01</v>
      </c>
      <c r="E344" s="80">
        <f>SUM(E345:E352)</f>
        <v>-5071365.140000045</v>
      </c>
      <c r="F344" s="80">
        <f>SUM(F345:F352)</f>
        <v>854888882.78</v>
      </c>
      <c r="G344" s="68">
        <f aca="true" t="shared" si="57" ref="G344:G389">(F344/$F$286)*100</f>
        <v>1.100578641365029</v>
      </c>
      <c r="H344" s="80">
        <f t="shared" si="50"/>
        <v>92900249.23000002</v>
      </c>
      <c r="I344" s="80">
        <f>SUM(I345:I352)</f>
        <v>194415061.14999992</v>
      </c>
      <c r="J344" s="80">
        <f>SUM(J345:J352)</f>
        <v>854868882.78</v>
      </c>
      <c r="K344" s="49">
        <f aca="true" t="shared" si="58" ref="K344:K389">(J344/$J$286)*100</f>
        <v>1.1121295532019608</v>
      </c>
      <c r="L344" s="90">
        <f t="shared" si="49"/>
        <v>92920249.23000002</v>
      </c>
      <c r="M344" s="83">
        <f>SUM(M345:M352)</f>
        <v>20000</v>
      </c>
      <c r="N344" s="3"/>
      <c r="O344" s="3"/>
    </row>
    <row r="345" spans="1:15" ht="15">
      <c r="A345" s="50" t="s">
        <v>28</v>
      </c>
      <c r="B345" s="64" t="s">
        <v>33</v>
      </c>
      <c r="C345" s="81">
        <v>363140713</v>
      </c>
      <c r="D345" s="81">
        <v>372977204.38</v>
      </c>
      <c r="E345" s="81">
        <f>F345-317049986.69</f>
        <v>5185260.639999986</v>
      </c>
      <c r="F345" s="81">
        <v>322235247.33</v>
      </c>
      <c r="G345" s="62">
        <f t="shared" si="57"/>
        <v>0.4148436572869097</v>
      </c>
      <c r="H345" s="81">
        <f t="shared" si="50"/>
        <v>50741957.05000001</v>
      </c>
      <c r="I345" s="81">
        <f>J345-248082838.58</f>
        <v>74152408.74999997</v>
      </c>
      <c r="J345" s="81">
        <v>322235247.33</v>
      </c>
      <c r="K345" s="54">
        <f t="shared" si="58"/>
        <v>0.41920737654368667</v>
      </c>
      <c r="L345" s="91">
        <f t="shared" si="49"/>
        <v>50741957.05000001</v>
      </c>
      <c r="M345" s="84">
        <f t="shared" si="54"/>
        <v>0</v>
      </c>
      <c r="N345" s="3"/>
      <c r="O345" s="3"/>
    </row>
    <row r="346" spans="1:15" ht="15">
      <c r="A346" s="50" t="s">
        <v>29</v>
      </c>
      <c r="B346" s="64" t="s">
        <v>34</v>
      </c>
      <c r="C346" s="81">
        <v>0</v>
      </c>
      <c r="D346" s="81">
        <v>0</v>
      </c>
      <c r="E346" s="81">
        <f aca="true" t="shared" si="59" ref="E346:E352">F346-0</f>
        <v>0</v>
      </c>
      <c r="F346" s="81">
        <v>0</v>
      </c>
      <c r="G346" s="62">
        <f t="shared" si="57"/>
        <v>0</v>
      </c>
      <c r="H346" s="81">
        <f t="shared" si="50"/>
        <v>0</v>
      </c>
      <c r="I346" s="81">
        <f aca="true" t="shared" si="60" ref="I346:I352">J346-0</f>
        <v>0</v>
      </c>
      <c r="J346" s="81">
        <v>0</v>
      </c>
      <c r="K346" s="54">
        <f t="shared" si="58"/>
        <v>0</v>
      </c>
      <c r="L346" s="91">
        <f t="shared" si="49"/>
        <v>0</v>
      </c>
      <c r="M346" s="84">
        <f t="shared" si="54"/>
        <v>0</v>
      </c>
      <c r="N346" s="3"/>
      <c r="O346" s="3"/>
    </row>
    <row r="347" spans="1:15" ht="15">
      <c r="A347" s="50" t="s">
        <v>82</v>
      </c>
      <c r="B347" s="64" t="s">
        <v>84</v>
      </c>
      <c r="C347" s="81">
        <v>0</v>
      </c>
      <c r="D347" s="81">
        <v>100000</v>
      </c>
      <c r="E347" s="81">
        <f t="shared" si="59"/>
        <v>0</v>
      </c>
      <c r="F347" s="81">
        <v>0</v>
      </c>
      <c r="G347" s="62">
        <f t="shared" si="57"/>
        <v>0</v>
      </c>
      <c r="H347" s="81">
        <f>D347-F347</f>
        <v>100000</v>
      </c>
      <c r="I347" s="81">
        <f t="shared" si="60"/>
        <v>0</v>
      </c>
      <c r="J347" s="81">
        <v>0</v>
      </c>
      <c r="K347" s="54">
        <f t="shared" si="58"/>
        <v>0</v>
      </c>
      <c r="L347" s="91">
        <f>D347-J347</f>
        <v>100000</v>
      </c>
      <c r="M347" s="84">
        <f t="shared" si="54"/>
        <v>0</v>
      </c>
      <c r="N347" s="3"/>
      <c r="O347" s="3"/>
    </row>
    <row r="348" spans="1:15" ht="15">
      <c r="A348" s="50" t="s">
        <v>111</v>
      </c>
      <c r="B348" s="64" t="s">
        <v>118</v>
      </c>
      <c r="C348" s="81">
        <v>132185335</v>
      </c>
      <c r="D348" s="81">
        <v>191430144.31</v>
      </c>
      <c r="E348" s="81">
        <f>F348-163002775.09</f>
        <v>-4472367.170000017</v>
      </c>
      <c r="F348" s="81">
        <v>158530407.92</v>
      </c>
      <c r="G348" s="62">
        <f t="shared" si="57"/>
        <v>0.20409106315228276</v>
      </c>
      <c r="H348" s="81">
        <f>D348-F348</f>
        <v>32899736.390000015</v>
      </c>
      <c r="I348" s="81">
        <f>J348-122451612.2</f>
        <v>36078795.719999984</v>
      </c>
      <c r="J348" s="81">
        <v>158530407.92</v>
      </c>
      <c r="K348" s="54">
        <f t="shared" si="58"/>
        <v>0.20623788662847672</v>
      </c>
      <c r="L348" s="91">
        <f>D348-J348</f>
        <v>32899736.390000015</v>
      </c>
      <c r="M348" s="84">
        <f t="shared" si="54"/>
        <v>0</v>
      </c>
      <c r="N348" s="3"/>
      <c r="O348" s="3"/>
    </row>
    <row r="349" spans="1:15" ht="15">
      <c r="A349" s="50" t="s">
        <v>112</v>
      </c>
      <c r="B349" s="64" t="s">
        <v>119</v>
      </c>
      <c r="C349" s="81">
        <v>447697762</v>
      </c>
      <c r="D349" s="81">
        <v>382679384.53</v>
      </c>
      <c r="E349" s="81">
        <f>F349-379878986.14</f>
        <v>-5784258.610000014</v>
      </c>
      <c r="F349" s="81">
        <v>374094727.53</v>
      </c>
      <c r="G349" s="62">
        <f t="shared" si="57"/>
        <v>0.48160723020273694</v>
      </c>
      <c r="H349" s="81">
        <f t="shared" si="50"/>
        <v>8584657</v>
      </c>
      <c r="I349" s="81">
        <f>J349-289910870.85</f>
        <v>84183856.67999995</v>
      </c>
      <c r="J349" s="81">
        <v>374094727.53</v>
      </c>
      <c r="K349" s="54">
        <f t="shared" si="58"/>
        <v>0.48667323207530566</v>
      </c>
      <c r="L349" s="91">
        <f t="shared" si="49"/>
        <v>8584657</v>
      </c>
      <c r="M349" s="84">
        <f t="shared" si="54"/>
        <v>0</v>
      </c>
      <c r="N349" s="3"/>
      <c r="O349" s="3"/>
    </row>
    <row r="350" spans="1:15" ht="15">
      <c r="A350" s="50" t="s">
        <v>114</v>
      </c>
      <c r="B350" s="64" t="s">
        <v>121</v>
      </c>
      <c r="C350" s="81">
        <v>139229</v>
      </c>
      <c r="D350" s="81">
        <v>28537.79</v>
      </c>
      <c r="E350" s="81">
        <f>F350-28500</f>
        <v>0</v>
      </c>
      <c r="F350" s="81">
        <v>28500</v>
      </c>
      <c r="G350" s="62">
        <f t="shared" si="57"/>
        <v>3.669072309947828E-05</v>
      </c>
      <c r="H350" s="81">
        <f t="shared" si="50"/>
        <v>37.79000000000087</v>
      </c>
      <c r="I350" s="81">
        <f>J350-8500</f>
        <v>0</v>
      </c>
      <c r="J350" s="81">
        <v>8500</v>
      </c>
      <c r="K350" s="54">
        <f t="shared" si="58"/>
        <v>1.105795449177604E-05</v>
      </c>
      <c r="L350" s="91">
        <f t="shared" si="49"/>
        <v>20037.79</v>
      </c>
      <c r="M350" s="84">
        <f t="shared" si="54"/>
        <v>20000</v>
      </c>
      <c r="N350" s="3"/>
      <c r="O350" s="3"/>
    </row>
    <row r="351" spans="1:15" ht="15">
      <c r="A351" s="50" t="s">
        <v>115</v>
      </c>
      <c r="B351" s="64" t="s">
        <v>122</v>
      </c>
      <c r="C351" s="81">
        <v>0</v>
      </c>
      <c r="D351" s="81">
        <v>173861</v>
      </c>
      <c r="E351" s="81">
        <f>F351-0</f>
        <v>0</v>
      </c>
      <c r="F351" s="81">
        <v>0</v>
      </c>
      <c r="G351" s="62">
        <f t="shared" si="57"/>
        <v>0</v>
      </c>
      <c r="H351" s="81">
        <f t="shared" si="50"/>
        <v>173861</v>
      </c>
      <c r="I351" s="81">
        <f>J351-0</f>
        <v>0</v>
      </c>
      <c r="J351" s="81">
        <v>0</v>
      </c>
      <c r="K351" s="54">
        <f t="shared" si="58"/>
        <v>0</v>
      </c>
      <c r="L351" s="91">
        <f t="shared" si="49"/>
        <v>173861</v>
      </c>
      <c r="M351" s="84">
        <f t="shared" si="54"/>
        <v>0</v>
      </c>
      <c r="N351" s="3"/>
      <c r="O351" s="3"/>
    </row>
    <row r="352" spans="1:15" ht="15">
      <c r="A352" s="50" t="s">
        <v>251</v>
      </c>
      <c r="B352" s="64" t="s">
        <v>252</v>
      </c>
      <c r="C352" s="81">
        <v>400000</v>
      </c>
      <c r="D352" s="81">
        <v>400000</v>
      </c>
      <c r="E352" s="81">
        <f t="shared" si="59"/>
        <v>0</v>
      </c>
      <c r="F352" s="81">
        <v>0</v>
      </c>
      <c r="G352" s="62">
        <f t="shared" si="57"/>
        <v>0</v>
      </c>
      <c r="H352" s="81">
        <f t="shared" si="50"/>
        <v>400000</v>
      </c>
      <c r="I352" s="81">
        <f t="shared" si="60"/>
        <v>0</v>
      </c>
      <c r="J352" s="81">
        <v>0</v>
      </c>
      <c r="K352" s="54">
        <f t="shared" si="58"/>
        <v>0</v>
      </c>
      <c r="L352" s="91">
        <f t="shared" si="49"/>
        <v>400000</v>
      </c>
      <c r="M352" s="84">
        <f t="shared" si="54"/>
        <v>0</v>
      </c>
      <c r="N352" s="3"/>
      <c r="O352" s="3"/>
    </row>
    <row r="353" spans="1:15" ht="15">
      <c r="A353" s="45" t="s">
        <v>125</v>
      </c>
      <c r="B353" s="69" t="s">
        <v>126</v>
      </c>
      <c r="C353" s="80">
        <f>C354</f>
        <v>9276706</v>
      </c>
      <c r="D353" s="80">
        <f>D354</f>
        <v>10650299.51</v>
      </c>
      <c r="E353" s="80">
        <f>E354</f>
        <v>2276986.499999999</v>
      </c>
      <c r="F353" s="80">
        <f>F354</f>
        <v>9880376.87</v>
      </c>
      <c r="G353" s="68">
        <f t="shared" si="57"/>
        <v>0.012719935854584556</v>
      </c>
      <c r="H353" s="80">
        <f t="shared" si="50"/>
        <v>769922.6400000006</v>
      </c>
      <c r="I353" s="80">
        <f>I354</f>
        <v>2458637.079999999</v>
      </c>
      <c r="J353" s="80">
        <f>J354</f>
        <v>9880376.87</v>
      </c>
      <c r="K353" s="49">
        <f t="shared" si="58"/>
        <v>0.012853736210594895</v>
      </c>
      <c r="L353" s="90">
        <f>D353-J353</f>
        <v>769922.6400000006</v>
      </c>
      <c r="M353" s="84">
        <f>M354</f>
        <v>0</v>
      </c>
      <c r="N353" s="3"/>
      <c r="O353" s="3"/>
    </row>
    <row r="354" spans="1:15" ht="15">
      <c r="A354" s="50" t="s">
        <v>28</v>
      </c>
      <c r="B354" s="64" t="s">
        <v>33</v>
      </c>
      <c r="C354" s="81">
        <v>9276706</v>
      </c>
      <c r="D354" s="81">
        <v>10650299.51</v>
      </c>
      <c r="E354" s="81">
        <f>F354-7603390.37</f>
        <v>2276986.499999999</v>
      </c>
      <c r="F354" s="81">
        <v>9880376.87</v>
      </c>
      <c r="G354" s="62">
        <f t="shared" si="57"/>
        <v>0.012719935854584556</v>
      </c>
      <c r="H354" s="81">
        <f t="shared" si="50"/>
        <v>769922.6400000006</v>
      </c>
      <c r="I354" s="81">
        <f>J354-7421739.79</f>
        <v>2458637.079999999</v>
      </c>
      <c r="J354" s="81">
        <v>9880376.87</v>
      </c>
      <c r="K354" s="54">
        <f t="shared" si="58"/>
        <v>0.012853736210594895</v>
      </c>
      <c r="L354" s="91">
        <f>D354-J354</f>
        <v>769922.6400000006</v>
      </c>
      <c r="M354" s="84">
        <f t="shared" si="54"/>
        <v>0</v>
      </c>
      <c r="N354" s="3"/>
      <c r="O354" s="3"/>
    </row>
    <row r="355" spans="1:15" ht="15">
      <c r="A355" s="71" t="s">
        <v>129</v>
      </c>
      <c r="B355" s="69" t="s">
        <v>130</v>
      </c>
      <c r="C355" s="80">
        <f>C356</f>
        <v>957216</v>
      </c>
      <c r="D355" s="80">
        <f>D356+D357</f>
        <v>1634452.2599999998</v>
      </c>
      <c r="E355" s="80">
        <f>E356+E357</f>
        <v>372619.66000000015</v>
      </c>
      <c r="F355" s="80">
        <f>F356+F357</f>
        <v>1607861.44</v>
      </c>
      <c r="G355" s="68">
        <f t="shared" si="57"/>
        <v>0.0020699508378024005</v>
      </c>
      <c r="H355" s="80">
        <f t="shared" si="50"/>
        <v>26590.819999999832</v>
      </c>
      <c r="I355" s="80">
        <f>I356+I357</f>
        <v>445883.79000000015</v>
      </c>
      <c r="J355" s="80">
        <f>J356+J357</f>
        <v>1607861.44</v>
      </c>
      <c r="K355" s="49">
        <f t="shared" si="58"/>
        <v>0.00209172454501194</v>
      </c>
      <c r="L355" s="90">
        <f t="shared" si="49"/>
        <v>26590.819999999832</v>
      </c>
      <c r="M355" s="84">
        <f>M356+M357</f>
        <v>0</v>
      </c>
      <c r="N355" s="3"/>
      <c r="O355" s="3"/>
    </row>
    <row r="356" spans="1:15" ht="15">
      <c r="A356" s="59" t="s">
        <v>28</v>
      </c>
      <c r="B356" s="64" t="s">
        <v>33</v>
      </c>
      <c r="C356" s="81">
        <v>957216</v>
      </c>
      <c r="D356" s="81">
        <v>1561188.13</v>
      </c>
      <c r="E356" s="81">
        <f>F356-1161977.65</f>
        <v>372619.66000000015</v>
      </c>
      <c r="F356" s="81">
        <v>1534597.31</v>
      </c>
      <c r="G356" s="62">
        <f t="shared" si="57"/>
        <v>0.001975631051593482</v>
      </c>
      <c r="H356" s="81">
        <f t="shared" si="50"/>
        <v>26590.819999999832</v>
      </c>
      <c r="I356" s="81">
        <f>J356-1161977.65</f>
        <v>372619.66000000015</v>
      </c>
      <c r="J356" s="81">
        <v>1534597.31</v>
      </c>
      <c r="K356" s="54">
        <f t="shared" si="58"/>
        <v>0.0019964126137861095</v>
      </c>
      <c r="L356" s="91">
        <f t="shared" si="49"/>
        <v>26590.819999999832</v>
      </c>
      <c r="M356" s="84">
        <f t="shared" si="54"/>
        <v>0</v>
      </c>
      <c r="N356" s="3"/>
      <c r="O356" s="3"/>
    </row>
    <row r="357" spans="1:15" ht="15">
      <c r="A357" s="59" t="s">
        <v>49</v>
      </c>
      <c r="B357" s="64" t="s">
        <v>56</v>
      </c>
      <c r="C357" s="81">
        <v>0</v>
      </c>
      <c r="D357" s="81">
        <v>73264.13</v>
      </c>
      <c r="E357" s="81">
        <f>F357-73264.13</f>
        <v>0</v>
      </c>
      <c r="F357" s="81">
        <v>73264.13</v>
      </c>
      <c r="G357" s="62">
        <f t="shared" si="57"/>
        <v>9.43197862089186E-05</v>
      </c>
      <c r="H357" s="81">
        <f t="shared" si="50"/>
        <v>0</v>
      </c>
      <c r="I357" s="81">
        <f>J357-0</f>
        <v>73264.13</v>
      </c>
      <c r="J357" s="81">
        <v>73264.13</v>
      </c>
      <c r="K357" s="54">
        <f t="shared" si="58"/>
        <v>9.531193122583105E-05</v>
      </c>
      <c r="L357" s="91">
        <f t="shared" si="49"/>
        <v>0</v>
      </c>
      <c r="M357" s="84">
        <f t="shared" si="54"/>
        <v>0</v>
      </c>
      <c r="N357" s="3"/>
      <c r="O357" s="3"/>
    </row>
    <row r="358" spans="1:15" ht="15">
      <c r="A358" s="71" t="s">
        <v>133</v>
      </c>
      <c r="B358" s="69" t="s">
        <v>134</v>
      </c>
      <c r="C358" s="80">
        <f>C359+C360</f>
        <v>568246</v>
      </c>
      <c r="D358" s="80">
        <f>D359+D360</f>
        <v>89563719.21</v>
      </c>
      <c r="E358" s="80">
        <f>E359+E360</f>
        <v>-24872479.47</v>
      </c>
      <c r="F358" s="80">
        <f>F359+F360</f>
        <v>32512670.01</v>
      </c>
      <c r="G358" s="68">
        <f t="shared" si="57"/>
        <v>0.041856609563565676</v>
      </c>
      <c r="H358" s="80">
        <f t="shared" si="50"/>
        <v>57051049.19999999</v>
      </c>
      <c r="I358" s="80">
        <f>I359+I360</f>
        <v>18780382.98</v>
      </c>
      <c r="J358" s="80">
        <f>J359+J360</f>
        <v>32512670.01</v>
      </c>
      <c r="K358" s="49">
        <f t="shared" si="58"/>
        <v>0.04229689710314255</v>
      </c>
      <c r="L358" s="90">
        <f t="shared" si="49"/>
        <v>57051049.19999999</v>
      </c>
      <c r="M358" s="84">
        <f>M359+M360</f>
        <v>0</v>
      </c>
      <c r="N358" s="3"/>
      <c r="O358" s="3"/>
    </row>
    <row r="359" spans="1:15" ht="15">
      <c r="A359" s="66" t="s">
        <v>28</v>
      </c>
      <c r="B359" s="60" t="s">
        <v>33</v>
      </c>
      <c r="C359" s="81">
        <v>568246</v>
      </c>
      <c r="D359" s="81">
        <v>563719.21</v>
      </c>
      <c r="E359" s="81">
        <f>F359-385149.48</f>
        <v>127520.53000000003</v>
      </c>
      <c r="F359" s="81">
        <v>512670.01</v>
      </c>
      <c r="G359" s="62">
        <f t="shared" si="57"/>
        <v>0.0006600081887128688</v>
      </c>
      <c r="H359" s="81">
        <f t="shared" si="50"/>
        <v>51049.19999999995</v>
      </c>
      <c r="I359" s="81">
        <f>J359-382287.03</f>
        <v>130382.97999999998</v>
      </c>
      <c r="J359" s="81">
        <v>512670.01</v>
      </c>
      <c r="K359" s="54">
        <f t="shared" si="58"/>
        <v>0.0006669507811621609</v>
      </c>
      <c r="L359" s="91">
        <f t="shared" si="49"/>
        <v>51049.19999999995</v>
      </c>
      <c r="M359" s="84">
        <f t="shared" si="54"/>
        <v>0</v>
      </c>
      <c r="N359" s="3"/>
      <c r="O359" s="3"/>
    </row>
    <row r="360" spans="1:15" ht="15">
      <c r="A360" s="66" t="s">
        <v>135</v>
      </c>
      <c r="B360" s="60" t="s">
        <v>136</v>
      </c>
      <c r="C360" s="81">
        <v>0</v>
      </c>
      <c r="D360" s="81">
        <v>89000000</v>
      </c>
      <c r="E360" s="81">
        <f>F360-57000000</f>
        <v>-25000000</v>
      </c>
      <c r="F360" s="81">
        <v>32000000</v>
      </c>
      <c r="G360" s="62">
        <f t="shared" si="57"/>
        <v>0.0411966013748528</v>
      </c>
      <c r="H360" s="81">
        <f t="shared" si="50"/>
        <v>57000000</v>
      </c>
      <c r="I360" s="81">
        <f>J360-13350000</f>
        <v>18650000</v>
      </c>
      <c r="J360" s="81">
        <v>32000000</v>
      </c>
      <c r="K360" s="54">
        <f t="shared" si="58"/>
        <v>0.04162994632198039</v>
      </c>
      <c r="L360" s="91">
        <f t="shared" si="49"/>
        <v>57000000</v>
      </c>
      <c r="M360" s="84">
        <f t="shared" si="54"/>
        <v>0</v>
      </c>
      <c r="N360" s="3"/>
      <c r="O360" s="3"/>
    </row>
    <row r="361" spans="1:15" ht="15">
      <c r="A361" s="72" t="s">
        <v>138</v>
      </c>
      <c r="B361" s="73" t="s">
        <v>137</v>
      </c>
      <c r="C361" s="80">
        <f>C362</f>
        <v>217975</v>
      </c>
      <c r="D361" s="80">
        <f>D362</f>
        <v>264624.78</v>
      </c>
      <c r="E361" s="80">
        <f>E362</f>
        <v>29990.870000000024</v>
      </c>
      <c r="F361" s="80">
        <f>F362</f>
        <v>251520.39</v>
      </c>
      <c r="G361" s="68">
        <f t="shared" si="57"/>
        <v>0.00032380578888992233</v>
      </c>
      <c r="H361" s="80">
        <f t="shared" si="50"/>
        <v>13104.390000000014</v>
      </c>
      <c r="I361" s="80">
        <f>I362</f>
        <v>29990.870000000024</v>
      </c>
      <c r="J361" s="80">
        <f>J362</f>
        <v>251520.39</v>
      </c>
      <c r="K361" s="49">
        <f t="shared" si="58"/>
        <v>0.0003272118854557367</v>
      </c>
      <c r="L361" s="90">
        <f t="shared" si="49"/>
        <v>13104.390000000014</v>
      </c>
      <c r="M361" s="84">
        <f>M362</f>
        <v>0</v>
      </c>
      <c r="N361" s="3"/>
      <c r="O361" s="3"/>
    </row>
    <row r="362" spans="1:15" ht="15">
      <c r="A362" s="66" t="s">
        <v>28</v>
      </c>
      <c r="B362" s="60" t="s">
        <v>33</v>
      </c>
      <c r="C362" s="81">
        <v>217975</v>
      </c>
      <c r="D362" s="81">
        <v>264624.78</v>
      </c>
      <c r="E362" s="81">
        <f>F362-221529.52</f>
        <v>29990.870000000024</v>
      </c>
      <c r="F362" s="81">
        <v>251520.39</v>
      </c>
      <c r="G362" s="62">
        <f t="shared" si="57"/>
        <v>0.00032380578888992233</v>
      </c>
      <c r="H362" s="81">
        <f t="shared" si="50"/>
        <v>13104.390000000014</v>
      </c>
      <c r="I362" s="81">
        <f>J362-221529.52</f>
        <v>29990.870000000024</v>
      </c>
      <c r="J362" s="81">
        <v>251520.39</v>
      </c>
      <c r="K362" s="54">
        <f t="shared" si="58"/>
        <v>0.0003272118854557367</v>
      </c>
      <c r="L362" s="91">
        <f t="shared" si="49"/>
        <v>13104.390000000014</v>
      </c>
      <c r="M362" s="84">
        <f t="shared" si="54"/>
        <v>0</v>
      </c>
      <c r="N362" s="3"/>
      <c r="O362" s="3"/>
    </row>
    <row r="363" spans="1:15" ht="15">
      <c r="A363" s="45" t="s">
        <v>141</v>
      </c>
      <c r="B363" s="48" t="s">
        <v>142</v>
      </c>
      <c r="C363" s="80">
        <f>C364</f>
        <v>0</v>
      </c>
      <c r="D363" s="80">
        <f>D364</f>
        <v>0</v>
      </c>
      <c r="E363" s="80">
        <f>E364</f>
        <v>0</v>
      </c>
      <c r="F363" s="80">
        <f>F364</f>
        <v>0</v>
      </c>
      <c r="G363" s="68">
        <f>(F363/$F$286)*100</f>
        <v>0</v>
      </c>
      <c r="H363" s="80">
        <f>D363-F363</f>
        <v>0</v>
      </c>
      <c r="I363" s="80">
        <f>I364</f>
        <v>0</v>
      </c>
      <c r="J363" s="80">
        <f>J364</f>
        <v>0</v>
      </c>
      <c r="K363" s="49">
        <f t="shared" si="58"/>
        <v>0</v>
      </c>
      <c r="L363" s="90">
        <f t="shared" si="49"/>
        <v>0</v>
      </c>
      <c r="M363" s="84">
        <f t="shared" si="54"/>
        <v>0</v>
      </c>
      <c r="N363" s="3"/>
      <c r="O363" s="3"/>
    </row>
    <row r="364" spans="1:15" ht="15">
      <c r="A364" s="66" t="s">
        <v>143</v>
      </c>
      <c r="B364" s="60" t="s">
        <v>144</v>
      </c>
      <c r="C364" s="81">
        <v>0</v>
      </c>
      <c r="D364" s="81">
        <v>0</v>
      </c>
      <c r="E364" s="81">
        <f>F364-0</f>
        <v>0</v>
      </c>
      <c r="F364" s="81">
        <v>0</v>
      </c>
      <c r="G364" s="62">
        <f>(F364/$F$286)*100</f>
        <v>0</v>
      </c>
      <c r="H364" s="81">
        <f t="shared" si="50"/>
        <v>0</v>
      </c>
      <c r="I364" s="81">
        <f>J364-0</f>
        <v>0</v>
      </c>
      <c r="J364" s="81">
        <v>0</v>
      </c>
      <c r="K364" s="54">
        <f>(J364/$J$286)*100</f>
        <v>0</v>
      </c>
      <c r="L364" s="91">
        <f t="shared" si="49"/>
        <v>0</v>
      </c>
      <c r="M364" s="84">
        <f t="shared" si="54"/>
        <v>0</v>
      </c>
      <c r="N364" s="3"/>
      <c r="O364" s="3"/>
    </row>
    <row r="365" spans="1:15" ht="14.25">
      <c r="A365" s="72" t="s">
        <v>149</v>
      </c>
      <c r="B365" s="73" t="s">
        <v>150</v>
      </c>
      <c r="C365" s="80">
        <f>C366</f>
        <v>1561511</v>
      </c>
      <c r="D365" s="80">
        <f>D366</f>
        <v>16818575.92</v>
      </c>
      <c r="E365" s="80">
        <f>E366</f>
        <v>2847314.1399999987</v>
      </c>
      <c r="F365" s="80">
        <f>F366</f>
        <v>12720225.2</v>
      </c>
      <c r="G365" s="68">
        <f t="shared" si="57"/>
        <v>0.016375938967586164</v>
      </c>
      <c r="H365" s="80">
        <f aca="true" t="shared" si="61" ref="H365:H372">D365-F365</f>
        <v>4098350.7200000025</v>
      </c>
      <c r="I365" s="80">
        <f>I366</f>
        <v>2881448</v>
      </c>
      <c r="J365" s="80">
        <f>J366</f>
        <v>12680624.68</v>
      </c>
      <c r="K365" s="49">
        <f t="shared" si="58"/>
        <v>0.01649667889867437</v>
      </c>
      <c r="L365" s="90">
        <f t="shared" si="49"/>
        <v>4137951.240000002</v>
      </c>
      <c r="M365" s="83">
        <f>M366</f>
        <v>39600.51999999955</v>
      </c>
      <c r="N365" s="3"/>
      <c r="O365" s="3"/>
    </row>
    <row r="366" spans="1:15" ht="15">
      <c r="A366" s="66" t="s">
        <v>28</v>
      </c>
      <c r="B366" s="60" t="s">
        <v>33</v>
      </c>
      <c r="C366" s="81">
        <v>1561511</v>
      </c>
      <c r="D366" s="81">
        <v>16818575.92</v>
      </c>
      <c r="E366" s="81">
        <f>F366-9872911.06</f>
        <v>2847314.1399999987</v>
      </c>
      <c r="F366" s="81">
        <v>12720225.2</v>
      </c>
      <c r="G366" s="62">
        <f t="shared" si="57"/>
        <v>0.016375938967586164</v>
      </c>
      <c r="H366" s="81">
        <f t="shared" si="61"/>
        <v>4098350.7200000025</v>
      </c>
      <c r="I366" s="81">
        <f>J366-9799176.68</f>
        <v>2881448</v>
      </c>
      <c r="J366" s="81">
        <v>12680624.68</v>
      </c>
      <c r="K366" s="54">
        <f t="shared" si="58"/>
        <v>0.01649667889867437</v>
      </c>
      <c r="L366" s="91">
        <f t="shared" si="49"/>
        <v>4137951.240000002</v>
      </c>
      <c r="M366" s="84">
        <f t="shared" si="54"/>
        <v>39600.51999999955</v>
      </c>
      <c r="N366" s="3"/>
      <c r="O366" s="3"/>
    </row>
    <row r="367" spans="1:15" ht="15">
      <c r="A367" s="72" t="s">
        <v>158</v>
      </c>
      <c r="B367" s="73" t="s">
        <v>159</v>
      </c>
      <c r="C367" s="80">
        <f>SUM(C368:C371)</f>
        <v>10004611</v>
      </c>
      <c r="D367" s="80">
        <f>SUM(D368:D371)</f>
        <v>8760334.72</v>
      </c>
      <c r="E367" s="80">
        <f>SUM(E368:E371)</f>
        <v>1591704.17</v>
      </c>
      <c r="F367" s="80">
        <f>SUM(F368:F371)</f>
        <v>8158723.899999999</v>
      </c>
      <c r="G367" s="68">
        <f t="shared" si="57"/>
        <v>0.010503490507368263</v>
      </c>
      <c r="H367" s="80">
        <f t="shared" si="61"/>
        <v>601610.8200000012</v>
      </c>
      <c r="I367" s="80">
        <f>SUM(I368:I370)</f>
        <v>1990802.9599999995</v>
      </c>
      <c r="J367" s="80">
        <f>SUM(J368:J370)</f>
        <v>8158723.899999999</v>
      </c>
      <c r="K367" s="49">
        <f t="shared" si="58"/>
        <v>0.010613976187901828</v>
      </c>
      <c r="L367" s="90">
        <f t="shared" si="49"/>
        <v>601610.8200000012</v>
      </c>
      <c r="M367" s="84">
        <f>SUM(M368:M371)</f>
        <v>0</v>
      </c>
      <c r="N367" s="3"/>
      <c r="O367" s="3"/>
    </row>
    <row r="368" spans="1:15" ht="15">
      <c r="A368" s="66" t="s">
        <v>28</v>
      </c>
      <c r="B368" s="60" t="s">
        <v>33</v>
      </c>
      <c r="C368" s="81">
        <v>9989611</v>
      </c>
      <c r="D368" s="81">
        <v>8321414.83</v>
      </c>
      <c r="E368" s="81">
        <f>F368-6243099.84</f>
        <v>1591704.17</v>
      </c>
      <c r="F368" s="81">
        <v>7834804.01</v>
      </c>
      <c r="G368" s="68">
        <f t="shared" si="57"/>
        <v>0.010086478051564632</v>
      </c>
      <c r="H368" s="81">
        <f t="shared" si="61"/>
        <v>486610.8200000003</v>
      </c>
      <c r="I368" s="81">
        <f>J368-6167920.94</f>
        <v>1666883.0699999994</v>
      </c>
      <c r="J368" s="81">
        <v>7834804.01</v>
      </c>
      <c r="K368" s="54">
        <f t="shared" si="58"/>
        <v>0.010192577199360522</v>
      </c>
      <c r="L368" s="91">
        <f t="shared" si="49"/>
        <v>486610.8200000003</v>
      </c>
      <c r="M368" s="84">
        <f t="shared" si="54"/>
        <v>0</v>
      </c>
      <c r="N368" s="3"/>
      <c r="O368" s="3"/>
    </row>
    <row r="369" spans="1:15" ht="15">
      <c r="A369" s="66" t="s">
        <v>50</v>
      </c>
      <c r="B369" s="60" t="s">
        <v>57</v>
      </c>
      <c r="C369" s="81">
        <v>15000</v>
      </c>
      <c r="D369" s="81">
        <v>115000</v>
      </c>
      <c r="E369" s="81">
        <f>F369-0</f>
        <v>0</v>
      </c>
      <c r="F369" s="81">
        <v>0</v>
      </c>
      <c r="G369" s="68">
        <f t="shared" si="57"/>
        <v>0</v>
      </c>
      <c r="H369" s="81">
        <f t="shared" si="61"/>
        <v>115000</v>
      </c>
      <c r="I369" s="81">
        <f>J369-0</f>
        <v>0</v>
      </c>
      <c r="J369" s="81">
        <v>0</v>
      </c>
      <c r="K369" s="54">
        <f t="shared" si="58"/>
        <v>0</v>
      </c>
      <c r="L369" s="91">
        <f t="shared" si="49"/>
        <v>115000</v>
      </c>
      <c r="M369" s="84">
        <f t="shared" si="54"/>
        <v>0</v>
      </c>
      <c r="N369" s="3"/>
      <c r="O369" s="3"/>
    </row>
    <row r="370" spans="1:15" ht="15">
      <c r="A370" s="66" t="s">
        <v>96</v>
      </c>
      <c r="B370" s="60" t="s">
        <v>102</v>
      </c>
      <c r="C370" s="81">
        <v>0</v>
      </c>
      <c r="D370" s="81">
        <v>323919.89</v>
      </c>
      <c r="E370" s="81">
        <f>F370-323919.89</f>
        <v>0</v>
      </c>
      <c r="F370" s="81">
        <v>323919.89</v>
      </c>
      <c r="G370" s="68">
        <f t="shared" si="57"/>
        <v>0.0004170124558036303</v>
      </c>
      <c r="H370" s="81">
        <f t="shared" si="61"/>
        <v>0</v>
      </c>
      <c r="I370" s="81">
        <f>J370-0</f>
        <v>323919.89</v>
      </c>
      <c r="J370" s="81">
        <v>323919.89</v>
      </c>
      <c r="K370" s="54">
        <f t="shared" si="58"/>
        <v>0.000421398988541306</v>
      </c>
      <c r="L370" s="91">
        <f t="shared" si="49"/>
        <v>0</v>
      </c>
      <c r="M370" s="84">
        <f t="shared" si="54"/>
        <v>0</v>
      </c>
      <c r="N370" s="3"/>
      <c r="O370" s="3"/>
    </row>
    <row r="371" spans="1:15" ht="15">
      <c r="A371" s="66" t="s">
        <v>97</v>
      </c>
      <c r="B371" s="60" t="s">
        <v>237</v>
      </c>
      <c r="C371" s="81">
        <v>0</v>
      </c>
      <c r="D371" s="81">
        <v>0</v>
      </c>
      <c r="E371" s="81">
        <f>F371-0</f>
        <v>0</v>
      </c>
      <c r="F371" s="81">
        <v>0</v>
      </c>
      <c r="G371" s="68">
        <f t="shared" si="57"/>
        <v>0</v>
      </c>
      <c r="H371" s="81">
        <f t="shared" si="61"/>
        <v>0</v>
      </c>
      <c r="I371" s="81">
        <f>J371-0</f>
        <v>0</v>
      </c>
      <c r="J371" s="81">
        <v>0</v>
      </c>
      <c r="K371" s="54">
        <f t="shared" si="58"/>
        <v>0</v>
      </c>
      <c r="L371" s="91">
        <f t="shared" si="49"/>
        <v>0</v>
      </c>
      <c r="M371" s="84">
        <f t="shared" si="54"/>
        <v>0</v>
      </c>
      <c r="N371" s="3"/>
      <c r="O371" s="3"/>
    </row>
    <row r="372" spans="1:15" ht="15">
      <c r="A372" s="72" t="s">
        <v>162</v>
      </c>
      <c r="B372" s="73" t="s">
        <v>163</v>
      </c>
      <c r="C372" s="80">
        <f>SUM(C373:C376)</f>
        <v>6702086</v>
      </c>
      <c r="D372" s="80">
        <f>SUM(D373:D376)</f>
        <v>5640493.42</v>
      </c>
      <c r="E372" s="80">
        <f>SUM(E373:E376)</f>
        <v>1169040.4200000002</v>
      </c>
      <c r="F372" s="80">
        <f>SUM(F373:F376)</f>
        <v>5384182.62</v>
      </c>
      <c r="G372" s="68">
        <f t="shared" si="57"/>
        <v>0.006931563285173455</v>
      </c>
      <c r="H372" s="80">
        <f t="shared" si="61"/>
        <v>256310.7999999998</v>
      </c>
      <c r="I372" s="80">
        <f>SUM(I373:I376)</f>
        <v>1239776.4000000001</v>
      </c>
      <c r="J372" s="80">
        <f>SUM(J373:J376)</f>
        <v>5384182.62</v>
      </c>
      <c r="K372" s="49">
        <f t="shared" si="58"/>
        <v>0.007004476045573118</v>
      </c>
      <c r="L372" s="90">
        <f t="shared" si="49"/>
        <v>256310.7999999998</v>
      </c>
      <c r="M372" s="84">
        <f>SUM(M373:M376)</f>
        <v>0</v>
      </c>
      <c r="N372" s="3"/>
      <c r="O372" s="3"/>
    </row>
    <row r="373" spans="1:15" ht="15">
      <c r="A373" s="59" t="s">
        <v>28</v>
      </c>
      <c r="B373" s="51" t="s">
        <v>33</v>
      </c>
      <c r="C373" s="81">
        <v>6600086</v>
      </c>
      <c r="D373" s="81">
        <v>5560493.42</v>
      </c>
      <c r="E373" s="81">
        <f>F373-4148124.1</f>
        <v>1156257.1</v>
      </c>
      <c r="F373" s="81">
        <v>5304381.2</v>
      </c>
      <c r="G373" s="62">
        <f t="shared" si="57"/>
        <v>0.00682882743239573</v>
      </c>
      <c r="H373" s="81">
        <f>D373-F373</f>
        <v>256112.21999999974</v>
      </c>
      <c r="I373" s="81">
        <f>J373-4085741.5</f>
        <v>1218639.7000000002</v>
      </c>
      <c r="J373" s="81">
        <v>5304381.2</v>
      </c>
      <c r="K373" s="54">
        <f t="shared" si="58"/>
        <v>0.006900659519603811</v>
      </c>
      <c r="L373" s="91">
        <f t="shared" si="49"/>
        <v>256112.21999999974</v>
      </c>
      <c r="M373" s="84">
        <f t="shared" si="54"/>
        <v>0</v>
      </c>
      <c r="N373" s="3"/>
      <c r="O373" s="3"/>
    </row>
    <row r="374" spans="1:15" ht="15">
      <c r="A374" s="59" t="s">
        <v>50</v>
      </c>
      <c r="B374" s="51" t="s">
        <v>57</v>
      </c>
      <c r="C374" s="81">
        <v>0</v>
      </c>
      <c r="D374" s="81">
        <v>0</v>
      </c>
      <c r="E374" s="81">
        <f>F374-0</f>
        <v>0</v>
      </c>
      <c r="F374" s="81">
        <v>0</v>
      </c>
      <c r="G374" s="62">
        <f t="shared" si="57"/>
        <v>0</v>
      </c>
      <c r="H374" s="81">
        <f>D374-F374</f>
        <v>0</v>
      </c>
      <c r="I374" s="81">
        <f>J374-0</f>
        <v>0</v>
      </c>
      <c r="J374" s="81">
        <v>0</v>
      </c>
      <c r="K374" s="54">
        <f t="shared" si="58"/>
        <v>0</v>
      </c>
      <c r="L374" s="91">
        <f t="shared" si="49"/>
        <v>0</v>
      </c>
      <c r="M374" s="84">
        <f aca="true" t="shared" si="62" ref="M374:M391">F374-J374</f>
        <v>0</v>
      </c>
      <c r="N374" s="3"/>
      <c r="O374" s="3"/>
    </row>
    <row r="375" spans="1:15" ht="15">
      <c r="A375" s="59" t="s">
        <v>172</v>
      </c>
      <c r="B375" s="51" t="s">
        <v>173</v>
      </c>
      <c r="C375" s="81">
        <v>0</v>
      </c>
      <c r="D375" s="81">
        <v>0</v>
      </c>
      <c r="E375" s="81">
        <f>F375-0</f>
        <v>0</v>
      </c>
      <c r="F375" s="81">
        <v>0</v>
      </c>
      <c r="G375" s="62">
        <f t="shared" si="57"/>
        <v>0</v>
      </c>
      <c r="H375" s="81">
        <f>D375-F375</f>
        <v>0</v>
      </c>
      <c r="I375" s="81">
        <f>J375-0</f>
        <v>0</v>
      </c>
      <c r="J375" s="81">
        <v>0</v>
      </c>
      <c r="K375" s="54">
        <f t="shared" si="58"/>
        <v>0</v>
      </c>
      <c r="L375" s="91">
        <f t="shared" si="49"/>
        <v>0</v>
      </c>
      <c r="M375" s="84">
        <f t="shared" si="62"/>
        <v>0</v>
      </c>
      <c r="N375" s="3"/>
      <c r="O375" s="3"/>
    </row>
    <row r="376" spans="1:15" ht="15">
      <c r="A376" s="59" t="s">
        <v>272</v>
      </c>
      <c r="B376" s="51" t="s">
        <v>274</v>
      </c>
      <c r="C376" s="81">
        <v>102000</v>
      </c>
      <c r="D376" s="81">
        <v>80000</v>
      </c>
      <c r="E376" s="81">
        <f>F376-67018.1</f>
        <v>12783.319999999992</v>
      </c>
      <c r="F376" s="81">
        <v>79801.42</v>
      </c>
      <c r="G376" s="62">
        <f t="shared" si="57"/>
        <v>0.0001027358527777252</v>
      </c>
      <c r="H376" s="81">
        <f>D376-F376</f>
        <v>198.58000000000175</v>
      </c>
      <c r="I376" s="81">
        <f>J376-58664.72</f>
        <v>21136.699999999997</v>
      </c>
      <c r="J376" s="81">
        <v>79801.42</v>
      </c>
      <c r="K376" s="54">
        <f t="shared" si="58"/>
        <v>0.00010381652596930664</v>
      </c>
      <c r="L376" s="91">
        <f t="shared" si="49"/>
        <v>198.58000000000175</v>
      </c>
      <c r="M376" s="84">
        <f t="shared" si="62"/>
        <v>0</v>
      </c>
      <c r="N376" s="3"/>
      <c r="O376" s="3"/>
    </row>
    <row r="377" spans="1:15" ht="15">
      <c r="A377" s="72" t="s">
        <v>175</v>
      </c>
      <c r="B377" s="73" t="s">
        <v>174</v>
      </c>
      <c r="C377" s="80">
        <f>C378</f>
        <v>1571343</v>
      </c>
      <c r="D377" s="80">
        <f>D378</f>
        <v>1517619.39</v>
      </c>
      <c r="E377" s="80">
        <f>E378</f>
        <v>335697.8899999999</v>
      </c>
      <c r="F377" s="80">
        <f>F378</f>
        <v>1512141.43</v>
      </c>
      <c r="G377" s="68">
        <f t="shared" si="57"/>
        <v>0.0019467214910659338</v>
      </c>
      <c r="H377" s="80">
        <f aca="true" t="shared" si="63" ref="H377:H386">D377-F377</f>
        <v>5477.959999999963</v>
      </c>
      <c r="I377" s="80">
        <f>I378</f>
        <v>356995.99</v>
      </c>
      <c r="J377" s="80">
        <f>J378</f>
        <v>1512141.43</v>
      </c>
      <c r="K377" s="49">
        <f t="shared" si="58"/>
        <v>0.0019671989550669585</v>
      </c>
      <c r="L377" s="90">
        <f>D377-J377</f>
        <v>5477.959999999963</v>
      </c>
      <c r="M377" s="84">
        <f>M378</f>
        <v>0</v>
      </c>
      <c r="N377" s="3"/>
      <c r="O377" s="3"/>
    </row>
    <row r="378" spans="1:15" ht="15">
      <c r="A378" s="66" t="s">
        <v>28</v>
      </c>
      <c r="B378" s="60" t="s">
        <v>33</v>
      </c>
      <c r="C378" s="81">
        <v>1571343</v>
      </c>
      <c r="D378" s="81">
        <v>1517619.39</v>
      </c>
      <c r="E378" s="81">
        <f>F378-1176443.54</f>
        <v>335697.8899999999</v>
      </c>
      <c r="F378" s="81">
        <v>1512141.43</v>
      </c>
      <c r="G378" s="62">
        <f t="shared" si="57"/>
        <v>0.0019467214910659338</v>
      </c>
      <c r="H378" s="81">
        <f t="shared" si="63"/>
        <v>5477.959999999963</v>
      </c>
      <c r="I378" s="81">
        <f>J378-1155145.44</f>
        <v>356995.99</v>
      </c>
      <c r="J378" s="81">
        <v>1512141.43</v>
      </c>
      <c r="K378" s="54">
        <f t="shared" si="58"/>
        <v>0.0019671989550669585</v>
      </c>
      <c r="L378" s="91">
        <f>D378-J378</f>
        <v>5477.959999999963</v>
      </c>
      <c r="M378" s="84">
        <f t="shared" si="62"/>
        <v>0</v>
      </c>
      <c r="N378" s="3"/>
      <c r="O378" s="3"/>
    </row>
    <row r="379" spans="1:15" ht="15">
      <c r="A379" s="72" t="s">
        <v>178</v>
      </c>
      <c r="B379" s="73" t="s">
        <v>179</v>
      </c>
      <c r="C379" s="80">
        <f>C380</f>
        <v>3932582</v>
      </c>
      <c r="D379" s="80">
        <f>D380</f>
        <v>4740101.52</v>
      </c>
      <c r="E379" s="80">
        <f>E380</f>
        <v>956607.0900000003</v>
      </c>
      <c r="F379" s="80">
        <f>F380</f>
        <v>4389141.82</v>
      </c>
      <c r="G379" s="68">
        <f t="shared" si="57"/>
        <v>0.005650553935507374</v>
      </c>
      <c r="H379" s="80">
        <f t="shared" si="63"/>
        <v>350959.69999999925</v>
      </c>
      <c r="I379" s="80">
        <f>I380</f>
        <v>1085421.5700000003</v>
      </c>
      <c r="J379" s="80">
        <f>J380</f>
        <v>4389141.82</v>
      </c>
      <c r="K379" s="49">
        <f t="shared" si="58"/>
        <v>0.0057099918239424795</v>
      </c>
      <c r="L379" s="90">
        <f>D379-J379</f>
        <v>350959.69999999925</v>
      </c>
      <c r="M379" s="84">
        <f>M380</f>
        <v>0</v>
      </c>
      <c r="N379" s="3"/>
      <c r="O379" s="3"/>
    </row>
    <row r="380" spans="1:15" ht="15">
      <c r="A380" s="66" t="s">
        <v>28</v>
      </c>
      <c r="B380" s="60" t="s">
        <v>33</v>
      </c>
      <c r="C380" s="81">
        <v>3932582</v>
      </c>
      <c r="D380" s="81">
        <v>4740101.52</v>
      </c>
      <c r="E380" s="81">
        <f>F380-3432534.73</f>
        <v>956607.0900000003</v>
      </c>
      <c r="F380" s="81">
        <v>4389141.82</v>
      </c>
      <c r="G380" s="62">
        <f t="shared" si="57"/>
        <v>0.005650553935507374</v>
      </c>
      <c r="H380" s="81">
        <f t="shared" si="63"/>
        <v>350959.69999999925</v>
      </c>
      <c r="I380" s="81">
        <f>J380-3303720.25</f>
        <v>1085421.5700000003</v>
      </c>
      <c r="J380" s="81">
        <v>4389141.82</v>
      </c>
      <c r="K380" s="54">
        <f t="shared" si="58"/>
        <v>0.0057099918239424795</v>
      </c>
      <c r="L380" s="91">
        <f aca="true" t="shared" si="64" ref="L380:L386">D380-J380</f>
        <v>350959.69999999925</v>
      </c>
      <c r="M380" s="84">
        <f t="shared" si="62"/>
        <v>0</v>
      </c>
      <c r="N380" s="3"/>
      <c r="O380" s="3"/>
    </row>
    <row r="381" spans="1:15" ht="14.25">
      <c r="A381" s="72" t="s">
        <v>189</v>
      </c>
      <c r="B381" s="73" t="s">
        <v>190</v>
      </c>
      <c r="C381" s="80">
        <f>C382</f>
        <v>4748383</v>
      </c>
      <c r="D381" s="80">
        <f>D382</f>
        <v>5076043</v>
      </c>
      <c r="E381" s="80">
        <f>E382</f>
        <v>1088685.7699999996</v>
      </c>
      <c r="F381" s="80">
        <f>F382</f>
        <v>4429839.51</v>
      </c>
      <c r="G381" s="68">
        <f t="shared" si="57"/>
        <v>0.005702947889001352</v>
      </c>
      <c r="H381" s="80">
        <f t="shared" si="63"/>
        <v>646203.4900000002</v>
      </c>
      <c r="I381" s="80">
        <f>I382</f>
        <v>1070538.46</v>
      </c>
      <c r="J381" s="80">
        <f>J382</f>
        <v>3987009.58</v>
      </c>
      <c r="K381" s="49">
        <f t="shared" si="58"/>
        <v>0.005186843587519425</v>
      </c>
      <c r="L381" s="90">
        <f t="shared" si="64"/>
        <v>1089033.42</v>
      </c>
      <c r="M381" s="83">
        <f>M382</f>
        <v>442829.9299999997</v>
      </c>
      <c r="N381" s="3"/>
      <c r="O381" s="3"/>
    </row>
    <row r="382" spans="1:15" ht="15">
      <c r="A382" s="66" t="s">
        <v>28</v>
      </c>
      <c r="B382" s="60" t="s">
        <v>33</v>
      </c>
      <c r="C382" s="81">
        <v>4748383</v>
      </c>
      <c r="D382" s="81">
        <v>5076043</v>
      </c>
      <c r="E382" s="81">
        <f>F382-3341153.74</f>
        <v>1088685.7699999996</v>
      </c>
      <c r="F382" s="81">
        <v>4429839.51</v>
      </c>
      <c r="G382" s="62">
        <f t="shared" si="57"/>
        <v>0.005702947889001352</v>
      </c>
      <c r="H382" s="81">
        <f t="shared" si="63"/>
        <v>646203.4900000002</v>
      </c>
      <c r="I382" s="81">
        <f>J382-2916471.12</f>
        <v>1070538.46</v>
      </c>
      <c r="J382" s="81">
        <v>3987009.58</v>
      </c>
      <c r="K382" s="54">
        <f t="shared" si="58"/>
        <v>0.005186843587519425</v>
      </c>
      <c r="L382" s="91">
        <f>D382-J382</f>
        <v>1089033.42</v>
      </c>
      <c r="M382" s="84">
        <f t="shared" si="62"/>
        <v>442829.9299999997</v>
      </c>
      <c r="N382" s="3"/>
      <c r="O382" s="3"/>
    </row>
    <row r="383" spans="1:15" ht="14.25">
      <c r="A383" s="72" t="s">
        <v>195</v>
      </c>
      <c r="B383" s="73" t="s">
        <v>196</v>
      </c>
      <c r="C383" s="80">
        <f>SUM(C384:C384)</f>
        <v>16343559</v>
      </c>
      <c r="D383" s="80">
        <f>SUM(D384:D385)</f>
        <v>14804994.74</v>
      </c>
      <c r="E383" s="80">
        <f>SUM(E384:E384)</f>
        <v>2093796.540000001</v>
      </c>
      <c r="F383" s="80">
        <f>SUM(F384:F384)</f>
        <v>12706889.91</v>
      </c>
      <c r="G383" s="68">
        <f t="shared" si="57"/>
        <v>0.016358771198012788</v>
      </c>
      <c r="H383" s="80">
        <f t="shared" si="63"/>
        <v>2098104.83</v>
      </c>
      <c r="I383" s="80">
        <f>SUM(I384:I384)</f>
        <v>2966160.83</v>
      </c>
      <c r="J383" s="80">
        <f>SUM(J384:J384)</f>
        <v>12668281.92</v>
      </c>
      <c r="K383" s="49">
        <f t="shared" si="58"/>
        <v>0.016480621760041083</v>
      </c>
      <c r="L383" s="90">
        <f t="shared" si="64"/>
        <v>2136712.8200000003</v>
      </c>
      <c r="M383" s="83">
        <f>SUM(M384:M385)</f>
        <v>38607.99000000022</v>
      </c>
      <c r="N383" s="3"/>
      <c r="O383" s="3"/>
    </row>
    <row r="384" spans="1:15" ht="15">
      <c r="A384" s="66" t="s">
        <v>28</v>
      </c>
      <c r="B384" s="60" t="s">
        <v>33</v>
      </c>
      <c r="C384" s="81">
        <v>16343559</v>
      </c>
      <c r="D384" s="81">
        <v>14659294.74</v>
      </c>
      <c r="E384" s="81">
        <f>F384-10613093.37</f>
        <v>2093796.540000001</v>
      </c>
      <c r="F384" s="81">
        <v>12706889.91</v>
      </c>
      <c r="G384" s="68">
        <f t="shared" si="57"/>
        <v>0.016358771198012788</v>
      </c>
      <c r="H384" s="81">
        <f t="shared" si="63"/>
        <v>1952404.83</v>
      </c>
      <c r="I384" s="81">
        <f>J384-9702121.09</f>
        <v>2966160.83</v>
      </c>
      <c r="J384" s="81">
        <v>12668281.92</v>
      </c>
      <c r="K384" s="54">
        <f t="shared" si="58"/>
        <v>0.016480621760041083</v>
      </c>
      <c r="L384" s="91">
        <f t="shared" si="64"/>
        <v>1991012.8200000003</v>
      </c>
      <c r="M384" s="84">
        <f t="shared" si="62"/>
        <v>38607.99000000022</v>
      </c>
      <c r="N384" s="3"/>
      <c r="O384" s="3"/>
    </row>
    <row r="385" spans="1:15" ht="15">
      <c r="A385" s="66" t="s">
        <v>83</v>
      </c>
      <c r="B385" s="108" t="s">
        <v>85</v>
      </c>
      <c r="C385" s="97">
        <v>0</v>
      </c>
      <c r="D385" s="97">
        <v>145700</v>
      </c>
      <c r="E385" s="97">
        <f>F385-0</f>
        <v>0</v>
      </c>
      <c r="F385" s="97">
        <v>0</v>
      </c>
      <c r="G385" s="109">
        <f t="shared" si="57"/>
        <v>0</v>
      </c>
      <c r="H385" s="97">
        <f t="shared" si="63"/>
        <v>145700</v>
      </c>
      <c r="I385" s="97">
        <f>J385-0</f>
        <v>0</v>
      </c>
      <c r="J385" s="97">
        <v>0</v>
      </c>
      <c r="K385" s="106">
        <f t="shared" si="58"/>
        <v>0</v>
      </c>
      <c r="L385" s="107">
        <f t="shared" si="64"/>
        <v>145700</v>
      </c>
      <c r="M385" s="84">
        <f t="shared" si="62"/>
        <v>0</v>
      </c>
      <c r="N385" s="3"/>
      <c r="O385" s="3"/>
    </row>
    <row r="386" spans="1:15" ht="15">
      <c r="A386" s="72" t="s">
        <v>203</v>
      </c>
      <c r="B386" s="73" t="s">
        <v>204</v>
      </c>
      <c r="C386" s="80">
        <f>SUM(C387:C387)</f>
        <v>1034535</v>
      </c>
      <c r="D386" s="80">
        <f>SUM(D387:D388)</f>
        <v>1159402.8</v>
      </c>
      <c r="E386" s="80">
        <f>SUM(E387:E388)</f>
        <v>200405.3799999999</v>
      </c>
      <c r="F386" s="80">
        <f>SUM(F387:F388)</f>
        <v>1121561.94</v>
      </c>
      <c r="G386" s="68">
        <f t="shared" si="57"/>
        <v>0.0014438918799808305</v>
      </c>
      <c r="H386" s="80">
        <f t="shared" si="63"/>
        <v>37840.8600000001</v>
      </c>
      <c r="I386" s="80">
        <f>SUM(I387:I388)</f>
        <v>334042.6299999999</v>
      </c>
      <c r="J386" s="80">
        <f>SUM(J387:J388)</f>
        <v>1121561.94</v>
      </c>
      <c r="K386" s="49">
        <f t="shared" si="58"/>
        <v>0.001459080104968006</v>
      </c>
      <c r="L386" s="90">
        <f t="shared" si="64"/>
        <v>37840.8600000001</v>
      </c>
      <c r="M386" s="84">
        <f>SUM(M387:M388)</f>
        <v>0</v>
      </c>
      <c r="N386" s="3"/>
      <c r="O386" s="3"/>
    </row>
    <row r="387" spans="1:15" ht="15">
      <c r="A387" s="66" t="s">
        <v>28</v>
      </c>
      <c r="B387" s="60" t="s">
        <v>33</v>
      </c>
      <c r="C387" s="81">
        <v>1034535</v>
      </c>
      <c r="D387" s="81">
        <v>956950.8</v>
      </c>
      <c r="E387" s="81">
        <f>F387-718704.56</f>
        <v>231494.0199999999</v>
      </c>
      <c r="F387" s="81">
        <v>950198.58</v>
      </c>
      <c r="G387" s="62">
        <f t="shared" si="57"/>
        <v>0.0012232797539753495</v>
      </c>
      <c r="H387" s="81">
        <f>D387-F387</f>
        <v>6752.2200000000885</v>
      </c>
      <c r="I387" s="81">
        <f>J387-718704.56</f>
        <v>231494.0199999999</v>
      </c>
      <c r="J387" s="81">
        <v>950198.58</v>
      </c>
      <c r="K387" s="54">
        <f t="shared" si="58"/>
        <v>0.0012361473712694372</v>
      </c>
      <c r="L387" s="91">
        <f>D387-J387</f>
        <v>6752.2200000000885</v>
      </c>
      <c r="M387" s="84">
        <f t="shared" si="62"/>
        <v>0</v>
      </c>
      <c r="N387" s="3"/>
      <c r="O387" s="3"/>
    </row>
    <row r="388" spans="1:15" ht="15">
      <c r="A388" s="66" t="s">
        <v>207</v>
      </c>
      <c r="B388" s="60" t="s">
        <v>208</v>
      </c>
      <c r="C388" s="81">
        <v>0</v>
      </c>
      <c r="D388" s="81">
        <v>202452</v>
      </c>
      <c r="E388" s="81">
        <f>F388-202452</f>
        <v>-31088.640000000014</v>
      </c>
      <c r="F388" s="81">
        <v>171363.36</v>
      </c>
      <c r="G388" s="62">
        <f t="shared" si="57"/>
        <v>0.0002206121260054811</v>
      </c>
      <c r="H388" s="81">
        <f>D388-F388</f>
        <v>31088.640000000014</v>
      </c>
      <c r="I388" s="81">
        <f>J388-68814.75</f>
        <v>102548.60999999999</v>
      </c>
      <c r="J388" s="81">
        <v>171363.36</v>
      </c>
      <c r="K388" s="54">
        <f t="shared" si="58"/>
        <v>0.00022293273369856882</v>
      </c>
      <c r="L388" s="91">
        <f>D388-J388</f>
        <v>31088.640000000014</v>
      </c>
      <c r="M388" s="84">
        <f t="shared" si="62"/>
        <v>0</v>
      </c>
      <c r="N388" s="3"/>
      <c r="O388" s="3"/>
    </row>
    <row r="389" spans="1:15" ht="15">
      <c r="A389" s="72" t="s">
        <v>211</v>
      </c>
      <c r="B389" s="73" t="s">
        <v>212</v>
      </c>
      <c r="C389" s="80">
        <f>C390</f>
        <v>706128951</v>
      </c>
      <c r="D389" s="80">
        <f>D390</f>
        <v>1806172951.3</v>
      </c>
      <c r="E389" s="80">
        <f>E390</f>
        <v>92815343.00999999</v>
      </c>
      <c r="F389" s="80">
        <f>F390</f>
        <v>1792588811.79</v>
      </c>
      <c r="G389" s="68">
        <f t="shared" si="57"/>
        <v>2.307767709635427</v>
      </c>
      <c r="H389" s="80">
        <f>D389-F389</f>
        <v>13584139.50999999</v>
      </c>
      <c r="I389" s="80">
        <f>I390</f>
        <v>92815343.00999999</v>
      </c>
      <c r="J389" s="80">
        <f>J390</f>
        <v>1792588811.79</v>
      </c>
      <c r="K389" s="49">
        <f t="shared" si="58"/>
        <v>2.3320430003812596</v>
      </c>
      <c r="L389" s="90">
        <f>D389-J389</f>
        <v>13584139.50999999</v>
      </c>
      <c r="M389" s="84">
        <f>M390+M391</f>
        <v>0</v>
      </c>
      <c r="N389" s="3"/>
      <c r="O389" s="3"/>
    </row>
    <row r="390" spans="1:15" ht="15">
      <c r="A390" s="66" t="s">
        <v>39</v>
      </c>
      <c r="B390" s="60" t="s">
        <v>41</v>
      </c>
      <c r="C390" s="81">
        <v>706128951</v>
      </c>
      <c r="D390" s="81">
        <v>1806172951.3</v>
      </c>
      <c r="E390" s="81">
        <f>F390-1699773468.78</f>
        <v>92815343.00999999</v>
      </c>
      <c r="F390" s="81">
        <v>1792588811.79</v>
      </c>
      <c r="G390" s="62">
        <f>(F390/$F$286)*100</f>
        <v>2.307767709635427</v>
      </c>
      <c r="H390" s="81">
        <f>D390-F390</f>
        <v>13584139.50999999</v>
      </c>
      <c r="I390" s="81">
        <f>J390-1699773468.78</f>
        <v>92815343.00999999</v>
      </c>
      <c r="J390" s="81">
        <v>1792588811.79</v>
      </c>
      <c r="K390" s="54">
        <f>(J390/$J$286)*100</f>
        <v>2.3320430003812596</v>
      </c>
      <c r="L390" s="91">
        <f>D390-J390</f>
        <v>13584139.50999999</v>
      </c>
      <c r="M390" s="84">
        <f t="shared" si="62"/>
        <v>0</v>
      </c>
      <c r="N390" s="3"/>
      <c r="O390" s="3"/>
    </row>
    <row r="391" spans="1:14" ht="15">
      <c r="A391" s="74" t="s">
        <v>221</v>
      </c>
      <c r="B391" s="75" t="s">
        <v>222</v>
      </c>
      <c r="C391" s="92">
        <v>0</v>
      </c>
      <c r="D391" s="92">
        <v>0</v>
      </c>
      <c r="E391" s="92">
        <f>F391-0</f>
        <v>0</v>
      </c>
      <c r="F391" s="92">
        <v>0</v>
      </c>
      <c r="G391" s="76">
        <f>(F391/$F$286)*100</f>
        <v>0</v>
      </c>
      <c r="H391" s="92">
        <f>D391-F391</f>
        <v>0</v>
      </c>
      <c r="I391" s="92">
        <f>J391-0</f>
        <v>0</v>
      </c>
      <c r="J391" s="92">
        <v>0</v>
      </c>
      <c r="K391" s="76">
        <f>(J391/$J$286)*100</f>
        <v>0</v>
      </c>
      <c r="L391" s="93">
        <f>D391-J391</f>
        <v>0</v>
      </c>
      <c r="M391" s="84">
        <f t="shared" si="62"/>
        <v>0</v>
      </c>
      <c r="N391" s="3"/>
    </row>
    <row r="392" spans="1:13" ht="15.75">
      <c r="A392" s="42" t="s">
        <v>259</v>
      </c>
      <c r="B392" s="24"/>
      <c r="C392" s="24"/>
      <c r="D392" s="24"/>
      <c r="E392" s="24"/>
      <c r="F392" s="43"/>
      <c r="G392" s="36"/>
      <c r="H392" s="24"/>
      <c r="I392" s="24"/>
      <c r="J392" s="24"/>
      <c r="K392" s="24"/>
      <c r="L392" s="77"/>
      <c r="M392" s="111" t="s">
        <v>227</v>
      </c>
    </row>
    <row r="393" spans="1:13" ht="15.75">
      <c r="A393" s="42" t="s">
        <v>260</v>
      </c>
      <c r="B393" s="24"/>
      <c r="C393" s="24"/>
      <c r="D393" s="24"/>
      <c r="E393" s="24"/>
      <c r="F393" s="24"/>
      <c r="G393" s="24"/>
      <c r="H393" s="24"/>
      <c r="I393" s="44"/>
      <c r="J393" s="24"/>
      <c r="K393" s="24"/>
      <c r="L393" s="24"/>
      <c r="M393" s="24"/>
    </row>
    <row r="394" spans="1:13" ht="15.75">
      <c r="A394" s="42" t="s">
        <v>277</v>
      </c>
      <c r="B394" s="24"/>
      <c r="C394" s="24"/>
      <c r="D394" s="24"/>
      <c r="E394" s="24"/>
      <c r="F394" s="24"/>
      <c r="G394" s="24"/>
      <c r="H394" s="24"/>
      <c r="I394" s="24"/>
      <c r="J394" s="44"/>
      <c r="K394" s="24"/>
      <c r="L394" s="24"/>
      <c r="M394" s="24"/>
    </row>
    <row r="395" spans="1:13" ht="15.75">
      <c r="A395" s="42"/>
      <c r="B395" s="24"/>
      <c r="C395" s="24"/>
      <c r="D395" s="24"/>
      <c r="E395" s="24"/>
      <c r="F395" s="24"/>
      <c r="G395" s="24"/>
      <c r="H395" s="24"/>
      <c r="I395" s="24"/>
      <c r="J395" s="24"/>
      <c r="K395" s="24"/>
      <c r="L395" s="24"/>
      <c r="M395" s="24"/>
    </row>
    <row r="396" spans="1:13" ht="15.75">
      <c r="A396" s="42"/>
      <c r="B396" s="24"/>
      <c r="C396" s="24"/>
      <c r="D396" s="24"/>
      <c r="E396" s="24"/>
      <c r="F396" s="24"/>
      <c r="G396" s="24"/>
      <c r="H396" s="24"/>
      <c r="I396" s="24"/>
      <c r="J396" s="24"/>
      <c r="K396" s="24"/>
      <c r="L396" s="24"/>
      <c r="M396" s="24"/>
    </row>
    <row r="397" spans="1:13" ht="15.75">
      <c r="A397" s="42"/>
      <c r="B397" s="24"/>
      <c r="C397" s="24"/>
      <c r="D397" s="24"/>
      <c r="E397" s="24"/>
      <c r="F397" s="24"/>
      <c r="G397" s="24"/>
      <c r="H397" s="24"/>
      <c r="I397" s="24"/>
      <c r="J397" s="24"/>
      <c r="K397" s="24"/>
      <c r="L397" s="24"/>
      <c r="M397" s="24"/>
    </row>
    <row r="398" spans="1:13" ht="15.75">
      <c r="A398" s="42"/>
      <c r="B398" s="24"/>
      <c r="C398" s="24"/>
      <c r="D398" s="24"/>
      <c r="E398" s="24"/>
      <c r="F398" s="24"/>
      <c r="G398" s="24"/>
      <c r="H398" s="24"/>
      <c r="I398" s="24"/>
      <c r="J398" s="24"/>
      <c r="K398" s="24"/>
      <c r="L398" s="24"/>
      <c r="M398" s="24"/>
    </row>
    <row r="399" spans="1:13" ht="15.75">
      <c r="A399" s="42"/>
      <c r="B399" s="24"/>
      <c r="C399" s="24"/>
      <c r="D399" s="24"/>
      <c r="E399" s="24"/>
      <c r="F399" s="24"/>
      <c r="G399" s="24"/>
      <c r="H399" s="24"/>
      <c r="I399" s="24"/>
      <c r="J399" s="24"/>
      <c r="K399" s="24"/>
      <c r="L399" s="24"/>
      <c r="M399" s="24"/>
    </row>
    <row r="400" spans="1:13" ht="15.75">
      <c r="A400" s="42"/>
      <c r="B400" s="24"/>
      <c r="C400" s="24"/>
      <c r="D400" s="24"/>
      <c r="E400" s="24"/>
      <c r="F400" s="24"/>
      <c r="G400" s="24"/>
      <c r="H400" s="24"/>
      <c r="I400" s="24"/>
      <c r="J400" s="24"/>
      <c r="K400" s="24"/>
      <c r="L400" s="24"/>
      <c r="M400" s="24"/>
    </row>
    <row r="401" spans="1:13" ht="15.75">
      <c r="A401" s="42"/>
      <c r="B401" s="24"/>
      <c r="C401" s="24"/>
      <c r="D401" s="24"/>
      <c r="E401" s="24"/>
      <c r="F401" s="24"/>
      <c r="G401" s="24"/>
      <c r="H401" s="24"/>
      <c r="I401" s="24"/>
      <c r="J401" s="24"/>
      <c r="K401" s="24"/>
      <c r="L401" s="24"/>
      <c r="M401" s="24"/>
    </row>
    <row r="402" spans="1:13" ht="15.75">
      <c r="A402" s="22"/>
      <c r="B402" s="24"/>
      <c r="C402" s="24"/>
      <c r="D402" s="24"/>
      <c r="E402" s="44"/>
      <c r="F402" s="24"/>
      <c r="G402" s="24"/>
      <c r="H402" s="24"/>
      <c r="I402" s="44"/>
      <c r="J402" s="24"/>
      <c r="K402" s="24"/>
      <c r="L402" s="24"/>
      <c r="M402" s="24"/>
    </row>
    <row r="403" spans="1:13" ht="15.75">
      <c r="A403" s="37"/>
      <c r="B403" s="34"/>
      <c r="C403" s="34"/>
      <c r="D403" s="34"/>
      <c r="E403" s="34"/>
      <c r="F403" s="34"/>
      <c r="G403" s="34"/>
      <c r="H403" s="34"/>
      <c r="I403" s="34"/>
      <c r="J403" s="34"/>
      <c r="K403" s="34"/>
      <c r="L403" s="34"/>
      <c r="M403" s="24"/>
    </row>
    <row r="404" spans="1:13" ht="15.75">
      <c r="A404" s="37"/>
      <c r="B404" s="34"/>
      <c r="C404" s="34"/>
      <c r="D404" s="34"/>
      <c r="E404" s="34"/>
      <c r="F404" s="34"/>
      <c r="G404" s="34"/>
      <c r="H404" s="34"/>
      <c r="I404" s="34"/>
      <c r="J404" s="34"/>
      <c r="K404" s="34"/>
      <c r="L404" s="34"/>
      <c r="M404" s="24"/>
    </row>
    <row r="405" spans="1:13" ht="15.75">
      <c r="A405" s="123" t="s">
        <v>255</v>
      </c>
      <c r="B405" s="123"/>
      <c r="C405" s="117" t="s">
        <v>257</v>
      </c>
      <c r="D405" s="117"/>
      <c r="E405" s="117"/>
      <c r="F405" s="117"/>
      <c r="G405" s="117"/>
      <c r="H405" s="117"/>
      <c r="I405" s="117" t="s">
        <v>284</v>
      </c>
      <c r="J405" s="117"/>
      <c r="K405" s="117"/>
      <c r="L405" s="117"/>
      <c r="M405" s="24"/>
    </row>
    <row r="406" spans="1:13" ht="15.75">
      <c r="A406" s="123" t="s">
        <v>256</v>
      </c>
      <c r="B406" s="123"/>
      <c r="C406" s="117" t="s">
        <v>258</v>
      </c>
      <c r="D406" s="117"/>
      <c r="E406" s="117"/>
      <c r="F406" s="117"/>
      <c r="G406" s="117"/>
      <c r="H406" s="117"/>
      <c r="I406" s="124" t="s">
        <v>285</v>
      </c>
      <c r="J406" s="124"/>
      <c r="K406" s="124"/>
      <c r="L406" s="124"/>
      <c r="M406" s="24"/>
    </row>
    <row r="407" spans="1:13" ht="15.75">
      <c r="A407" s="123" t="s">
        <v>248</v>
      </c>
      <c r="B407" s="123"/>
      <c r="C407" s="117" t="s">
        <v>249</v>
      </c>
      <c r="D407" s="117"/>
      <c r="E407" s="117"/>
      <c r="F407" s="117"/>
      <c r="G407" s="117"/>
      <c r="H407" s="117"/>
      <c r="I407" s="117" t="s">
        <v>286</v>
      </c>
      <c r="J407" s="117"/>
      <c r="K407" s="117"/>
      <c r="L407" s="117"/>
      <c r="M407" s="24"/>
    </row>
    <row r="408" spans="1:13" ht="15.75">
      <c r="A408" s="37"/>
      <c r="B408" s="34"/>
      <c r="C408" s="34"/>
      <c r="D408" s="34"/>
      <c r="E408" s="34"/>
      <c r="F408" s="34"/>
      <c r="G408" s="34"/>
      <c r="H408" s="34"/>
      <c r="I408" s="34"/>
      <c r="J408" s="34"/>
      <c r="K408" s="34"/>
      <c r="L408" s="34"/>
      <c r="M408" s="24"/>
    </row>
    <row r="409" spans="1:13" ht="15.75">
      <c r="A409" s="37"/>
      <c r="B409" s="34"/>
      <c r="C409" s="34"/>
      <c r="D409" s="34"/>
      <c r="E409" s="34"/>
      <c r="F409" s="34"/>
      <c r="G409" s="34"/>
      <c r="H409" s="34"/>
      <c r="I409" s="34"/>
      <c r="J409" s="34"/>
      <c r="K409" s="34"/>
      <c r="L409" s="34"/>
      <c r="M409" s="24"/>
    </row>
    <row r="410" spans="1:13" ht="15.75">
      <c r="A410" s="34"/>
      <c r="B410" s="34"/>
      <c r="C410" s="34"/>
      <c r="D410" s="34"/>
      <c r="E410" s="34"/>
      <c r="F410" s="34"/>
      <c r="G410" s="34"/>
      <c r="H410" s="34"/>
      <c r="I410" s="34"/>
      <c r="J410" s="34"/>
      <c r="K410" s="34"/>
      <c r="L410" s="34"/>
      <c r="M410" s="24"/>
    </row>
    <row r="411" spans="1:13" ht="15.75">
      <c r="A411" s="34"/>
      <c r="B411" s="34"/>
      <c r="C411" s="34"/>
      <c r="D411" s="34"/>
      <c r="E411" s="34"/>
      <c r="F411" s="34"/>
      <c r="G411" s="34"/>
      <c r="H411" s="34"/>
      <c r="I411" s="34"/>
      <c r="J411" s="34"/>
      <c r="K411" s="34"/>
      <c r="L411" s="34"/>
      <c r="M411" s="24"/>
    </row>
    <row r="412" spans="1:13" ht="15.75">
      <c r="A412" s="34"/>
      <c r="B412" s="34"/>
      <c r="C412" s="34"/>
      <c r="D412" s="34"/>
      <c r="E412" s="34"/>
      <c r="F412" s="34"/>
      <c r="G412" s="34"/>
      <c r="H412" s="34"/>
      <c r="I412" s="34"/>
      <c r="J412" s="34"/>
      <c r="K412" s="34"/>
      <c r="L412" s="34"/>
      <c r="M412" s="24"/>
    </row>
    <row r="413" spans="1:13" ht="15.75">
      <c r="A413" s="41"/>
      <c r="B413" s="33"/>
      <c r="C413" s="33"/>
      <c r="D413" s="33"/>
      <c r="E413" s="33"/>
      <c r="F413" s="33"/>
      <c r="G413" s="33"/>
      <c r="H413" s="33"/>
      <c r="I413" s="33"/>
      <c r="J413" s="33"/>
      <c r="K413" s="33"/>
      <c r="L413" s="33"/>
      <c r="M413" s="24"/>
    </row>
    <row r="414" spans="1:13" ht="15.75">
      <c r="A414" s="37"/>
      <c r="B414" s="34"/>
      <c r="C414" s="34"/>
      <c r="D414" s="34"/>
      <c r="E414" s="34"/>
      <c r="F414" s="34"/>
      <c r="G414" s="34"/>
      <c r="H414" s="34"/>
      <c r="I414" s="34"/>
      <c r="J414" s="34"/>
      <c r="K414" s="34"/>
      <c r="L414" s="34"/>
      <c r="M414" s="24"/>
    </row>
    <row r="415" spans="1:13" ht="15.75">
      <c r="A415" s="37"/>
      <c r="B415" s="34"/>
      <c r="C415" s="34"/>
      <c r="D415" s="34"/>
      <c r="E415" s="34"/>
      <c r="F415" s="34"/>
      <c r="G415" s="34"/>
      <c r="H415" s="34"/>
      <c r="I415" s="34"/>
      <c r="J415" s="34"/>
      <c r="K415" s="34"/>
      <c r="L415" s="34"/>
      <c r="M415" s="24"/>
    </row>
    <row r="416" spans="1:13" ht="15.75">
      <c r="A416" s="37"/>
      <c r="B416" s="34"/>
      <c r="C416" s="34"/>
      <c r="D416" s="34"/>
      <c r="E416" s="34"/>
      <c r="F416" s="34"/>
      <c r="G416" s="34"/>
      <c r="H416" s="34"/>
      <c r="I416" s="34"/>
      <c r="J416" s="34"/>
      <c r="K416" s="34"/>
      <c r="L416" s="34"/>
      <c r="M416" s="24"/>
    </row>
    <row r="417" spans="1:13" ht="15.75">
      <c r="A417" s="37"/>
      <c r="B417" s="34"/>
      <c r="C417" s="34"/>
      <c r="D417" s="34"/>
      <c r="E417" s="34"/>
      <c r="F417" s="34"/>
      <c r="G417" s="34"/>
      <c r="H417" s="34"/>
      <c r="I417" s="34"/>
      <c r="J417" s="34"/>
      <c r="K417" s="34"/>
      <c r="L417" s="34"/>
      <c r="M417" s="24"/>
    </row>
    <row r="418" spans="1:13" ht="15.75">
      <c r="A418" s="37"/>
      <c r="B418" s="34"/>
      <c r="C418" s="34"/>
      <c r="D418" s="34"/>
      <c r="E418" s="34"/>
      <c r="F418" s="34"/>
      <c r="G418" s="34"/>
      <c r="H418" s="34"/>
      <c r="I418" s="34"/>
      <c r="J418" s="34"/>
      <c r="K418" s="34"/>
      <c r="L418" s="34"/>
      <c r="M418" s="24"/>
    </row>
    <row r="419" spans="1:13" ht="15.75">
      <c r="A419" s="37"/>
      <c r="B419" s="34"/>
      <c r="C419" s="34"/>
      <c r="D419" s="34"/>
      <c r="E419" s="34"/>
      <c r="F419" s="34"/>
      <c r="G419" s="34"/>
      <c r="H419" s="34"/>
      <c r="I419" s="34"/>
      <c r="J419" s="34"/>
      <c r="K419" s="34"/>
      <c r="L419" s="34"/>
      <c r="M419" s="24"/>
    </row>
    <row r="420" spans="1:13" ht="15.75">
      <c r="A420" s="37"/>
      <c r="B420" s="34"/>
      <c r="C420" s="34"/>
      <c r="D420" s="34"/>
      <c r="E420" s="34"/>
      <c r="F420" s="34"/>
      <c r="G420" s="34"/>
      <c r="H420" s="34"/>
      <c r="I420" s="34"/>
      <c r="J420" s="34"/>
      <c r="K420" s="34"/>
      <c r="L420" s="34"/>
      <c r="M420" s="24"/>
    </row>
    <row r="421" spans="1:13" ht="15.75">
      <c r="A421" s="37"/>
      <c r="B421" s="34"/>
      <c r="C421" s="34"/>
      <c r="D421" s="34"/>
      <c r="E421" s="34"/>
      <c r="F421" s="34"/>
      <c r="G421" s="34"/>
      <c r="H421" s="34"/>
      <c r="I421" s="34"/>
      <c r="J421" s="34"/>
      <c r="K421" s="34"/>
      <c r="L421" s="34"/>
      <c r="M421" s="24"/>
    </row>
    <row r="422" spans="1:13" ht="15.75">
      <c r="A422" s="37"/>
      <c r="B422" s="34"/>
      <c r="C422" s="34"/>
      <c r="D422" s="34"/>
      <c r="E422" s="34"/>
      <c r="F422" s="34"/>
      <c r="G422" s="34"/>
      <c r="H422" s="34"/>
      <c r="I422" s="34"/>
      <c r="J422" s="34"/>
      <c r="K422" s="34"/>
      <c r="L422" s="34"/>
      <c r="M422" s="24"/>
    </row>
    <row r="423" spans="1:13" ht="15.75">
      <c r="A423" s="37"/>
      <c r="B423" s="34"/>
      <c r="C423" s="34"/>
      <c r="D423" s="34"/>
      <c r="E423" s="34"/>
      <c r="F423" s="34"/>
      <c r="G423" s="34"/>
      <c r="H423" s="34"/>
      <c r="I423" s="34"/>
      <c r="J423" s="34"/>
      <c r="K423" s="34"/>
      <c r="L423" s="34"/>
      <c r="M423" s="24"/>
    </row>
    <row r="424" spans="1:13" ht="15.75">
      <c r="A424" s="37"/>
      <c r="B424" s="34"/>
      <c r="C424" s="34"/>
      <c r="D424" s="34"/>
      <c r="E424" s="34"/>
      <c r="F424" s="34"/>
      <c r="G424" s="34"/>
      <c r="H424" s="34"/>
      <c r="I424" s="34"/>
      <c r="J424" s="34"/>
      <c r="K424" s="34"/>
      <c r="L424" s="34"/>
      <c r="M424" s="24"/>
    </row>
    <row r="425" spans="1:13" ht="15.75">
      <c r="A425" s="37"/>
      <c r="B425" s="34"/>
      <c r="C425" s="34"/>
      <c r="D425" s="34"/>
      <c r="E425" s="34"/>
      <c r="F425" s="34"/>
      <c r="G425" s="34"/>
      <c r="H425" s="34"/>
      <c r="I425" s="34"/>
      <c r="J425" s="34"/>
      <c r="K425" s="34"/>
      <c r="L425" s="34"/>
      <c r="M425" s="24"/>
    </row>
    <row r="426" spans="1:13" ht="15.75">
      <c r="A426" s="37"/>
      <c r="B426" s="34"/>
      <c r="C426" s="34"/>
      <c r="D426" s="34"/>
      <c r="E426" s="34"/>
      <c r="F426" s="34"/>
      <c r="G426" s="34"/>
      <c r="H426" s="34"/>
      <c r="I426" s="34"/>
      <c r="J426" s="34"/>
      <c r="K426" s="34"/>
      <c r="L426" s="34"/>
      <c r="M426" s="24"/>
    </row>
    <row r="427" spans="1:13" ht="15.75">
      <c r="A427" s="37"/>
      <c r="B427" s="34"/>
      <c r="C427" s="34"/>
      <c r="D427" s="34"/>
      <c r="E427" s="34"/>
      <c r="F427" s="34"/>
      <c r="G427" s="34"/>
      <c r="H427" s="34"/>
      <c r="I427" s="34"/>
      <c r="J427" s="34"/>
      <c r="K427" s="34"/>
      <c r="L427" s="34"/>
      <c r="M427" s="24"/>
    </row>
    <row r="428" spans="1:13" ht="15.75">
      <c r="A428" s="37"/>
      <c r="B428" s="34"/>
      <c r="C428" s="34"/>
      <c r="D428" s="34"/>
      <c r="E428" s="34"/>
      <c r="F428" s="34"/>
      <c r="G428" s="34"/>
      <c r="H428" s="34"/>
      <c r="I428" s="34"/>
      <c r="J428" s="34"/>
      <c r="K428" s="34"/>
      <c r="L428" s="34"/>
      <c r="M428" s="24"/>
    </row>
    <row r="429" spans="1:13" ht="15.75">
      <c r="A429" s="37"/>
      <c r="B429" s="34"/>
      <c r="C429" s="34"/>
      <c r="D429" s="34"/>
      <c r="E429" s="34"/>
      <c r="F429" s="34"/>
      <c r="G429" s="34"/>
      <c r="H429" s="34"/>
      <c r="I429" s="34"/>
      <c r="J429" s="34"/>
      <c r="K429" s="34"/>
      <c r="L429" s="34"/>
      <c r="M429" s="24"/>
    </row>
    <row r="430" spans="1:13" ht="15.75">
      <c r="A430" s="37"/>
      <c r="B430" s="34"/>
      <c r="C430" s="34"/>
      <c r="D430" s="34"/>
      <c r="E430" s="34"/>
      <c r="F430" s="34"/>
      <c r="G430" s="34"/>
      <c r="H430" s="34"/>
      <c r="I430" s="34"/>
      <c r="J430" s="34"/>
      <c r="K430" s="34"/>
      <c r="L430" s="34"/>
      <c r="M430" s="24"/>
    </row>
    <row r="431" spans="1:13" ht="15.75">
      <c r="A431" s="37"/>
      <c r="B431" s="34"/>
      <c r="C431" s="34"/>
      <c r="D431" s="34"/>
      <c r="E431" s="34"/>
      <c r="F431" s="34"/>
      <c r="G431" s="34"/>
      <c r="H431" s="34"/>
      <c r="I431" s="34"/>
      <c r="J431" s="34"/>
      <c r="K431" s="34"/>
      <c r="L431" s="34"/>
      <c r="M431" s="24"/>
    </row>
    <row r="432" spans="1:13" ht="15.75">
      <c r="A432" s="37"/>
      <c r="B432" s="34"/>
      <c r="C432" s="34"/>
      <c r="D432" s="34"/>
      <c r="E432" s="34"/>
      <c r="F432" s="34"/>
      <c r="G432" s="34"/>
      <c r="H432" s="34"/>
      <c r="I432" s="34"/>
      <c r="J432" s="34"/>
      <c r="K432" s="34"/>
      <c r="L432" s="34"/>
      <c r="M432" s="24"/>
    </row>
    <row r="433" spans="1:13" ht="15.75">
      <c r="A433" s="37"/>
      <c r="B433" s="34"/>
      <c r="C433" s="34"/>
      <c r="D433" s="34"/>
      <c r="E433" s="34"/>
      <c r="F433" s="34"/>
      <c r="G433" s="34"/>
      <c r="H433" s="34"/>
      <c r="I433" s="34"/>
      <c r="J433" s="34"/>
      <c r="K433" s="34"/>
      <c r="L433" s="34"/>
      <c r="M433" s="24"/>
    </row>
    <row r="434" spans="1:13" ht="15.75">
      <c r="A434" s="37"/>
      <c r="B434" s="34"/>
      <c r="C434" s="34"/>
      <c r="D434" s="34"/>
      <c r="E434" s="34"/>
      <c r="F434" s="34"/>
      <c r="G434" s="34"/>
      <c r="H434" s="34"/>
      <c r="I434" s="34"/>
      <c r="J434" s="34"/>
      <c r="K434" s="34"/>
      <c r="L434" s="34"/>
      <c r="M434" s="24"/>
    </row>
    <row r="435" spans="1:13" ht="15.75">
      <c r="A435" s="37"/>
      <c r="B435" s="34"/>
      <c r="C435" s="34"/>
      <c r="D435" s="34"/>
      <c r="E435" s="34"/>
      <c r="F435" s="34"/>
      <c r="G435" s="34"/>
      <c r="H435" s="34"/>
      <c r="I435" s="34"/>
      <c r="J435" s="34"/>
      <c r="K435" s="34"/>
      <c r="L435" s="34"/>
      <c r="M435" s="24"/>
    </row>
    <row r="436" spans="1:13" ht="15.75">
      <c r="A436" s="37"/>
      <c r="B436" s="34"/>
      <c r="C436" s="34"/>
      <c r="D436" s="34"/>
      <c r="E436" s="34"/>
      <c r="F436" s="34"/>
      <c r="G436" s="34"/>
      <c r="H436" s="34"/>
      <c r="I436" s="34"/>
      <c r="J436" s="34"/>
      <c r="K436" s="34"/>
      <c r="L436" s="34"/>
      <c r="M436" s="24"/>
    </row>
    <row r="437" spans="1:13" ht="15.75">
      <c r="A437" s="37"/>
      <c r="B437" s="34"/>
      <c r="C437" s="34"/>
      <c r="D437" s="34"/>
      <c r="E437" s="34"/>
      <c r="F437" s="34"/>
      <c r="G437" s="34"/>
      <c r="H437" s="34"/>
      <c r="I437" s="34"/>
      <c r="J437" s="34"/>
      <c r="K437" s="34"/>
      <c r="L437" s="34"/>
      <c r="M437" s="24"/>
    </row>
    <row r="438" spans="1:13" ht="15.75">
      <c r="A438" s="37"/>
      <c r="B438" s="34"/>
      <c r="C438" s="34"/>
      <c r="D438" s="34"/>
      <c r="E438" s="34"/>
      <c r="F438" s="34"/>
      <c r="G438" s="34"/>
      <c r="H438" s="34"/>
      <c r="I438" s="34"/>
      <c r="J438" s="34"/>
      <c r="K438" s="34"/>
      <c r="L438" s="34"/>
      <c r="M438" s="24"/>
    </row>
    <row r="439" spans="1:13" ht="15.75">
      <c r="A439" s="37"/>
      <c r="B439" s="34"/>
      <c r="C439" s="34"/>
      <c r="D439" s="34"/>
      <c r="E439" s="34"/>
      <c r="F439" s="34"/>
      <c r="G439" s="34"/>
      <c r="H439" s="34"/>
      <c r="I439" s="34"/>
      <c r="J439" s="34"/>
      <c r="K439" s="34"/>
      <c r="L439" s="34"/>
      <c r="M439" s="24"/>
    </row>
    <row r="440" spans="1:13" ht="15.75">
      <c r="A440" s="37"/>
      <c r="B440" s="34"/>
      <c r="C440" s="34"/>
      <c r="D440" s="34"/>
      <c r="E440" s="34"/>
      <c r="F440" s="34"/>
      <c r="G440" s="34"/>
      <c r="H440" s="34"/>
      <c r="I440" s="34"/>
      <c r="J440" s="34"/>
      <c r="K440" s="34"/>
      <c r="L440" s="34"/>
      <c r="M440" s="24"/>
    </row>
    <row r="441" spans="1:13" ht="15.75">
      <c r="A441" s="37"/>
      <c r="B441" s="34"/>
      <c r="C441" s="34"/>
      <c r="D441" s="34"/>
      <c r="E441" s="34"/>
      <c r="F441" s="34"/>
      <c r="G441" s="34"/>
      <c r="H441" s="34"/>
      <c r="I441" s="34"/>
      <c r="J441" s="34"/>
      <c r="K441" s="34"/>
      <c r="L441" s="34"/>
      <c r="M441" s="24"/>
    </row>
    <row r="442" spans="1:13" ht="15.75">
      <c r="A442" s="37"/>
      <c r="B442" s="34"/>
      <c r="C442" s="34"/>
      <c r="D442" s="34"/>
      <c r="E442" s="34"/>
      <c r="F442" s="34"/>
      <c r="G442" s="34"/>
      <c r="H442" s="34"/>
      <c r="I442" s="34"/>
      <c r="J442" s="34"/>
      <c r="K442" s="34"/>
      <c r="L442" s="34"/>
      <c r="M442" s="24"/>
    </row>
    <row r="443" spans="1:13" ht="15.75">
      <c r="A443" s="37"/>
      <c r="B443" s="34"/>
      <c r="C443" s="34"/>
      <c r="D443" s="34"/>
      <c r="E443" s="34"/>
      <c r="F443" s="34"/>
      <c r="G443" s="34"/>
      <c r="H443" s="34"/>
      <c r="I443" s="34"/>
      <c r="J443" s="34"/>
      <c r="K443" s="34"/>
      <c r="L443" s="34"/>
      <c r="M443" s="24"/>
    </row>
    <row r="444" spans="1:13" ht="15.75">
      <c r="A444" s="37"/>
      <c r="B444" s="34"/>
      <c r="C444" s="34"/>
      <c r="D444" s="34"/>
      <c r="E444" s="34"/>
      <c r="F444" s="34"/>
      <c r="G444" s="34"/>
      <c r="H444" s="34"/>
      <c r="I444" s="34"/>
      <c r="J444" s="34"/>
      <c r="K444" s="34"/>
      <c r="L444" s="34"/>
      <c r="M444" s="24"/>
    </row>
    <row r="445" spans="1:13" ht="15.75">
      <c r="A445" s="37"/>
      <c r="B445" s="34"/>
      <c r="C445" s="34"/>
      <c r="D445" s="34"/>
      <c r="E445" s="34"/>
      <c r="F445" s="34"/>
      <c r="G445" s="34"/>
      <c r="H445" s="34"/>
      <c r="I445" s="34"/>
      <c r="J445" s="34"/>
      <c r="K445" s="34"/>
      <c r="L445" s="34"/>
      <c r="M445" s="24"/>
    </row>
    <row r="446" spans="1:13" ht="15.75">
      <c r="A446" s="37"/>
      <c r="B446" s="34"/>
      <c r="C446" s="34"/>
      <c r="D446" s="34"/>
      <c r="E446" s="34"/>
      <c r="F446" s="34"/>
      <c r="G446" s="34"/>
      <c r="H446" s="34"/>
      <c r="I446" s="34"/>
      <c r="J446" s="34"/>
      <c r="K446" s="34"/>
      <c r="L446" s="34"/>
      <c r="M446" s="24"/>
    </row>
    <row r="447" spans="1:13" ht="15.75">
      <c r="A447" s="37"/>
      <c r="B447" s="34"/>
      <c r="C447" s="34"/>
      <c r="D447" s="34"/>
      <c r="E447" s="34"/>
      <c r="F447" s="34"/>
      <c r="G447" s="34"/>
      <c r="H447" s="34"/>
      <c r="I447" s="34"/>
      <c r="J447" s="34"/>
      <c r="K447" s="34"/>
      <c r="L447" s="34"/>
      <c r="M447" s="24"/>
    </row>
    <row r="448" spans="1:12" ht="12.75">
      <c r="A448" s="37"/>
      <c r="B448" s="34"/>
      <c r="C448" s="34"/>
      <c r="D448" s="34"/>
      <c r="E448" s="34"/>
      <c r="F448" s="34"/>
      <c r="G448" s="34"/>
      <c r="H448" s="34"/>
      <c r="I448" s="34"/>
      <c r="J448" s="34"/>
      <c r="K448" s="34"/>
      <c r="L448" s="34"/>
    </row>
    <row r="449" spans="1:12" ht="12.75">
      <c r="A449" s="37"/>
      <c r="B449" s="34"/>
      <c r="C449" s="34"/>
      <c r="D449" s="34"/>
      <c r="E449" s="34"/>
      <c r="F449" s="34"/>
      <c r="G449" s="34"/>
      <c r="H449" s="34"/>
      <c r="I449" s="34"/>
      <c r="J449" s="34"/>
      <c r="K449" s="34"/>
      <c r="L449" s="34"/>
    </row>
    <row r="450" spans="1:12" ht="12.75">
      <c r="A450" s="37"/>
      <c r="B450" s="34"/>
      <c r="C450" s="34"/>
      <c r="D450" s="34"/>
      <c r="E450" s="34"/>
      <c r="F450" s="34"/>
      <c r="G450" s="34"/>
      <c r="H450" s="34"/>
      <c r="I450" s="34"/>
      <c r="J450" s="34"/>
      <c r="K450" s="34"/>
      <c r="L450" s="34"/>
    </row>
    <row r="451" spans="1:12" ht="12.75">
      <c r="A451" s="37"/>
      <c r="B451" s="34"/>
      <c r="C451" s="34"/>
      <c r="D451" s="34"/>
      <c r="E451" s="34"/>
      <c r="F451" s="34"/>
      <c r="G451" s="34"/>
      <c r="H451" s="34"/>
      <c r="I451" s="34"/>
      <c r="J451" s="34"/>
      <c r="K451" s="34"/>
      <c r="L451" s="34"/>
    </row>
    <row r="452" spans="1:12" ht="12.75">
      <c r="A452" s="37"/>
      <c r="B452" s="34"/>
      <c r="C452" s="34"/>
      <c r="D452" s="34"/>
      <c r="E452" s="34"/>
      <c r="F452" s="34"/>
      <c r="G452" s="34"/>
      <c r="H452" s="34"/>
      <c r="I452" s="34"/>
      <c r="J452" s="34"/>
      <c r="K452" s="34"/>
      <c r="L452" s="34"/>
    </row>
    <row r="453" spans="1:12" ht="12.75">
      <c r="A453" s="37"/>
      <c r="B453" s="34"/>
      <c r="C453" s="34"/>
      <c r="D453" s="34"/>
      <c r="E453" s="34"/>
      <c r="F453" s="34"/>
      <c r="G453" s="34"/>
      <c r="H453" s="34"/>
      <c r="I453" s="34"/>
      <c r="J453" s="34"/>
      <c r="K453" s="34"/>
      <c r="L453" s="34"/>
    </row>
    <row r="454" spans="1:12" ht="12.75">
      <c r="A454" s="37"/>
      <c r="B454" s="34"/>
      <c r="C454" s="34"/>
      <c r="D454" s="34"/>
      <c r="E454" s="34"/>
      <c r="F454" s="34"/>
      <c r="G454" s="34"/>
      <c r="H454" s="34"/>
      <c r="I454" s="34"/>
      <c r="J454" s="34"/>
      <c r="K454" s="34"/>
      <c r="L454" s="34"/>
    </row>
    <row r="455" spans="1:12" ht="12.75">
      <c r="A455" s="37"/>
      <c r="B455" s="34"/>
      <c r="C455" s="34"/>
      <c r="D455" s="34"/>
      <c r="E455" s="34"/>
      <c r="F455" s="34"/>
      <c r="G455" s="34"/>
      <c r="H455" s="34"/>
      <c r="I455" s="34"/>
      <c r="J455" s="34"/>
      <c r="K455" s="34"/>
      <c r="L455" s="34"/>
    </row>
  </sheetData>
  <sheetProtection/>
  <mergeCells count="35">
    <mergeCell ref="A405:B405"/>
    <mergeCell ref="C405:H405"/>
    <mergeCell ref="I405:L405"/>
    <mergeCell ref="A286:B286"/>
    <mergeCell ref="E299:G299"/>
    <mergeCell ref="I299:K299"/>
    <mergeCell ref="A406:B406"/>
    <mergeCell ref="C406:H406"/>
    <mergeCell ref="I406:L406"/>
    <mergeCell ref="A407:B407"/>
    <mergeCell ref="C407:H407"/>
    <mergeCell ref="I407:L407"/>
    <mergeCell ref="N320:O320"/>
    <mergeCell ref="E11:G11"/>
    <mergeCell ref="I11:K11"/>
    <mergeCell ref="E154:G154"/>
    <mergeCell ref="I154:K154"/>
    <mergeCell ref="A148:M148"/>
    <mergeCell ref="M11:M13"/>
    <mergeCell ref="M154:M156"/>
    <mergeCell ref="M299:M301"/>
    <mergeCell ref="A4:M4"/>
    <mergeCell ref="A5:M5"/>
    <mergeCell ref="A6:M6"/>
    <mergeCell ref="A7:M7"/>
    <mergeCell ref="A8:M8"/>
    <mergeCell ref="A147:M147"/>
    <mergeCell ref="A295:M295"/>
    <mergeCell ref="A296:M296"/>
    <mergeCell ref="A149:M149"/>
    <mergeCell ref="A150:M150"/>
    <mergeCell ref="A151:M151"/>
    <mergeCell ref="A292:M292"/>
    <mergeCell ref="A293:M293"/>
    <mergeCell ref="A294:M294"/>
  </mergeCells>
  <printOptions horizontalCentered="1" verticalCentered="1"/>
  <pageMargins left="0.2362204724409449" right="0.2362204724409449" top="0" bottom="0" header="0" footer="0"/>
  <pageSetup fitToHeight="0" fitToWidth="1" horizontalDpi="600" verticalDpi="600" orientation="portrait" paperSize="9" scale="35" r:id="rId2"/>
  <rowBreaks count="2" manualBreakCount="2">
    <brk id="142" max="12" man="1"/>
    <brk id="287" max="12" man="1"/>
  </rowBreaks>
  <ignoredErrors>
    <ignoredError sqref="F165 H165 J165 J251 C304 C305 J312 E304 I304 C335" formulaRange="1"/>
    <ignoredError sqref="E171:F171 E26:F26 E286 F285 E282:F282 E29:F29 H27:H28 E35:F35 H30:H32 H34 E91:F91 H92 E97:F97 H96 H98:H100 E137:F137 H182 E221:F221 H222 E240:F240 H241 E257:F257 E270:F270 E276:F276 E323:F323 E329:F329 E333:F333 H330 H332 H334 E353:F353 F365 E389:F389 H327:H328 H372:H373 H389:H391 J365 H340:H341 H335 H333:J333 H329:J329 H323:J323 H171:H172 H285:J286 H282:J282 H207:H208 H210:I210 H221:J221 H240:J240 H242:I242 H270:J270 H273:H275 H276:J276 H277:H281 H26:J26 H29:J29 H35:J35 H68:H71 H82:I82 H91:J91 H95:I95 H97:J97 H136 H137:J137 L26:L32 L34:L40 L56:L66 L316:L319 L327:L330 L361:L362 L386:L387 L389:L391 H36:H40 H58:I58 H101:I101 H138:H141 H184:H190 H223:I223 H236:I236 H73:H76 H108 H224:H226 H219:I219 H283:I284 H81 H237:H238 H265:H269 H174:H177 H386:H387 I389:J389 L273:L283 H211:H216 L68:L71 L73:L76 L81:L85 L88:L89 L91:L92 L95:L106 H102:H106 L114:L116 E59 H59:H66 H109:I109 L123:L125 L136:L141 L171:L172 L174:L177 E177 L179:L182 L184:L190 E181 L192:L194 H192:H194 L202:L203 H202:H203 L210:L216 L205 H205 L240:L246 H243 L249:L253 L262:L263 H262:H263 L332:L336 H336 L370 H370 L372:L373 E78 H56:H57 I78 E165 E379:F379 L308:L311 E375 E370:E372 E367 H54 H377:H384 H180:I181 I257:J257 L344:L345 H344:H345 I197 I204:I208 H249:H253 E210 H231:H234 G247:I248 H361:H362 I59 L42:L45 L47:L49 L78:L79 H78:H79 L108:L109 L111 L118:L119 L121 L127:L134 H127:H134 H196:H200 L197:L200 L207:L208 L219 L221:L226 L228:L234 L236:L238 I251 H257:H258 L257:L258 H260:I260 L260 L265:L271 H271 L323:L325 H324:H325 L340:L341 H347:H350 L347:L350 H364:H368 L365:L368 L54 H42:H45 G46:H46 G50:H52 H47:H49 F44 H316:H319 H308:H311 E308:F308 E311:F311 E305:E306 E312:E314 I379:J379 E251:E255 H83:H85 F118 G112:H113 F117:I117 F114 H118:J118 H111 H169:I169 H305:H306 G312:H312 L377:L384 H116:I116 H114:H115 H119 H123:H125 G235:I235 J171 I170:I171 I173:I174 I177:I178 E361:F361 D383:F383 I367 I369:I372 I375 I377:J377 I381:J381 I383:J383 G120:I120 G122:I122 I231 I44 I112:I115 E208 I234 H353:J353 I361:J361 E377:F377 E381:F381 F49 H121:I121 E228 L353:L356 H358:H359 L358:L359 E109 E43:E56 E88 E112:E122 E169 E179 E274 E362:E365 I24 I47:I52 H88:I89 H179 H228:I230 H355 H354:I354 H356 I362:I365 M26 F245 E244:E248 H244:I246 H313:H314 L313:L314 L338 H338:I338 E338 E378 E380 I378 I380 I305 M29 M35 M59 M91 M97 M109 M118 M137 M165 M171 M181 M192 M202 M221 M225 M240 M255 M257 M308 M311 M317 M323 M329 M333 M335 M340 M344 M353 M355 M358 M361 M365 M367 M372 M377:M381 M383 M386 M389" formula="1"/>
    <ignoredError sqref="A15:A21 A22:B22 A33:B33 A87:B87 A117:B117 A126:B126 A173:B173 A174:A182 A183:B183 A184:A190 A191:B191 A204:B204 A247:B247 A248:A253 A264:B264 A331:B331 N331:IV331 A23:A32 A88:A116 A118:A125 A127:A141 A157:A172 A192:A203 A205:A246 A254:B255 A256:A263 A265:A285 A34:A86 A374:A391 A303:A330 A332:A373" numberStoredAsText="1"/>
    <ignoredError sqref="G389:G391 G327:G330 G262:G263 G202:G203 G192:G194 G179:G182 G174:G177 G273:G286 G171:G172 K174:K177 K282:K284 K273:K280 K262:K263 K202:K203 K192:K194 K171:K172 K249:K253 K240:K246 K179:K182 K286 G136:G141 G95:G106 G91:G92 G81:G85 G73:G76 K136:K141 K123:K125 K95:K106 K91:K92 K81:K85 K56:K66 K42:K45 K34:K40 K73:K76 K389:K391 K361:K362 K344:K345 K332:K336 K327:K330 K316:K319 K308:K310 G210:G216 K210:K216 K68:K71 G68:G71 K88:K89 G88:G89 K114:K116 K184:K190 G184:G190 K205 G205 K26:K32 G26:G32 G34:G40 G249:G253 K47:K49 K78:K79 G78:G79 G108:G109 K108:K109 K111 K118:K119 K121 K127:K134 G127:G134 K196:K200 G196:G200 K207:K208 G207:G208 K219 G219 K221:K226 G221:G226 K228:K234 G228:G234 K236:K238 G236:G238 K257:K258 G257:G258 K260 G260 K265:K271 G266:G271 K323:K325 G323:G325 K340:K341 K347:K350 K365:K368 G365:G368 G347:G350 G340:G341 G372:G373 G386:G387 G361:G362 G370 G332:G336 G344:G345 K54 G54 G56:G66 G47:G49 G42:G45 G308:G311 G316:G319 G305:G306 G111 G118:G119 G114:G116 G123:G125 G169 G377:G384 K377:K384 K370 K372:K373 K386:K387 G121 G353:G356 K353:K356 G358:G359 K358:K359 G240:G246 G313:G314 K313:K314 G338 K338 G165 K165 J177 J181 J367 I165 I306 I313 I312 I308:J308" evalError="1" formula="1"/>
    <ignoredError sqref="G302:G304 G170 K169:K170 K281 K285 K302:K306 K311 G321 G388 K14:K21 K22:K25 G41 G33 G14:G25 K166 G166 G375:G376 G371 G363:G364 G331 G346 G337 G342 G352 G369 G385 K388 K369 K375:K376 K371 K385" evalError="1"/>
    <ignoredError sqref="G165 K165" evalError="1" formulaRange="1"/>
    <ignoredError sqref="J177 J181 J367 I165 I306 I313 I312 I308:J308"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Yago Barros Barbosa</cp:lastModifiedBy>
  <cp:lastPrinted>2022-01-25T12:23:41Z</cp:lastPrinted>
  <dcterms:created xsi:type="dcterms:W3CDTF">2005-03-08T15:13:02Z</dcterms:created>
  <dcterms:modified xsi:type="dcterms:W3CDTF">2022-01-28T20:18:21Z</dcterms:modified>
  <cp:category/>
  <cp:version/>
  <cp:contentType/>
  <cp:contentStatus/>
</cp:coreProperties>
</file>