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05" windowWidth="7680" windowHeight="7530" activeTab="0"/>
  </bookViews>
  <sheets>
    <sheet name="Anexo II - 6º BIM" sheetId="1" r:id="rId1"/>
  </sheets>
  <definedNames>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<sst xmlns="http://schemas.openxmlformats.org/spreadsheetml/2006/main" count="712" uniqueCount="284">
  <si>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</si>
  <si>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</si>
  <si>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</si>
  <si>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</si>
  <si>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</si>
  <si>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</si>
  <si>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</si>
  <si>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</si>
  <si>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</si>
  <si>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</si>
  <si>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</si>
  <si>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</si>
  <si>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</si>
  <si>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</si>
  <si>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</si>
  <si>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</si>
  <si>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</si>
  <si>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</si>
  <si>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</si>
  <si>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</si>
  <si>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</si>
  <si>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</si>
  <si>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</si>
  <si>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</si>
  <si>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</si>
  <si>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</si>
  <si>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</si>
  <si>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</si>
  <si>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</si>
  <si>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</si>
  <si>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</si>
  <si>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</si>
  <si>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</si>
  <si>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</si>
  <si>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</si>
  <si>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</si>
  <si>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</si>
  <si>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</si>
  <si>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</si>
  <si>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</si>
  <si>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</si>
  <si>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</si>
  <si>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</si>
  <si>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</si>
  <si>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</si>
  <si>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</si>
  <si>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</si>
  <si>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</si>
  <si>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</si>
  <si>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</si>
  <si>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</si>
  <si>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</si>
  <si>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</si>
  <si>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</si>
  <si>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</si>
  <si>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</si>
  <si>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</si>
  <si>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</si>
  <si>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</si>
  <si>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</si>
  <si>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</si>
  <si>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</si>
  <si>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</si>
  <si>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</si>
  <si>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</si>
  <si>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</si>
  <si>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</si>
  <si>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</si>
  <si>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</si>
  <si>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</si>
  <si>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</si>
  <si>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</si>
  <si>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</si>
  <si>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</si>
  <si>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</si>
  <si>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</si>
  <si>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</si>
  <si>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</si>
  <si>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</si>
  <si>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</si>
  <si>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</si>
  <si>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</si>
  <si>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</si>
  <si>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</si>
  <si>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</si>
  <si>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</si>
  <si>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</si>
  <si>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</si>
  <si>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</si>
  <si>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</si>
  <si>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</si>
  <si>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</si>
  <si>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</si>
  <si>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</si>
  <si>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</si>
  <si>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</si>
  <si>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</si>
  <si>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</si>
  <si>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</si>
  <si>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</si>
  <si>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</si>
  <si>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</si>
  <si>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</si>
  <si>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</si>
  <si>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</si>
  <si>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</si>
  <si>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</si>
  <si>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</si>
  <si>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</si>
  <si>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</si>
  <si>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</si>
  <si>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</si>
  <si>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</si>
  <si>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</si>
  <si>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</si>
  <si>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</si>
  <si>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</si>
  <si>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</si>
  <si>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</si>
  <si>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</si>
  <si>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</si>
  <si>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</si>
  <si>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</si>
  <si>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</si>
  <si>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</si>
  <si>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</si>
  <si>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</si>
  <si>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</si>
  <si>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</si>
  <si>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</si>
  <si>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</si>
  <si>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</si>
  <si>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</si>
  <si>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</si>
  <si>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</si>
  <si>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</si>
  <si>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</si>
  <si>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</si>
  <si>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</si>
  <si>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</si>
  <si>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</si>
  <si>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</si>
  <si>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</si>
  <si>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</si>
  <si>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</si>
  <si>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</si>
  <si>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</si>
  <si>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</si>
  <si>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</si>
  <si>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</si>
  <si>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</si>
  <si>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</si>
  <si>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</si>
  <si>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</si>
  <si>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</si>
  <si>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</si>
  <si>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</si>
  <si>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</si>
  <si>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</si>
  <si>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</si>
  <si>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</si>
  <si>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</si>
  <si>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</si>
  <si>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</si>
  <si>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</si>
  <si>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</si>
  <si>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</si>
  <si>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</si>
  <si>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</si>
  <si>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</si>
  <si>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</si>
  <si>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</si>
  <si>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</si>
  <si>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</si>
  <si>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</si>
  <si>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</si>
  <si>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</si>
  <si>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</si>
  <si>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</si>
  <si>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</si>
  <si>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</si>
  <si>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</si>
  <si>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</si>
  <si>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</si>
  <si>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</si>
  <si>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</si>
  <si>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</si>
  <si>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</si>
  <si>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</si>
  <si>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</si>
  <si>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</si>
  <si>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</si>
  <si>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</si>
  <si>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</si>
  <si>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</si>
  <si>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</si>
  <si>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</si>
  <si>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</si>
  <si>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</si>
  <si>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</si>
  <si>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</si>
  <si>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</si>
  <si>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</si>
  <si>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</si>
  <si>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</si>
  <si>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</si>
  <si>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</si>
  <si>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</si>
  <si>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</si>
  <si>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</si>
  <si>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</si>
  <si>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</si>
  <si>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</si>
  <si>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</si>
  <si>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</si>
  <si>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</si>
  <si>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</si>
  <si>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</si>
  <si>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</si>
  <si>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</si>
  <si>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</si>
  <si>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</si>
  <si>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</si>
  <si>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</si>
  <si>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</si>
  <si>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</si>
  <si>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</si>
  <si>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</si>
  <si>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</si>
  <si>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</si>
  <si>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</si>
  <si>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</si>
  <si>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</si>
  <si>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</si>
  <si>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</si>
  <si>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</si>
  <si>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</si>
  <si>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</si>
  <si>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</si>
  <si>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</si>
  <si>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</si>
  <si>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</si>
  <si>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</si>
  <si>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</si>
  <si>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</si>
  <si>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</si>
  <si>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</si>
  <si>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</si>
  <si>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</si>
  <si>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</si>
  <si>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</si>
  <si>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368</t>
  </si>
  <si>
    <t>Educação Básica</t>
  </si>
  <si>
    <t>752</t>
  </si>
  <si>
    <t>Energia Elétrica</t>
  </si>
  <si>
    <t>Renato Ferreira Costa</t>
  </si>
  <si>
    <t>Coordenador - ID: 4.284.985-3</t>
  </si>
  <si>
    <t>Ronald Marcio G. Rodrigues</t>
  </si>
  <si>
    <t>Superintendente - ID: 1.943.584-3</t>
  </si>
  <si>
    <t>Contadora - CRC-RJ-115174/O-0</t>
  </si>
  <si>
    <t>Subsecretária de Estado - ID: 4.412.059-1</t>
  </si>
  <si>
    <t>Stephanie Guimarães da Silva</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</si>
  <si>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</si>
  <si>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</si>
  <si>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</si>
  <si>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</si>
  <si>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</si>
  <si>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</si>
  <si>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</si>
  <si>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</si>
  <si>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</si>
  <si>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</si>
  <si>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 xml:space="preserve"> Tecnologia da Informação</t>
  </si>
  <si>
    <t>Patrimônio Histórico, Artístico e Arqueológico</t>
  </si>
  <si>
    <t>608</t>
  </si>
  <si>
    <t>609</t>
  </si>
  <si>
    <t>Promoção da Produção Agropecuária</t>
  </si>
  <si>
    <t>Defesa Agropecuária</t>
  </si>
  <si>
    <t>693</t>
  </si>
  <si>
    <t>Comércio Exterior</t>
  </si>
  <si>
    <t xml:space="preserve">          2 - Imprensa Oficial, CEDAE e AGERIO não constam nos Orçamentos Fiscal e da Seguridade Social no exercício de 2020.</t>
  </si>
  <si>
    <t>INSCRITAS EM RESTOS A PAGAR NÃO PROCESSADOS (f)</t>
  </si>
  <si>
    <t>JANEIRO A DEZEMBRO 2020/BIMESTRE NOVEMBRO-DEZEMBRO</t>
  </si>
  <si>
    <t>Emissão: 22/01/2021</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</si>
</sst>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s>
  <fonts count="46">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5"/>
      <name val="Times New Roman"/>
      <family val="1"/>
    </font>
    <font>
      <sz val="11.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10"/>
      <name val="Times New Roman"/>
      <family val="1"/>
    </font>
    <font>
      <b/>
      <sz val="11"/>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5" fillId="32" borderId="0" applyNumberFormat="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118">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174" fontId="2" fillId="0" borderId="0" xfId="60" applyNumberFormat="1" applyFont="1" applyFill="1" applyAlignment="1">
      <alignment/>
    </xf>
    <xf numFmtId="174" fontId="2" fillId="0" borderId="0" xfId="0" applyNumberFormat="1" applyFont="1" applyFill="1" applyAlignment="1">
      <alignment/>
    </xf>
    <xf numFmtId="49" fontId="5" fillId="33" borderId="10" xfId="0" applyNumberFormat="1" applyFont="1" applyFill="1" applyBorder="1" applyAlignment="1">
      <alignment horizontal="center"/>
    </xf>
    <xf numFmtId="0" fontId="5" fillId="33" borderId="11"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49" fontId="5" fillId="33" borderId="16" xfId="0" applyNumberFormat="1" applyFont="1" applyFill="1" applyBorder="1" applyAlignment="1">
      <alignment horizontal="center"/>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49" fontId="4" fillId="34" borderId="0" xfId="0" applyNumberFormat="1" applyFont="1" applyFill="1" applyAlignment="1">
      <alignment horizontal="center"/>
    </xf>
    <xf numFmtId="0" fontId="4" fillId="34" borderId="0" xfId="0" applyFont="1" applyFill="1" applyAlignment="1">
      <alignment horizontal="right"/>
    </xf>
    <xf numFmtId="0" fontId="4" fillId="34" borderId="0" xfId="0" applyFont="1" applyFill="1" applyAlignment="1">
      <alignment/>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4" fillId="34" borderId="0" xfId="0" applyNumberFormat="1" applyFont="1" applyFill="1" applyBorder="1" applyAlignment="1">
      <alignment horizontal="center"/>
    </xf>
    <xf numFmtId="174" fontId="4" fillId="34" borderId="0" xfId="60" applyNumberFormat="1" applyFont="1" applyFill="1" applyBorder="1" applyAlignment="1">
      <alignment/>
    </xf>
    <xf numFmtId="171" fontId="4" fillId="34" borderId="0" xfId="60"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0" applyNumberFormat="1" applyFont="1" applyFill="1" applyBorder="1" applyAlignment="1">
      <alignment/>
    </xf>
    <xf numFmtId="171" fontId="5" fillId="34" borderId="0" xfId="60" applyFont="1" applyFill="1" applyBorder="1" applyAlignment="1">
      <alignment/>
    </xf>
    <xf numFmtId="49" fontId="1" fillId="34" borderId="0" xfId="0" applyNumberFormat="1" applyFont="1" applyFill="1" applyAlignment="1">
      <alignment horizontal="center"/>
    </xf>
    <xf numFmtId="171" fontId="4" fillId="34" borderId="0" xfId="60" applyFont="1" applyFill="1" applyAlignment="1">
      <alignment horizontal="center"/>
    </xf>
    <xf numFmtId="174" fontId="4" fillId="34" borderId="0" xfId="0" applyNumberFormat="1" applyFont="1" applyFill="1" applyBorder="1" applyAlignment="1">
      <alignment/>
    </xf>
    <xf numFmtId="174" fontId="4" fillId="34" borderId="0" xfId="0" applyNumberFormat="1" applyFont="1" applyFill="1" applyAlignment="1">
      <alignment horizontal="right"/>
    </xf>
    <xf numFmtId="49" fontId="2" fillId="34" borderId="0" xfId="0" applyNumberFormat="1" applyFont="1" applyFill="1" applyAlignment="1">
      <alignment horizontal="center"/>
    </xf>
    <xf numFmtId="49" fontId="4" fillId="34" borderId="0" xfId="0" applyNumberFormat="1" applyFont="1" applyFill="1" applyAlignment="1">
      <alignment horizontal="left"/>
    </xf>
    <xf numFmtId="174" fontId="44" fillId="34" borderId="0" xfId="0" applyNumberFormat="1" applyFont="1" applyFill="1" applyAlignment="1">
      <alignment/>
    </xf>
    <xf numFmtId="174" fontId="4" fillId="34" borderId="0" xfId="0" applyNumberFormat="1" applyFont="1" applyFill="1" applyAlignment="1">
      <alignment/>
    </xf>
    <xf numFmtId="49" fontId="6" fillId="34" borderId="0" xfId="0" applyNumberFormat="1" applyFont="1" applyFill="1" applyAlignment="1">
      <alignment horizontal="center"/>
    </xf>
    <xf numFmtId="0" fontId="6" fillId="34" borderId="11" xfId="0" applyFont="1" applyFill="1" applyBorder="1" applyAlignment="1">
      <alignment/>
    </xf>
    <xf numFmtId="171" fontId="6" fillId="34" borderId="14" xfId="60" applyFont="1" applyFill="1" applyBorder="1" applyAlignment="1">
      <alignment horizontal="center"/>
    </xf>
    <xf numFmtId="0" fontId="6" fillId="34" borderId="14" xfId="0" applyFont="1" applyFill="1" applyBorder="1" applyAlignment="1">
      <alignment/>
    </xf>
    <xf numFmtId="171" fontId="6" fillId="34" borderId="14" xfId="60" applyFont="1" applyFill="1" applyBorder="1" applyAlignment="1">
      <alignment/>
    </xf>
    <xf numFmtId="49" fontId="7" fillId="34" borderId="0" xfId="0" applyNumberFormat="1" applyFont="1" applyFill="1" applyAlignment="1">
      <alignment horizontal="center"/>
    </xf>
    <xf numFmtId="0" fontId="7" fillId="34" borderId="14" xfId="0" applyFont="1" applyFill="1" applyBorder="1" applyAlignment="1">
      <alignment/>
    </xf>
    <xf numFmtId="174" fontId="7" fillId="34" borderId="14" xfId="60" applyNumberFormat="1" applyFont="1" applyFill="1" applyBorder="1" applyAlignment="1">
      <alignment/>
    </xf>
    <xf numFmtId="171" fontId="7" fillId="34" borderId="14" xfId="60" applyFont="1" applyFill="1" applyBorder="1" applyAlignment="1">
      <alignment horizontal="center"/>
    </xf>
    <xf numFmtId="171" fontId="7" fillId="34" borderId="14" xfId="60" applyFont="1" applyFill="1" applyBorder="1" applyAlignment="1">
      <alignment/>
    </xf>
    <xf numFmtId="174" fontId="7" fillId="34" borderId="15" xfId="60" applyNumberFormat="1" applyFont="1" applyFill="1" applyBorder="1" applyAlignment="1">
      <alignment/>
    </xf>
    <xf numFmtId="49" fontId="7" fillId="34" borderId="19" xfId="0" applyNumberFormat="1" applyFont="1" applyFill="1" applyBorder="1" applyAlignment="1">
      <alignment horizontal="center"/>
    </xf>
    <xf numFmtId="0" fontId="7" fillId="34" borderId="17" xfId="0" applyFont="1" applyFill="1" applyBorder="1" applyAlignment="1">
      <alignment/>
    </xf>
    <xf numFmtId="171" fontId="7" fillId="34" borderId="17" xfId="60" applyFont="1" applyFill="1" applyBorder="1" applyAlignment="1">
      <alignment/>
    </xf>
    <xf numFmtId="49" fontId="7" fillId="34" borderId="0" xfId="0" applyNumberFormat="1" applyFont="1" applyFill="1" applyBorder="1" applyAlignment="1">
      <alignment horizontal="center"/>
    </xf>
    <xf numFmtId="0" fontId="7" fillId="34" borderId="0" xfId="0" applyFont="1" applyFill="1" applyBorder="1" applyAlignment="1">
      <alignment/>
    </xf>
    <xf numFmtId="174" fontId="7" fillId="34" borderId="0" xfId="60" applyNumberFormat="1" applyFont="1" applyFill="1" applyBorder="1" applyAlignment="1">
      <alignment/>
    </xf>
    <xf numFmtId="171" fontId="7" fillId="34" borderId="0" xfId="60" applyFont="1" applyFill="1" applyBorder="1" applyAlignment="1">
      <alignment/>
    </xf>
    <xf numFmtId="174" fontId="7" fillId="34" borderId="0" xfId="60" applyNumberFormat="1" applyFont="1" applyFill="1" applyBorder="1" applyAlignment="1">
      <alignment horizontal="right"/>
    </xf>
    <xf numFmtId="0" fontId="7" fillId="34" borderId="15" xfId="0" applyFont="1" applyFill="1" applyBorder="1" applyAlignment="1">
      <alignment/>
    </xf>
    <xf numFmtId="171" fontId="7" fillId="34" borderId="15" xfId="60" applyFont="1" applyFill="1" applyBorder="1" applyAlignment="1">
      <alignment/>
    </xf>
    <xf numFmtId="49" fontId="7" fillId="34" borderId="13" xfId="0" applyNumberFormat="1" applyFont="1" applyFill="1" applyBorder="1" applyAlignment="1">
      <alignment horizontal="center"/>
    </xf>
    <xf numFmtId="0" fontId="7" fillId="34" borderId="0" xfId="0" applyFont="1" applyFill="1" applyAlignment="1">
      <alignment/>
    </xf>
    <xf numFmtId="174" fontId="6" fillId="34" borderId="0" xfId="60" applyNumberFormat="1" applyFont="1" applyFill="1" applyBorder="1" applyAlignment="1">
      <alignment/>
    </xf>
    <xf numFmtId="171" fontId="6" fillId="34" borderId="0" xfId="60" applyFont="1" applyFill="1" applyBorder="1" applyAlignment="1">
      <alignment/>
    </xf>
    <xf numFmtId="0" fontId="6" fillId="34" borderId="15" xfId="0" applyFont="1" applyFill="1" applyBorder="1" applyAlignment="1">
      <alignment/>
    </xf>
    <xf numFmtId="171" fontId="6" fillId="34" borderId="11" xfId="60" applyFont="1" applyFill="1" applyBorder="1" applyAlignment="1">
      <alignment/>
    </xf>
    <xf numFmtId="49" fontId="6" fillId="34" borderId="0" xfId="0" applyNumberFormat="1" applyFont="1" applyFill="1" applyBorder="1" applyAlignment="1">
      <alignment horizontal="center"/>
    </xf>
    <xf numFmtId="49" fontId="6" fillId="34" borderId="13" xfId="0" applyNumberFormat="1" applyFont="1" applyFill="1" applyBorder="1" applyAlignment="1">
      <alignment horizontal="center"/>
    </xf>
    <xf numFmtId="0" fontId="6" fillId="34" borderId="0" xfId="0" applyFont="1" applyFill="1" applyBorder="1" applyAlignment="1">
      <alignment/>
    </xf>
    <xf numFmtId="49" fontId="6" fillId="34" borderId="19" xfId="0" applyNumberFormat="1" applyFont="1" applyFill="1" applyBorder="1" applyAlignment="1">
      <alignment horizontal="center"/>
    </xf>
    <xf numFmtId="0" fontId="6" fillId="34" borderId="17" xfId="0" applyFont="1" applyFill="1" applyBorder="1" applyAlignment="1">
      <alignment/>
    </xf>
    <xf numFmtId="171" fontId="6" fillId="34" borderId="17" xfId="60" applyFont="1" applyFill="1" applyBorder="1" applyAlignment="1">
      <alignment/>
    </xf>
    <xf numFmtId="0" fontId="7" fillId="34" borderId="0" xfId="0" applyFont="1" applyFill="1" applyAlignment="1">
      <alignment horizontal="right"/>
    </xf>
    <xf numFmtId="171" fontId="6" fillId="34" borderId="14" xfId="60" applyNumberFormat="1" applyFont="1" applyFill="1" applyBorder="1" applyAlignment="1">
      <alignment/>
    </xf>
    <xf numFmtId="171" fontId="6" fillId="34" borderId="14" xfId="60" applyNumberFormat="1" applyFont="1" applyFill="1" applyBorder="1" applyAlignment="1">
      <alignment horizontal="center"/>
    </xf>
    <xf numFmtId="171" fontId="6" fillId="34" borderId="14" xfId="60" applyNumberFormat="1" applyFont="1" applyFill="1" applyBorder="1" applyAlignment="1">
      <alignment/>
    </xf>
    <xf numFmtId="171" fontId="7" fillId="34" borderId="14" xfId="60" applyNumberFormat="1" applyFont="1" applyFill="1" applyBorder="1" applyAlignment="1">
      <alignment/>
    </xf>
    <xf numFmtId="171" fontId="7" fillId="34" borderId="17" xfId="60" applyNumberFormat="1" applyFont="1" applyFill="1" applyBorder="1" applyAlignment="1">
      <alignment/>
    </xf>
    <xf numFmtId="171" fontId="6" fillId="34" borderId="15" xfId="60" applyNumberFormat="1" applyFont="1" applyFill="1" applyBorder="1" applyAlignment="1">
      <alignment/>
    </xf>
    <xf numFmtId="171" fontId="7" fillId="34" borderId="15" xfId="60" applyNumberFormat="1" applyFont="1" applyFill="1" applyBorder="1" applyAlignment="1">
      <alignment/>
    </xf>
    <xf numFmtId="0" fontId="2" fillId="0" borderId="0" xfId="0" applyFont="1" applyFill="1" applyAlignment="1">
      <alignment/>
    </xf>
    <xf numFmtId="171" fontId="7" fillId="34" borderId="18" xfId="60" applyNumberFormat="1" applyFont="1" applyFill="1" applyBorder="1" applyAlignment="1">
      <alignment/>
    </xf>
    <xf numFmtId="171" fontId="7" fillId="34" borderId="14" xfId="60" applyNumberFormat="1" applyFont="1" applyFill="1" applyBorder="1" applyAlignment="1">
      <alignment wrapText="1"/>
    </xf>
    <xf numFmtId="171" fontId="7" fillId="34" borderId="13" xfId="60" applyNumberFormat="1" applyFont="1" applyFill="1" applyBorder="1" applyAlignment="1">
      <alignment/>
    </xf>
    <xf numFmtId="171" fontId="7" fillId="34" borderId="0" xfId="60" applyNumberFormat="1" applyFont="1" applyFill="1" applyBorder="1" applyAlignment="1" applyProtection="1">
      <alignment/>
      <protection locked="0"/>
    </xf>
    <xf numFmtId="171" fontId="6" fillId="34" borderId="11" xfId="60" applyNumberFormat="1" applyFont="1" applyFill="1" applyBorder="1" applyAlignment="1">
      <alignment/>
    </xf>
    <xf numFmtId="171" fontId="6" fillId="34" borderId="0" xfId="60" applyNumberFormat="1" applyFont="1" applyFill="1" applyBorder="1" applyAlignment="1">
      <alignment/>
    </xf>
    <xf numFmtId="171" fontId="7" fillId="34" borderId="0" xfId="60" applyNumberFormat="1" applyFont="1" applyFill="1" applyBorder="1" applyAlignment="1">
      <alignment/>
    </xf>
    <xf numFmtId="171" fontId="6" fillId="34" borderId="17" xfId="60" applyNumberFormat="1" applyFont="1" applyFill="1" applyBorder="1" applyAlignment="1">
      <alignment/>
    </xf>
    <xf numFmtId="171" fontId="6" fillId="34" borderId="18" xfId="60" applyNumberFormat="1" applyFont="1" applyFill="1" applyBorder="1" applyAlignment="1">
      <alignment/>
    </xf>
    <xf numFmtId="171" fontId="6" fillId="34" borderId="20" xfId="60" applyNumberFormat="1" applyFont="1" applyFill="1" applyBorder="1" applyAlignment="1">
      <alignment/>
    </xf>
    <xf numFmtId="171" fontId="6" fillId="34" borderId="21" xfId="60" applyNumberFormat="1" applyFont="1" applyFill="1" applyBorder="1" applyAlignment="1">
      <alignment/>
    </xf>
    <xf numFmtId="171" fontId="6" fillId="34" borderId="15" xfId="60" applyNumberFormat="1" applyFont="1" applyFill="1" applyBorder="1" applyAlignment="1">
      <alignment horizontal="center"/>
    </xf>
    <xf numFmtId="171" fontId="7" fillId="0" borderId="14" xfId="60" applyNumberFormat="1" applyFont="1" applyFill="1" applyBorder="1" applyAlignment="1">
      <alignment/>
    </xf>
    <xf numFmtId="43" fontId="7" fillId="34" borderId="0" xfId="0" applyNumberFormat="1" applyFont="1" applyFill="1" applyAlignment="1">
      <alignment/>
    </xf>
    <xf numFmtId="43" fontId="3" fillId="34" borderId="0" xfId="0" applyNumberFormat="1" applyFont="1" applyFill="1" applyAlignment="1">
      <alignment/>
    </xf>
    <xf numFmtId="174" fontId="7" fillId="34" borderId="22" xfId="60" applyNumberFormat="1" applyFont="1" applyFill="1" applyBorder="1" applyAlignment="1">
      <alignment horizontal="right"/>
    </xf>
    <xf numFmtId="0" fontId="45" fillId="0" borderId="0" xfId="0" applyFont="1" applyFill="1" applyBorder="1" applyAlignment="1">
      <alignment/>
    </xf>
    <xf numFmtId="0" fontId="7" fillId="34" borderId="22" xfId="0" applyFont="1" applyFill="1" applyBorder="1" applyAlignment="1">
      <alignment horizontal="right"/>
    </xf>
    <xf numFmtId="0" fontId="3" fillId="34" borderId="0" xfId="0" applyFont="1" applyFill="1" applyBorder="1" applyAlignment="1">
      <alignment/>
    </xf>
    <xf numFmtId="43" fontId="3" fillId="0" borderId="0" xfId="0" applyNumberFormat="1" applyFont="1" applyFill="1" applyAlignment="1">
      <alignment/>
    </xf>
    <xf numFmtId="0" fontId="4" fillId="34" borderId="0" xfId="0" applyFont="1" applyFill="1" applyAlignment="1">
      <alignment horizontal="center"/>
    </xf>
    <xf numFmtId="49" fontId="4" fillId="34" borderId="0" xfId="0" applyNumberFormat="1" applyFont="1" applyFill="1" applyAlignment="1">
      <alignment horizontal="center"/>
    </xf>
    <xf numFmtId="49" fontId="6" fillId="34" borderId="23" xfId="0" applyNumberFormat="1" applyFont="1" applyFill="1" applyBorder="1" applyAlignment="1">
      <alignment horizontal="left"/>
    </xf>
    <xf numFmtId="49" fontId="6" fillId="34" borderId="24" xfId="0" applyNumberFormat="1" applyFont="1" applyFill="1" applyBorder="1" applyAlignment="1">
      <alignment horizontal="left"/>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2" xfId="0" applyFont="1" applyFill="1" applyBorder="1" applyAlignment="1">
      <alignment horizontal="center" wrapText="1"/>
    </xf>
    <xf numFmtId="0" fontId="5" fillId="33" borderId="15" xfId="0" applyFont="1" applyFill="1" applyBorder="1" applyAlignment="1">
      <alignment horizontal="center" wrapText="1"/>
    </xf>
    <xf numFmtId="0" fontId="5" fillId="33" borderId="18" xfId="0" applyFont="1" applyFill="1" applyBorder="1" applyAlignment="1">
      <alignment horizontal="center" wrapText="1"/>
    </xf>
    <xf numFmtId="0" fontId="5" fillId="34" borderId="0" xfId="0" applyFont="1" applyFill="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0</xdr:row>
      <xdr:rowOff>57150</xdr:rowOff>
    </xdr:from>
    <xdr:to>
      <xdr:col>5</xdr:col>
      <xdr:colOff>838200</xdr:colOff>
      <xdr:row>2</xdr:row>
      <xdr:rowOff>152400</xdr:rowOff>
    </xdr:to>
    <xdr:pic>
      <xdr:nvPicPr>
        <xdr:cNvPr id="1" name="Picture 1"/>
        <xdr:cNvPicPr preferRelativeResize="1">
          <a:picLocks noChangeAspect="1"/>
        </xdr:cNvPicPr>
      </xdr:nvPicPr>
      <xdr:blipFill>
        <a:blip r:embed="rId1"/>
        <a:stretch>
          <a:fillRect/>
        </a:stretch>
      </xdr:blipFill>
      <xdr:spPr>
        <a:xfrm>
          <a:off x="9105900" y="57150"/>
          <a:ext cx="695325" cy="609600"/>
        </a:xfrm>
        <a:prstGeom prst="rect">
          <a:avLst/>
        </a:prstGeom>
        <a:noFill/>
        <a:ln w="9525" cmpd="sng">
          <a:noFill/>
        </a:ln>
      </xdr:spPr>
    </xdr:pic>
    <xdr:clientData/>
  </xdr:twoCellAnchor>
  <xdr:twoCellAnchor editAs="oneCell">
    <xdr:from>
      <xdr:col>5</xdr:col>
      <xdr:colOff>85725</xdr:colOff>
      <xdr:row>127</xdr:row>
      <xdr:rowOff>66675</xdr:rowOff>
    </xdr:from>
    <xdr:to>
      <xdr:col>5</xdr:col>
      <xdr:colOff>781050</xdr:colOff>
      <xdr:row>130</xdr:row>
      <xdr:rowOff>190500</xdr:rowOff>
    </xdr:to>
    <xdr:pic>
      <xdr:nvPicPr>
        <xdr:cNvPr id="2" name="Picture 1"/>
        <xdr:cNvPicPr preferRelativeResize="1">
          <a:picLocks noChangeAspect="1"/>
        </xdr:cNvPicPr>
      </xdr:nvPicPr>
      <xdr:blipFill>
        <a:blip r:embed="rId1"/>
        <a:stretch>
          <a:fillRect/>
        </a:stretch>
      </xdr:blipFill>
      <xdr:spPr>
        <a:xfrm>
          <a:off x="9048750" y="24879300"/>
          <a:ext cx="695325" cy="695325"/>
        </a:xfrm>
        <a:prstGeom prst="rect">
          <a:avLst/>
        </a:prstGeom>
        <a:noFill/>
        <a:ln w="9525" cmpd="sng">
          <a:noFill/>
        </a:ln>
      </xdr:spPr>
    </xdr:pic>
    <xdr:clientData/>
  </xdr:twoCellAnchor>
  <xdr:twoCellAnchor editAs="oneCell">
    <xdr:from>
      <xdr:col>5</xdr:col>
      <xdr:colOff>200025</xdr:colOff>
      <xdr:row>259</xdr:row>
      <xdr:rowOff>114300</xdr:rowOff>
    </xdr:from>
    <xdr:to>
      <xdr:col>5</xdr:col>
      <xdr:colOff>895350</xdr:colOff>
      <xdr:row>262</xdr:row>
      <xdr:rowOff>152400</xdr:rowOff>
    </xdr:to>
    <xdr:pic>
      <xdr:nvPicPr>
        <xdr:cNvPr id="3" name="Picture 1"/>
        <xdr:cNvPicPr preferRelativeResize="1">
          <a:picLocks noChangeAspect="1"/>
        </xdr:cNvPicPr>
      </xdr:nvPicPr>
      <xdr:blipFill>
        <a:blip r:embed="rId1"/>
        <a:stretch>
          <a:fillRect/>
        </a:stretch>
      </xdr:blipFill>
      <xdr:spPr>
        <a:xfrm>
          <a:off x="9163050" y="50472975"/>
          <a:ext cx="695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2"/>
  <sheetViews>
    <sheetView tabSelected="1" zoomScale="70" zoomScaleNormal="70" zoomScalePageLayoutView="0" workbookViewId="0" topLeftCell="A1">
      <selection activeCell="A358" sqref="A358"/>
    </sheetView>
  </sheetViews>
  <sheetFormatPr defaultColWidth="9.140625" defaultRowHeight="12.75"/>
  <cols>
    <col min="1" max="1" width="5.8515625" style="1" customWidth="1"/>
    <col min="2" max="2" width="62.28125" style="2" customWidth="1"/>
    <col min="3" max="4" width="21.7109375" style="2" bestFit="1" customWidth="1"/>
    <col min="5" max="5" width="22.8515625" style="2" bestFit="1" customWidth="1"/>
    <col min="6" max="6" width="21.7109375" style="2" bestFit="1" customWidth="1"/>
    <col min="7" max="7" width="11.140625" style="2" customWidth="1"/>
    <col min="8" max="8" width="21.7109375" style="2" bestFit="1" customWidth="1"/>
    <col min="9" max="9" width="22.8515625" style="2" bestFit="1" customWidth="1"/>
    <col min="10" max="10" width="21.7109375" style="2" bestFit="1" customWidth="1"/>
    <col min="11" max="11" width="10.421875" style="2" customWidth="1"/>
    <col min="12" max="12" width="21.28125" style="2" customWidth="1"/>
    <col min="13" max="13" width="18.7109375" style="3" customWidth="1"/>
    <col min="14" max="14" width="9.140625" style="2" customWidth="1"/>
    <col min="15" max="15" width="13.140625" style="2" bestFit="1" customWidth="1"/>
    <col min="16" max="16384" width="9.140625" style="2" customWidth="1"/>
  </cols>
  <sheetData>
    <row r="1" spans="1:13" ht="15.75">
      <c r="A1" s="22"/>
      <c r="B1" s="24"/>
      <c r="C1" s="24"/>
      <c r="D1" s="24"/>
      <c r="E1" s="24"/>
      <c r="F1" s="24"/>
      <c r="G1" s="24"/>
      <c r="H1" s="24"/>
      <c r="I1" s="24"/>
      <c r="J1" s="24"/>
      <c r="K1" s="24"/>
      <c r="L1" s="24"/>
      <c r="M1" s="105"/>
    </row>
    <row r="2" spans="1:13" ht="24.75" customHeight="1">
      <c r="A2" s="22"/>
      <c r="B2" s="24"/>
      <c r="C2" s="24"/>
      <c r="D2" s="24"/>
      <c r="E2" s="24"/>
      <c r="F2" s="24"/>
      <c r="G2" s="24"/>
      <c r="H2" s="24"/>
      <c r="I2" s="24"/>
      <c r="J2" s="24"/>
      <c r="K2" s="24"/>
      <c r="L2" s="24"/>
      <c r="M2" s="105"/>
    </row>
    <row r="3" spans="1:12" ht="15.75">
      <c r="A3" s="22"/>
      <c r="B3" s="24"/>
      <c r="C3" s="24"/>
      <c r="D3" s="24"/>
      <c r="E3" s="24"/>
      <c r="F3" s="24"/>
      <c r="G3" s="24"/>
      <c r="H3" s="24"/>
      <c r="I3" s="24"/>
      <c r="J3" s="24"/>
      <c r="K3" s="24"/>
      <c r="L3" s="24"/>
    </row>
    <row r="4" spans="1:13" s="4" customFormat="1" ht="15.75">
      <c r="A4" s="107" t="s">
        <v>14</v>
      </c>
      <c r="B4" s="107"/>
      <c r="C4" s="107"/>
      <c r="D4" s="107"/>
      <c r="E4" s="107"/>
      <c r="F4" s="107"/>
      <c r="G4" s="107"/>
      <c r="H4" s="107"/>
      <c r="I4" s="107"/>
      <c r="J4" s="107"/>
      <c r="K4" s="107"/>
      <c r="L4" s="107"/>
      <c r="M4" s="107"/>
    </row>
    <row r="5" spans="1:13" s="4" customFormat="1" ht="15.75">
      <c r="A5" s="107" t="s">
        <v>0</v>
      </c>
      <c r="B5" s="107"/>
      <c r="C5" s="107"/>
      <c r="D5" s="107"/>
      <c r="E5" s="107"/>
      <c r="F5" s="107"/>
      <c r="G5" s="107"/>
      <c r="H5" s="107"/>
      <c r="I5" s="107"/>
      <c r="J5" s="107"/>
      <c r="K5" s="107"/>
      <c r="L5" s="107"/>
      <c r="M5" s="107"/>
    </row>
    <row r="6" spans="1:13" s="4" customFormat="1" ht="15.75">
      <c r="A6" s="117" t="s">
        <v>1</v>
      </c>
      <c r="B6" s="117"/>
      <c r="C6" s="117"/>
      <c r="D6" s="117"/>
      <c r="E6" s="117"/>
      <c r="F6" s="117"/>
      <c r="G6" s="117"/>
      <c r="H6" s="117"/>
      <c r="I6" s="117"/>
      <c r="J6" s="117"/>
      <c r="K6" s="117"/>
      <c r="L6" s="117"/>
      <c r="M6" s="117"/>
    </row>
    <row r="7" spans="1:13" s="4" customFormat="1" ht="15.75">
      <c r="A7" s="107" t="s">
        <v>2</v>
      </c>
      <c r="B7" s="107"/>
      <c r="C7" s="107"/>
      <c r="D7" s="107"/>
      <c r="E7" s="107"/>
      <c r="F7" s="107"/>
      <c r="G7" s="107"/>
      <c r="H7" s="107"/>
      <c r="I7" s="107"/>
      <c r="J7" s="107"/>
      <c r="K7" s="107"/>
      <c r="L7" s="107"/>
      <c r="M7" s="107"/>
    </row>
    <row r="8" spans="1:13" s="4" customFormat="1" ht="15.75">
      <c r="A8" s="107" t="s">
        <v>282</v>
      </c>
      <c r="B8" s="107"/>
      <c r="C8" s="107"/>
      <c r="D8" s="107"/>
      <c r="E8" s="107"/>
      <c r="F8" s="107"/>
      <c r="G8" s="107"/>
      <c r="H8" s="107"/>
      <c r="I8" s="107"/>
      <c r="J8" s="107"/>
      <c r="K8" s="107"/>
      <c r="L8" s="107"/>
      <c r="M8" s="107"/>
    </row>
    <row r="9" spans="1:13" ht="15.75">
      <c r="A9" s="22"/>
      <c r="B9" s="22"/>
      <c r="C9" s="38"/>
      <c r="D9" s="38"/>
      <c r="E9" s="38"/>
      <c r="F9" s="38"/>
      <c r="G9" s="38"/>
      <c r="H9" s="38"/>
      <c r="I9" s="38"/>
      <c r="J9" s="38"/>
      <c r="K9" s="22"/>
      <c r="L9" s="23"/>
      <c r="M9" s="23" t="s">
        <v>283</v>
      </c>
    </row>
    <row r="10" spans="1:13" s="5" customFormat="1" ht="15.75">
      <c r="A10" s="25" t="s">
        <v>240</v>
      </c>
      <c r="B10" s="24"/>
      <c r="C10" s="39"/>
      <c r="D10" s="39"/>
      <c r="E10" s="39"/>
      <c r="F10" s="39"/>
      <c r="G10" s="39"/>
      <c r="H10" s="39"/>
      <c r="I10" s="39"/>
      <c r="J10" s="39"/>
      <c r="K10" s="40"/>
      <c r="L10" s="28"/>
      <c r="M10" s="28">
        <v>1</v>
      </c>
    </row>
    <row r="11" spans="1:13" s="5" customFormat="1" ht="15.75">
      <c r="A11" s="9"/>
      <c r="B11" s="10"/>
      <c r="C11" s="11" t="s">
        <v>3</v>
      </c>
      <c r="D11" s="11" t="s">
        <v>3</v>
      </c>
      <c r="E11" s="111" t="s">
        <v>4</v>
      </c>
      <c r="F11" s="112"/>
      <c r="G11" s="113"/>
      <c r="H11" s="11" t="s">
        <v>18</v>
      </c>
      <c r="I11" s="111" t="s">
        <v>5</v>
      </c>
      <c r="J11" s="112"/>
      <c r="K11" s="112"/>
      <c r="L11" s="12" t="s">
        <v>18</v>
      </c>
      <c r="M11" s="114" t="s">
        <v>281</v>
      </c>
    </row>
    <row r="12" spans="1:13" s="5" customFormat="1" ht="15.75">
      <c r="A12" s="13" t="s">
        <v>23</v>
      </c>
      <c r="B12" s="14" t="s">
        <v>6</v>
      </c>
      <c r="C12" s="14" t="s">
        <v>7</v>
      </c>
      <c r="D12" s="14" t="s">
        <v>8</v>
      </c>
      <c r="E12" s="14" t="s">
        <v>9</v>
      </c>
      <c r="F12" s="14" t="s">
        <v>10</v>
      </c>
      <c r="G12" s="14" t="s">
        <v>11</v>
      </c>
      <c r="H12" s="15"/>
      <c r="I12" s="14" t="s">
        <v>9</v>
      </c>
      <c r="J12" s="14" t="s">
        <v>10</v>
      </c>
      <c r="K12" s="14" t="s">
        <v>11</v>
      </c>
      <c r="L12" s="16"/>
      <c r="M12" s="115"/>
    </row>
    <row r="13" spans="1:13" s="5" customFormat="1" ht="45.75" customHeight="1">
      <c r="A13" s="17"/>
      <c r="B13" s="18"/>
      <c r="C13" s="19"/>
      <c r="D13" s="19" t="s">
        <v>12</v>
      </c>
      <c r="E13" s="19"/>
      <c r="F13" s="19" t="s">
        <v>13</v>
      </c>
      <c r="G13" s="19" t="s">
        <v>17</v>
      </c>
      <c r="H13" s="20" t="s">
        <v>19</v>
      </c>
      <c r="I13" s="19"/>
      <c r="J13" s="19" t="s">
        <v>20</v>
      </c>
      <c r="K13" s="19" t="s">
        <v>21</v>
      </c>
      <c r="L13" s="21" t="s">
        <v>22</v>
      </c>
      <c r="M13" s="116"/>
    </row>
    <row r="14" spans="1:13" s="5" customFormat="1" ht="15">
      <c r="A14" s="45"/>
      <c r="B14" s="46" t="s">
        <v>15</v>
      </c>
      <c r="C14" s="79">
        <f>C15+C25+C28+C34+C53+C72+C83+C88+C100+C106+C122+C142+C150+C154+C160+C164+C175+C184+C201+C205+C217+C228+C232+C243+C248+C254</f>
        <v>77288871205</v>
      </c>
      <c r="D14" s="80">
        <f>D15+D25+D28+D34+D53+D72+D83+D88+D100+D106+D122+D142+D150+D154+D160+D164+D175+D184+D201+D205+D217+D228+D232+D243+D248+D254</f>
        <v>83677249754.31999</v>
      </c>
      <c r="E14" s="80">
        <f>E15+E25+E28+E34+E53+E72+E83+E88+E100+E106+E122+E142+E150+E154+E160+E164+E175+E184+E201+E205+E217+E228+E232+E243+E248+E254</f>
        <v>11973531152.680006</v>
      </c>
      <c r="F14" s="80">
        <f>F15+F25+F28+F34+F53+F72+F83+F88+F100+F106+F122+F142+F150+F154+F160+F164+F175+F184+F201+F205+F217+F228+F232+F243+F248+F254</f>
        <v>59896635167.829994</v>
      </c>
      <c r="G14" s="47">
        <f aca="true" t="shared" si="0" ref="G14:G46">(F14/$F$258)*100</f>
        <v>92.82619397826541</v>
      </c>
      <c r="H14" s="80">
        <f>D14-F14</f>
        <v>23780614586.489998</v>
      </c>
      <c r="I14" s="80">
        <f>I15+I25+I28+I34+I53+I72+I83+I88+I100+I106+I122+I142+I150+I154+I160+I164+I175+I184+I201+I205+I217+I228+I232+I243+I248+I254</f>
        <v>13898572628.830002</v>
      </c>
      <c r="J14" s="80">
        <f>J15+J25+J28+J34+J53+J72+J83+J88+J100+J106+J122+J142+J150+J154+J160+J164+J175+J184+J201+J205+J217+J228+J232+J243+J248+J254</f>
        <v>59341251886.96999</v>
      </c>
      <c r="K14" s="47">
        <f aca="true" t="shared" si="1" ref="K14:K46">(J14/$J$258)*100</f>
        <v>92.79114583932774</v>
      </c>
      <c r="L14" s="98">
        <f aca="true" t="shared" si="2" ref="L14:L45">D14-J14</f>
        <v>24335997867.35</v>
      </c>
      <c r="M14" s="98">
        <f>M15+M25+M28+M34+M53+M72+M83+M88+M100+M106+M122+M142+M150+M154+M160+M164+M175+M184+M201+M205+M217+M228+M232+M243+M248+M254</f>
        <v>555383280.8599993</v>
      </c>
    </row>
    <row r="15" spans="1:13" s="5" customFormat="1" ht="15">
      <c r="A15" s="45" t="s">
        <v>25</v>
      </c>
      <c r="B15" s="48" t="s">
        <v>24</v>
      </c>
      <c r="C15" s="81">
        <f>SUM(C16:C24)</f>
        <v>1907223677</v>
      </c>
      <c r="D15" s="81">
        <f>SUM(D16:D24)</f>
        <v>1637725721.45</v>
      </c>
      <c r="E15" s="81">
        <f>SUM(E16:E24)</f>
        <v>163989997.26000017</v>
      </c>
      <c r="F15" s="81">
        <f>SUM(F16:F24)</f>
        <v>1328676179.19</v>
      </c>
      <c r="G15" s="47">
        <f t="shared" si="0"/>
        <v>2.059146601444387</v>
      </c>
      <c r="H15" s="81">
        <f>D15-F15</f>
        <v>309049542.26</v>
      </c>
      <c r="I15" s="81">
        <f>SUM(I16:I24)</f>
        <v>249770601.23999998</v>
      </c>
      <c r="J15" s="81">
        <f>SUM(J16:J24)</f>
        <v>1243204497.1599998</v>
      </c>
      <c r="K15" s="49">
        <f t="shared" si="1"/>
        <v>1.9439827461646755</v>
      </c>
      <c r="L15" s="84">
        <f t="shared" si="2"/>
        <v>394521224.2900002</v>
      </c>
      <c r="M15" s="84">
        <f>SUM(M16:M24)</f>
        <v>85471682.03000008</v>
      </c>
    </row>
    <row r="16" spans="1:13" s="5" customFormat="1" ht="15">
      <c r="A16" s="50" t="s">
        <v>26</v>
      </c>
      <c r="B16" s="51" t="s">
        <v>31</v>
      </c>
      <c r="C16" s="82">
        <v>94380097</v>
      </c>
      <c r="D16" s="82">
        <v>144882141.45</v>
      </c>
      <c r="E16" s="82">
        <f>F16-17630359.19</f>
        <v>2124219.539999999</v>
      </c>
      <c r="F16" s="82">
        <v>19754578.73</v>
      </c>
      <c r="G16" s="53">
        <f t="shared" si="0"/>
        <v>0.0306151147224174</v>
      </c>
      <c r="H16" s="82">
        <f aca="true" t="shared" si="3" ref="H16:H126">D16-F16</f>
        <v>125127562.71999998</v>
      </c>
      <c r="I16" s="82">
        <f>J16-4252625.21</f>
        <v>1814099.12</v>
      </c>
      <c r="J16" s="82">
        <v>6066724.33</v>
      </c>
      <c r="K16" s="54">
        <f t="shared" si="1"/>
        <v>0.009486458141198004</v>
      </c>
      <c r="L16" s="85">
        <f t="shared" si="2"/>
        <v>138815417.11999997</v>
      </c>
      <c r="M16" s="85">
        <f aca="true" t="shared" si="4" ref="M16:M24">F16-J16</f>
        <v>13687854.4</v>
      </c>
    </row>
    <row r="17" spans="1:13" s="5" customFormat="1" ht="15">
      <c r="A17" s="50" t="s">
        <v>27</v>
      </c>
      <c r="B17" s="51" t="s">
        <v>32</v>
      </c>
      <c r="C17" s="82">
        <v>7200000</v>
      </c>
      <c r="D17" s="82">
        <v>8524000</v>
      </c>
      <c r="E17" s="82">
        <f>F17-3703896.49</f>
        <v>-42079.94000000041</v>
      </c>
      <c r="F17" s="82">
        <v>3661816.55</v>
      </c>
      <c r="G17" s="54">
        <f t="shared" si="0"/>
        <v>0.005674984787220349</v>
      </c>
      <c r="H17" s="82">
        <f t="shared" si="3"/>
        <v>4862183.45</v>
      </c>
      <c r="I17" s="82">
        <f>J17-2206182.34</f>
        <v>383417.64000000013</v>
      </c>
      <c r="J17" s="82">
        <v>2589599.98</v>
      </c>
      <c r="K17" s="54">
        <f t="shared" si="1"/>
        <v>0.004049323898110462</v>
      </c>
      <c r="L17" s="85">
        <f t="shared" si="2"/>
        <v>5934400.02</v>
      </c>
      <c r="M17" s="85">
        <f t="shared" si="4"/>
        <v>1072216.5699999998</v>
      </c>
    </row>
    <row r="18" spans="1:13" s="5" customFormat="1" ht="15">
      <c r="A18" s="50" t="s">
        <v>28</v>
      </c>
      <c r="B18" s="51" t="s">
        <v>33</v>
      </c>
      <c r="C18" s="82">
        <v>1779795357</v>
      </c>
      <c r="D18" s="82">
        <v>1419795357</v>
      </c>
      <c r="E18" s="82">
        <f>F18-1137173660.09</f>
        <v>121256430.80000019</v>
      </c>
      <c r="F18" s="82">
        <v>1258430090.89</v>
      </c>
      <c r="G18" s="54">
        <f t="shared" si="0"/>
        <v>1.9502811033996426</v>
      </c>
      <c r="H18" s="82">
        <f t="shared" si="3"/>
        <v>161365266.1099999</v>
      </c>
      <c r="I18" s="82">
        <f>J18-982709778.71</f>
        <v>247209760.76</v>
      </c>
      <c r="J18" s="82">
        <v>1229919539.47</v>
      </c>
      <c r="K18" s="54">
        <f t="shared" si="1"/>
        <v>1.9232092301486987</v>
      </c>
      <c r="L18" s="85">
        <f t="shared" si="2"/>
        <v>189875817.52999997</v>
      </c>
      <c r="M18" s="85">
        <f t="shared" si="4"/>
        <v>28510551.420000076</v>
      </c>
    </row>
    <row r="19" spans="1:13" s="5" customFormat="1" ht="15">
      <c r="A19" s="50" t="s">
        <v>50</v>
      </c>
      <c r="B19" s="51" t="s">
        <v>57</v>
      </c>
      <c r="C19" s="82">
        <v>17840000</v>
      </c>
      <c r="D19" s="82">
        <v>17840000</v>
      </c>
      <c r="E19" s="82">
        <f>F19-5364534.38</f>
        <v>612882.3799999999</v>
      </c>
      <c r="F19" s="82">
        <v>5977416.76</v>
      </c>
      <c r="G19" s="54">
        <f t="shared" si="0"/>
        <v>0.00926363970359901</v>
      </c>
      <c r="H19" s="82">
        <f>D19-F19</f>
        <v>11862583.24</v>
      </c>
      <c r="I19" s="82">
        <f>J19-3966537.02</f>
        <v>307376.5500000003</v>
      </c>
      <c r="J19" s="82">
        <v>4273913.57</v>
      </c>
      <c r="K19" s="54">
        <f t="shared" si="1"/>
        <v>0.006683063210967281</v>
      </c>
      <c r="L19" s="85">
        <f t="shared" si="2"/>
        <v>13566086.43</v>
      </c>
      <c r="M19" s="85">
        <f t="shared" si="4"/>
        <v>1703503.1899999995</v>
      </c>
    </row>
    <row r="20" spans="1:13" s="5" customFormat="1" ht="15">
      <c r="A20" s="50" t="s">
        <v>29</v>
      </c>
      <c r="B20" s="51" t="s">
        <v>34</v>
      </c>
      <c r="C20" s="82">
        <v>5800000</v>
      </c>
      <c r="D20" s="82">
        <v>4476000</v>
      </c>
      <c r="E20" s="82">
        <f>F20-792782.18</f>
        <v>38544.47999999998</v>
      </c>
      <c r="F20" s="82">
        <v>831326.66</v>
      </c>
      <c r="G20" s="54">
        <f t="shared" si="0"/>
        <v>0.0012883676951841578</v>
      </c>
      <c r="H20" s="82">
        <f t="shared" si="3"/>
        <v>3644673.34</v>
      </c>
      <c r="I20" s="82">
        <f>J20-296342.14</f>
        <v>54928.57000000001</v>
      </c>
      <c r="J20" s="82">
        <v>351270.71</v>
      </c>
      <c r="K20" s="54">
        <f t="shared" si="1"/>
        <v>0.0005492774527706129</v>
      </c>
      <c r="L20" s="85">
        <f t="shared" si="2"/>
        <v>4124729.29</v>
      </c>
      <c r="M20" s="85">
        <f t="shared" si="4"/>
        <v>480055.95</v>
      </c>
    </row>
    <row r="21" spans="1:13" s="5" customFormat="1" ht="15">
      <c r="A21" s="50" t="s">
        <v>117</v>
      </c>
      <c r="B21" s="51" t="s">
        <v>124</v>
      </c>
      <c r="C21" s="82">
        <v>500000</v>
      </c>
      <c r="D21" s="82">
        <v>500000</v>
      </c>
      <c r="E21" s="82">
        <f>F21-0</f>
        <v>0</v>
      </c>
      <c r="F21" s="82">
        <v>0</v>
      </c>
      <c r="G21" s="54">
        <f t="shared" si="0"/>
        <v>0</v>
      </c>
      <c r="H21" s="82"/>
      <c r="I21" s="82">
        <f>J21-0</f>
        <v>0</v>
      </c>
      <c r="J21" s="82">
        <v>0</v>
      </c>
      <c r="K21" s="54">
        <f t="shared" si="1"/>
        <v>0</v>
      </c>
      <c r="L21" s="85">
        <f t="shared" si="2"/>
        <v>500000</v>
      </c>
      <c r="M21" s="85">
        <f t="shared" si="4"/>
        <v>0</v>
      </c>
    </row>
    <row r="22" spans="1:13" s="5" customFormat="1" ht="15">
      <c r="A22" s="50" t="s">
        <v>53</v>
      </c>
      <c r="B22" s="51" t="s">
        <v>60</v>
      </c>
      <c r="C22" s="82">
        <v>1119223</v>
      </c>
      <c r="D22" s="82">
        <v>1119223</v>
      </c>
      <c r="E22" s="82">
        <v>0</v>
      </c>
      <c r="F22" s="82">
        <v>0</v>
      </c>
      <c r="G22" s="54">
        <f t="shared" si="0"/>
        <v>0</v>
      </c>
      <c r="H22" s="82">
        <f t="shared" si="3"/>
        <v>1119223</v>
      </c>
      <c r="I22" s="82">
        <f>J22-0</f>
        <v>0</v>
      </c>
      <c r="J22" s="82">
        <v>0</v>
      </c>
      <c r="K22" s="54">
        <f t="shared" si="1"/>
        <v>0</v>
      </c>
      <c r="L22" s="85">
        <f t="shared" si="2"/>
        <v>1119223</v>
      </c>
      <c r="M22" s="85">
        <f t="shared" si="4"/>
        <v>0</v>
      </c>
    </row>
    <row r="23" spans="1:13" s="5" customFormat="1" ht="15">
      <c r="A23" s="50" t="s">
        <v>30</v>
      </c>
      <c r="B23" s="51" t="s">
        <v>35</v>
      </c>
      <c r="C23" s="82">
        <v>589000</v>
      </c>
      <c r="D23" s="82">
        <v>589000</v>
      </c>
      <c r="E23" s="82">
        <f>F23-20949.6</f>
        <v>0</v>
      </c>
      <c r="F23" s="82">
        <v>20949.6</v>
      </c>
      <c r="G23" s="54">
        <f t="shared" si="0"/>
        <v>3.24671265408835E-05</v>
      </c>
      <c r="H23" s="82">
        <f t="shared" si="3"/>
        <v>568050.4</v>
      </c>
      <c r="I23" s="82">
        <f>J23-2430.5</f>
        <v>1018.5999999999999</v>
      </c>
      <c r="J23" s="82">
        <v>3449.1</v>
      </c>
      <c r="K23" s="54">
        <f t="shared" si="1"/>
        <v>5.393312930506277E-06</v>
      </c>
      <c r="L23" s="85">
        <f t="shared" si="2"/>
        <v>585550.9</v>
      </c>
      <c r="M23" s="85">
        <f t="shared" si="4"/>
        <v>17500.5</v>
      </c>
    </row>
    <row r="24" spans="1:13" s="5" customFormat="1" ht="15">
      <c r="A24" s="50" t="s">
        <v>160</v>
      </c>
      <c r="B24" s="51" t="s">
        <v>161</v>
      </c>
      <c r="C24" s="82">
        <v>0</v>
      </c>
      <c r="D24" s="82">
        <v>40000000</v>
      </c>
      <c r="E24" s="82">
        <f>F24-0</f>
        <v>40000000</v>
      </c>
      <c r="F24" s="82">
        <v>40000000</v>
      </c>
      <c r="G24" s="54">
        <f t="shared" si="0"/>
        <v>0.06199092400978252</v>
      </c>
      <c r="H24" s="82">
        <f t="shared" si="3"/>
        <v>0</v>
      </c>
      <c r="I24" s="82">
        <f>J24-0</f>
        <v>0</v>
      </c>
      <c r="J24" s="82">
        <v>0</v>
      </c>
      <c r="K24" s="54">
        <f t="shared" si="1"/>
        <v>0</v>
      </c>
      <c r="L24" s="85">
        <f t="shared" si="2"/>
        <v>40000000</v>
      </c>
      <c r="M24" s="85">
        <f t="shared" si="4"/>
        <v>40000000</v>
      </c>
    </row>
    <row r="25" spans="1:13" s="5" customFormat="1" ht="15">
      <c r="A25" s="45" t="s">
        <v>36</v>
      </c>
      <c r="B25" s="48" t="s">
        <v>37</v>
      </c>
      <c r="C25" s="81">
        <f>SUM(C26:C27)</f>
        <v>4734301106</v>
      </c>
      <c r="D25" s="81">
        <f>SUM(D26:D27)</f>
        <v>4278251106</v>
      </c>
      <c r="E25" s="81">
        <f>SUM(E26:E27)</f>
        <v>557199880.5400002</v>
      </c>
      <c r="F25" s="81">
        <f>SUM(F26:F27)</f>
        <v>3926705828.6000004</v>
      </c>
      <c r="G25" s="54">
        <f t="shared" si="0"/>
        <v>6.085503065737818</v>
      </c>
      <c r="H25" s="81">
        <f t="shared" si="3"/>
        <v>351545277.3999996</v>
      </c>
      <c r="I25" s="81">
        <f>SUM(I26:I27)</f>
        <v>750341933.8000001</v>
      </c>
      <c r="J25" s="81">
        <f>SUM(J26:J27)</f>
        <v>3801385855.19</v>
      </c>
      <c r="K25" s="49">
        <f t="shared" si="1"/>
        <v>5.944177752642687</v>
      </c>
      <c r="L25" s="84">
        <f t="shared" si="2"/>
        <v>476865250.80999994</v>
      </c>
      <c r="M25" s="84">
        <f>SUM(M26:M27)</f>
        <v>125319973.41000009</v>
      </c>
    </row>
    <row r="26" spans="1:13" s="5" customFormat="1" ht="15">
      <c r="A26" s="50" t="s">
        <v>38</v>
      </c>
      <c r="B26" s="51" t="s">
        <v>40</v>
      </c>
      <c r="C26" s="82">
        <v>1757499000</v>
      </c>
      <c r="D26" s="82">
        <v>1757449000</v>
      </c>
      <c r="E26" s="82">
        <f>F26-1338913060.34</f>
        <v>79481047.19000006</v>
      </c>
      <c r="F26" s="82">
        <v>1418394107.53</v>
      </c>
      <c r="G26" s="54">
        <f t="shared" si="0"/>
        <v>2.198189033395388</v>
      </c>
      <c r="H26" s="82">
        <f t="shared" si="3"/>
        <v>339054892.47</v>
      </c>
      <c r="I26" s="82">
        <f>J26-1020458504.68</f>
        <v>272615629.43999994</v>
      </c>
      <c r="J26" s="82">
        <v>1293074134.12</v>
      </c>
      <c r="K26" s="54">
        <f t="shared" si="1"/>
        <v>2.0219632506023615</v>
      </c>
      <c r="L26" s="85">
        <f t="shared" si="2"/>
        <v>464374865.8800001</v>
      </c>
      <c r="M26" s="85">
        <f>F26-J26</f>
        <v>125319973.41000009</v>
      </c>
    </row>
    <row r="27" spans="1:13" s="5" customFormat="1" ht="15">
      <c r="A27" s="50" t="s">
        <v>28</v>
      </c>
      <c r="B27" s="51" t="s">
        <v>33</v>
      </c>
      <c r="C27" s="82">
        <v>2976802106</v>
      </c>
      <c r="D27" s="82">
        <v>2520802106</v>
      </c>
      <c r="E27" s="82">
        <f>F27-2030592887.72</f>
        <v>477718833.35000014</v>
      </c>
      <c r="F27" s="82">
        <v>2508311721.07</v>
      </c>
      <c r="G27" s="54">
        <f t="shared" si="0"/>
        <v>3.8873140323424296</v>
      </c>
      <c r="H27" s="82">
        <f t="shared" si="3"/>
        <v>12490384.929999828</v>
      </c>
      <c r="I27" s="82">
        <f>J27-2030585416.71</f>
        <v>477726304.36000013</v>
      </c>
      <c r="J27" s="82">
        <v>2508311721.07</v>
      </c>
      <c r="K27" s="54">
        <f t="shared" si="1"/>
        <v>3.9222145020403256</v>
      </c>
      <c r="L27" s="85">
        <f t="shared" si="2"/>
        <v>12490384.929999828</v>
      </c>
      <c r="M27" s="84">
        <f>F27-J27</f>
        <v>0</v>
      </c>
    </row>
    <row r="28" spans="1:13" s="5" customFormat="1" ht="15">
      <c r="A28" s="45" t="s">
        <v>42</v>
      </c>
      <c r="B28" s="48" t="s">
        <v>43</v>
      </c>
      <c r="C28" s="81">
        <f>SUM(C29:C33)</f>
        <v>2816874709</v>
      </c>
      <c r="D28" s="81">
        <f>SUM(D29:D33)</f>
        <v>3012997608.91</v>
      </c>
      <c r="E28" s="81">
        <f>SUM(E29:E33)</f>
        <v>74061773.53999977</v>
      </c>
      <c r="F28" s="81">
        <f>SUM(F29:F33)</f>
        <v>2464164331.33</v>
      </c>
      <c r="G28" s="49">
        <f t="shared" si="0"/>
        <v>3.818895595277364</v>
      </c>
      <c r="H28" s="81">
        <f t="shared" si="3"/>
        <v>548833277.5799999</v>
      </c>
      <c r="I28" s="81">
        <f>SUM(I29:I33)</f>
        <v>507959126.4</v>
      </c>
      <c r="J28" s="81">
        <f>SUM(J29:J33)</f>
        <v>2372201046.71</v>
      </c>
      <c r="K28" s="49">
        <f t="shared" si="1"/>
        <v>3.709380006083201</v>
      </c>
      <c r="L28" s="84">
        <f t="shared" si="2"/>
        <v>640796562.1999998</v>
      </c>
      <c r="M28" s="84">
        <f>SUM(M29:M33)</f>
        <v>91963284.61999995</v>
      </c>
    </row>
    <row r="29" spans="1:13" s="5" customFormat="1" ht="15">
      <c r="A29" s="50" t="s">
        <v>44</v>
      </c>
      <c r="B29" s="51" t="s">
        <v>45</v>
      </c>
      <c r="C29" s="82">
        <v>59276003</v>
      </c>
      <c r="D29" s="82">
        <v>81749333</v>
      </c>
      <c r="E29" s="82">
        <f>F29-39900275.31</f>
        <v>608485.4799999967</v>
      </c>
      <c r="F29" s="82">
        <v>40508760.79</v>
      </c>
      <c r="G29" s="54">
        <f t="shared" si="0"/>
        <v>0.0627793877965837</v>
      </c>
      <c r="H29" s="82">
        <f t="shared" si="3"/>
        <v>41240572.21</v>
      </c>
      <c r="I29" s="82">
        <f>J29-12207749.32</f>
        <v>3795144.8599999994</v>
      </c>
      <c r="J29" s="82">
        <v>16002894.18</v>
      </c>
      <c r="K29" s="54">
        <f t="shared" si="1"/>
        <v>0.02502351805007615</v>
      </c>
      <c r="L29" s="85">
        <f t="shared" si="2"/>
        <v>65746438.82</v>
      </c>
      <c r="M29" s="85">
        <f>F29-J29</f>
        <v>24505866.61</v>
      </c>
    </row>
    <row r="30" spans="1:13" s="5" customFormat="1" ht="15">
      <c r="A30" s="50" t="s">
        <v>229</v>
      </c>
      <c r="B30" s="51" t="s">
        <v>230</v>
      </c>
      <c r="C30" s="82">
        <v>11547357</v>
      </c>
      <c r="D30" s="82">
        <v>34880178.44</v>
      </c>
      <c r="E30" s="82">
        <f>F30-7100806.86</f>
        <v>454438.45999999996</v>
      </c>
      <c r="F30" s="82">
        <v>7555245.32</v>
      </c>
      <c r="G30" s="54">
        <f t="shared" si="0"/>
        <v>0.011708915962684625</v>
      </c>
      <c r="H30" s="82">
        <f>D30-F30</f>
        <v>27324933.119999997</v>
      </c>
      <c r="I30" s="82">
        <f>J30-4877427.86</f>
        <v>2239061.9399999995</v>
      </c>
      <c r="J30" s="82">
        <v>7116489.8</v>
      </c>
      <c r="K30" s="54">
        <f t="shared" si="1"/>
        <v>0.011127962789758496</v>
      </c>
      <c r="L30" s="85">
        <f t="shared" si="2"/>
        <v>27763688.639999997</v>
      </c>
      <c r="M30" s="85">
        <f>F30-J30</f>
        <v>438755.5200000005</v>
      </c>
    </row>
    <row r="31" spans="1:13" s="5" customFormat="1" ht="15">
      <c r="A31" s="50" t="s">
        <v>28</v>
      </c>
      <c r="B31" s="51" t="s">
        <v>33</v>
      </c>
      <c r="C31" s="82">
        <v>2631046624</v>
      </c>
      <c r="D31" s="82">
        <v>2604516260.56</v>
      </c>
      <c r="E31" s="82">
        <f>F31-2253503476.86</f>
        <v>79329788.98999977</v>
      </c>
      <c r="F31" s="82">
        <v>2332833265.85</v>
      </c>
      <c r="G31" s="54">
        <f t="shared" si="0"/>
        <v>3.615362242770003</v>
      </c>
      <c r="H31" s="82">
        <f t="shared" si="3"/>
        <v>271682994.71000004</v>
      </c>
      <c r="I31" s="82">
        <f>J31-1788962957.25</f>
        <v>480259608.28999996</v>
      </c>
      <c r="J31" s="82">
        <v>2269222565.54</v>
      </c>
      <c r="K31" s="54">
        <f t="shared" si="1"/>
        <v>3.5483538908479053</v>
      </c>
      <c r="L31" s="85">
        <f t="shared" si="2"/>
        <v>335293695.02</v>
      </c>
      <c r="M31" s="85">
        <f>F31-J31</f>
        <v>63610700.30999994</v>
      </c>
    </row>
    <row r="32" spans="1:13" s="5" customFormat="1" ht="15">
      <c r="A32" s="50" t="s">
        <v>50</v>
      </c>
      <c r="B32" s="51" t="s">
        <v>272</v>
      </c>
      <c r="C32" s="82">
        <v>23409725</v>
      </c>
      <c r="D32" s="82">
        <v>94282063.39</v>
      </c>
      <c r="E32" s="82">
        <f>F32-24990861.79</f>
        <v>-6586297.059999999</v>
      </c>
      <c r="F32" s="82">
        <v>18404564.73</v>
      </c>
      <c r="G32" s="54">
        <f t="shared" si="0"/>
        <v>0.028522899340263835</v>
      </c>
      <c r="H32" s="82">
        <f t="shared" si="3"/>
        <v>75877498.66</v>
      </c>
      <c r="I32" s="82">
        <f>J32-5371854.88</f>
        <v>10110483.670000002</v>
      </c>
      <c r="J32" s="82">
        <v>15482338.55</v>
      </c>
      <c r="K32" s="54">
        <f t="shared" si="1"/>
        <v>0.024209531963755998</v>
      </c>
      <c r="L32" s="85">
        <f t="shared" si="2"/>
        <v>78799724.84</v>
      </c>
      <c r="M32" s="85">
        <f>F32-J32</f>
        <v>2922226.1799999997</v>
      </c>
    </row>
    <row r="33" spans="1:13" s="5" customFormat="1" ht="15">
      <c r="A33" s="50" t="s">
        <v>29</v>
      </c>
      <c r="B33" s="51" t="s">
        <v>34</v>
      </c>
      <c r="C33" s="82">
        <v>91595000</v>
      </c>
      <c r="D33" s="82">
        <v>197569773.52</v>
      </c>
      <c r="E33" s="82">
        <f>F33-64607136.97</f>
        <v>255357.6700000018</v>
      </c>
      <c r="F33" s="82">
        <v>64862494.64</v>
      </c>
      <c r="G33" s="54">
        <f t="shared" si="0"/>
        <v>0.10052214940782915</v>
      </c>
      <c r="H33" s="82">
        <f t="shared" si="3"/>
        <v>132707278.88000001</v>
      </c>
      <c r="I33" s="82">
        <f>J33-52821931</f>
        <v>11554827.64</v>
      </c>
      <c r="J33" s="82">
        <v>64376758.64</v>
      </c>
      <c r="K33" s="54">
        <f t="shared" si="1"/>
        <v>0.100665102431705</v>
      </c>
      <c r="L33" s="85">
        <f t="shared" si="2"/>
        <v>133193014.88000001</v>
      </c>
      <c r="M33" s="85">
        <f>F33-J33</f>
        <v>485736</v>
      </c>
    </row>
    <row r="34" spans="1:13" s="5" customFormat="1" ht="15">
      <c r="A34" s="45" t="s">
        <v>46</v>
      </c>
      <c r="B34" s="48" t="s">
        <v>47</v>
      </c>
      <c r="C34" s="81">
        <f>SUM(C35:C52)</f>
        <v>4178702040</v>
      </c>
      <c r="D34" s="81">
        <f>SUM(D35:D52)</f>
        <v>4161633899.08</v>
      </c>
      <c r="E34" s="81">
        <f>SUM(E35:E52)</f>
        <v>849859277.1700001</v>
      </c>
      <c r="F34" s="81">
        <f>SUM(F35:F52)</f>
        <v>2868353618.62</v>
      </c>
      <c r="G34" s="49">
        <f t="shared" si="0"/>
        <v>4.445297280126428</v>
      </c>
      <c r="H34" s="81">
        <f t="shared" si="3"/>
        <v>1293280280.46</v>
      </c>
      <c r="I34" s="81">
        <f>SUM(I35:I52)</f>
        <v>891765591.3600001</v>
      </c>
      <c r="J34" s="81">
        <f>SUM(J35:J52)</f>
        <v>2867866258.5899997</v>
      </c>
      <c r="K34" s="49">
        <f t="shared" si="1"/>
        <v>4.484445268451511</v>
      </c>
      <c r="L34" s="84">
        <f t="shared" si="2"/>
        <v>1293767640.4900002</v>
      </c>
      <c r="M34" s="84">
        <f>SUM(M35:M52)</f>
        <v>487360.0300001049</v>
      </c>
    </row>
    <row r="35" spans="1:13" s="5" customFormat="1" ht="15">
      <c r="A35" s="50" t="s">
        <v>48</v>
      </c>
      <c r="B35" s="51" t="s">
        <v>55</v>
      </c>
      <c r="C35" s="82">
        <v>300000000</v>
      </c>
      <c r="D35" s="82">
        <v>300000000</v>
      </c>
      <c r="E35" s="82">
        <f aca="true" t="shared" si="5" ref="E35:E52">F35-0</f>
        <v>0</v>
      </c>
      <c r="F35" s="82">
        <v>0</v>
      </c>
      <c r="G35" s="54">
        <f t="shared" si="0"/>
        <v>0</v>
      </c>
      <c r="H35" s="82">
        <f t="shared" si="3"/>
        <v>300000000</v>
      </c>
      <c r="I35" s="82">
        <f>J35-0</f>
        <v>0</v>
      </c>
      <c r="J35" s="82">
        <v>0</v>
      </c>
      <c r="K35" s="54">
        <f t="shared" si="1"/>
        <v>0</v>
      </c>
      <c r="L35" s="85">
        <f t="shared" si="2"/>
        <v>300000000</v>
      </c>
      <c r="M35" s="84">
        <f aca="true" t="shared" si="6" ref="M35:M52">F35-J35</f>
        <v>0</v>
      </c>
    </row>
    <row r="36" spans="1:13" s="5" customFormat="1" ht="15">
      <c r="A36" s="50" t="s">
        <v>28</v>
      </c>
      <c r="B36" s="51" t="s">
        <v>33</v>
      </c>
      <c r="C36" s="82">
        <v>2611755757</v>
      </c>
      <c r="D36" s="82">
        <v>2372023699</v>
      </c>
      <c r="E36" s="82">
        <f>F36-1166515692.88</f>
        <v>573529593.56</v>
      </c>
      <c r="F36" s="82">
        <v>1740045286.44</v>
      </c>
      <c r="G36" s="54">
        <f t="shared" si="0"/>
        <v>2.696675378132057</v>
      </c>
      <c r="H36" s="82">
        <f t="shared" si="3"/>
        <v>631978412.56</v>
      </c>
      <c r="I36" s="82">
        <f>J36-1146336375.1</f>
        <v>593312956.95</v>
      </c>
      <c r="J36" s="82">
        <v>1739649332.05</v>
      </c>
      <c r="K36" s="54">
        <f t="shared" si="1"/>
        <v>2.7202670949209575</v>
      </c>
      <c r="L36" s="85">
        <f t="shared" si="2"/>
        <v>632374366.95</v>
      </c>
      <c r="M36" s="85">
        <f t="shared" si="6"/>
        <v>395954.3900001049</v>
      </c>
    </row>
    <row r="37" spans="1:13" s="5" customFormat="1" ht="15">
      <c r="A37" s="50" t="s">
        <v>39</v>
      </c>
      <c r="B37" s="51" t="s">
        <v>41</v>
      </c>
      <c r="C37" s="82">
        <v>120644072</v>
      </c>
      <c r="D37" s="82">
        <v>106601360.85</v>
      </c>
      <c r="E37" s="82">
        <f>F37-46444304.63</f>
        <v>-539993.0600000024</v>
      </c>
      <c r="F37" s="82">
        <v>45904311.57</v>
      </c>
      <c r="G37" s="54">
        <f t="shared" si="0"/>
        <v>0.07114126725643126</v>
      </c>
      <c r="H37" s="82">
        <f t="shared" si="3"/>
        <v>60697049.279999994</v>
      </c>
      <c r="I37" s="82">
        <f>J37-29680181.63</f>
        <v>16224129.940000001</v>
      </c>
      <c r="J37" s="82">
        <v>45904311.57</v>
      </c>
      <c r="K37" s="54">
        <f t="shared" si="1"/>
        <v>0.0717799765609782</v>
      </c>
      <c r="L37" s="85">
        <f t="shared" si="2"/>
        <v>60697049.279999994</v>
      </c>
      <c r="M37" s="85">
        <f t="shared" si="6"/>
        <v>0</v>
      </c>
    </row>
    <row r="38" spans="1:13" s="5" customFormat="1" ht="15">
      <c r="A38" s="50" t="s">
        <v>232</v>
      </c>
      <c r="B38" s="51" t="s">
        <v>231</v>
      </c>
      <c r="C38" s="82">
        <v>1518625</v>
      </c>
      <c r="D38" s="82">
        <v>1518625</v>
      </c>
      <c r="E38" s="82">
        <f>F38-9157.28</f>
        <v>0</v>
      </c>
      <c r="F38" s="82">
        <v>9157.28</v>
      </c>
      <c r="G38" s="54">
        <f t="shared" si="0"/>
        <v>1.4191706215407532E-05</v>
      </c>
      <c r="H38" s="82">
        <f t="shared" si="3"/>
        <v>1509467.72</v>
      </c>
      <c r="I38" s="82">
        <f>J38-9157.28</f>
        <v>0</v>
      </c>
      <c r="J38" s="82">
        <v>9157.28</v>
      </c>
      <c r="K38" s="54">
        <f t="shared" si="1"/>
        <v>1.4319119953688361E-05</v>
      </c>
      <c r="L38" s="85">
        <f t="shared" si="2"/>
        <v>1509467.72</v>
      </c>
      <c r="M38" s="85">
        <f t="shared" si="6"/>
        <v>0</v>
      </c>
    </row>
    <row r="39" spans="1:13" s="5" customFormat="1" ht="15">
      <c r="A39" s="50" t="s">
        <v>49</v>
      </c>
      <c r="B39" s="51" t="s">
        <v>56</v>
      </c>
      <c r="C39" s="82">
        <v>6466977</v>
      </c>
      <c r="D39" s="82">
        <v>6466977</v>
      </c>
      <c r="E39" s="82">
        <f>F39-672246.57</f>
        <v>-185661.08999999997</v>
      </c>
      <c r="F39" s="82">
        <v>486585.48</v>
      </c>
      <c r="G39" s="54">
        <f t="shared" si="0"/>
        <v>0.0007540970878735887</v>
      </c>
      <c r="H39" s="82">
        <f t="shared" si="3"/>
        <v>5980391.52</v>
      </c>
      <c r="I39" s="82">
        <f>J39-336955.55</f>
        <v>149629.93</v>
      </c>
      <c r="J39" s="82">
        <v>486585.48</v>
      </c>
      <c r="K39" s="54">
        <f t="shared" si="1"/>
        <v>0.0007608674034039615</v>
      </c>
      <c r="L39" s="85">
        <f t="shared" si="2"/>
        <v>5980391.52</v>
      </c>
      <c r="M39" s="85">
        <f t="shared" si="6"/>
        <v>0</v>
      </c>
    </row>
    <row r="40" spans="1:13" s="5" customFormat="1" ht="15">
      <c r="A40" s="50" t="s">
        <v>50</v>
      </c>
      <c r="B40" s="51" t="s">
        <v>57</v>
      </c>
      <c r="C40" s="82">
        <v>15441590</v>
      </c>
      <c r="D40" s="82">
        <v>15391590</v>
      </c>
      <c r="E40" s="82">
        <f t="shared" si="5"/>
        <v>0</v>
      </c>
      <c r="F40" s="82">
        <v>0</v>
      </c>
      <c r="G40" s="54">
        <f t="shared" si="0"/>
        <v>0</v>
      </c>
      <c r="H40" s="82">
        <f t="shared" si="3"/>
        <v>15391590</v>
      </c>
      <c r="I40" s="82">
        <f>J40-0</f>
        <v>0</v>
      </c>
      <c r="J40" s="82">
        <v>0</v>
      </c>
      <c r="K40" s="54">
        <f t="shared" si="1"/>
        <v>0</v>
      </c>
      <c r="L40" s="85">
        <f t="shared" si="2"/>
        <v>15391590</v>
      </c>
      <c r="M40" s="85">
        <f t="shared" si="6"/>
        <v>0</v>
      </c>
    </row>
    <row r="41" spans="1:13" s="5" customFormat="1" ht="15">
      <c r="A41" s="50" t="s">
        <v>51</v>
      </c>
      <c r="B41" s="51" t="s">
        <v>58</v>
      </c>
      <c r="C41" s="82">
        <v>0</v>
      </c>
      <c r="D41" s="82">
        <v>0</v>
      </c>
      <c r="E41" s="82">
        <f t="shared" si="5"/>
        <v>0</v>
      </c>
      <c r="F41" s="82">
        <v>0</v>
      </c>
      <c r="G41" s="54">
        <f t="shared" si="0"/>
        <v>0</v>
      </c>
      <c r="H41" s="82">
        <f t="shared" si="3"/>
        <v>0</v>
      </c>
      <c r="I41" s="82">
        <f>J41-0</f>
        <v>0</v>
      </c>
      <c r="J41" s="82">
        <v>0</v>
      </c>
      <c r="K41" s="54">
        <f t="shared" si="1"/>
        <v>0</v>
      </c>
      <c r="L41" s="85">
        <f t="shared" si="2"/>
        <v>0</v>
      </c>
      <c r="M41" s="85">
        <f t="shared" si="6"/>
        <v>0</v>
      </c>
    </row>
    <row r="42" spans="1:13" s="5" customFormat="1" ht="15">
      <c r="A42" s="50" t="s">
        <v>29</v>
      </c>
      <c r="B42" s="51" t="s">
        <v>34</v>
      </c>
      <c r="C42" s="82">
        <v>2082343</v>
      </c>
      <c r="D42" s="82">
        <v>1930176.15</v>
      </c>
      <c r="E42" s="82">
        <f t="shared" si="5"/>
        <v>0</v>
      </c>
      <c r="F42" s="82">
        <v>0</v>
      </c>
      <c r="G42" s="54">
        <f t="shared" si="0"/>
        <v>0</v>
      </c>
      <c r="H42" s="82">
        <f t="shared" si="3"/>
        <v>1930176.15</v>
      </c>
      <c r="I42" s="82">
        <f>J42-0</f>
        <v>0</v>
      </c>
      <c r="J42" s="82">
        <v>0</v>
      </c>
      <c r="K42" s="54">
        <f t="shared" si="1"/>
        <v>0</v>
      </c>
      <c r="L42" s="85">
        <f t="shared" si="2"/>
        <v>1930176.15</v>
      </c>
      <c r="M42" s="85">
        <f t="shared" si="6"/>
        <v>0</v>
      </c>
    </row>
    <row r="43" spans="1:13" s="5" customFormat="1" ht="15">
      <c r="A43" s="50" t="s">
        <v>233</v>
      </c>
      <c r="B43" s="51" t="s">
        <v>234</v>
      </c>
      <c r="C43" s="82">
        <v>0</v>
      </c>
      <c r="D43" s="82">
        <v>0</v>
      </c>
      <c r="E43" s="82">
        <f t="shared" si="5"/>
        <v>0</v>
      </c>
      <c r="F43" s="82">
        <v>0</v>
      </c>
      <c r="G43" s="54">
        <f t="shared" si="0"/>
        <v>0</v>
      </c>
      <c r="H43" s="82">
        <f t="shared" si="3"/>
        <v>0</v>
      </c>
      <c r="I43" s="82">
        <f>J43-0</f>
        <v>0</v>
      </c>
      <c r="J43" s="82">
        <v>0</v>
      </c>
      <c r="K43" s="54">
        <f t="shared" si="1"/>
        <v>0</v>
      </c>
      <c r="L43" s="85">
        <f t="shared" si="2"/>
        <v>0</v>
      </c>
      <c r="M43" s="85">
        <f t="shared" si="6"/>
        <v>0</v>
      </c>
    </row>
    <row r="44" spans="1:13" s="5" customFormat="1" ht="15">
      <c r="A44" s="50" t="s">
        <v>236</v>
      </c>
      <c r="B44" s="51" t="s">
        <v>235</v>
      </c>
      <c r="C44" s="82">
        <v>3386000</v>
      </c>
      <c r="D44" s="82">
        <v>3386000</v>
      </c>
      <c r="E44" s="82">
        <f>F44-674909.5</f>
        <v>106166.66000000003</v>
      </c>
      <c r="F44" s="82">
        <v>781076.16</v>
      </c>
      <c r="G44" s="54">
        <f t="shared" si="0"/>
        <v>0.0012104908220103184</v>
      </c>
      <c r="H44" s="82">
        <f t="shared" si="3"/>
        <v>2604923.84</v>
      </c>
      <c r="I44" s="82">
        <f>J44-524393.27</f>
        <v>165277.25</v>
      </c>
      <c r="J44" s="82">
        <v>689670.52</v>
      </c>
      <c r="K44" s="54">
        <f t="shared" si="1"/>
        <v>0.0010784288461642135</v>
      </c>
      <c r="L44" s="85">
        <f t="shared" si="2"/>
        <v>2696329.48</v>
      </c>
      <c r="M44" s="85">
        <f t="shared" si="6"/>
        <v>91405.64000000001</v>
      </c>
    </row>
    <row r="45" spans="1:13" s="5" customFormat="1" ht="15">
      <c r="A45" s="50" t="s">
        <v>66</v>
      </c>
      <c r="B45" s="51" t="s">
        <v>74</v>
      </c>
      <c r="C45" s="82">
        <v>0</v>
      </c>
      <c r="D45" s="82">
        <v>0</v>
      </c>
      <c r="E45" s="82">
        <f t="shared" si="5"/>
        <v>0</v>
      </c>
      <c r="F45" s="82">
        <v>0</v>
      </c>
      <c r="G45" s="54">
        <f t="shared" si="0"/>
        <v>0</v>
      </c>
      <c r="H45" s="82">
        <f t="shared" si="3"/>
        <v>0</v>
      </c>
      <c r="I45" s="82">
        <f>J45-0</f>
        <v>0</v>
      </c>
      <c r="J45" s="82">
        <v>0</v>
      </c>
      <c r="K45" s="54">
        <f t="shared" si="1"/>
        <v>0</v>
      </c>
      <c r="L45" s="85">
        <f t="shared" si="2"/>
        <v>0</v>
      </c>
      <c r="M45" s="84">
        <f t="shared" si="6"/>
        <v>0</v>
      </c>
    </row>
    <row r="46" spans="1:13" s="5" customFormat="1" ht="15">
      <c r="A46" s="50" t="s">
        <v>53</v>
      </c>
      <c r="B46" s="51" t="s">
        <v>60</v>
      </c>
      <c r="C46" s="82">
        <v>16237788</v>
      </c>
      <c r="D46" s="82">
        <v>16237788</v>
      </c>
      <c r="E46" s="82">
        <f>F46-2330866.61</f>
        <v>-274567.7899999998</v>
      </c>
      <c r="F46" s="82">
        <v>2056298.82</v>
      </c>
      <c r="G46" s="54">
        <f t="shared" si="0"/>
        <v>0.003186796597300637</v>
      </c>
      <c r="H46" s="82">
        <f t="shared" si="3"/>
        <v>14181489.18</v>
      </c>
      <c r="I46" s="82">
        <f>J46-1533629.09</f>
        <v>522669.73</v>
      </c>
      <c r="J46" s="82">
        <v>2056298.82</v>
      </c>
      <c r="K46" s="54">
        <f t="shared" si="1"/>
        <v>0.003215407791856079</v>
      </c>
      <c r="L46" s="85">
        <f aca="true" t="shared" si="7" ref="L46:L77">D46-J46</f>
        <v>14181489.18</v>
      </c>
      <c r="M46" s="84">
        <f t="shared" si="6"/>
        <v>0</v>
      </c>
    </row>
    <row r="47" spans="1:13" s="5" customFormat="1" ht="15">
      <c r="A47" s="50" t="s">
        <v>135</v>
      </c>
      <c r="B47" s="51" t="s">
        <v>136</v>
      </c>
      <c r="C47" s="82">
        <v>5000</v>
      </c>
      <c r="D47" s="82">
        <v>4400</v>
      </c>
      <c r="E47" s="82">
        <f t="shared" si="5"/>
        <v>0</v>
      </c>
      <c r="F47" s="82">
        <v>0</v>
      </c>
      <c r="G47" s="54">
        <f aca="true" t="shared" si="8" ref="G47:G78">(F47/$F$258)*100</f>
        <v>0</v>
      </c>
      <c r="H47" s="82">
        <f t="shared" si="3"/>
        <v>4400</v>
      </c>
      <c r="I47" s="82">
        <f>J47-0</f>
        <v>0</v>
      </c>
      <c r="J47" s="82">
        <v>0</v>
      </c>
      <c r="K47" s="54">
        <f aca="true" t="shared" si="9" ref="K47:K71">(J47/$J$258)*100</f>
        <v>0</v>
      </c>
      <c r="L47" s="85">
        <f t="shared" si="7"/>
        <v>4400</v>
      </c>
      <c r="M47" s="84">
        <f t="shared" si="6"/>
        <v>0</v>
      </c>
    </row>
    <row r="48" spans="1:13" s="5" customFormat="1" ht="15">
      <c r="A48" s="50" t="s">
        <v>97</v>
      </c>
      <c r="B48" s="51" t="s">
        <v>237</v>
      </c>
      <c r="C48" s="82">
        <v>17742110</v>
      </c>
      <c r="D48" s="82">
        <v>18475118.05</v>
      </c>
      <c r="E48" s="82">
        <f>F48-1685778.42</f>
        <v>492766.4500000002</v>
      </c>
      <c r="F48" s="82">
        <v>2178544.87</v>
      </c>
      <c r="G48" s="54">
        <f t="shared" si="8"/>
        <v>0.0033762502372017885</v>
      </c>
      <c r="H48" s="82">
        <f t="shared" si="3"/>
        <v>16296573.18</v>
      </c>
      <c r="I48" s="82">
        <f>J48-1634657.13</f>
        <v>543887.7400000002</v>
      </c>
      <c r="J48" s="82">
        <v>2178544.87</v>
      </c>
      <c r="K48" s="54">
        <f t="shared" si="9"/>
        <v>0.003406562354544408</v>
      </c>
      <c r="L48" s="85">
        <f t="shared" si="7"/>
        <v>16296573.18</v>
      </c>
      <c r="M48" s="84">
        <f t="shared" si="6"/>
        <v>0</v>
      </c>
    </row>
    <row r="49" spans="1:13" s="5" customFormat="1" ht="15">
      <c r="A49" s="50" t="s">
        <v>191</v>
      </c>
      <c r="B49" s="51" t="s">
        <v>192</v>
      </c>
      <c r="C49" s="82">
        <v>0</v>
      </c>
      <c r="D49" s="82">
        <v>0</v>
      </c>
      <c r="E49" s="82">
        <f t="shared" si="5"/>
        <v>0</v>
      </c>
      <c r="F49" s="82">
        <v>0</v>
      </c>
      <c r="G49" s="54">
        <f t="shared" si="8"/>
        <v>0</v>
      </c>
      <c r="H49" s="82">
        <f t="shared" si="3"/>
        <v>0</v>
      </c>
      <c r="I49" s="82">
        <f>J49-0</f>
        <v>0</v>
      </c>
      <c r="J49" s="82">
        <v>0</v>
      </c>
      <c r="K49" s="54">
        <f t="shared" si="9"/>
        <v>0</v>
      </c>
      <c r="L49" s="85">
        <f t="shared" si="7"/>
        <v>0</v>
      </c>
      <c r="M49" s="84">
        <f t="shared" si="6"/>
        <v>0</v>
      </c>
    </row>
    <row r="50" spans="1:13" s="5" customFormat="1" ht="15">
      <c r="A50" s="50" t="s">
        <v>54</v>
      </c>
      <c r="B50" s="51" t="s">
        <v>61</v>
      </c>
      <c r="C50" s="82">
        <v>1038369294</v>
      </c>
      <c r="D50" s="82">
        <v>1217678793.49</v>
      </c>
      <c r="E50" s="82">
        <f>F50-789526831.78</f>
        <v>265307850.30000007</v>
      </c>
      <c r="F50" s="82">
        <v>1054834682.08</v>
      </c>
      <c r="G50" s="54">
        <f t="shared" si="8"/>
        <v>1.6347544154926095</v>
      </c>
      <c r="H50" s="82">
        <f t="shared" si="3"/>
        <v>162844111.40999997</v>
      </c>
      <c r="I50" s="82">
        <f>J50-789526831.78</f>
        <v>265307850.30000007</v>
      </c>
      <c r="J50" s="82">
        <v>1054834682.08</v>
      </c>
      <c r="K50" s="54">
        <f t="shared" si="9"/>
        <v>1.6494313097354507</v>
      </c>
      <c r="L50" s="85">
        <f t="shared" si="7"/>
        <v>162844111.40999997</v>
      </c>
      <c r="M50" s="84">
        <f t="shared" si="6"/>
        <v>0</v>
      </c>
    </row>
    <row r="51" spans="1:13" s="5" customFormat="1" ht="15">
      <c r="A51" s="50" t="s">
        <v>185</v>
      </c>
      <c r="B51" s="51" t="s">
        <v>186</v>
      </c>
      <c r="C51" s="82">
        <v>45052484</v>
      </c>
      <c r="D51" s="82">
        <v>101919371.54</v>
      </c>
      <c r="E51" s="82">
        <f>F51-10634553.78</f>
        <v>11423122.140000002</v>
      </c>
      <c r="F51" s="82">
        <v>22057675.92</v>
      </c>
      <c r="G51" s="54">
        <f t="shared" si="8"/>
        <v>0.03418439279472825</v>
      </c>
      <c r="H51" s="82">
        <f t="shared" si="3"/>
        <v>79861695.62</v>
      </c>
      <c r="I51" s="82">
        <f>J51-6518486.4</f>
        <v>15539189.520000001</v>
      </c>
      <c r="J51" s="82">
        <v>22057675.92</v>
      </c>
      <c r="K51" s="54">
        <f t="shared" si="9"/>
        <v>0.03449130171820271</v>
      </c>
      <c r="L51" s="85">
        <f t="shared" si="7"/>
        <v>79861695.62</v>
      </c>
      <c r="M51" s="84">
        <f t="shared" si="6"/>
        <v>0</v>
      </c>
    </row>
    <row r="52" spans="1:13" s="5" customFormat="1" ht="15">
      <c r="A52" s="50" t="s">
        <v>209</v>
      </c>
      <c r="B52" s="51" t="s">
        <v>210</v>
      </c>
      <c r="C52" s="82">
        <v>0</v>
      </c>
      <c r="D52" s="82">
        <v>0</v>
      </c>
      <c r="E52" s="82">
        <f t="shared" si="5"/>
        <v>0</v>
      </c>
      <c r="F52" s="82">
        <v>0</v>
      </c>
      <c r="G52" s="54">
        <f t="shared" si="8"/>
        <v>0</v>
      </c>
      <c r="H52" s="82">
        <f>D52-F52</f>
        <v>0</v>
      </c>
      <c r="I52" s="82">
        <f>J52-0</f>
        <v>0</v>
      </c>
      <c r="J52" s="82">
        <v>0</v>
      </c>
      <c r="K52" s="54">
        <f t="shared" si="9"/>
        <v>0</v>
      </c>
      <c r="L52" s="85">
        <f t="shared" si="7"/>
        <v>0</v>
      </c>
      <c r="M52" s="84">
        <f t="shared" si="6"/>
        <v>0</v>
      </c>
    </row>
    <row r="53" spans="1:13" s="5" customFormat="1" ht="15">
      <c r="A53" s="45" t="s">
        <v>63</v>
      </c>
      <c r="B53" s="48" t="s">
        <v>62</v>
      </c>
      <c r="C53" s="81">
        <f>SUM(C54:C71)</f>
        <v>11036127000</v>
      </c>
      <c r="D53" s="81">
        <f>SUM(D54:D71)</f>
        <v>11663091881.609997</v>
      </c>
      <c r="E53" s="81">
        <f>SUM(E54:E71)</f>
        <v>1732336771.6199994</v>
      </c>
      <c r="F53" s="81">
        <f>SUM(F54:F71)</f>
        <v>9450563276.46</v>
      </c>
      <c r="G53" s="49">
        <f t="shared" si="8"/>
        <v>14.646228748016826</v>
      </c>
      <c r="H53" s="81">
        <f t="shared" si="3"/>
        <v>2212528605.1499977</v>
      </c>
      <c r="I53" s="81">
        <f>SUM(I54:I71)</f>
        <v>1884975306.0400002</v>
      </c>
      <c r="J53" s="81">
        <f>SUM(J54:J71)</f>
        <v>9317466849.679998</v>
      </c>
      <c r="K53" s="49">
        <f t="shared" si="9"/>
        <v>14.569602052692796</v>
      </c>
      <c r="L53" s="84">
        <f t="shared" si="7"/>
        <v>2345625031.9299984</v>
      </c>
      <c r="M53" s="84">
        <f>SUM(M54:M71)</f>
        <v>133096426.7799989</v>
      </c>
    </row>
    <row r="54" spans="1:13" s="5" customFormat="1" ht="15">
      <c r="A54" s="50" t="s">
        <v>28</v>
      </c>
      <c r="B54" s="51" t="s">
        <v>33</v>
      </c>
      <c r="C54" s="82">
        <v>9488871851</v>
      </c>
      <c r="D54" s="82">
        <v>9856903044.52</v>
      </c>
      <c r="E54" s="82">
        <f>F54-7010029204.9</f>
        <v>1586317465.5699997</v>
      </c>
      <c r="F54" s="82">
        <v>8596346670.47</v>
      </c>
      <c r="G54" s="54">
        <f t="shared" si="8"/>
        <v>13.322386830271318</v>
      </c>
      <c r="H54" s="82">
        <f t="shared" si="3"/>
        <v>1260556374.0500011</v>
      </c>
      <c r="I54" s="82">
        <f>J54-6876688239.43</f>
        <v>1678968332.42</v>
      </c>
      <c r="J54" s="82">
        <v>8555656571.85</v>
      </c>
      <c r="K54" s="54">
        <f t="shared" si="9"/>
        <v>13.37836920296008</v>
      </c>
      <c r="L54" s="85">
        <f t="shared" si="7"/>
        <v>1301246472.67</v>
      </c>
      <c r="M54" s="85">
        <f aca="true" t="shared" si="10" ref="M54:M71">F54-J54</f>
        <v>40690098.61999893</v>
      </c>
    </row>
    <row r="55" spans="1:13" s="5" customFormat="1" ht="15">
      <c r="A55" s="50" t="s">
        <v>49</v>
      </c>
      <c r="B55" s="51" t="s">
        <v>56</v>
      </c>
      <c r="C55" s="82">
        <v>252209609</v>
      </c>
      <c r="D55" s="82">
        <v>290707617.09</v>
      </c>
      <c r="E55" s="82">
        <f>F55-87381741.63</f>
        <v>14485195.980000004</v>
      </c>
      <c r="F55" s="82">
        <v>101866937.61</v>
      </c>
      <c r="G55" s="54">
        <f t="shared" si="8"/>
        <v>0.15787063971226917</v>
      </c>
      <c r="H55" s="82">
        <f t="shared" si="3"/>
        <v>188840679.47999996</v>
      </c>
      <c r="I55" s="82">
        <f>J55-80766991.76</f>
        <v>15165031.280000001</v>
      </c>
      <c r="J55" s="82">
        <v>95932023.04</v>
      </c>
      <c r="K55" s="54">
        <f t="shared" si="9"/>
        <v>0.15000766005951066</v>
      </c>
      <c r="L55" s="85">
        <f t="shared" si="7"/>
        <v>194775594.04999995</v>
      </c>
      <c r="M55" s="85">
        <f t="shared" si="10"/>
        <v>5934914.569999993</v>
      </c>
    </row>
    <row r="56" spans="1:13" s="5" customFormat="1" ht="15">
      <c r="A56" s="50" t="s">
        <v>50</v>
      </c>
      <c r="B56" s="51" t="s">
        <v>57</v>
      </c>
      <c r="C56" s="82">
        <v>68675307</v>
      </c>
      <c r="D56" s="82">
        <v>59341084</v>
      </c>
      <c r="E56" s="82">
        <f>F56-31593167.18</f>
        <v>9414456.75</v>
      </c>
      <c r="F56" s="82">
        <v>41007623.93</v>
      </c>
      <c r="G56" s="54">
        <f t="shared" si="8"/>
        <v>0.06355251247165923</v>
      </c>
      <c r="H56" s="82">
        <f>D56-F56</f>
        <v>18333460.07</v>
      </c>
      <c r="I56" s="82">
        <f>J56-27126038.99</f>
        <v>13637290.48</v>
      </c>
      <c r="J56" s="82">
        <v>40763329.47</v>
      </c>
      <c r="K56" s="54">
        <f t="shared" si="9"/>
        <v>0.06374108953670192</v>
      </c>
      <c r="L56" s="85">
        <f t="shared" si="7"/>
        <v>18577754.53</v>
      </c>
      <c r="M56" s="85">
        <f t="shared" si="10"/>
        <v>244294.4600000009</v>
      </c>
    </row>
    <row r="57" spans="1:13" s="5" customFormat="1" ht="15">
      <c r="A57" s="50" t="s">
        <v>29</v>
      </c>
      <c r="B57" s="51" t="s">
        <v>34</v>
      </c>
      <c r="C57" s="82">
        <v>8611360</v>
      </c>
      <c r="D57" s="82">
        <v>8508412</v>
      </c>
      <c r="E57" s="82">
        <f>F57-0</f>
        <v>0</v>
      </c>
      <c r="F57" s="82">
        <v>0</v>
      </c>
      <c r="G57" s="54">
        <f t="shared" si="8"/>
        <v>0</v>
      </c>
      <c r="H57" s="82">
        <f t="shared" si="3"/>
        <v>8508412</v>
      </c>
      <c r="I57" s="82">
        <f>J57-0</f>
        <v>0</v>
      </c>
      <c r="J57" s="82">
        <v>0</v>
      </c>
      <c r="K57" s="54">
        <f t="shared" si="9"/>
        <v>0</v>
      </c>
      <c r="L57" s="85">
        <f t="shared" si="7"/>
        <v>8508412</v>
      </c>
      <c r="M57" s="85">
        <f t="shared" si="10"/>
        <v>0</v>
      </c>
    </row>
    <row r="58" spans="1:13" s="5" customFormat="1" ht="15">
      <c r="A58" s="50" t="s">
        <v>64</v>
      </c>
      <c r="B58" s="51" t="s">
        <v>72</v>
      </c>
      <c r="C58" s="82">
        <v>407673716</v>
      </c>
      <c r="D58" s="82">
        <v>519204523.13</v>
      </c>
      <c r="E58" s="82">
        <f>F58-277762571.46</f>
        <v>43663931.25</v>
      </c>
      <c r="F58" s="82">
        <v>321426502.71</v>
      </c>
      <c r="G58" s="54">
        <f t="shared" si="8"/>
        <v>0.49813814760564407</v>
      </c>
      <c r="H58" s="82">
        <f t="shared" si="3"/>
        <v>197778020.42000002</v>
      </c>
      <c r="I58" s="82">
        <f>J58-217874731.49</f>
        <v>91584490.50999999</v>
      </c>
      <c r="J58" s="82">
        <v>309459222</v>
      </c>
      <c r="K58" s="54">
        <f t="shared" si="9"/>
        <v>0.4838973713365843</v>
      </c>
      <c r="L58" s="85">
        <f t="shared" si="7"/>
        <v>209745301.13</v>
      </c>
      <c r="M58" s="85">
        <f t="shared" si="10"/>
        <v>11967280.709999979</v>
      </c>
    </row>
    <row r="59" spans="1:13" s="5" customFormat="1" ht="15">
      <c r="A59" s="50" t="s">
        <v>65</v>
      </c>
      <c r="B59" s="51" t="s">
        <v>73</v>
      </c>
      <c r="C59" s="82">
        <v>95446747</v>
      </c>
      <c r="D59" s="82">
        <v>151332669.16</v>
      </c>
      <c r="E59" s="82">
        <f>F59-78841181.18</f>
        <v>47672873.58</v>
      </c>
      <c r="F59" s="82">
        <v>126514054.76</v>
      </c>
      <c r="G59" s="54">
        <f t="shared" si="8"/>
        <v>0.19606807886991562</v>
      </c>
      <c r="H59" s="82">
        <f t="shared" si="3"/>
        <v>24818614.39999999</v>
      </c>
      <c r="I59" s="82">
        <f>J59-57237746.58</f>
        <v>30478348.35000001</v>
      </c>
      <c r="J59" s="82">
        <v>87716094.93</v>
      </c>
      <c r="K59" s="54">
        <f t="shared" si="9"/>
        <v>0.1371605198456076</v>
      </c>
      <c r="L59" s="85">
        <f t="shared" si="7"/>
        <v>63616574.22999999</v>
      </c>
      <c r="M59" s="85">
        <f t="shared" si="10"/>
        <v>38797959.83</v>
      </c>
    </row>
    <row r="60" spans="1:13" s="5" customFormat="1" ht="15">
      <c r="A60" s="50" t="s">
        <v>66</v>
      </c>
      <c r="B60" s="51" t="s">
        <v>74</v>
      </c>
      <c r="C60" s="82">
        <v>0</v>
      </c>
      <c r="D60" s="82">
        <v>0</v>
      </c>
      <c r="E60" s="82">
        <f>F60-0</f>
        <v>0</v>
      </c>
      <c r="F60" s="82">
        <v>0</v>
      </c>
      <c r="G60" s="54">
        <f t="shared" si="8"/>
        <v>0</v>
      </c>
      <c r="H60" s="82">
        <f t="shared" si="3"/>
        <v>0</v>
      </c>
      <c r="I60" s="82">
        <f>J60-0</f>
        <v>0</v>
      </c>
      <c r="J60" s="82">
        <v>0</v>
      </c>
      <c r="K60" s="54">
        <f t="shared" si="9"/>
        <v>0</v>
      </c>
      <c r="L60" s="85">
        <f t="shared" si="7"/>
        <v>0</v>
      </c>
      <c r="M60" s="85">
        <f t="shared" si="10"/>
        <v>0</v>
      </c>
    </row>
    <row r="61" spans="1:13" s="5" customFormat="1" ht="15">
      <c r="A61" s="50" t="s">
        <v>82</v>
      </c>
      <c r="B61" s="51" t="s">
        <v>84</v>
      </c>
      <c r="C61" s="82">
        <v>30150000</v>
      </c>
      <c r="D61" s="82">
        <v>15150000</v>
      </c>
      <c r="E61" s="82">
        <f>F61-14972254.78</f>
        <v>-760677.9799999986</v>
      </c>
      <c r="F61" s="82">
        <v>14211576.8</v>
      </c>
      <c r="G61" s="54">
        <f t="shared" si="8"/>
        <v>0.022024719436699706</v>
      </c>
      <c r="H61" s="82">
        <f t="shared" si="3"/>
        <v>938423.1999999993</v>
      </c>
      <c r="I61" s="82">
        <f>J61-14215059.9</f>
        <v>-3483.0999999996275</v>
      </c>
      <c r="J61" s="82">
        <v>14211576.8</v>
      </c>
      <c r="K61" s="54">
        <f t="shared" si="9"/>
        <v>0.022222458298780272</v>
      </c>
      <c r="L61" s="85">
        <f t="shared" si="7"/>
        <v>938423.1999999993</v>
      </c>
      <c r="M61" s="85">
        <f t="shared" si="10"/>
        <v>0</v>
      </c>
    </row>
    <row r="62" spans="1:13" s="5" customFormat="1" ht="15">
      <c r="A62" s="50" t="s">
        <v>67</v>
      </c>
      <c r="B62" s="51" t="s">
        <v>75</v>
      </c>
      <c r="C62" s="82">
        <v>169513800</v>
      </c>
      <c r="D62" s="82">
        <v>375091499.76</v>
      </c>
      <c r="E62" s="82">
        <f>F62-78790349.47</f>
        <v>20153829.78</v>
      </c>
      <c r="F62" s="82">
        <v>98944179.25</v>
      </c>
      <c r="G62" s="54">
        <f t="shared" si="8"/>
        <v>0.15334102742742625</v>
      </c>
      <c r="H62" s="82">
        <f t="shared" si="3"/>
        <v>276147320.51</v>
      </c>
      <c r="I62" s="82">
        <f>J62-44685293.34</f>
        <v>21402270.939999998</v>
      </c>
      <c r="J62" s="82">
        <v>66087564.28</v>
      </c>
      <c r="K62" s="54">
        <f t="shared" si="9"/>
        <v>0.10334026701950909</v>
      </c>
      <c r="L62" s="85">
        <f t="shared" si="7"/>
        <v>309003935.48</v>
      </c>
      <c r="M62" s="85">
        <f t="shared" si="10"/>
        <v>32856614.97</v>
      </c>
    </row>
    <row r="63" spans="1:13" s="5" customFormat="1" ht="15">
      <c r="A63" s="50" t="s">
        <v>68</v>
      </c>
      <c r="B63" s="51" t="s">
        <v>76</v>
      </c>
      <c r="C63" s="82">
        <v>176019895</v>
      </c>
      <c r="D63" s="82">
        <v>33847474.13</v>
      </c>
      <c r="E63" s="82">
        <f>F63-33513031.16</f>
        <v>0</v>
      </c>
      <c r="F63" s="82">
        <v>33513031.16</v>
      </c>
      <c r="G63" s="54">
        <f t="shared" si="8"/>
        <v>0.05193759419942584</v>
      </c>
      <c r="H63" s="82">
        <f t="shared" si="3"/>
        <v>334442.97000000253</v>
      </c>
      <c r="I63" s="82">
        <f>J63-33513031.16</f>
        <v>0</v>
      </c>
      <c r="J63" s="82">
        <v>33513031.16</v>
      </c>
      <c r="K63" s="54">
        <f t="shared" si="9"/>
        <v>0.052403892115533854</v>
      </c>
      <c r="L63" s="85">
        <f t="shared" si="7"/>
        <v>334442.97000000253</v>
      </c>
      <c r="M63" s="85">
        <f t="shared" si="10"/>
        <v>0</v>
      </c>
    </row>
    <row r="64" spans="1:13" s="5" customFormat="1" ht="15">
      <c r="A64" s="50" t="s">
        <v>238</v>
      </c>
      <c r="B64" s="51" t="s">
        <v>239</v>
      </c>
      <c r="C64" s="82">
        <v>42739047</v>
      </c>
      <c r="D64" s="82">
        <v>42022708.47</v>
      </c>
      <c r="E64" s="82">
        <f>F64-11326595.41</f>
        <v>4772894.32</v>
      </c>
      <c r="F64" s="82">
        <v>16099489.73</v>
      </c>
      <c r="G64" s="54">
        <f t="shared" si="8"/>
        <v>0.0249505561112176</v>
      </c>
      <c r="H64" s="82">
        <f>D64-F64</f>
        <v>25923218.74</v>
      </c>
      <c r="I64" s="82">
        <f>J64-10957584.74</f>
        <v>5141904.99</v>
      </c>
      <c r="J64" s="82">
        <v>16099489.73</v>
      </c>
      <c r="K64" s="54">
        <f t="shared" si="9"/>
        <v>0.025174563258636172</v>
      </c>
      <c r="L64" s="85">
        <f t="shared" si="7"/>
        <v>25923218.74</v>
      </c>
      <c r="M64" s="85">
        <f t="shared" si="10"/>
        <v>0</v>
      </c>
    </row>
    <row r="65" spans="1:13" s="5" customFormat="1" ht="15">
      <c r="A65" s="50" t="s">
        <v>106</v>
      </c>
      <c r="B65" s="51" t="s">
        <v>108</v>
      </c>
      <c r="C65" s="82">
        <v>3000211</v>
      </c>
      <c r="D65" s="82">
        <v>2970168.8</v>
      </c>
      <c r="E65" s="82">
        <f>F65-0</f>
        <v>0</v>
      </c>
      <c r="F65" s="82">
        <v>0</v>
      </c>
      <c r="G65" s="54">
        <f t="shared" si="8"/>
        <v>0</v>
      </c>
      <c r="H65" s="82">
        <f>D65-F65</f>
        <v>2970168.8</v>
      </c>
      <c r="I65" s="82">
        <f>J65-0</f>
        <v>0</v>
      </c>
      <c r="J65" s="82">
        <v>0</v>
      </c>
      <c r="K65" s="54">
        <f t="shared" si="9"/>
        <v>0</v>
      </c>
      <c r="L65" s="85">
        <f t="shared" si="7"/>
        <v>2970168.8</v>
      </c>
      <c r="M65" s="85">
        <f t="shared" si="10"/>
        <v>0</v>
      </c>
    </row>
    <row r="66" spans="1:13" s="5" customFormat="1" ht="15">
      <c r="A66" s="50" t="s">
        <v>115</v>
      </c>
      <c r="B66" s="51" t="s">
        <v>122</v>
      </c>
      <c r="C66" s="82">
        <v>5000</v>
      </c>
      <c r="D66" s="82">
        <v>0</v>
      </c>
      <c r="E66" s="82">
        <f>F66-0</f>
        <v>0</v>
      </c>
      <c r="F66" s="82">
        <v>0</v>
      </c>
      <c r="G66" s="54">
        <f t="shared" si="8"/>
        <v>0</v>
      </c>
      <c r="H66" s="82">
        <f>D66-F66</f>
        <v>0</v>
      </c>
      <c r="I66" s="82">
        <f>J66-0</f>
        <v>0</v>
      </c>
      <c r="J66" s="82">
        <v>0</v>
      </c>
      <c r="K66" s="54">
        <f t="shared" si="9"/>
        <v>0</v>
      </c>
      <c r="L66" s="85">
        <f t="shared" si="7"/>
        <v>0</v>
      </c>
      <c r="M66" s="85">
        <f t="shared" si="10"/>
        <v>0</v>
      </c>
    </row>
    <row r="67" spans="1:13" s="5" customFormat="1" ht="15">
      <c r="A67" s="50" t="s">
        <v>69</v>
      </c>
      <c r="B67" s="51" t="s">
        <v>77</v>
      </c>
      <c r="C67" s="82">
        <v>87556871</v>
      </c>
      <c r="D67" s="82">
        <v>81760214.05</v>
      </c>
      <c r="E67" s="82">
        <f>F67-13871496.61</f>
        <v>664737.5</v>
      </c>
      <c r="F67" s="82">
        <v>14536234.11</v>
      </c>
      <c r="G67" s="54">
        <f t="shared" si="8"/>
        <v>0.022527864602535464</v>
      </c>
      <c r="H67" s="82">
        <f t="shared" si="3"/>
        <v>67223979.94</v>
      </c>
      <c r="I67" s="82">
        <f>J67-7499722.62</f>
        <v>7036511.489999999</v>
      </c>
      <c r="J67" s="82">
        <v>14536234.11</v>
      </c>
      <c r="K67" s="54">
        <f t="shared" si="9"/>
        <v>0.022730120723182687</v>
      </c>
      <c r="L67" s="85">
        <f t="shared" si="7"/>
        <v>67223979.94</v>
      </c>
      <c r="M67" s="85">
        <f t="shared" si="10"/>
        <v>0</v>
      </c>
    </row>
    <row r="68" spans="1:13" s="5" customFormat="1" ht="15">
      <c r="A68" s="50" t="s">
        <v>53</v>
      </c>
      <c r="B68" s="51" t="s">
        <v>60</v>
      </c>
      <c r="C68" s="82">
        <v>176664207</v>
      </c>
      <c r="D68" s="82">
        <v>176664207</v>
      </c>
      <c r="E68" s="82">
        <f>F68-59832992.34</f>
        <v>6129527.009999998</v>
      </c>
      <c r="F68" s="82">
        <v>65962519.35</v>
      </c>
      <c r="G68" s="54">
        <f t="shared" si="8"/>
        <v>0.10222693811299147</v>
      </c>
      <c r="H68" s="82">
        <f t="shared" si="3"/>
        <v>110701687.65</v>
      </c>
      <c r="I68" s="82">
        <f>J68-50309374.84</f>
        <v>13048873.29</v>
      </c>
      <c r="J68" s="82">
        <v>63358248.13</v>
      </c>
      <c r="K68" s="54">
        <f t="shared" si="9"/>
        <v>0.0990724707586774</v>
      </c>
      <c r="L68" s="85">
        <f t="shared" si="7"/>
        <v>113305958.87</v>
      </c>
      <c r="M68" s="85">
        <f t="shared" si="10"/>
        <v>2604271.219999999</v>
      </c>
    </row>
    <row r="69" spans="1:13" s="5" customFormat="1" ht="15">
      <c r="A69" s="50" t="s">
        <v>70</v>
      </c>
      <c r="B69" s="51" t="s">
        <v>78</v>
      </c>
      <c r="C69" s="82">
        <v>8424590</v>
      </c>
      <c r="D69" s="82">
        <v>7322606.04</v>
      </c>
      <c r="E69" s="82">
        <f>F69-3270072.46</f>
        <v>161238.08999999985</v>
      </c>
      <c r="F69" s="82">
        <v>3431310.55</v>
      </c>
      <c r="G69" s="54">
        <f t="shared" si="8"/>
        <v>0.005317752788975377</v>
      </c>
      <c r="H69" s="82">
        <f t="shared" si="3"/>
        <v>3891295.49</v>
      </c>
      <c r="I69" s="82">
        <f>J69-2500320.92</f>
        <v>930989.6299999999</v>
      </c>
      <c r="J69" s="82">
        <v>3431310.55</v>
      </c>
      <c r="K69" s="54">
        <f t="shared" si="9"/>
        <v>0.0053654957982945135</v>
      </c>
      <c r="L69" s="85">
        <f t="shared" si="7"/>
        <v>3891295.49</v>
      </c>
      <c r="M69" s="85">
        <f t="shared" si="10"/>
        <v>0</v>
      </c>
    </row>
    <row r="70" spans="1:13" s="5" customFormat="1" ht="15">
      <c r="A70" s="50" t="s">
        <v>71</v>
      </c>
      <c r="B70" s="51" t="s">
        <v>79</v>
      </c>
      <c r="C70" s="82">
        <v>19657549</v>
      </c>
      <c r="D70" s="82">
        <v>41630585.46</v>
      </c>
      <c r="E70" s="82">
        <f>F70-17041846.26</f>
        <v>-338700.2300000023</v>
      </c>
      <c r="F70" s="82">
        <v>16703146.03</v>
      </c>
      <c r="G70" s="54">
        <f t="shared" si="8"/>
        <v>0.02588608640675076</v>
      </c>
      <c r="H70" s="82">
        <f t="shared" si="3"/>
        <v>24927439.43</v>
      </c>
      <c r="I70" s="82">
        <f>J70-9117407.87</f>
        <v>7584745.760000002</v>
      </c>
      <c r="J70" s="82">
        <v>16702153.63</v>
      </c>
      <c r="K70" s="54">
        <f t="shared" si="9"/>
        <v>0.02611694098169997</v>
      </c>
      <c r="L70" s="85">
        <f t="shared" si="7"/>
        <v>24928431.83</v>
      </c>
      <c r="M70" s="85">
        <f t="shared" si="10"/>
        <v>992.3999999985099</v>
      </c>
    </row>
    <row r="71" spans="1:13" s="5" customFormat="1" ht="15">
      <c r="A71" s="50" t="s">
        <v>199</v>
      </c>
      <c r="B71" s="51" t="s">
        <v>200</v>
      </c>
      <c r="C71" s="82">
        <v>907240</v>
      </c>
      <c r="D71" s="82">
        <v>635068</v>
      </c>
      <c r="E71" s="82">
        <f>F71-0</f>
        <v>0</v>
      </c>
      <c r="F71" s="82">
        <v>0</v>
      </c>
      <c r="G71" s="54">
        <f t="shared" si="8"/>
        <v>0</v>
      </c>
      <c r="H71" s="82">
        <f t="shared" si="3"/>
        <v>635068</v>
      </c>
      <c r="I71" s="82">
        <f>J71-0</f>
        <v>0</v>
      </c>
      <c r="J71" s="82">
        <v>0</v>
      </c>
      <c r="K71" s="54">
        <f t="shared" si="9"/>
        <v>0</v>
      </c>
      <c r="L71" s="85">
        <f t="shared" si="7"/>
        <v>635068</v>
      </c>
      <c r="M71" s="85">
        <f t="shared" si="10"/>
        <v>0</v>
      </c>
    </row>
    <row r="72" spans="1:13" s="5" customFormat="1" ht="15">
      <c r="A72" s="45" t="s">
        <v>81</v>
      </c>
      <c r="B72" s="48" t="s">
        <v>80</v>
      </c>
      <c r="C72" s="81">
        <f>SUM(C73:C82)</f>
        <v>294666958</v>
      </c>
      <c r="D72" s="81">
        <f>SUM(D73:D82)</f>
        <v>347989693.96</v>
      </c>
      <c r="E72" s="81">
        <f>SUM(E73:E82)</f>
        <v>26798691.76000001</v>
      </c>
      <c r="F72" s="81">
        <f>SUM(F73:F82)</f>
        <v>202096579.96</v>
      </c>
      <c r="G72" s="49">
        <f t="shared" si="8"/>
        <v>0.3132038432734324</v>
      </c>
      <c r="H72" s="81">
        <f>D72-F72</f>
        <v>145893113.99999997</v>
      </c>
      <c r="I72" s="81">
        <f>SUM(I73:I82)</f>
        <v>47221394.800000004</v>
      </c>
      <c r="J72" s="81">
        <f>SUM(J73:J82)</f>
        <v>202096579.96</v>
      </c>
      <c r="K72" s="49">
        <f aca="true" t="shared" si="11" ref="K72:K103">(J72/$J$258)*100</f>
        <v>0.316015800617368</v>
      </c>
      <c r="L72" s="84">
        <f t="shared" si="7"/>
        <v>145893113.99999997</v>
      </c>
      <c r="M72" s="84">
        <f>SUM(M73:M82)</f>
        <v>0</v>
      </c>
    </row>
    <row r="73" spans="1:13" s="5" customFormat="1" ht="15">
      <c r="A73" s="50" t="s">
        <v>28</v>
      </c>
      <c r="B73" s="51" t="s">
        <v>33</v>
      </c>
      <c r="C73" s="82">
        <v>78395122</v>
      </c>
      <c r="D73" s="82">
        <v>78077447.21</v>
      </c>
      <c r="E73" s="82">
        <f>F73-34358448.54</f>
        <v>7350289.8000000045</v>
      </c>
      <c r="F73" s="82">
        <v>41708738.34</v>
      </c>
      <c r="G73" s="54">
        <f t="shared" si="8"/>
        <v>0.06463908072447107</v>
      </c>
      <c r="H73" s="82">
        <f t="shared" si="3"/>
        <v>36368708.86999999</v>
      </c>
      <c r="I73" s="82">
        <f>J73-32737837.76</f>
        <v>8970900.580000002</v>
      </c>
      <c r="J73" s="82">
        <v>41708738.34</v>
      </c>
      <c r="K73" s="54">
        <f t="shared" si="11"/>
        <v>0.06521941312348872</v>
      </c>
      <c r="L73" s="85">
        <f t="shared" si="7"/>
        <v>36368708.86999999</v>
      </c>
      <c r="M73" s="84">
        <f aca="true" t="shared" si="12" ref="M73:M82">F73-J73</f>
        <v>0</v>
      </c>
    </row>
    <row r="74" spans="1:13" s="5" customFormat="1" ht="15">
      <c r="A74" s="50" t="s">
        <v>64</v>
      </c>
      <c r="B74" s="51" t="s">
        <v>72</v>
      </c>
      <c r="C74" s="82">
        <v>0</v>
      </c>
      <c r="D74" s="82">
        <v>0</v>
      </c>
      <c r="E74" s="82">
        <f aca="true" t="shared" si="13" ref="E74:E82">F74-0</f>
        <v>0</v>
      </c>
      <c r="F74" s="82">
        <v>0</v>
      </c>
      <c r="G74" s="54">
        <f t="shared" si="8"/>
        <v>0</v>
      </c>
      <c r="H74" s="82">
        <f t="shared" si="3"/>
        <v>0</v>
      </c>
      <c r="I74" s="82">
        <v>0</v>
      </c>
      <c r="J74" s="82">
        <v>0</v>
      </c>
      <c r="K74" s="54">
        <f t="shared" si="11"/>
        <v>0</v>
      </c>
      <c r="L74" s="85">
        <f t="shared" si="7"/>
        <v>0</v>
      </c>
      <c r="M74" s="84">
        <f t="shared" si="12"/>
        <v>0</v>
      </c>
    </row>
    <row r="75" spans="1:13" s="5" customFormat="1" ht="15">
      <c r="A75" s="50" t="s">
        <v>52</v>
      </c>
      <c r="B75" s="51" t="s">
        <v>59</v>
      </c>
      <c r="C75" s="82">
        <v>295000</v>
      </c>
      <c r="D75" s="82">
        <v>295000</v>
      </c>
      <c r="E75" s="82">
        <f t="shared" si="13"/>
        <v>0</v>
      </c>
      <c r="F75" s="82">
        <v>0</v>
      </c>
      <c r="G75" s="54">
        <f t="shared" si="8"/>
        <v>0</v>
      </c>
      <c r="H75" s="82">
        <f t="shared" si="3"/>
        <v>295000</v>
      </c>
      <c r="I75" s="82">
        <f aca="true" t="shared" si="14" ref="I75:I81">J75-0</f>
        <v>0</v>
      </c>
      <c r="J75" s="82">
        <v>0</v>
      </c>
      <c r="K75" s="54">
        <f t="shared" si="11"/>
        <v>0</v>
      </c>
      <c r="L75" s="85">
        <f t="shared" si="7"/>
        <v>295000</v>
      </c>
      <c r="M75" s="84">
        <f t="shared" si="12"/>
        <v>0</v>
      </c>
    </row>
    <row r="76" spans="1:13" s="5" customFormat="1" ht="15">
      <c r="A76" s="50" t="s">
        <v>131</v>
      </c>
      <c r="B76" s="51" t="s">
        <v>132</v>
      </c>
      <c r="C76" s="82">
        <v>5000</v>
      </c>
      <c r="D76" s="82">
        <v>5000</v>
      </c>
      <c r="E76" s="82">
        <f t="shared" si="13"/>
        <v>0</v>
      </c>
      <c r="F76" s="82">
        <v>0</v>
      </c>
      <c r="G76" s="54">
        <f t="shared" si="8"/>
        <v>0</v>
      </c>
      <c r="H76" s="82">
        <f>D76-F76</f>
        <v>5000</v>
      </c>
      <c r="I76" s="82">
        <f t="shared" si="14"/>
        <v>0</v>
      </c>
      <c r="J76" s="82">
        <v>0</v>
      </c>
      <c r="K76" s="54">
        <f t="shared" si="11"/>
        <v>0</v>
      </c>
      <c r="L76" s="85">
        <f t="shared" si="7"/>
        <v>5000</v>
      </c>
      <c r="M76" s="84">
        <f t="shared" si="12"/>
        <v>0</v>
      </c>
    </row>
    <row r="77" spans="1:13" s="5" customFormat="1" ht="15">
      <c r="A77" s="50" t="s">
        <v>82</v>
      </c>
      <c r="B77" s="51" t="s">
        <v>84</v>
      </c>
      <c r="C77" s="82">
        <v>10236281</v>
      </c>
      <c r="D77" s="82">
        <v>34521581.25</v>
      </c>
      <c r="E77" s="82">
        <f>F77-13135899.08</f>
        <v>-1274565.8000000007</v>
      </c>
      <c r="F77" s="82">
        <v>11861333.28</v>
      </c>
      <c r="G77" s="54">
        <f t="shared" si="8"/>
        <v>0.01838237525037961</v>
      </c>
      <c r="H77" s="82">
        <f t="shared" si="3"/>
        <v>22660247.97</v>
      </c>
      <c r="I77" s="82">
        <f>J77-6549749.79</f>
        <v>5311583.489999999</v>
      </c>
      <c r="J77" s="82">
        <v>11861333.28</v>
      </c>
      <c r="K77" s="54">
        <f t="shared" si="11"/>
        <v>0.018547412992394662</v>
      </c>
      <c r="L77" s="85">
        <f t="shared" si="7"/>
        <v>22660247.97</v>
      </c>
      <c r="M77" s="84">
        <f t="shared" si="12"/>
        <v>0</v>
      </c>
    </row>
    <row r="78" spans="1:13" s="5" customFormat="1" ht="15">
      <c r="A78" s="50" t="s">
        <v>83</v>
      </c>
      <c r="B78" s="51" t="s">
        <v>85</v>
      </c>
      <c r="C78" s="82">
        <v>189414696</v>
      </c>
      <c r="D78" s="82">
        <v>220196849.63</v>
      </c>
      <c r="E78" s="82">
        <f>F78-125575380.58</f>
        <v>18592087.760000005</v>
      </c>
      <c r="F78" s="82">
        <v>144167468.34</v>
      </c>
      <c r="G78" s="54">
        <f t="shared" si="8"/>
        <v>0.2234268643636917</v>
      </c>
      <c r="H78" s="82">
        <f t="shared" si="3"/>
        <v>76029381.28999999</v>
      </c>
      <c r="I78" s="82">
        <f>J78-115347277.61</f>
        <v>28820190.730000004</v>
      </c>
      <c r="J78" s="82">
        <v>144167468.34</v>
      </c>
      <c r="K78" s="54">
        <f t="shared" si="11"/>
        <v>0.2254328001961313</v>
      </c>
      <c r="L78" s="85">
        <f aca="true" t="shared" si="15" ref="L78:L109">D78-J78</f>
        <v>76029381.28999999</v>
      </c>
      <c r="M78" s="84">
        <f t="shared" si="12"/>
        <v>0</v>
      </c>
    </row>
    <row r="79" spans="1:13" s="5" customFormat="1" ht="15">
      <c r="A79" s="50" t="s">
        <v>93</v>
      </c>
      <c r="B79" s="51" t="s">
        <v>99</v>
      </c>
      <c r="C79" s="82">
        <v>525000</v>
      </c>
      <c r="D79" s="82">
        <v>525000</v>
      </c>
      <c r="E79" s="82">
        <f t="shared" si="13"/>
        <v>0</v>
      </c>
      <c r="F79" s="82">
        <v>0</v>
      </c>
      <c r="G79" s="54">
        <f aca="true" t="shared" si="16" ref="G79:G110">(F79/$F$258)*100</f>
        <v>0</v>
      </c>
      <c r="H79" s="82">
        <f t="shared" si="3"/>
        <v>525000</v>
      </c>
      <c r="I79" s="82">
        <f>J79-0</f>
        <v>0</v>
      </c>
      <c r="J79" s="82">
        <v>0</v>
      </c>
      <c r="K79" s="54">
        <f t="shared" si="11"/>
        <v>0</v>
      </c>
      <c r="L79" s="85">
        <f t="shared" si="15"/>
        <v>525000</v>
      </c>
      <c r="M79" s="84">
        <f t="shared" si="12"/>
        <v>0</v>
      </c>
    </row>
    <row r="80" spans="1:13" s="5" customFormat="1" ht="15">
      <c r="A80" s="50" t="s">
        <v>68</v>
      </c>
      <c r="B80" s="51" t="s">
        <v>76</v>
      </c>
      <c r="C80" s="82">
        <v>14585859</v>
      </c>
      <c r="D80" s="82">
        <v>13158815.87</v>
      </c>
      <c r="E80" s="82">
        <f>F80-2228160</f>
        <v>2130880</v>
      </c>
      <c r="F80" s="82">
        <v>4359040</v>
      </c>
      <c r="G80" s="54">
        <f t="shared" si="16"/>
        <v>0.00675552293489006</v>
      </c>
      <c r="H80" s="82">
        <f>D80-F80</f>
        <v>8799775.87</v>
      </c>
      <c r="I80" s="82">
        <f>J80-240320</f>
        <v>4118720</v>
      </c>
      <c r="J80" s="82">
        <v>4359040</v>
      </c>
      <c r="K80" s="54">
        <f t="shared" si="11"/>
        <v>0.006816174305353305</v>
      </c>
      <c r="L80" s="85">
        <f t="shared" si="15"/>
        <v>8799775.87</v>
      </c>
      <c r="M80" s="84">
        <f t="shared" si="12"/>
        <v>0</v>
      </c>
    </row>
    <row r="81" spans="1:13" s="5" customFormat="1" ht="15">
      <c r="A81" s="50" t="s">
        <v>53</v>
      </c>
      <c r="B81" s="51" t="s">
        <v>60</v>
      </c>
      <c r="C81" s="82">
        <v>1160000</v>
      </c>
      <c r="D81" s="82">
        <v>1160000</v>
      </c>
      <c r="E81" s="82">
        <f t="shared" si="13"/>
        <v>0</v>
      </c>
      <c r="F81" s="82">
        <v>0</v>
      </c>
      <c r="G81" s="54">
        <f t="shared" si="16"/>
        <v>0</v>
      </c>
      <c r="H81" s="82">
        <f t="shared" si="3"/>
        <v>1160000</v>
      </c>
      <c r="I81" s="82">
        <f t="shared" si="14"/>
        <v>0</v>
      </c>
      <c r="J81" s="82">
        <v>0</v>
      </c>
      <c r="K81" s="54">
        <f t="shared" si="11"/>
        <v>0</v>
      </c>
      <c r="L81" s="85">
        <f t="shared" si="15"/>
        <v>1160000</v>
      </c>
      <c r="M81" s="84">
        <f t="shared" si="12"/>
        <v>0</v>
      </c>
    </row>
    <row r="82" spans="1:13" s="5" customFormat="1" ht="15">
      <c r="A82" s="50" t="s">
        <v>96</v>
      </c>
      <c r="B82" s="51" t="s">
        <v>102</v>
      </c>
      <c r="C82" s="82">
        <v>50000</v>
      </c>
      <c r="D82" s="82">
        <v>50000</v>
      </c>
      <c r="E82" s="82">
        <f t="shared" si="13"/>
        <v>0</v>
      </c>
      <c r="F82" s="82">
        <v>0</v>
      </c>
      <c r="G82" s="54">
        <f t="shared" si="16"/>
        <v>0</v>
      </c>
      <c r="H82" s="82">
        <f t="shared" si="3"/>
        <v>50000</v>
      </c>
      <c r="I82" s="82">
        <f>J82-0</f>
        <v>0</v>
      </c>
      <c r="J82" s="82">
        <v>0</v>
      </c>
      <c r="K82" s="54">
        <f t="shared" si="11"/>
        <v>0</v>
      </c>
      <c r="L82" s="85">
        <f t="shared" si="15"/>
        <v>50000</v>
      </c>
      <c r="M82" s="84">
        <f t="shared" si="12"/>
        <v>0</v>
      </c>
    </row>
    <row r="83" spans="1:13" s="5" customFormat="1" ht="15">
      <c r="A83" s="45" t="s">
        <v>87</v>
      </c>
      <c r="B83" s="48" t="s">
        <v>86</v>
      </c>
      <c r="C83" s="81">
        <f>SUM(C84:C87)</f>
        <v>23346008109</v>
      </c>
      <c r="D83" s="81">
        <f>SUM(D84:D87)</f>
        <v>28802897601.23</v>
      </c>
      <c r="E83" s="81">
        <f>SUM(E84:E87)</f>
        <v>4689596689.790001</v>
      </c>
      <c r="F83" s="81">
        <f>SUM(F84:F87)</f>
        <v>23274360998.010002</v>
      </c>
      <c r="G83" s="49">
        <f t="shared" si="16"/>
        <v>36.0699786000971</v>
      </c>
      <c r="H83" s="81">
        <f t="shared" si="3"/>
        <v>5528536603.219997</v>
      </c>
      <c r="I83" s="81">
        <f>SUM(I84:I87)</f>
        <v>4721607432.080001</v>
      </c>
      <c r="J83" s="81">
        <f>SUM(J84:J87)</f>
        <v>23246029921.86</v>
      </c>
      <c r="K83" s="49">
        <f t="shared" si="11"/>
        <v>36.34951545635191</v>
      </c>
      <c r="L83" s="84">
        <f t="shared" si="15"/>
        <v>5556867679.369999</v>
      </c>
      <c r="M83" s="84">
        <f>SUM(M84:M87)</f>
        <v>28331076.150000095</v>
      </c>
    </row>
    <row r="84" spans="1:13" s="5" customFormat="1" ht="15">
      <c r="A84" s="50" t="s">
        <v>28</v>
      </c>
      <c r="B84" s="51" t="s">
        <v>33</v>
      </c>
      <c r="C84" s="82">
        <v>3027654252</v>
      </c>
      <c r="D84" s="82">
        <v>3889433537.28</v>
      </c>
      <c r="E84" s="82">
        <f>F84-3238667264.87</f>
        <v>514034305.0100002</v>
      </c>
      <c r="F84" s="82">
        <v>3752701569.88</v>
      </c>
      <c r="G84" s="54">
        <f t="shared" si="16"/>
        <v>5.815835946245566</v>
      </c>
      <c r="H84" s="82">
        <f t="shared" si="3"/>
        <v>136731967.4000001</v>
      </c>
      <c r="I84" s="82">
        <f>J84-3222154362.61</f>
        <v>502216131.1199999</v>
      </c>
      <c r="J84" s="82">
        <v>3724370493.73</v>
      </c>
      <c r="K84" s="54">
        <f>(J84/$J$258)*100</f>
        <v>5.823749830921127</v>
      </c>
      <c r="L84" s="85">
        <f t="shared" si="15"/>
        <v>165063043.5500002</v>
      </c>
      <c r="M84" s="85">
        <f>F84-J84</f>
        <v>28331076.150000095</v>
      </c>
    </row>
    <row r="85" spans="1:13" s="5" customFormat="1" ht="15">
      <c r="A85" s="50" t="s">
        <v>39</v>
      </c>
      <c r="B85" s="51" t="s">
        <v>41</v>
      </c>
      <c r="C85" s="82">
        <v>387035</v>
      </c>
      <c r="D85" s="82">
        <v>387035</v>
      </c>
      <c r="E85" s="82">
        <f>F85-9950</f>
        <v>0</v>
      </c>
      <c r="F85" s="82">
        <v>9950</v>
      </c>
      <c r="G85" s="54">
        <f t="shared" si="16"/>
        <v>1.5420242347433403E-05</v>
      </c>
      <c r="H85" s="82">
        <f t="shared" si="3"/>
        <v>377085</v>
      </c>
      <c r="I85" s="82">
        <f>J85-9950</f>
        <v>0</v>
      </c>
      <c r="J85" s="82">
        <v>9950</v>
      </c>
      <c r="K85" s="54">
        <f>(J85/$J$258)*100</f>
        <v>1.555868593503739E-05</v>
      </c>
      <c r="L85" s="85">
        <f t="shared" si="15"/>
        <v>377085</v>
      </c>
      <c r="M85" s="85">
        <f>F85-J85</f>
        <v>0</v>
      </c>
    </row>
    <row r="86" spans="1:13" s="5" customFormat="1" ht="15">
      <c r="A86" s="50" t="s">
        <v>49</v>
      </c>
      <c r="B86" s="51" t="s">
        <v>56</v>
      </c>
      <c r="C86" s="82">
        <v>0</v>
      </c>
      <c r="D86" s="82">
        <v>0</v>
      </c>
      <c r="E86" s="82">
        <f>F86-0</f>
        <v>0</v>
      </c>
      <c r="F86" s="82">
        <v>0</v>
      </c>
      <c r="G86" s="54">
        <f t="shared" si="16"/>
        <v>0</v>
      </c>
      <c r="H86" s="82">
        <f t="shared" si="3"/>
        <v>0</v>
      </c>
      <c r="I86" s="82">
        <f>J86-0</f>
        <v>0</v>
      </c>
      <c r="J86" s="82">
        <v>0</v>
      </c>
      <c r="K86" s="54">
        <f t="shared" si="11"/>
        <v>0</v>
      </c>
      <c r="L86" s="85">
        <f t="shared" si="15"/>
        <v>0</v>
      </c>
      <c r="M86" s="85">
        <f>F86-J86</f>
        <v>0</v>
      </c>
    </row>
    <row r="87" spans="1:13" s="5" customFormat="1" ht="15">
      <c r="A87" s="50" t="s">
        <v>88</v>
      </c>
      <c r="B87" s="51" t="s">
        <v>89</v>
      </c>
      <c r="C87" s="82">
        <v>20317966822</v>
      </c>
      <c r="D87" s="82">
        <v>24913077028.95</v>
      </c>
      <c r="E87" s="82">
        <f>F87-15346087093.35</f>
        <v>4175562384.7800007</v>
      </c>
      <c r="F87" s="82">
        <v>19521649478.13</v>
      </c>
      <c r="G87" s="54">
        <f t="shared" si="16"/>
        <v>30.254127233609186</v>
      </c>
      <c r="H87" s="82">
        <f t="shared" si="3"/>
        <v>5391427550.82</v>
      </c>
      <c r="I87" s="82">
        <f>J87-15302258177.17</f>
        <v>4219391300.960001</v>
      </c>
      <c r="J87" s="82">
        <v>19521649478.13</v>
      </c>
      <c r="K87" s="54">
        <f t="shared" si="11"/>
        <v>30.52575006674485</v>
      </c>
      <c r="L87" s="85">
        <f t="shared" si="15"/>
        <v>5391427550.82</v>
      </c>
      <c r="M87" s="85">
        <f>F87-J87</f>
        <v>0</v>
      </c>
    </row>
    <row r="88" spans="1:13" s="5" customFormat="1" ht="15">
      <c r="A88" s="45" t="s">
        <v>90</v>
      </c>
      <c r="B88" s="48" t="s">
        <v>91</v>
      </c>
      <c r="C88" s="81">
        <f>SUM(C89:C99)</f>
        <v>6351281228</v>
      </c>
      <c r="D88" s="81">
        <f>SUM(D89:D99)</f>
        <v>7397839076.94</v>
      </c>
      <c r="E88" s="81">
        <f>SUM(E89:E99)</f>
        <v>1667935145.64</v>
      </c>
      <c r="F88" s="81">
        <f>SUM(F89:F99)</f>
        <v>6532498633.58</v>
      </c>
      <c r="G88" s="49">
        <f t="shared" si="16"/>
        <v>10.123890659706648</v>
      </c>
      <c r="H88" s="81">
        <f t="shared" si="3"/>
        <v>865340443.3599997</v>
      </c>
      <c r="I88" s="81">
        <f>SUM(I89:I99)</f>
        <v>2266772726.2400002</v>
      </c>
      <c r="J88" s="81">
        <f>SUM(J89:J99)</f>
        <v>6482117057.87</v>
      </c>
      <c r="K88" s="49">
        <f t="shared" si="11"/>
        <v>10.136002361562605</v>
      </c>
      <c r="L88" s="84">
        <f t="shared" si="15"/>
        <v>915722019.0699997</v>
      </c>
      <c r="M88" s="84">
        <f>SUM(M89:M99)</f>
        <v>50381575.709999755</v>
      </c>
    </row>
    <row r="89" spans="1:13" s="5" customFormat="1" ht="15">
      <c r="A89" s="50" t="s">
        <v>28</v>
      </c>
      <c r="B89" s="51" t="s">
        <v>33</v>
      </c>
      <c r="C89" s="82">
        <v>785893545</v>
      </c>
      <c r="D89" s="82">
        <v>822617102.73</v>
      </c>
      <c r="E89" s="82">
        <f>F89-620021370.05</f>
        <v>132734833.86000001</v>
      </c>
      <c r="F89" s="82">
        <v>752756203.91</v>
      </c>
      <c r="G89" s="54">
        <f t="shared" si="16"/>
        <v>1.166601315861929</v>
      </c>
      <c r="H89" s="82">
        <f t="shared" si="3"/>
        <v>69860898.82000005</v>
      </c>
      <c r="I89" s="82">
        <f>J89-567292834.92</f>
        <v>185458694.80000007</v>
      </c>
      <c r="J89" s="82">
        <v>752751529.72</v>
      </c>
      <c r="K89" s="54">
        <f t="shared" si="11"/>
        <v>1.1770678028173311</v>
      </c>
      <c r="L89" s="85">
        <f t="shared" si="15"/>
        <v>69865573.00999999</v>
      </c>
      <c r="M89" s="85">
        <f aca="true" t="shared" si="17" ref="M89:M99">F89-J89</f>
        <v>4674.189999938011</v>
      </c>
    </row>
    <row r="90" spans="1:13" s="5" customFormat="1" ht="15">
      <c r="A90" s="50" t="s">
        <v>29</v>
      </c>
      <c r="B90" s="51" t="s">
        <v>34</v>
      </c>
      <c r="C90" s="82">
        <v>30549623</v>
      </c>
      <c r="D90" s="82">
        <v>21972940.61</v>
      </c>
      <c r="E90" s="82">
        <f>F90-15711747.87</f>
        <v>-4880538.819999998</v>
      </c>
      <c r="F90" s="82">
        <v>10831209.05</v>
      </c>
      <c r="G90" s="54">
        <f t="shared" si="16"/>
        <v>0.016785916428815467</v>
      </c>
      <c r="H90" s="82">
        <f t="shared" si="3"/>
        <v>11141731.559999999</v>
      </c>
      <c r="I90" s="82">
        <f>J90-8252879.37</f>
        <v>2578329.6800000006</v>
      </c>
      <c r="J90" s="82">
        <v>10831209.05</v>
      </c>
      <c r="K90" s="54">
        <f t="shared" si="11"/>
        <v>0.016936621096048717</v>
      </c>
      <c r="L90" s="85">
        <f t="shared" si="15"/>
        <v>11141731.559999999</v>
      </c>
      <c r="M90" s="85">
        <f t="shared" si="17"/>
        <v>0</v>
      </c>
    </row>
    <row r="91" spans="1:13" s="5" customFormat="1" ht="15">
      <c r="A91" s="50" t="s">
        <v>65</v>
      </c>
      <c r="B91" s="51" t="s">
        <v>73</v>
      </c>
      <c r="C91" s="82">
        <v>224867763</v>
      </c>
      <c r="D91" s="82">
        <v>208934308.53</v>
      </c>
      <c r="E91" s="82">
        <f>F91-130503119.08</f>
        <v>36420541.39999999</v>
      </c>
      <c r="F91" s="82">
        <v>166923660.48</v>
      </c>
      <c r="G91" s="54">
        <f t="shared" si="16"/>
        <v>0.2586937988062604</v>
      </c>
      <c r="H91" s="82">
        <f t="shared" si="3"/>
        <v>42010648.05000001</v>
      </c>
      <c r="I91" s="82">
        <f>J91-119039045.75</f>
        <v>35408159.03</v>
      </c>
      <c r="J91" s="82">
        <v>154447204.78</v>
      </c>
      <c r="K91" s="54">
        <f t="shared" si="11"/>
        <v>0.24150709072526888</v>
      </c>
      <c r="L91" s="85">
        <f t="shared" si="15"/>
        <v>54487103.75</v>
      </c>
      <c r="M91" s="85">
        <f t="shared" si="17"/>
        <v>12476455.699999988</v>
      </c>
    </row>
    <row r="92" spans="1:13" s="5" customFormat="1" ht="15">
      <c r="A92" s="50" t="s">
        <v>83</v>
      </c>
      <c r="B92" s="51" t="s">
        <v>85</v>
      </c>
      <c r="C92" s="82">
        <v>0</v>
      </c>
      <c r="D92" s="82">
        <v>0</v>
      </c>
      <c r="E92" s="82">
        <f>F92-0</f>
        <v>0</v>
      </c>
      <c r="F92" s="82">
        <v>0</v>
      </c>
      <c r="G92" s="54">
        <f t="shared" si="16"/>
        <v>0</v>
      </c>
      <c r="H92" s="82">
        <f t="shared" si="3"/>
        <v>0</v>
      </c>
      <c r="I92" s="82">
        <f>J92-0</f>
        <v>0</v>
      </c>
      <c r="J92" s="82">
        <v>0</v>
      </c>
      <c r="K92" s="54">
        <f t="shared" si="11"/>
        <v>0</v>
      </c>
      <c r="L92" s="85">
        <f t="shared" si="15"/>
        <v>0</v>
      </c>
      <c r="M92" s="85">
        <f t="shared" si="17"/>
        <v>0</v>
      </c>
    </row>
    <row r="93" spans="1:13" s="5" customFormat="1" ht="15">
      <c r="A93" s="50" t="s">
        <v>92</v>
      </c>
      <c r="B93" s="51" t="s">
        <v>98</v>
      </c>
      <c r="C93" s="82">
        <v>323528151</v>
      </c>
      <c r="D93" s="82">
        <v>300323460.81</v>
      </c>
      <c r="E93" s="82">
        <f>F93-162127332.54</f>
        <v>82537801.24000001</v>
      </c>
      <c r="F93" s="82">
        <v>244665133.78</v>
      </c>
      <c r="G93" s="54">
        <f t="shared" si="16"/>
        <v>0.37917544289998134</v>
      </c>
      <c r="H93" s="82">
        <f t="shared" si="3"/>
        <v>55658327.03</v>
      </c>
      <c r="I93" s="82">
        <f>J93-162127248.54</f>
        <v>82537885.24000001</v>
      </c>
      <c r="J93" s="82">
        <v>244665133.78</v>
      </c>
      <c r="K93" s="54">
        <f t="shared" si="11"/>
        <v>0.3825796960539625</v>
      </c>
      <c r="L93" s="85">
        <f t="shared" si="15"/>
        <v>55658327.03</v>
      </c>
      <c r="M93" s="85">
        <f t="shared" si="17"/>
        <v>0</v>
      </c>
    </row>
    <row r="94" spans="1:13" s="5" customFormat="1" ht="15">
      <c r="A94" s="50" t="s">
        <v>67</v>
      </c>
      <c r="B94" s="51" t="s">
        <v>75</v>
      </c>
      <c r="C94" s="82">
        <v>4664785397</v>
      </c>
      <c r="D94" s="82">
        <v>5673186835.84</v>
      </c>
      <c r="E94" s="82">
        <f>F94-3798600550.33</f>
        <v>1299430146.46</v>
      </c>
      <c r="F94" s="82">
        <v>5098030696.79</v>
      </c>
      <c r="G94" s="54">
        <f t="shared" si="16"/>
        <v>7.900790838106188</v>
      </c>
      <c r="H94" s="82">
        <f t="shared" si="3"/>
        <v>575156139.0500002</v>
      </c>
      <c r="I94" s="82">
        <f>J94-3251283585.85</f>
        <v>1812342256.2400002</v>
      </c>
      <c r="J94" s="82">
        <v>5063625842.09</v>
      </c>
      <c r="K94" s="54">
        <f t="shared" si="11"/>
        <v>7.917926047197743</v>
      </c>
      <c r="L94" s="85">
        <f t="shared" si="15"/>
        <v>609560993.75</v>
      </c>
      <c r="M94" s="85">
        <f t="shared" si="17"/>
        <v>34404854.69999981</v>
      </c>
    </row>
    <row r="95" spans="1:13" s="5" customFormat="1" ht="15">
      <c r="A95" s="50" t="s">
        <v>93</v>
      </c>
      <c r="B95" s="51" t="s">
        <v>99</v>
      </c>
      <c r="C95" s="82">
        <v>233565284</v>
      </c>
      <c r="D95" s="82">
        <v>176816270.4</v>
      </c>
      <c r="E95" s="82">
        <f>F95-103879006.57</f>
        <v>2480105.4100000113</v>
      </c>
      <c r="F95" s="82">
        <v>106359111.98</v>
      </c>
      <c r="G95" s="54">
        <f t="shared" si="16"/>
        <v>0.16483249071250325</v>
      </c>
      <c r="H95" s="82">
        <f t="shared" si="3"/>
        <v>70457158.42</v>
      </c>
      <c r="I95" s="82">
        <f>J95-77770728.27</f>
        <v>25567563.89</v>
      </c>
      <c r="J95" s="82">
        <v>103338292.16</v>
      </c>
      <c r="K95" s="54">
        <f t="shared" si="11"/>
        <v>0.16158874701312326</v>
      </c>
      <c r="L95" s="85">
        <f t="shared" si="15"/>
        <v>73477978.24000001</v>
      </c>
      <c r="M95" s="85">
        <f t="shared" si="17"/>
        <v>3020819.8200000077</v>
      </c>
    </row>
    <row r="96" spans="1:13" s="5" customFormat="1" ht="15">
      <c r="A96" s="50" t="s">
        <v>94</v>
      </c>
      <c r="B96" s="51" t="s">
        <v>100</v>
      </c>
      <c r="C96" s="82">
        <v>24638493</v>
      </c>
      <c r="D96" s="82">
        <v>78771082.08</v>
      </c>
      <c r="E96" s="82">
        <f>F96-1373960.38</f>
        <v>59886304.32</v>
      </c>
      <c r="F96" s="82">
        <v>61260264.7</v>
      </c>
      <c r="G96" s="54">
        <f t="shared" si="16"/>
        <v>0.09493951034592157</v>
      </c>
      <c r="H96" s="82">
        <f t="shared" si="3"/>
        <v>17510817.379999995</v>
      </c>
      <c r="I96" s="82">
        <f>J96-737539.95</f>
        <v>60496609.45999999</v>
      </c>
      <c r="J96" s="82">
        <v>61234149.41</v>
      </c>
      <c r="K96" s="54">
        <f t="shared" si="11"/>
        <v>0.09575104514264775</v>
      </c>
      <c r="L96" s="85">
        <f t="shared" si="15"/>
        <v>17536932.67</v>
      </c>
      <c r="M96" s="85">
        <f t="shared" si="17"/>
        <v>26115.290000006557</v>
      </c>
    </row>
    <row r="97" spans="1:13" s="5" customFormat="1" ht="15">
      <c r="A97" s="50" t="s">
        <v>95</v>
      </c>
      <c r="B97" s="51" t="s">
        <v>101</v>
      </c>
      <c r="C97" s="82">
        <v>57532972</v>
      </c>
      <c r="D97" s="82">
        <v>113834575.94</v>
      </c>
      <c r="E97" s="82">
        <f>F97-32346401.12</f>
        <v>59325951.769999996</v>
      </c>
      <c r="F97" s="82">
        <v>91672352.89</v>
      </c>
      <c r="G97" s="54">
        <f t="shared" si="16"/>
        <v>0.1420713465450489</v>
      </c>
      <c r="H97" s="82">
        <f t="shared" si="3"/>
        <v>22162223.049999997</v>
      </c>
      <c r="I97" s="82">
        <f>J97-28840468.98</f>
        <v>62383227.89999999</v>
      </c>
      <c r="J97" s="82">
        <v>91223696.88</v>
      </c>
      <c r="K97" s="54">
        <f t="shared" si="11"/>
        <v>0.1426453115164794</v>
      </c>
      <c r="L97" s="85">
        <f t="shared" si="15"/>
        <v>22610879.060000002</v>
      </c>
      <c r="M97" s="85">
        <f t="shared" si="17"/>
        <v>448656.01000000536</v>
      </c>
    </row>
    <row r="98" spans="1:13" s="5" customFormat="1" ht="15">
      <c r="A98" s="50" t="s">
        <v>68</v>
      </c>
      <c r="B98" s="51" t="s">
        <v>76</v>
      </c>
      <c r="C98" s="82">
        <v>5820000</v>
      </c>
      <c r="D98" s="82">
        <v>1282500</v>
      </c>
      <c r="E98" s="82">
        <f>F98-0</f>
        <v>0</v>
      </c>
      <c r="F98" s="82">
        <v>0</v>
      </c>
      <c r="G98" s="54">
        <f t="shared" si="16"/>
        <v>0</v>
      </c>
      <c r="H98" s="82">
        <f t="shared" si="3"/>
        <v>1282500</v>
      </c>
      <c r="I98" s="82">
        <f>J98-0</f>
        <v>0</v>
      </c>
      <c r="J98" s="82">
        <v>0</v>
      </c>
      <c r="K98" s="54">
        <f t="shared" si="11"/>
        <v>0</v>
      </c>
      <c r="L98" s="85">
        <f t="shared" si="15"/>
        <v>1282500</v>
      </c>
      <c r="M98" s="85">
        <f t="shared" si="17"/>
        <v>0</v>
      </c>
    </row>
    <row r="99" spans="1:13" s="5" customFormat="1" ht="15">
      <c r="A99" s="50" t="s">
        <v>97</v>
      </c>
      <c r="B99" s="51" t="s">
        <v>241</v>
      </c>
      <c r="C99" s="82">
        <v>100000</v>
      </c>
      <c r="D99" s="82">
        <v>100000</v>
      </c>
      <c r="E99" s="82">
        <f>F99-0</f>
        <v>0</v>
      </c>
      <c r="F99" s="82">
        <v>0</v>
      </c>
      <c r="G99" s="54">
        <f t="shared" si="16"/>
        <v>0</v>
      </c>
      <c r="H99" s="82">
        <f t="shared" si="3"/>
        <v>100000</v>
      </c>
      <c r="I99" s="82">
        <f>J99-0</f>
        <v>0</v>
      </c>
      <c r="J99" s="82">
        <v>0</v>
      </c>
      <c r="K99" s="54">
        <f t="shared" si="11"/>
        <v>0</v>
      </c>
      <c r="L99" s="85">
        <f t="shared" si="15"/>
        <v>100000</v>
      </c>
      <c r="M99" s="85">
        <f t="shared" si="17"/>
        <v>0</v>
      </c>
    </row>
    <row r="100" spans="1:17" s="5" customFormat="1" ht="15">
      <c r="A100" s="45" t="s">
        <v>104</v>
      </c>
      <c r="B100" s="48" t="s">
        <v>103</v>
      </c>
      <c r="C100" s="81">
        <f>SUM(C101:C105)</f>
        <v>30006918</v>
      </c>
      <c r="D100" s="81">
        <f>SUM(D101:D105)</f>
        <v>29092425.86</v>
      </c>
      <c r="E100" s="81">
        <f>SUM(E101:E105)</f>
        <v>4771429.180000002</v>
      </c>
      <c r="F100" s="81">
        <f>SUM(F101:F105)</f>
        <v>24206532.810000002</v>
      </c>
      <c r="G100" s="49">
        <f t="shared" si="16"/>
        <v>0.03751463339912543</v>
      </c>
      <c r="H100" s="81">
        <f t="shared" si="3"/>
        <v>4885893.049999997</v>
      </c>
      <c r="I100" s="81">
        <f>SUM(I101:I105)</f>
        <v>4908117.58</v>
      </c>
      <c r="J100" s="81">
        <f>SUM(J101:J105)</f>
        <v>24206532.810000002</v>
      </c>
      <c r="K100" s="49">
        <f t="shared" si="11"/>
        <v>0.037851441363514385</v>
      </c>
      <c r="L100" s="84">
        <f t="shared" si="15"/>
        <v>4885893.049999997</v>
      </c>
      <c r="M100" s="84">
        <f>SUM(M101:M105)</f>
        <v>0</v>
      </c>
      <c r="N100" s="86"/>
      <c r="O100" s="86"/>
      <c r="P100" s="86"/>
      <c r="Q100" s="86"/>
    </row>
    <row r="101" spans="1:13" s="5" customFormat="1" ht="15">
      <c r="A101" s="50" t="s">
        <v>28</v>
      </c>
      <c r="B101" s="51" t="s">
        <v>33</v>
      </c>
      <c r="C101" s="82">
        <v>25533278</v>
      </c>
      <c r="D101" s="82">
        <v>25559333.47</v>
      </c>
      <c r="E101" s="82">
        <f>F101-19435103.63</f>
        <v>4691383.010000002</v>
      </c>
      <c r="F101" s="82">
        <v>24126486.64</v>
      </c>
      <c r="G101" s="54">
        <f t="shared" si="16"/>
        <v>0.03739057999808183</v>
      </c>
      <c r="H101" s="82">
        <f t="shared" si="3"/>
        <v>1432846.8299999982</v>
      </c>
      <c r="I101" s="82">
        <f>J101-19298415.23</f>
        <v>4828071.41</v>
      </c>
      <c r="J101" s="82">
        <v>24126486.64</v>
      </c>
      <c r="K101" s="54">
        <f t="shared" si="11"/>
        <v>0.03772627420579251</v>
      </c>
      <c r="L101" s="85">
        <f t="shared" si="15"/>
        <v>1432846.8299999982</v>
      </c>
      <c r="M101" s="84">
        <f>F101-J101</f>
        <v>0</v>
      </c>
    </row>
    <row r="102" spans="1:13" s="5" customFormat="1" ht="15">
      <c r="A102" s="50" t="s">
        <v>242</v>
      </c>
      <c r="B102" s="51" t="s">
        <v>243</v>
      </c>
      <c r="C102" s="82">
        <v>306753</v>
      </c>
      <c r="D102" s="82">
        <v>306753</v>
      </c>
      <c r="E102" s="82">
        <f>F102-0</f>
        <v>0</v>
      </c>
      <c r="F102" s="82">
        <v>0</v>
      </c>
      <c r="G102" s="54">
        <f t="shared" si="16"/>
        <v>0</v>
      </c>
      <c r="H102" s="82">
        <f>D102-F102</f>
        <v>306753</v>
      </c>
      <c r="I102" s="82">
        <f>J102-0</f>
        <v>0</v>
      </c>
      <c r="J102" s="82">
        <v>0</v>
      </c>
      <c r="K102" s="54">
        <f t="shared" si="11"/>
        <v>0</v>
      </c>
      <c r="L102" s="85">
        <f t="shared" si="15"/>
        <v>306753</v>
      </c>
      <c r="M102" s="84">
        <f>F102-J102</f>
        <v>0</v>
      </c>
    </row>
    <row r="103" spans="1:13" s="5" customFormat="1" ht="15">
      <c r="A103" s="50" t="s">
        <v>105</v>
      </c>
      <c r="B103" s="51" t="s">
        <v>107</v>
      </c>
      <c r="C103" s="82">
        <v>2654282</v>
      </c>
      <c r="D103" s="82">
        <v>1754088.35</v>
      </c>
      <c r="E103" s="82">
        <f>F103-0</f>
        <v>80046.17</v>
      </c>
      <c r="F103" s="82">
        <v>80046.17</v>
      </c>
      <c r="G103" s="54">
        <f t="shared" si="16"/>
        <v>0.00012405340104360333</v>
      </c>
      <c r="H103" s="82">
        <f t="shared" si="3"/>
        <v>1674042.1800000002</v>
      </c>
      <c r="I103" s="82">
        <f>J103-0</f>
        <v>80046.17</v>
      </c>
      <c r="J103" s="82">
        <v>80046.17</v>
      </c>
      <c r="K103" s="54">
        <f t="shared" si="11"/>
        <v>0.00012516715772187053</v>
      </c>
      <c r="L103" s="85">
        <f t="shared" si="15"/>
        <v>1674042.1800000002</v>
      </c>
      <c r="M103" s="84">
        <f>F103-J103</f>
        <v>0</v>
      </c>
    </row>
    <row r="104" spans="1:13" s="5" customFormat="1" ht="15">
      <c r="A104" s="50" t="s">
        <v>106</v>
      </c>
      <c r="B104" s="51" t="s">
        <v>108</v>
      </c>
      <c r="C104" s="82">
        <v>1162697</v>
      </c>
      <c r="D104" s="82">
        <v>1122343.04</v>
      </c>
      <c r="E104" s="82">
        <f>F104-0</f>
        <v>0</v>
      </c>
      <c r="F104" s="82">
        <v>0</v>
      </c>
      <c r="G104" s="54">
        <f t="shared" si="16"/>
        <v>0</v>
      </c>
      <c r="H104" s="82">
        <f t="shared" si="3"/>
        <v>1122343.04</v>
      </c>
      <c r="I104" s="82">
        <f>J104-0</f>
        <v>0</v>
      </c>
      <c r="J104" s="82">
        <v>0</v>
      </c>
      <c r="K104" s="54">
        <f aca="true" t="shared" si="18" ref="K104:K126">(J104/$J$258)*100</f>
        <v>0</v>
      </c>
      <c r="L104" s="85">
        <f t="shared" si="15"/>
        <v>1122343.04</v>
      </c>
      <c r="M104" s="84">
        <f>F104-J104</f>
        <v>0</v>
      </c>
    </row>
    <row r="105" spans="1:13" s="5" customFormat="1" ht="15">
      <c r="A105" s="50" t="s">
        <v>53</v>
      </c>
      <c r="B105" s="51" t="s">
        <v>60</v>
      </c>
      <c r="C105" s="82">
        <v>349908</v>
      </c>
      <c r="D105" s="82">
        <v>349908</v>
      </c>
      <c r="E105" s="82">
        <f>F105-0</f>
        <v>0</v>
      </c>
      <c r="F105" s="82">
        <v>0</v>
      </c>
      <c r="G105" s="54">
        <f t="shared" si="16"/>
        <v>0</v>
      </c>
      <c r="H105" s="82">
        <f t="shared" si="3"/>
        <v>349908</v>
      </c>
      <c r="I105" s="82">
        <f>J105-0</f>
        <v>0</v>
      </c>
      <c r="J105" s="82">
        <v>0</v>
      </c>
      <c r="K105" s="54">
        <f t="shared" si="18"/>
        <v>0</v>
      </c>
      <c r="L105" s="85">
        <f t="shared" si="15"/>
        <v>349908</v>
      </c>
      <c r="M105" s="84">
        <f>F105-J105</f>
        <v>0</v>
      </c>
    </row>
    <row r="106" spans="1:13" s="5" customFormat="1" ht="15">
      <c r="A106" s="45" t="s">
        <v>109</v>
      </c>
      <c r="B106" s="48" t="s">
        <v>110</v>
      </c>
      <c r="C106" s="81">
        <f>SUM(C107:C121)</f>
        <v>7310005018</v>
      </c>
      <c r="D106" s="81">
        <f>SUM(D107:D121)</f>
        <v>7459968951.700001</v>
      </c>
      <c r="E106" s="81">
        <f>SUM(E107:E121)</f>
        <v>1097346295.3200004</v>
      </c>
      <c r="F106" s="81">
        <f>SUM(F107:F121)</f>
        <v>5454612996.079999</v>
      </c>
      <c r="G106" s="49">
        <f t="shared" si="16"/>
        <v>8.453412493569184</v>
      </c>
      <c r="H106" s="81">
        <f t="shared" si="3"/>
        <v>2005355955.6200018</v>
      </c>
      <c r="I106" s="81">
        <f>SUM(I107:I121)</f>
        <v>1276293949.83</v>
      </c>
      <c r="J106" s="81">
        <f>SUM(J107:J121)</f>
        <v>5442188518.789999</v>
      </c>
      <c r="K106" s="49">
        <f t="shared" si="18"/>
        <v>8.50987959428341</v>
      </c>
      <c r="L106" s="84">
        <f t="shared" si="15"/>
        <v>2017780432.9100018</v>
      </c>
      <c r="M106" s="84">
        <f>SUM(M107:M121)</f>
        <v>12424477.29000017</v>
      </c>
    </row>
    <row r="107" spans="1:13" s="5" customFormat="1" ht="15">
      <c r="A107" s="50" t="s">
        <v>28</v>
      </c>
      <c r="B107" s="51" t="s">
        <v>33</v>
      </c>
      <c r="C107" s="82">
        <v>1978370265</v>
      </c>
      <c r="D107" s="82">
        <v>2002999442.86</v>
      </c>
      <c r="E107" s="82">
        <f>F107-1386741609.3</f>
        <v>305003303.11000013</v>
      </c>
      <c r="F107" s="82">
        <v>1691744912.41</v>
      </c>
      <c r="G107" s="54">
        <f t="shared" si="16"/>
        <v>2.6218207577286123</v>
      </c>
      <c r="H107" s="82">
        <f t="shared" si="3"/>
        <v>311254530.4499998</v>
      </c>
      <c r="I107" s="82">
        <f>J107-1311062612.61</f>
        <v>380240175.47</v>
      </c>
      <c r="J107" s="82">
        <v>1691302788.08</v>
      </c>
      <c r="K107" s="54">
        <f t="shared" si="18"/>
        <v>2.6446682312351575</v>
      </c>
      <c r="L107" s="85">
        <f t="shared" si="15"/>
        <v>311696654.78</v>
      </c>
      <c r="M107" s="85">
        <f aca="true" t="shared" si="19" ref="M107:M121">F107-J107</f>
        <v>442124.3300001621</v>
      </c>
    </row>
    <row r="108" spans="1:13" s="5" customFormat="1" ht="15">
      <c r="A108" s="50" t="s">
        <v>29</v>
      </c>
      <c r="B108" s="51" t="s">
        <v>34</v>
      </c>
      <c r="C108" s="82">
        <v>130000</v>
      </c>
      <c r="D108" s="82">
        <v>93831.64</v>
      </c>
      <c r="E108" s="82">
        <f>F108-0</f>
        <v>0</v>
      </c>
      <c r="F108" s="82">
        <v>0</v>
      </c>
      <c r="G108" s="54">
        <f t="shared" si="16"/>
        <v>0</v>
      </c>
      <c r="H108" s="82">
        <f t="shared" si="3"/>
        <v>93831.64</v>
      </c>
      <c r="I108" s="82">
        <f>J108-0</f>
        <v>0</v>
      </c>
      <c r="J108" s="82">
        <v>0</v>
      </c>
      <c r="K108" s="54">
        <f t="shared" si="18"/>
        <v>0</v>
      </c>
      <c r="L108" s="85">
        <f t="shared" si="15"/>
        <v>93831.64</v>
      </c>
      <c r="M108" s="85">
        <f t="shared" si="19"/>
        <v>0</v>
      </c>
    </row>
    <row r="109" spans="1:13" s="5" customFormat="1" ht="15">
      <c r="A109" s="50" t="s">
        <v>82</v>
      </c>
      <c r="B109" s="51" t="s">
        <v>84</v>
      </c>
      <c r="C109" s="82">
        <v>152952520</v>
      </c>
      <c r="D109" s="82">
        <v>122515951.65</v>
      </c>
      <c r="E109" s="82">
        <f>F109-37349786.4</f>
        <v>7821514.219999999</v>
      </c>
      <c r="F109" s="82">
        <v>45171300.62</v>
      </c>
      <c r="G109" s="54">
        <f t="shared" si="16"/>
        <v>0.07000526660393654</v>
      </c>
      <c r="H109" s="82">
        <f t="shared" si="3"/>
        <v>77344651.03</v>
      </c>
      <c r="I109" s="82">
        <f>J109-29907358.58</f>
        <v>15263942.04</v>
      </c>
      <c r="J109" s="82">
        <v>45171300.62</v>
      </c>
      <c r="K109" s="54">
        <f t="shared" si="18"/>
        <v>0.070633776846607</v>
      </c>
      <c r="L109" s="85">
        <f t="shared" si="15"/>
        <v>77344651.03</v>
      </c>
      <c r="M109" s="85">
        <f t="shared" si="19"/>
        <v>0</v>
      </c>
    </row>
    <row r="110" spans="1:13" s="5" customFormat="1" ht="15">
      <c r="A110" s="50" t="s">
        <v>67</v>
      </c>
      <c r="B110" s="51" t="s">
        <v>75</v>
      </c>
      <c r="C110" s="82">
        <v>29886178</v>
      </c>
      <c r="D110" s="82">
        <v>29886178</v>
      </c>
      <c r="E110" s="82">
        <f>F110-1687595.23</f>
        <v>319240.3300000001</v>
      </c>
      <c r="F110" s="82">
        <v>2006835.56</v>
      </c>
      <c r="G110" s="54">
        <f t="shared" si="16"/>
        <v>0.003110139767502234</v>
      </c>
      <c r="H110" s="82">
        <f t="shared" si="3"/>
        <v>27879342.44</v>
      </c>
      <c r="I110" s="82">
        <f>J110-1687595.23</f>
        <v>319240.3300000001</v>
      </c>
      <c r="J110" s="82">
        <v>2006835.56</v>
      </c>
      <c r="K110" s="54">
        <f t="shared" si="18"/>
        <v>0.003138062733799486</v>
      </c>
      <c r="L110" s="85">
        <f aca="true" t="shared" si="20" ref="L110:L126">D110-J110</f>
        <v>27879342.44</v>
      </c>
      <c r="M110" s="85">
        <f t="shared" si="19"/>
        <v>0</v>
      </c>
    </row>
    <row r="111" spans="1:13" s="5" customFormat="1" ht="15">
      <c r="A111" s="50" t="s">
        <v>68</v>
      </c>
      <c r="B111" s="51" t="s">
        <v>76</v>
      </c>
      <c r="C111" s="82">
        <v>14121490</v>
      </c>
      <c r="D111" s="82">
        <v>5430729.1</v>
      </c>
      <c r="E111" s="82">
        <f>F111-5367506.1</f>
        <v>-3039941.4599999995</v>
      </c>
      <c r="F111" s="82">
        <v>2327564.64</v>
      </c>
      <c r="G111" s="54">
        <f aca="true" t="shared" si="21" ref="G111:G126">(F111/$F$258)*100</f>
        <v>0.0036071970681524203</v>
      </c>
      <c r="H111" s="82">
        <f t="shared" si="3"/>
        <v>3103164.4599999995</v>
      </c>
      <c r="I111" s="82">
        <f>J111-2327564.64</f>
        <v>0</v>
      </c>
      <c r="J111" s="82">
        <v>2327564.64</v>
      </c>
      <c r="K111" s="54">
        <f t="shared" si="18"/>
        <v>0.0036395826359053632</v>
      </c>
      <c r="L111" s="85">
        <f t="shared" si="20"/>
        <v>3103164.4599999995</v>
      </c>
      <c r="M111" s="85">
        <f t="shared" si="19"/>
        <v>0</v>
      </c>
    </row>
    <row r="112" spans="1:13" s="5" customFormat="1" ht="15">
      <c r="A112" s="50" t="s">
        <v>238</v>
      </c>
      <c r="B112" s="51" t="s">
        <v>239</v>
      </c>
      <c r="C112" s="82">
        <v>2465500</v>
      </c>
      <c r="D112" s="82">
        <v>2265500</v>
      </c>
      <c r="E112" s="82">
        <f>F112-17540</f>
        <v>-17540</v>
      </c>
      <c r="F112" s="82">
        <v>0</v>
      </c>
      <c r="G112" s="54">
        <f t="shared" si="21"/>
        <v>0</v>
      </c>
      <c r="H112" s="82">
        <f t="shared" si="3"/>
        <v>2265500</v>
      </c>
      <c r="I112" s="82">
        <f>J112-0</f>
        <v>0</v>
      </c>
      <c r="J112" s="82">
        <v>0</v>
      </c>
      <c r="K112" s="54">
        <f t="shared" si="18"/>
        <v>0</v>
      </c>
      <c r="L112" s="85">
        <f t="shared" si="20"/>
        <v>2265500</v>
      </c>
      <c r="M112" s="85">
        <f t="shared" si="19"/>
        <v>0</v>
      </c>
    </row>
    <row r="113" spans="1:13" s="5" customFormat="1" ht="15">
      <c r="A113" s="50" t="s">
        <v>111</v>
      </c>
      <c r="B113" s="51" t="s">
        <v>118</v>
      </c>
      <c r="C113" s="82">
        <v>997721894</v>
      </c>
      <c r="D113" s="82">
        <v>896057847.51</v>
      </c>
      <c r="E113" s="82">
        <f>F113-626354453.85</f>
        <v>188628938.87</v>
      </c>
      <c r="F113" s="82">
        <v>814983392.72</v>
      </c>
      <c r="G113" s="54">
        <f t="shared" si="21"/>
        <v>1.2630393391835066</v>
      </c>
      <c r="H113" s="82">
        <f t="shared" si="3"/>
        <v>81074454.78999996</v>
      </c>
      <c r="I113" s="82">
        <f>J113-626354453.85</f>
        <v>188628938.87</v>
      </c>
      <c r="J113" s="82">
        <v>814983392.72</v>
      </c>
      <c r="K113" s="54">
        <f t="shared" si="18"/>
        <v>1.2743789597589665</v>
      </c>
      <c r="L113" s="85">
        <f t="shared" si="20"/>
        <v>81074454.78999996</v>
      </c>
      <c r="M113" s="85">
        <f t="shared" si="19"/>
        <v>0</v>
      </c>
    </row>
    <row r="114" spans="1:13" s="5" customFormat="1" ht="15">
      <c r="A114" s="50" t="s">
        <v>112</v>
      </c>
      <c r="B114" s="51" t="s">
        <v>119</v>
      </c>
      <c r="C114" s="82">
        <v>2128775229</v>
      </c>
      <c r="D114" s="82">
        <v>2375082214.26</v>
      </c>
      <c r="E114" s="82">
        <f>F114-1559656556.07</f>
        <v>421779181.59000015</v>
      </c>
      <c r="F114" s="82">
        <v>1981435737.66</v>
      </c>
      <c r="G114" s="54">
        <f t="shared" si="21"/>
        <v>3.070775806088711</v>
      </c>
      <c r="H114" s="82">
        <f t="shared" si="3"/>
        <v>393646476.60000014</v>
      </c>
      <c r="I114" s="82">
        <f>J114-1552437650.22</f>
        <v>428998087.44000006</v>
      </c>
      <c r="J114" s="82">
        <v>1981435737.66</v>
      </c>
      <c r="K114" s="54">
        <f t="shared" si="18"/>
        <v>3.09834536107649</v>
      </c>
      <c r="L114" s="85">
        <f t="shared" si="20"/>
        <v>393646476.60000014</v>
      </c>
      <c r="M114" s="85">
        <f t="shared" si="19"/>
        <v>0</v>
      </c>
    </row>
    <row r="115" spans="1:13" s="5" customFormat="1" ht="15">
      <c r="A115" s="50" t="s">
        <v>113</v>
      </c>
      <c r="B115" s="51" t="s">
        <v>120</v>
      </c>
      <c r="C115" s="82">
        <v>198434785</v>
      </c>
      <c r="D115" s="82">
        <v>76518086.99</v>
      </c>
      <c r="E115" s="82">
        <f>F115-27267884.13</f>
        <v>3460758.7699999996</v>
      </c>
      <c r="F115" s="82">
        <v>30728642.9</v>
      </c>
      <c r="G115" s="54">
        <f t="shared" si="21"/>
        <v>0.04762242417344107</v>
      </c>
      <c r="H115" s="82">
        <f t="shared" si="3"/>
        <v>45789444.089999996</v>
      </c>
      <c r="I115" s="82">
        <f>J115-16484738.77</f>
        <v>14243904.129999999</v>
      </c>
      <c r="J115" s="82">
        <v>30728642.9</v>
      </c>
      <c r="K115" s="54">
        <f t="shared" si="18"/>
        <v>0.048049980310654924</v>
      </c>
      <c r="L115" s="85">
        <f t="shared" si="20"/>
        <v>45789444.089999996</v>
      </c>
      <c r="M115" s="85">
        <f t="shared" si="19"/>
        <v>0</v>
      </c>
    </row>
    <row r="116" spans="1:13" s="5" customFormat="1" ht="15">
      <c r="A116" s="50" t="s">
        <v>114</v>
      </c>
      <c r="B116" s="51" t="s">
        <v>121</v>
      </c>
      <c r="C116" s="82">
        <v>376411228</v>
      </c>
      <c r="D116" s="82">
        <v>423603048.51</v>
      </c>
      <c r="E116" s="82">
        <f>F116-142958030.95</f>
        <v>52622929.160000026</v>
      </c>
      <c r="F116" s="82">
        <v>195580960.11</v>
      </c>
      <c r="G116" s="54">
        <f t="shared" si="21"/>
        <v>0.30310611089848294</v>
      </c>
      <c r="H116" s="82">
        <f t="shared" si="3"/>
        <v>228022088.39999998</v>
      </c>
      <c r="I116" s="82">
        <f>J116-128862176.32</f>
        <v>62936977.83000001</v>
      </c>
      <c r="J116" s="82">
        <v>191799154.15</v>
      </c>
      <c r="K116" s="54">
        <f t="shared" si="18"/>
        <v>0.2999138494498164</v>
      </c>
      <c r="L116" s="85">
        <f t="shared" si="20"/>
        <v>231803894.35999998</v>
      </c>
      <c r="M116" s="85">
        <f t="shared" si="19"/>
        <v>3781805.9600000083</v>
      </c>
    </row>
    <row r="117" spans="1:13" s="5" customFormat="1" ht="15">
      <c r="A117" s="50" t="s">
        <v>115</v>
      </c>
      <c r="B117" s="51" t="s">
        <v>122</v>
      </c>
      <c r="C117" s="82">
        <v>17893064</v>
      </c>
      <c r="D117" s="82">
        <v>28153226.95</v>
      </c>
      <c r="E117" s="82">
        <f>F117-9197401.54</f>
        <v>1918697.960000001</v>
      </c>
      <c r="F117" s="82">
        <v>11116099.5</v>
      </c>
      <c r="G117" s="54">
        <f t="shared" si="21"/>
        <v>0.017227431984742036</v>
      </c>
      <c r="H117" s="82">
        <f t="shared" si="3"/>
        <v>17037127.45</v>
      </c>
      <c r="I117" s="82">
        <f>J117-7149277.18</f>
        <v>3966822.3200000003</v>
      </c>
      <c r="J117" s="82">
        <v>11116099.5</v>
      </c>
      <c r="K117" s="54">
        <f t="shared" si="18"/>
        <v>0.01738210059729911</v>
      </c>
      <c r="L117" s="85">
        <f t="shared" si="20"/>
        <v>17037127.45</v>
      </c>
      <c r="M117" s="85">
        <f t="shared" si="19"/>
        <v>0</v>
      </c>
    </row>
    <row r="118" spans="1:13" s="5" customFormat="1" ht="15">
      <c r="A118" s="50" t="s">
        <v>116</v>
      </c>
      <c r="B118" s="51" t="s">
        <v>123</v>
      </c>
      <c r="C118" s="82">
        <v>35603773</v>
      </c>
      <c r="D118" s="82">
        <v>36815028.42</v>
      </c>
      <c r="E118" s="82">
        <f>F118-4754.5</f>
        <v>1113336.85</v>
      </c>
      <c r="F118" s="82">
        <v>1118091.35</v>
      </c>
      <c r="G118" s="54">
        <f t="shared" si="21"/>
        <v>0.001732787897846129</v>
      </c>
      <c r="H118" s="82">
        <f t="shared" si="3"/>
        <v>35696937.07</v>
      </c>
      <c r="I118" s="82">
        <f>J118-4754.5</f>
        <v>1113336.85</v>
      </c>
      <c r="J118" s="82">
        <v>1118091.35</v>
      </c>
      <c r="K118" s="54">
        <f t="shared" si="18"/>
        <v>0.001748344940837384</v>
      </c>
      <c r="L118" s="85">
        <f t="shared" si="20"/>
        <v>35696937.07</v>
      </c>
      <c r="M118" s="85">
        <f t="shared" si="19"/>
        <v>0</v>
      </c>
    </row>
    <row r="119" spans="1:13" s="5" customFormat="1" ht="15">
      <c r="A119" s="50" t="s">
        <v>251</v>
      </c>
      <c r="B119" s="51" t="s">
        <v>252</v>
      </c>
      <c r="C119" s="82">
        <v>1240620786</v>
      </c>
      <c r="D119" s="82">
        <v>1313736404.18</v>
      </c>
      <c r="E119" s="82">
        <f>F119-454263899.12</f>
        <v>95434112.84000003</v>
      </c>
      <c r="F119" s="82">
        <v>549698011.96</v>
      </c>
      <c r="G119" s="54">
        <f t="shared" si="21"/>
        <v>0.8519071921935221</v>
      </c>
      <c r="H119" s="82">
        <f t="shared" si="3"/>
        <v>764038392.22</v>
      </c>
      <c r="I119" s="82">
        <f>J119-383317950.16</f>
        <v>158179514.8</v>
      </c>
      <c r="J119" s="82">
        <v>541497464.96</v>
      </c>
      <c r="K119" s="54">
        <f t="shared" si="18"/>
        <v>0.8467325620031713</v>
      </c>
      <c r="L119" s="85">
        <f t="shared" si="20"/>
        <v>772238939.22</v>
      </c>
      <c r="M119" s="85">
        <f t="shared" si="19"/>
        <v>8200547</v>
      </c>
    </row>
    <row r="120" spans="1:13" s="5" customFormat="1" ht="15">
      <c r="A120" s="50" t="s">
        <v>117</v>
      </c>
      <c r="B120" s="51" t="s">
        <v>124</v>
      </c>
      <c r="C120" s="82">
        <v>2313306</v>
      </c>
      <c r="D120" s="82">
        <v>2592247.86</v>
      </c>
      <c r="E120" s="82">
        <f>F120-697560.11</f>
        <v>130763.07999999996</v>
      </c>
      <c r="F120" s="82">
        <v>828323.19</v>
      </c>
      <c r="G120" s="54">
        <f t="shared" si="21"/>
        <v>0.001283712998170766</v>
      </c>
      <c r="H120" s="82">
        <f t="shared" si="3"/>
        <v>1763924.67</v>
      </c>
      <c r="I120" s="82">
        <f>J120-596313.44</f>
        <v>232009.75</v>
      </c>
      <c r="J120" s="82">
        <v>828323.19</v>
      </c>
      <c r="K120" s="54">
        <f t="shared" si="18"/>
        <v>0.0012952382277304827</v>
      </c>
      <c r="L120" s="85">
        <f t="shared" si="20"/>
        <v>1763924.67</v>
      </c>
      <c r="M120" s="85">
        <f t="shared" si="19"/>
        <v>0</v>
      </c>
    </row>
    <row r="121" spans="1:13" s="5" customFormat="1" ht="15">
      <c r="A121" s="50" t="s">
        <v>97</v>
      </c>
      <c r="B121" s="51" t="s">
        <v>241</v>
      </c>
      <c r="C121" s="82">
        <v>134305000</v>
      </c>
      <c r="D121" s="82">
        <v>144219213.77</v>
      </c>
      <c r="E121" s="82">
        <f>F121-105702123.46</f>
        <v>22171000</v>
      </c>
      <c r="F121" s="82">
        <v>127873123.46</v>
      </c>
      <c r="G121" s="54">
        <f t="shared" si="21"/>
        <v>0.19817432698255996</v>
      </c>
      <c r="H121" s="82">
        <f>D121-F121</f>
        <v>16346090.310000017</v>
      </c>
      <c r="I121" s="82">
        <f>J121-105702123.46</f>
        <v>22171000</v>
      </c>
      <c r="J121" s="82">
        <v>127873123.46</v>
      </c>
      <c r="K121" s="54">
        <f t="shared" si="18"/>
        <v>0.19995354446697505</v>
      </c>
      <c r="L121" s="85">
        <f t="shared" si="20"/>
        <v>16346090.310000017</v>
      </c>
      <c r="M121" s="85">
        <f t="shared" si="19"/>
        <v>0</v>
      </c>
    </row>
    <row r="122" spans="1:13" s="5" customFormat="1" ht="15">
      <c r="A122" s="45" t="s">
        <v>125</v>
      </c>
      <c r="B122" s="48" t="s">
        <v>126</v>
      </c>
      <c r="C122" s="81">
        <f>SUM(C123:C126)</f>
        <v>323376667</v>
      </c>
      <c r="D122" s="81">
        <f>SUM(D123:D126)</f>
        <v>487698326.92999995</v>
      </c>
      <c r="E122" s="81">
        <f>SUM(E123:E126)</f>
        <v>120022173.80999999</v>
      </c>
      <c r="F122" s="81">
        <f>SUM(F123:F126)</f>
        <v>193620768.82</v>
      </c>
      <c r="G122" s="49">
        <f t="shared" si="21"/>
        <v>0.30006825916590724</v>
      </c>
      <c r="H122" s="81">
        <f t="shared" si="3"/>
        <v>294077558.10999995</v>
      </c>
      <c r="I122" s="81">
        <f>SUM(I123:I126)</f>
        <v>115824870.03999999</v>
      </c>
      <c r="J122" s="81">
        <f>SUM(J123:J126)</f>
        <v>181183768.82</v>
      </c>
      <c r="K122" s="49">
        <f t="shared" si="18"/>
        <v>0.283314709105206</v>
      </c>
      <c r="L122" s="84">
        <f t="shared" si="20"/>
        <v>306514558.10999995</v>
      </c>
      <c r="M122" s="84">
        <f>SUM(M123:M126)</f>
        <v>12437000</v>
      </c>
    </row>
    <row r="123" spans="1:13" s="5" customFormat="1" ht="15">
      <c r="A123" s="50" t="s">
        <v>28</v>
      </c>
      <c r="B123" s="51" t="s">
        <v>33</v>
      </c>
      <c r="C123" s="82">
        <v>155062825</v>
      </c>
      <c r="D123" s="82">
        <v>161140057.09</v>
      </c>
      <c r="E123" s="82">
        <f>F123-60133044.82</f>
        <v>16791816.749999993</v>
      </c>
      <c r="F123" s="82">
        <v>76924861.57</v>
      </c>
      <c r="G123" s="54">
        <f t="shared" si="21"/>
        <v>0.11921608120122272</v>
      </c>
      <c r="H123" s="82">
        <f t="shared" si="3"/>
        <v>84215195.52000001</v>
      </c>
      <c r="I123" s="82">
        <f>J123-58349261.8</f>
        <v>18575599.769999996</v>
      </c>
      <c r="J123" s="82">
        <v>76924861.57</v>
      </c>
      <c r="K123" s="54">
        <f t="shared" si="18"/>
        <v>0.12028640821747306</v>
      </c>
      <c r="L123" s="85">
        <f t="shared" si="20"/>
        <v>84215195.52000001</v>
      </c>
      <c r="M123" s="84">
        <f>F123-J123</f>
        <v>0</v>
      </c>
    </row>
    <row r="124" spans="1:13" s="5" customFormat="1" ht="15">
      <c r="A124" s="50" t="s">
        <v>127</v>
      </c>
      <c r="B124" s="51" t="s">
        <v>128</v>
      </c>
      <c r="C124" s="82">
        <v>25662465</v>
      </c>
      <c r="D124" s="82">
        <v>25647465</v>
      </c>
      <c r="E124" s="82">
        <f>F124-0</f>
        <v>718.79</v>
      </c>
      <c r="F124" s="82">
        <v>718.79</v>
      </c>
      <c r="G124" s="54">
        <f t="shared" si="21"/>
        <v>1.1139614067247894E-06</v>
      </c>
      <c r="H124" s="82">
        <f t="shared" si="3"/>
        <v>25646746.21</v>
      </c>
      <c r="I124" s="82">
        <f>J124-0</f>
        <v>718.79</v>
      </c>
      <c r="J124" s="82">
        <v>718.79</v>
      </c>
      <c r="K124" s="54">
        <f t="shared" si="18"/>
        <v>1.1239625993211584E-06</v>
      </c>
      <c r="L124" s="85">
        <f t="shared" si="20"/>
        <v>25646746.21</v>
      </c>
      <c r="M124" s="84">
        <f>F124-J124</f>
        <v>0</v>
      </c>
    </row>
    <row r="125" spans="1:13" s="5" customFormat="1" ht="15">
      <c r="A125" s="50" t="s">
        <v>117</v>
      </c>
      <c r="B125" s="51" t="s">
        <v>124</v>
      </c>
      <c r="C125" s="82">
        <v>136381575</v>
      </c>
      <c r="D125" s="82">
        <v>294841002.84</v>
      </c>
      <c r="E125" s="82">
        <f>F125-13245550.19</f>
        <v>103449638.27</v>
      </c>
      <c r="F125" s="82">
        <v>116695188.46</v>
      </c>
      <c r="G125" s="54">
        <f t="shared" si="21"/>
        <v>0.18085106400327775</v>
      </c>
      <c r="H125" s="82">
        <f t="shared" si="3"/>
        <v>178145814.38</v>
      </c>
      <c r="I125" s="82">
        <f>J125-7009636.98</f>
        <v>97248551.47999999</v>
      </c>
      <c r="J125" s="82">
        <v>104258188.46</v>
      </c>
      <c r="K125" s="54">
        <f t="shared" si="18"/>
        <v>0.1630271769251336</v>
      </c>
      <c r="L125" s="85">
        <f t="shared" si="20"/>
        <v>190582814.38</v>
      </c>
      <c r="M125" s="85">
        <f>F125-J125</f>
        <v>12437000</v>
      </c>
    </row>
    <row r="126" spans="1:13" s="5" customFormat="1" ht="15">
      <c r="A126" s="56" t="s">
        <v>185</v>
      </c>
      <c r="B126" s="57" t="s">
        <v>186</v>
      </c>
      <c r="C126" s="83">
        <v>6269802</v>
      </c>
      <c r="D126" s="83">
        <v>6069802</v>
      </c>
      <c r="E126" s="83">
        <f>F126-220000</f>
        <v>-220000</v>
      </c>
      <c r="F126" s="83">
        <v>0</v>
      </c>
      <c r="G126" s="58">
        <f t="shared" si="21"/>
        <v>0</v>
      </c>
      <c r="H126" s="83">
        <f t="shared" si="3"/>
        <v>6069802</v>
      </c>
      <c r="I126" s="83">
        <f>J126-0</f>
        <v>0</v>
      </c>
      <c r="J126" s="83">
        <v>0</v>
      </c>
      <c r="K126" s="58">
        <f t="shared" si="18"/>
        <v>0</v>
      </c>
      <c r="L126" s="87">
        <f t="shared" si="20"/>
        <v>6069802</v>
      </c>
      <c r="M126" s="84">
        <f>F126-J126</f>
        <v>0</v>
      </c>
    </row>
    <row r="127" spans="1:13" s="5" customFormat="1" ht="15">
      <c r="A127" s="59"/>
      <c r="B127" s="60"/>
      <c r="C127" s="61"/>
      <c r="D127" s="61"/>
      <c r="E127" s="61"/>
      <c r="F127" s="61"/>
      <c r="G127" s="62"/>
      <c r="H127" s="61"/>
      <c r="I127" s="61"/>
      <c r="J127" s="61"/>
      <c r="K127" s="62"/>
      <c r="L127" s="63"/>
      <c r="M127" s="102" t="s">
        <v>228</v>
      </c>
    </row>
    <row r="128" spans="1:13" s="5" customFormat="1" ht="13.5" customHeight="1">
      <c r="A128" s="29"/>
      <c r="B128" s="26"/>
      <c r="C128" s="30"/>
      <c r="D128" s="30"/>
      <c r="E128" s="30"/>
      <c r="F128" s="30"/>
      <c r="G128" s="31"/>
      <c r="H128" s="30"/>
      <c r="I128" s="30"/>
      <c r="J128" s="30"/>
      <c r="K128" s="31"/>
      <c r="L128" s="30"/>
      <c r="M128" s="30"/>
    </row>
    <row r="129" spans="1:13" s="5" customFormat="1" ht="15.75">
      <c r="A129" s="29"/>
      <c r="B129" s="26"/>
      <c r="C129" s="30"/>
      <c r="D129" s="30"/>
      <c r="E129" s="30"/>
      <c r="F129" s="30"/>
      <c r="G129" s="31"/>
      <c r="H129" s="30"/>
      <c r="I129" s="30"/>
      <c r="J129" s="30"/>
      <c r="K129" s="31"/>
      <c r="L129" s="30"/>
      <c r="M129" s="30"/>
    </row>
    <row r="130" spans="1:13" s="5" customFormat="1" ht="15.75">
      <c r="A130" s="29"/>
      <c r="B130" s="26"/>
      <c r="C130" s="30"/>
      <c r="D130" s="30"/>
      <c r="E130" s="30"/>
      <c r="F130" s="30"/>
      <c r="G130" s="31"/>
      <c r="H130" s="30"/>
      <c r="I130" s="30"/>
      <c r="J130" s="30"/>
      <c r="K130" s="31"/>
      <c r="L130" s="30"/>
      <c r="M130" s="6"/>
    </row>
    <row r="131" spans="1:13" s="5" customFormat="1" ht="17.25" customHeight="1">
      <c r="A131" s="29"/>
      <c r="B131" s="26"/>
      <c r="C131" s="30"/>
      <c r="D131" s="30"/>
      <c r="E131" s="30"/>
      <c r="F131" s="30"/>
      <c r="G131" s="31"/>
      <c r="H131" s="30"/>
      <c r="I131" s="30"/>
      <c r="J131" s="30"/>
      <c r="K131" s="31"/>
      <c r="L131" s="23"/>
      <c r="M131" s="23" t="s">
        <v>157</v>
      </c>
    </row>
    <row r="132" spans="1:13" s="5" customFormat="1" ht="15.75">
      <c r="A132" s="107" t="s">
        <v>14</v>
      </c>
      <c r="B132" s="107"/>
      <c r="C132" s="107"/>
      <c r="D132" s="107"/>
      <c r="E132" s="107"/>
      <c r="F132" s="107"/>
      <c r="G132" s="107"/>
      <c r="H132" s="107"/>
      <c r="I132" s="107"/>
      <c r="J132" s="107"/>
      <c r="K132" s="107"/>
      <c r="L132" s="107"/>
      <c r="M132" s="107"/>
    </row>
    <row r="133" spans="1:13" s="5" customFormat="1" ht="15.75">
      <c r="A133" s="107" t="s">
        <v>0</v>
      </c>
      <c r="B133" s="107"/>
      <c r="C133" s="107"/>
      <c r="D133" s="107"/>
      <c r="E133" s="107"/>
      <c r="F133" s="107"/>
      <c r="G133" s="107"/>
      <c r="H133" s="107"/>
      <c r="I133" s="107"/>
      <c r="J133" s="107"/>
      <c r="K133" s="107"/>
      <c r="L133" s="107"/>
      <c r="M133" s="107"/>
    </row>
    <row r="134" spans="1:13" s="5" customFormat="1" ht="15.75">
      <c r="A134" s="117" t="s">
        <v>1</v>
      </c>
      <c r="B134" s="117"/>
      <c r="C134" s="117"/>
      <c r="D134" s="117"/>
      <c r="E134" s="117"/>
      <c r="F134" s="117"/>
      <c r="G134" s="117"/>
      <c r="H134" s="117"/>
      <c r="I134" s="117"/>
      <c r="J134" s="117"/>
      <c r="K134" s="117"/>
      <c r="L134" s="117"/>
      <c r="M134" s="117"/>
    </row>
    <row r="135" spans="1:13" s="5" customFormat="1" ht="15.75">
      <c r="A135" s="107" t="s">
        <v>2</v>
      </c>
      <c r="B135" s="107"/>
      <c r="C135" s="107"/>
      <c r="D135" s="107"/>
      <c r="E135" s="107"/>
      <c r="F135" s="107"/>
      <c r="G135" s="107"/>
      <c r="H135" s="107"/>
      <c r="I135" s="107"/>
      <c r="J135" s="107"/>
      <c r="K135" s="107"/>
      <c r="L135" s="107"/>
      <c r="M135" s="107"/>
    </row>
    <row r="136" spans="1:13" s="5" customFormat="1" ht="15.75">
      <c r="A136" s="107" t="str">
        <f>A8</f>
        <v>JANEIRO A DEZEMBRO 2020/BIMESTRE NOVEMBRO-DEZEMBRO</v>
      </c>
      <c r="B136" s="107"/>
      <c r="C136" s="107"/>
      <c r="D136" s="107"/>
      <c r="E136" s="107"/>
      <c r="F136" s="107"/>
      <c r="G136" s="107"/>
      <c r="H136" s="107"/>
      <c r="I136" s="107"/>
      <c r="J136" s="107"/>
      <c r="K136" s="107"/>
      <c r="L136" s="107"/>
      <c r="M136" s="107"/>
    </row>
    <row r="137" spans="1:13" s="5" customFormat="1" ht="15.75">
      <c r="A137" s="22"/>
      <c r="B137" s="22"/>
      <c r="C137" s="22"/>
      <c r="D137" s="22"/>
      <c r="E137" s="22"/>
      <c r="F137" s="22"/>
      <c r="G137" s="22"/>
      <c r="H137" s="22"/>
      <c r="I137" s="22"/>
      <c r="J137" s="22"/>
      <c r="K137" s="22"/>
      <c r="L137" s="23"/>
      <c r="M137" s="6" t="str">
        <f>M9</f>
        <v>Emissão: 22/01/2021</v>
      </c>
    </row>
    <row r="138" spans="1:13" s="5" customFormat="1" ht="15.75">
      <c r="A138" s="25" t="s">
        <v>240</v>
      </c>
      <c r="B138" s="24"/>
      <c r="C138" s="26"/>
      <c r="D138" s="24"/>
      <c r="E138" s="24"/>
      <c r="F138" s="27"/>
      <c r="G138" s="27"/>
      <c r="H138" s="27"/>
      <c r="I138" s="24"/>
      <c r="J138" s="24"/>
      <c r="K138" s="23"/>
      <c r="L138" s="28"/>
      <c r="M138" s="28">
        <v>1</v>
      </c>
    </row>
    <row r="139" spans="1:13" s="5" customFormat="1" ht="18" customHeight="1">
      <c r="A139" s="9"/>
      <c r="B139" s="10"/>
      <c r="C139" s="11" t="s">
        <v>3</v>
      </c>
      <c r="D139" s="11" t="s">
        <v>3</v>
      </c>
      <c r="E139" s="111" t="s">
        <v>4</v>
      </c>
      <c r="F139" s="112"/>
      <c r="G139" s="113"/>
      <c r="H139" s="11" t="s">
        <v>18</v>
      </c>
      <c r="I139" s="111" t="s">
        <v>5</v>
      </c>
      <c r="J139" s="112"/>
      <c r="K139" s="113"/>
      <c r="L139" s="12" t="s">
        <v>18</v>
      </c>
      <c r="M139" s="114" t="s">
        <v>281</v>
      </c>
    </row>
    <row r="140" spans="1:13" s="5" customFormat="1" ht="14.25" customHeight="1">
      <c r="A140" s="13" t="s">
        <v>23</v>
      </c>
      <c r="B140" s="14" t="s">
        <v>6</v>
      </c>
      <c r="C140" s="14" t="s">
        <v>7</v>
      </c>
      <c r="D140" s="14" t="s">
        <v>8</v>
      </c>
      <c r="E140" s="14" t="s">
        <v>9</v>
      </c>
      <c r="F140" s="14" t="s">
        <v>10</v>
      </c>
      <c r="G140" s="14" t="s">
        <v>11</v>
      </c>
      <c r="H140" s="15"/>
      <c r="I140" s="14" t="s">
        <v>9</v>
      </c>
      <c r="J140" s="14" t="s">
        <v>10</v>
      </c>
      <c r="K140" s="14" t="s">
        <v>11</v>
      </c>
      <c r="L140" s="16"/>
      <c r="M140" s="115"/>
    </row>
    <row r="141" spans="1:13" s="5" customFormat="1" ht="45.75" customHeight="1">
      <c r="A141" s="17"/>
      <c r="B141" s="18"/>
      <c r="C141" s="18"/>
      <c r="D141" s="19" t="s">
        <v>12</v>
      </c>
      <c r="E141" s="19"/>
      <c r="F141" s="19" t="s">
        <v>13</v>
      </c>
      <c r="G141" s="19" t="s">
        <v>17</v>
      </c>
      <c r="H141" s="20" t="s">
        <v>19</v>
      </c>
      <c r="I141" s="19"/>
      <c r="J141" s="19" t="s">
        <v>20</v>
      </c>
      <c r="K141" s="19" t="s">
        <v>21</v>
      </c>
      <c r="L141" s="21" t="s">
        <v>22</v>
      </c>
      <c r="M141" s="116"/>
    </row>
    <row r="142" spans="1:13" s="5" customFormat="1" ht="15">
      <c r="A142" s="45" t="s">
        <v>129</v>
      </c>
      <c r="B142" s="48" t="s">
        <v>130</v>
      </c>
      <c r="C142" s="81">
        <f>SUM(C143:C149)</f>
        <v>198531068</v>
      </c>
      <c r="D142" s="81">
        <f>SUM(D143:D149)</f>
        <v>291957433.01</v>
      </c>
      <c r="E142" s="81">
        <f>SUM(E143:E149)</f>
        <v>54582504.599999994</v>
      </c>
      <c r="F142" s="81">
        <f>SUM(F143:F149)</f>
        <v>222511913.68</v>
      </c>
      <c r="G142" s="49">
        <f aca="true" t="shared" si="22" ref="G142:G149">(F142/$F$258)*100</f>
        <v>0.34484297830520416</v>
      </c>
      <c r="H142" s="81">
        <f aca="true" t="shared" si="23" ref="H142:H149">D142-F142</f>
        <v>69445519.32999998</v>
      </c>
      <c r="I142" s="81">
        <f>SUM(I143:I149)</f>
        <v>56104728.06</v>
      </c>
      <c r="J142" s="81">
        <f>SUM(J143:J149)</f>
        <v>222511913.68</v>
      </c>
      <c r="K142" s="49">
        <f aca="true" t="shared" si="24" ref="K142:K149">(J142/$J$258)*100</f>
        <v>0.34793899314083115</v>
      </c>
      <c r="L142" s="84">
        <f aca="true" t="shared" si="25" ref="L142:L173">D142-J142</f>
        <v>69445519.32999998</v>
      </c>
      <c r="M142" s="84">
        <f>SUM(M143:M149)</f>
        <v>0</v>
      </c>
    </row>
    <row r="143" spans="1:13" s="5" customFormat="1" ht="15">
      <c r="A143" s="50" t="s">
        <v>28</v>
      </c>
      <c r="B143" s="51" t="s">
        <v>33</v>
      </c>
      <c r="C143" s="82">
        <v>52057844</v>
      </c>
      <c r="D143" s="82">
        <v>61566032.14</v>
      </c>
      <c r="E143" s="82">
        <f>F143-31652929.34</f>
        <v>8899062.099999998</v>
      </c>
      <c r="F143" s="82">
        <v>40551991.44</v>
      </c>
      <c r="G143" s="54">
        <f t="shared" si="22"/>
        <v>0.06284638549505978</v>
      </c>
      <c r="H143" s="82">
        <f t="shared" si="23"/>
        <v>21014040.700000003</v>
      </c>
      <c r="I143" s="82">
        <f>J143-31286612.89</f>
        <v>9265378.549999997</v>
      </c>
      <c r="J143" s="82">
        <v>40551991.44</v>
      </c>
      <c r="K143" s="54">
        <f t="shared" si="24"/>
        <v>0.06341062300053112</v>
      </c>
      <c r="L143" s="85">
        <f t="shared" si="25"/>
        <v>21014040.700000003</v>
      </c>
      <c r="M143" s="84">
        <f aca="true" t="shared" si="26" ref="M143:M149">F143-J143</f>
        <v>0</v>
      </c>
    </row>
    <row r="144" spans="1:13" s="5" customFormat="1" ht="15">
      <c r="A144" s="50" t="s">
        <v>49</v>
      </c>
      <c r="B144" s="51" t="s">
        <v>56</v>
      </c>
      <c r="C144" s="82">
        <v>114375503</v>
      </c>
      <c r="D144" s="82">
        <v>186276916.26</v>
      </c>
      <c r="E144" s="82">
        <f>F144-132790178</f>
        <v>45639346.78</v>
      </c>
      <c r="F144" s="82">
        <v>178429524.78</v>
      </c>
      <c r="G144" s="54">
        <f t="shared" si="22"/>
        <v>0.27652527779346464</v>
      </c>
      <c r="H144" s="82">
        <f t="shared" si="23"/>
        <v>7847391.479999989</v>
      </c>
      <c r="I144" s="82">
        <f>J144-132273189.44</f>
        <v>46156335.34</v>
      </c>
      <c r="J144" s="82">
        <v>178429524.78</v>
      </c>
      <c r="K144" s="54">
        <f t="shared" si="24"/>
        <v>0.2790079334261298</v>
      </c>
      <c r="L144" s="85">
        <f t="shared" si="25"/>
        <v>7847391.479999989</v>
      </c>
      <c r="M144" s="84">
        <f t="shared" si="26"/>
        <v>0</v>
      </c>
    </row>
    <row r="145" spans="1:13" s="5" customFormat="1" ht="15">
      <c r="A145" s="50" t="s">
        <v>52</v>
      </c>
      <c r="B145" s="51" t="s">
        <v>59</v>
      </c>
      <c r="C145" s="82">
        <v>823576</v>
      </c>
      <c r="D145" s="82">
        <v>823576</v>
      </c>
      <c r="E145" s="82">
        <f>F145-0</f>
        <v>0</v>
      </c>
      <c r="F145" s="82">
        <v>0</v>
      </c>
      <c r="G145" s="54">
        <f t="shared" si="22"/>
        <v>0</v>
      </c>
      <c r="H145" s="82">
        <f t="shared" si="23"/>
        <v>823576</v>
      </c>
      <c r="I145" s="82">
        <f>J145-0</f>
        <v>0</v>
      </c>
      <c r="J145" s="82">
        <v>0</v>
      </c>
      <c r="K145" s="54">
        <f t="shared" si="24"/>
        <v>0</v>
      </c>
      <c r="L145" s="85">
        <f t="shared" si="25"/>
        <v>823576</v>
      </c>
      <c r="M145" s="84">
        <f t="shared" si="26"/>
        <v>0</v>
      </c>
    </row>
    <row r="146" spans="1:13" s="5" customFormat="1" ht="15">
      <c r="A146" s="50" t="s">
        <v>131</v>
      </c>
      <c r="B146" s="51" t="s">
        <v>132</v>
      </c>
      <c r="C146" s="82">
        <v>303799</v>
      </c>
      <c r="D146" s="82">
        <v>303799</v>
      </c>
      <c r="E146" s="82">
        <f>F146-0</f>
        <v>0</v>
      </c>
      <c r="F146" s="82">
        <v>0</v>
      </c>
      <c r="G146" s="54">
        <f t="shared" si="22"/>
        <v>0</v>
      </c>
      <c r="H146" s="82">
        <f t="shared" si="23"/>
        <v>303799</v>
      </c>
      <c r="I146" s="82">
        <f>J146-0</f>
        <v>0</v>
      </c>
      <c r="J146" s="82">
        <v>0</v>
      </c>
      <c r="K146" s="54">
        <f t="shared" si="24"/>
        <v>0</v>
      </c>
      <c r="L146" s="85">
        <f t="shared" si="25"/>
        <v>303799</v>
      </c>
      <c r="M146" s="84">
        <f t="shared" si="26"/>
        <v>0</v>
      </c>
    </row>
    <row r="147" spans="1:13" s="5" customFormat="1" ht="15">
      <c r="A147" s="50" t="s">
        <v>251</v>
      </c>
      <c r="B147" s="51" t="s">
        <v>252</v>
      </c>
      <c r="C147" s="82">
        <v>0</v>
      </c>
      <c r="D147" s="82">
        <v>0</v>
      </c>
      <c r="E147" s="82">
        <f>F147-0</f>
        <v>0</v>
      </c>
      <c r="F147" s="82">
        <v>0</v>
      </c>
      <c r="G147" s="54">
        <f t="shared" si="22"/>
        <v>0</v>
      </c>
      <c r="H147" s="82">
        <f t="shared" si="23"/>
        <v>0</v>
      </c>
      <c r="I147" s="82">
        <f>J147-0</f>
        <v>0</v>
      </c>
      <c r="J147" s="82">
        <v>0</v>
      </c>
      <c r="K147" s="54">
        <f t="shared" si="24"/>
        <v>0</v>
      </c>
      <c r="L147" s="85">
        <f t="shared" si="25"/>
        <v>0</v>
      </c>
      <c r="M147" s="84">
        <f t="shared" si="26"/>
        <v>0</v>
      </c>
    </row>
    <row r="148" spans="1:13" s="5" customFormat="1" ht="15">
      <c r="A148" s="50" t="s">
        <v>127</v>
      </c>
      <c r="B148" s="51" t="s">
        <v>273</v>
      </c>
      <c r="C148" s="82">
        <v>5000</v>
      </c>
      <c r="D148" s="82">
        <v>5000</v>
      </c>
      <c r="E148" s="82">
        <f>F148-0</f>
        <v>0</v>
      </c>
      <c r="F148" s="82">
        <v>0</v>
      </c>
      <c r="G148" s="54">
        <f t="shared" si="22"/>
        <v>0</v>
      </c>
      <c r="H148" s="82">
        <f t="shared" si="23"/>
        <v>5000</v>
      </c>
      <c r="I148" s="82">
        <f>J148-0</f>
        <v>0</v>
      </c>
      <c r="J148" s="82">
        <v>0</v>
      </c>
      <c r="K148" s="54">
        <f t="shared" si="24"/>
        <v>0</v>
      </c>
      <c r="L148" s="85">
        <f t="shared" si="25"/>
        <v>5000</v>
      </c>
      <c r="M148" s="84">
        <f t="shared" si="26"/>
        <v>0</v>
      </c>
    </row>
    <row r="149" spans="1:13" s="5" customFormat="1" ht="15">
      <c r="A149" s="59" t="s">
        <v>53</v>
      </c>
      <c r="B149" s="64" t="s">
        <v>60</v>
      </c>
      <c r="C149" s="85">
        <v>30965346</v>
      </c>
      <c r="D149" s="85">
        <v>42982109.61</v>
      </c>
      <c r="E149" s="85">
        <f>F149-3486301.74</f>
        <v>44095.71999999974</v>
      </c>
      <c r="F149" s="85">
        <v>3530397.46</v>
      </c>
      <c r="G149" s="65">
        <f t="shared" si="22"/>
        <v>0.00547131501667973</v>
      </c>
      <c r="H149" s="85">
        <f t="shared" si="23"/>
        <v>39451712.15</v>
      </c>
      <c r="I149" s="85">
        <f>J149-2847383.29</f>
        <v>683014.1699999999</v>
      </c>
      <c r="J149" s="85">
        <v>3530397.46</v>
      </c>
      <c r="K149" s="65">
        <f t="shared" si="24"/>
        <v>0.005520436714170223</v>
      </c>
      <c r="L149" s="85">
        <f t="shared" si="25"/>
        <v>39451712.15</v>
      </c>
      <c r="M149" s="84">
        <f t="shared" si="26"/>
        <v>0</v>
      </c>
    </row>
    <row r="150" spans="1:13" s="5" customFormat="1" ht="15">
      <c r="A150" s="45" t="s">
        <v>133</v>
      </c>
      <c r="B150" s="48" t="s">
        <v>134</v>
      </c>
      <c r="C150" s="81">
        <f>SUM(C151:C153)</f>
        <v>440859715</v>
      </c>
      <c r="D150" s="81">
        <f>SUM(D151:D153)</f>
        <v>463657233.17</v>
      </c>
      <c r="E150" s="81">
        <f>SUM(E151:E152)</f>
        <v>24366353.03</v>
      </c>
      <c r="F150" s="81">
        <f>SUM(F151:F152)</f>
        <v>55496769.08</v>
      </c>
      <c r="G150" s="49">
        <f aca="true" t="shared" si="27" ref="G150:G181">(F150/$F$258)*100</f>
        <v>0.0860073998706682</v>
      </c>
      <c r="H150" s="81">
        <f aca="true" t="shared" si="28" ref="H150:H167">D150-F150</f>
        <v>408160464.09000003</v>
      </c>
      <c r="I150" s="81">
        <f>SUM(I151:I152)</f>
        <v>21871748.28</v>
      </c>
      <c r="J150" s="81">
        <f>SUM(J151:J152)</f>
        <v>50970834.5</v>
      </c>
      <c r="K150" s="49">
        <f aca="true" t="shared" si="29" ref="K150:K181">(J150/$J$258)*100</f>
        <v>0.07970243274696166</v>
      </c>
      <c r="L150" s="84">
        <f t="shared" si="25"/>
        <v>412686398.67</v>
      </c>
      <c r="M150" s="84">
        <f>SUM(M151:M153)</f>
        <v>4525934.580000002</v>
      </c>
    </row>
    <row r="151" spans="1:13" s="5" customFormat="1" ht="15">
      <c r="A151" s="50" t="s">
        <v>28</v>
      </c>
      <c r="B151" s="51" t="s">
        <v>33</v>
      </c>
      <c r="C151" s="82">
        <v>44369716</v>
      </c>
      <c r="D151" s="82">
        <v>44467837.56</v>
      </c>
      <c r="E151" s="82">
        <f>F151-24269664.42</f>
        <v>6200623.02</v>
      </c>
      <c r="F151" s="82">
        <v>30470287.44</v>
      </c>
      <c r="G151" s="54">
        <f t="shared" si="27"/>
        <v>0.04722203183123177</v>
      </c>
      <c r="H151" s="82">
        <f t="shared" si="28"/>
        <v>13997550.120000001</v>
      </c>
      <c r="I151" s="82">
        <f>J151-23526234.59</f>
        <v>6944052.8500000015</v>
      </c>
      <c r="J151" s="82">
        <v>30470287.44</v>
      </c>
      <c r="K151" s="54">
        <f t="shared" si="29"/>
        <v>0.047645993229072814</v>
      </c>
      <c r="L151" s="85">
        <f t="shared" si="25"/>
        <v>13997550.120000001</v>
      </c>
      <c r="M151" s="85">
        <f>F151-J151</f>
        <v>0</v>
      </c>
    </row>
    <row r="152" spans="1:13" s="5" customFormat="1" ht="15">
      <c r="A152" s="50" t="s">
        <v>135</v>
      </c>
      <c r="B152" s="51" t="s">
        <v>136</v>
      </c>
      <c r="C152" s="82">
        <v>396489999</v>
      </c>
      <c r="D152" s="82">
        <v>419189395.61</v>
      </c>
      <c r="E152" s="82">
        <f>F152-6860751.63</f>
        <v>18165730.01</v>
      </c>
      <c r="F152" s="88">
        <v>25026481.64</v>
      </c>
      <c r="G152" s="54">
        <f t="shared" si="27"/>
        <v>0.038785368039436434</v>
      </c>
      <c r="H152" s="82">
        <f t="shared" si="28"/>
        <v>394162913.97</v>
      </c>
      <c r="I152" s="82">
        <f>J152-5572851.63</f>
        <v>14927695.43</v>
      </c>
      <c r="J152" s="82">
        <v>20500547.06</v>
      </c>
      <c r="K152" s="54">
        <f t="shared" si="29"/>
        <v>0.032056439517888856</v>
      </c>
      <c r="L152" s="85">
        <f t="shared" si="25"/>
        <v>398688848.55</v>
      </c>
      <c r="M152" s="85">
        <f>F152-J152</f>
        <v>4525934.580000002</v>
      </c>
    </row>
    <row r="153" spans="1:15" s="5" customFormat="1" ht="15">
      <c r="A153" s="50" t="s">
        <v>264</v>
      </c>
      <c r="B153" s="51" t="s">
        <v>265</v>
      </c>
      <c r="C153" s="82">
        <v>0</v>
      </c>
      <c r="D153" s="82">
        <v>0</v>
      </c>
      <c r="E153" s="82">
        <f>F153-0</f>
        <v>0</v>
      </c>
      <c r="F153" s="82">
        <v>0</v>
      </c>
      <c r="G153" s="54">
        <f t="shared" si="27"/>
        <v>0</v>
      </c>
      <c r="H153" s="82">
        <f t="shared" si="28"/>
        <v>0</v>
      </c>
      <c r="I153" s="82">
        <f>J153-0</f>
        <v>0</v>
      </c>
      <c r="J153" s="82">
        <v>0</v>
      </c>
      <c r="K153" s="54">
        <f t="shared" si="29"/>
        <v>0</v>
      </c>
      <c r="L153" s="85">
        <f t="shared" si="25"/>
        <v>0</v>
      </c>
      <c r="M153" s="85">
        <f>F153-J153</f>
        <v>0</v>
      </c>
      <c r="N153" s="103"/>
      <c r="O153" s="103"/>
    </row>
    <row r="154" spans="1:13" s="5" customFormat="1" ht="15">
      <c r="A154" s="45" t="s">
        <v>138</v>
      </c>
      <c r="B154" s="48" t="s">
        <v>137</v>
      </c>
      <c r="C154" s="81">
        <f>SUM(C155:C159)</f>
        <v>240260692</v>
      </c>
      <c r="D154" s="81">
        <f>SUM(D155:D159)</f>
        <v>233611115.32</v>
      </c>
      <c r="E154" s="81">
        <f>SUM(E155:E159)</f>
        <v>-7638569.890000001</v>
      </c>
      <c r="F154" s="81">
        <f>SUM(F155:F159)</f>
        <v>113502542.51</v>
      </c>
      <c r="G154" s="49">
        <f t="shared" si="27"/>
        <v>0.17590318719136303</v>
      </c>
      <c r="H154" s="81">
        <f t="shared" si="28"/>
        <v>120108572.80999999</v>
      </c>
      <c r="I154" s="81">
        <f>SUM(I155:I159)</f>
        <v>39980755.96</v>
      </c>
      <c r="J154" s="81">
        <f>SUM(J155:J159)</f>
        <v>113502542.51</v>
      </c>
      <c r="K154" s="49">
        <f t="shared" si="29"/>
        <v>0.17748245344133873</v>
      </c>
      <c r="L154" s="84">
        <f t="shared" si="25"/>
        <v>120108572.80999999</v>
      </c>
      <c r="M154" s="84">
        <f>SUM(M155:M159)</f>
        <v>0</v>
      </c>
    </row>
    <row r="155" spans="1:13" s="5" customFormat="1" ht="15">
      <c r="A155" s="50" t="s">
        <v>28</v>
      </c>
      <c r="B155" s="51" t="s">
        <v>33</v>
      </c>
      <c r="C155" s="82">
        <v>60679469</v>
      </c>
      <c r="D155" s="82">
        <v>62510776.32</v>
      </c>
      <c r="E155" s="82">
        <f>F155-48408806.92</f>
        <v>9197192.5</v>
      </c>
      <c r="F155" s="82">
        <v>57605999.42</v>
      </c>
      <c r="G155" s="54">
        <f t="shared" si="27"/>
        <v>0.0892762283138199</v>
      </c>
      <c r="H155" s="82">
        <f t="shared" si="28"/>
        <v>4904776.8999999985</v>
      </c>
      <c r="I155" s="82">
        <f>J155-48075475.24</f>
        <v>9530524.18</v>
      </c>
      <c r="J155" s="82">
        <v>57605999.42</v>
      </c>
      <c r="K155" s="54">
        <f t="shared" si="29"/>
        <v>0.0900777540652991</v>
      </c>
      <c r="L155" s="85">
        <f t="shared" si="25"/>
        <v>4904776.8999999985</v>
      </c>
      <c r="M155" s="84">
        <f>F155-J155</f>
        <v>0</v>
      </c>
    </row>
    <row r="156" spans="1:13" s="5" customFormat="1" ht="15">
      <c r="A156" s="50" t="s">
        <v>50</v>
      </c>
      <c r="B156" s="51" t="s">
        <v>57</v>
      </c>
      <c r="C156" s="82">
        <v>2402000</v>
      </c>
      <c r="D156" s="82">
        <v>0</v>
      </c>
      <c r="E156" s="82">
        <f>F156-0</f>
        <v>0</v>
      </c>
      <c r="F156" s="82">
        <v>0</v>
      </c>
      <c r="G156" s="54">
        <f t="shared" si="27"/>
        <v>0</v>
      </c>
      <c r="H156" s="82">
        <f t="shared" si="28"/>
        <v>0</v>
      </c>
      <c r="I156" s="82">
        <f>J156-0</f>
        <v>0</v>
      </c>
      <c r="J156" s="82">
        <v>0</v>
      </c>
      <c r="K156" s="54">
        <f t="shared" si="29"/>
        <v>0</v>
      </c>
      <c r="L156" s="85">
        <f t="shared" si="25"/>
        <v>0</v>
      </c>
      <c r="M156" s="84">
        <f>F156-J156</f>
        <v>0</v>
      </c>
    </row>
    <row r="157" spans="1:13" s="5" customFormat="1" ht="15">
      <c r="A157" s="50" t="s">
        <v>67</v>
      </c>
      <c r="B157" s="51" t="s">
        <v>75</v>
      </c>
      <c r="C157" s="82">
        <v>0</v>
      </c>
      <c r="D157" s="82">
        <v>0</v>
      </c>
      <c r="E157" s="82">
        <f>F157-0</f>
        <v>0</v>
      </c>
      <c r="F157" s="82">
        <v>0</v>
      </c>
      <c r="G157" s="54">
        <f t="shared" si="27"/>
        <v>0</v>
      </c>
      <c r="H157" s="82">
        <f t="shared" si="28"/>
        <v>0</v>
      </c>
      <c r="I157" s="82">
        <f>J157-0</f>
        <v>0</v>
      </c>
      <c r="J157" s="82">
        <v>0</v>
      </c>
      <c r="K157" s="54">
        <f t="shared" si="29"/>
        <v>0</v>
      </c>
      <c r="L157" s="85">
        <f t="shared" si="25"/>
        <v>0</v>
      </c>
      <c r="M157" s="84">
        <f>F157-J157</f>
        <v>0</v>
      </c>
    </row>
    <row r="158" spans="1:13" s="5" customFormat="1" ht="15">
      <c r="A158" s="50" t="s">
        <v>135</v>
      </c>
      <c r="B158" s="51" t="s">
        <v>136</v>
      </c>
      <c r="C158" s="82">
        <v>71788456</v>
      </c>
      <c r="D158" s="82">
        <v>70550905.36</v>
      </c>
      <c r="E158" s="82">
        <f>F158-31863881.88</f>
        <v>-7597038.239999998</v>
      </c>
      <c r="F158" s="82">
        <v>24266843.64</v>
      </c>
      <c r="G158" s="54">
        <f t="shared" si="27"/>
        <v>0.03760810150111286</v>
      </c>
      <c r="H158" s="82">
        <f t="shared" si="28"/>
        <v>46284061.72</v>
      </c>
      <c r="I158" s="82">
        <f>J158-10007273.54</f>
        <v>14259570.100000001</v>
      </c>
      <c r="J158" s="82">
        <v>24266843.64</v>
      </c>
      <c r="K158" s="54">
        <f t="shared" si="29"/>
        <v>0.03794574862607232</v>
      </c>
      <c r="L158" s="85">
        <f t="shared" si="25"/>
        <v>46284061.72</v>
      </c>
      <c r="M158" s="84">
        <f>F158-J158</f>
        <v>0</v>
      </c>
    </row>
    <row r="159" spans="1:13" s="5" customFormat="1" ht="15">
      <c r="A159" s="50" t="s">
        <v>139</v>
      </c>
      <c r="B159" s="51" t="s">
        <v>140</v>
      </c>
      <c r="C159" s="82">
        <v>105390767</v>
      </c>
      <c r="D159" s="82">
        <v>100549433.64</v>
      </c>
      <c r="E159" s="82">
        <f>F159-40868423.6</f>
        <v>-9238724.150000002</v>
      </c>
      <c r="F159" s="82">
        <v>31629699.45</v>
      </c>
      <c r="G159" s="54">
        <f t="shared" si="27"/>
        <v>0.04901885737643025</v>
      </c>
      <c r="H159" s="82">
        <f t="shared" si="28"/>
        <v>68919734.19</v>
      </c>
      <c r="I159" s="82">
        <f>J159-15439037.77</f>
        <v>16190661.68</v>
      </c>
      <c r="J159" s="82">
        <v>31629699.45</v>
      </c>
      <c r="K159" s="54">
        <f t="shared" si="29"/>
        <v>0.04945895074996732</v>
      </c>
      <c r="L159" s="85">
        <f t="shared" si="25"/>
        <v>68919734.19</v>
      </c>
      <c r="M159" s="84">
        <f>F159-J159</f>
        <v>0</v>
      </c>
    </row>
    <row r="160" spans="1:13" s="5" customFormat="1" ht="15">
      <c r="A160" s="45" t="s">
        <v>141</v>
      </c>
      <c r="B160" s="48" t="s">
        <v>142</v>
      </c>
      <c r="C160" s="81">
        <f>SUM(C161:C163)</f>
        <v>652651527</v>
      </c>
      <c r="D160" s="81">
        <f>SUM(D161:D163)</f>
        <v>731640213.47</v>
      </c>
      <c r="E160" s="81">
        <f>SUM(E161:E163)</f>
        <v>14625701.039999992</v>
      </c>
      <c r="F160" s="81">
        <f>SUM(F161:F163)</f>
        <v>90588210.3</v>
      </c>
      <c r="G160" s="49">
        <f t="shared" si="27"/>
        <v>0.14039117152223746</v>
      </c>
      <c r="H160" s="81">
        <f t="shared" si="28"/>
        <v>641052003.1700001</v>
      </c>
      <c r="I160" s="81">
        <f>SUM(I162:I163)</f>
        <v>44607399.20999999</v>
      </c>
      <c r="J160" s="81">
        <f>SUM(J162:J163)</f>
        <v>90588210.3</v>
      </c>
      <c r="K160" s="49">
        <f t="shared" si="29"/>
        <v>0.14165160939445418</v>
      </c>
      <c r="L160" s="84">
        <f t="shared" si="25"/>
        <v>641052003.1700001</v>
      </c>
      <c r="M160" s="84">
        <f>SUM(M161:M163)</f>
        <v>0</v>
      </c>
    </row>
    <row r="161" spans="1:13" s="5" customFormat="1" ht="15">
      <c r="A161" s="50" t="s">
        <v>51</v>
      </c>
      <c r="B161" s="51" t="s">
        <v>58</v>
      </c>
      <c r="C161" s="82">
        <v>5000</v>
      </c>
      <c r="D161" s="82">
        <v>5000</v>
      </c>
      <c r="E161" s="81">
        <f>F161-0</f>
        <v>0</v>
      </c>
      <c r="F161" s="81">
        <v>0</v>
      </c>
      <c r="G161" s="49">
        <f t="shared" si="27"/>
        <v>0</v>
      </c>
      <c r="H161" s="82">
        <f t="shared" si="28"/>
        <v>5000</v>
      </c>
      <c r="I161" s="81">
        <f>J161-0</f>
        <v>0</v>
      </c>
      <c r="J161" s="81">
        <v>0</v>
      </c>
      <c r="K161" s="49">
        <f t="shared" si="29"/>
        <v>0</v>
      </c>
      <c r="L161" s="85">
        <f t="shared" si="25"/>
        <v>5000</v>
      </c>
      <c r="M161" s="84">
        <f>F161-J161</f>
        <v>0</v>
      </c>
    </row>
    <row r="162" spans="1:13" s="5" customFormat="1" ht="15">
      <c r="A162" s="50" t="s">
        <v>143</v>
      </c>
      <c r="B162" s="51" t="s">
        <v>144</v>
      </c>
      <c r="C162" s="82">
        <v>652646527</v>
      </c>
      <c r="D162" s="82">
        <v>731635213.47</v>
      </c>
      <c r="E162" s="82">
        <f>F162-75962509.26</f>
        <v>14625701.039999992</v>
      </c>
      <c r="F162" s="82">
        <v>90588210.3</v>
      </c>
      <c r="G162" s="54">
        <f t="shared" si="27"/>
        <v>0.14039117152223746</v>
      </c>
      <c r="H162" s="82">
        <f t="shared" si="28"/>
        <v>641047003.1700001</v>
      </c>
      <c r="I162" s="82">
        <f>J162-45980811.09</f>
        <v>44607399.20999999</v>
      </c>
      <c r="J162" s="82">
        <v>90588210.3</v>
      </c>
      <c r="K162" s="54">
        <f t="shared" si="29"/>
        <v>0.14165160939445418</v>
      </c>
      <c r="L162" s="85">
        <f t="shared" si="25"/>
        <v>641047003.1700001</v>
      </c>
      <c r="M162" s="84">
        <f>F162-J162</f>
        <v>0</v>
      </c>
    </row>
    <row r="163" spans="1:15" s="5" customFormat="1" ht="15">
      <c r="A163" s="50" t="s">
        <v>147</v>
      </c>
      <c r="B163" s="51" t="s">
        <v>148</v>
      </c>
      <c r="C163" s="82">
        <v>0</v>
      </c>
      <c r="D163" s="82">
        <v>0</v>
      </c>
      <c r="E163" s="82">
        <f>F163-0</f>
        <v>0</v>
      </c>
      <c r="F163" s="82">
        <v>0</v>
      </c>
      <c r="G163" s="54">
        <f t="shared" si="27"/>
        <v>0</v>
      </c>
      <c r="H163" s="82">
        <f t="shared" si="28"/>
        <v>0</v>
      </c>
      <c r="I163" s="82">
        <f>J163-0</f>
        <v>0</v>
      </c>
      <c r="J163" s="82">
        <v>0</v>
      </c>
      <c r="K163" s="54">
        <f t="shared" si="29"/>
        <v>0</v>
      </c>
      <c r="L163" s="85">
        <f t="shared" si="25"/>
        <v>0</v>
      </c>
      <c r="M163" s="84">
        <f>F163-J163</f>
        <v>0</v>
      </c>
      <c r="O163" s="7"/>
    </row>
    <row r="164" spans="1:15" s="5" customFormat="1" ht="15">
      <c r="A164" s="45" t="s">
        <v>149</v>
      </c>
      <c r="B164" s="48" t="s">
        <v>150</v>
      </c>
      <c r="C164" s="81">
        <f>SUM(C165:C174)</f>
        <v>1253565452</v>
      </c>
      <c r="D164" s="81">
        <f>SUM(D165:D174)</f>
        <v>1567583745.17</v>
      </c>
      <c r="E164" s="81">
        <f>SUM(E165:E174)</f>
        <v>147261172.67999995</v>
      </c>
      <c r="F164" s="81">
        <f>SUM(F165:F174)</f>
        <v>339917439.6999999</v>
      </c>
      <c r="G164" s="49">
        <f t="shared" si="27"/>
        <v>0.5267949043510631</v>
      </c>
      <c r="H164" s="81">
        <f t="shared" si="28"/>
        <v>1227666305.4700003</v>
      </c>
      <c r="I164" s="81">
        <f>SUM(I165:I173)</f>
        <v>165110482.22</v>
      </c>
      <c r="J164" s="81">
        <f>SUM(J165:J173)</f>
        <v>332534721.10999995</v>
      </c>
      <c r="K164" s="49">
        <f t="shared" si="29"/>
        <v>0.5199802299744459</v>
      </c>
      <c r="L164" s="84">
        <f t="shared" si="25"/>
        <v>1235049024.0600002</v>
      </c>
      <c r="M164" s="84">
        <f>SUM(M165:M174)</f>
        <v>7382718.589999978</v>
      </c>
      <c r="O164" s="8"/>
    </row>
    <row r="165" spans="1:13" s="5" customFormat="1" ht="15">
      <c r="A165" s="50" t="s">
        <v>28</v>
      </c>
      <c r="B165" s="51" t="s">
        <v>33</v>
      </c>
      <c r="C165" s="82">
        <v>177899889</v>
      </c>
      <c r="D165" s="82">
        <v>224608686.69</v>
      </c>
      <c r="E165" s="82">
        <f>F165-113450847.81</f>
        <v>28098654.829999983</v>
      </c>
      <c r="F165" s="82">
        <v>141549502.64</v>
      </c>
      <c r="G165" s="54">
        <f t="shared" si="27"/>
        <v>0.21936961154446874</v>
      </c>
      <c r="H165" s="82">
        <f t="shared" si="28"/>
        <v>83059184.05000001</v>
      </c>
      <c r="I165" s="82">
        <f>J165-104932684.25</f>
        <v>31517485.659999996</v>
      </c>
      <c r="J165" s="82">
        <v>136450169.91</v>
      </c>
      <c r="K165" s="54">
        <f t="shared" si="29"/>
        <v>0.21336536074494258</v>
      </c>
      <c r="L165" s="85">
        <f t="shared" si="25"/>
        <v>88158516.78</v>
      </c>
      <c r="M165" s="85">
        <f aca="true" t="shared" si="30" ref="M165:M174">F165-J165</f>
        <v>5099332.729999989</v>
      </c>
    </row>
    <row r="166" spans="1:13" s="5" customFormat="1" ht="15">
      <c r="A166" s="50" t="s">
        <v>29</v>
      </c>
      <c r="B166" s="51" t="s">
        <v>34</v>
      </c>
      <c r="C166" s="82">
        <v>150000</v>
      </c>
      <c r="D166" s="82">
        <v>150000</v>
      </c>
      <c r="E166" s="82">
        <f>F166-0</f>
        <v>0</v>
      </c>
      <c r="F166" s="82">
        <v>0</v>
      </c>
      <c r="G166" s="54">
        <f t="shared" si="27"/>
        <v>0</v>
      </c>
      <c r="H166" s="82">
        <f t="shared" si="28"/>
        <v>150000</v>
      </c>
      <c r="I166" s="82">
        <f>J166-0</f>
        <v>0</v>
      </c>
      <c r="J166" s="82">
        <v>0</v>
      </c>
      <c r="K166" s="54">
        <f t="shared" si="29"/>
        <v>0</v>
      </c>
      <c r="L166" s="85">
        <f t="shared" si="25"/>
        <v>150000</v>
      </c>
      <c r="M166" s="85">
        <f t="shared" si="30"/>
        <v>0</v>
      </c>
    </row>
    <row r="167" spans="1:13" s="5" customFormat="1" ht="15">
      <c r="A167" s="50" t="s">
        <v>151</v>
      </c>
      <c r="B167" s="51" t="s">
        <v>152</v>
      </c>
      <c r="C167" s="82">
        <v>0</v>
      </c>
      <c r="D167" s="82">
        <v>0</v>
      </c>
      <c r="E167" s="82">
        <f>F167-0</f>
        <v>0</v>
      </c>
      <c r="F167" s="82">
        <v>0</v>
      </c>
      <c r="G167" s="54">
        <f t="shared" si="27"/>
        <v>0</v>
      </c>
      <c r="H167" s="82">
        <f t="shared" si="28"/>
        <v>0</v>
      </c>
      <c r="I167" s="82">
        <f>J167-0</f>
        <v>0</v>
      </c>
      <c r="J167" s="82">
        <v>0</v>
      </c>
      <c r="K167" s="54">
        <f t="shared" si="29"/>
        <v>0</v>
      </c>
      <c r="L167" s="85">
        <f t="shared" si="25"/>
        <v>0</v>
      </c>
      <c r="M167" s="85">
        <f t="shared" si="30"/>
        <v>0</v>
      </c>
    </row>
    <row r="168" spans="1:13" s="5" customFormat="1" ht="15">
      <c r="A168" s="50" t="s">
        <v>153</v>
      </c>
      <c r="B168" s="51" t="s">
        <v>154</v>
      </c>
      <c r="C168" s="82">
        <v>757633057</v>
      </c>
      <c r="D168" s="82">
        <v>809800629.26</v>
      </c>
      <c r="E168" s="82">
        <f>F168-8442343.02</f>
        <v>-954715.7299999995</v>
      </c>
      <c r="F168" s="82">
        <v>7487627.29</v>
      </c>
      <c r="G168" s="54">
        <f t="shared" si="27"/>
        <v>0.011604123358699096</v>
      </c>
      <c r="H168" s="82">
        <f aca="true" t="shared" si="31" ref="H168:H174">D168-F168</f>
        <v>802313001.97</v>
      </c>
      <c r="I168" s="82">
        <f>J168-4743757.94</f>
        <v>2534242.55</v>
      </c>
      <c r="J168" s="82">
        <v>7278000.49</v>
      </c>
      <c r="K168" s="54">
        <f t="shared" si="29"/>
        <v>0.01138051496069932</v>
      </c>
      <c r="L168" s="85">
        <f t="shared" si="25"/>
        <v>802522628.77</v>
      </c>
      <c r="M168" s="85">
        <f t="shared" si="30"/>
        <v>209626.7999999998</v>
      </c>
    </row>
    <row r="169" spans="1:13" s="5" customFormat="1" ht="15">
      <c r="A169" s="50" t="s">
        <v>30</v>
      </c>
      <c r="B169" s="51" t="s">
        <v>35</v>
      </c>
      <c r="C169" s="82">
        <v>30747000</v>
      </c>
      <c r="D169" s="82">
        <v>31901155.03</v>
      </c>
      <c r="E169" s="82">
        <f>F169-2690373.83</f>
        <v>-5705.620000000112</v>
      </c>
      <c r="F169" s="82">
        <v>2684668.21</v>
      </c>
      <c r="G169" s="54">
        <f t="shared" si="27"/>
        <v>0.0041606265749397214</v>
      </c>
      <c r="H169" s="82">
        <f t="shared" si="31"/>
        <v>29216486.82</v>
      </c>
      <c r="I169" s="82">
        <f>J169-1750280.43</f>
        <v>587517.5200000003</v>
      </c>
      <c r="J169" s="82">
        <v>2337797.95</v>
      </c>
      <c r="K169" s="54">
        <f t="shared" si="29"/>
        <v>0.0036555843300124873</v>
      </c>
      <c r="L169" s="85">
        <f t="shared" si="25"/>
        <v>29563357.080000002</v>
      </c>
      <c r="M169" s="85">
        <f t="shared" si="30"/>
        <v>346870.2599999998</v>
      </c>
    </row>
    <row r="170" spans="1:13" s="5" customFormat="1" ht="15">
      <c r="A170" s="50" t="s">
        <v>145</v>
      </c>
      <c r="B170" s="51" t="s">
        <v>146</v>
      </c>
      <c r="C170" s="82">
        <v>199756072</v>
      </c>
      <c r="D170" s="82">
        <v>195392093.46</v>
      </c>
      <c r="E170" s="82">
        <f>F170-30512397.41</f>
        <v>-714437.4299999997</v>
      </c>
      <c r="F170" s="82">
        <v>29797959.98</v>
      </c>
      <c r="G170" s="54">
        <f t="shared" si="27"/>
        <v>0.04618007681916801</v>
      </c>
      <c r="H170" s="82">
        <f t="shared" si="31"/>
        <v>165594133.48000002</v>
      </c>
      <c r="I170" s="82">
        <f>J170-19133302.31</f>
        <v>9356663.380000003</v>
      </c>
      <c r="J170" s="82">
        <v>28489965.69</v>
      </c>
      <c r="K170" s="54">
        <f t="shared" si="29"/>
        <v>0.04454938979605034</v>
      </c>
      <c r="L170" s="85">
        <f t="shared" si="25"/>
        <v>166902127.77</v>
      </c>
      <c r="M170" s="85">
        <f t="shared" si="30"/>
        <v>1307994.289999999</v>
      </c>
    </row>
    <row r="171" spans="1:13" s="5" customFormat="1" ht="15">
      <c r="A171" s="66" t="s">
        <v>147</v>
      </c>
      <c r="B171" s="51" t="s">
        <v>148</v>
      </c>
      <c r="C171" s="82">
        <v>69083516</v>
      </c>
      <c r="D171" s="82">
        <v>272389678.67</v>
      </c>
      <c r="E171" s="82">
        <f>F171-33631362.17</f>
        <v>119201868.30999999</v>
      </c>
      <c r="F171" s="82">
        <v>152833230.48</v>
      </c>
      <c r="G171" s="54">
        <f t="shared" si="27"/>
        <v>0.2368568294213814</v>
      </c>
      <c r="H171" s="82">
        <f t="shared" si="31"/>
        <v>119556448.19000003</v>
      </c>
      <c r="I171" s="82">
        <f>J171-33212467.66</f>
        <v>119201868.31</v>
      </c>
      <c r="J171" s="82">
        <v>152414335.97</v>
      </c>
      <c r="K171" s="54">
        <f t="shared" si="29"/>
        <v>0.2383283201361309</v>
      </c>
      <c r="L171" s="85">
        <f t="shared" si="25"/>
        <v>119975342.70000002</v>
      </c>
      <c r="M171" s="85">
        <f t="shared" si="30"/>
        <v>418894.50999999046</v>
      </c>
    </row>
    <row r="172" spans="1:13" s="5" customFormat="1" ht="15">
      <c r="A172" s="66" t="s">
        <v>160</v>
      </c>
      <c r="B172" s="51" t="s">
        <v>161</v>
      </c>
      <c r="C172" s="89">
        <v>7970918</v>
      </c>
      <c r="D172" s="82">
        <v>10593885.8</v>
      </c>
      <c r="E172" s="82">
        <f>F172-2665711.16</f>
        <v>1355570.9299999997</v>
      </c>
      <c r="F172" s="82">
        <v>4021282.09</v>
      </c>
      <c r="G172" s="54">
        <f t="shared" si="27"/>
        <v>0.006232074811577235</v>
      </c>
      <c r="H172" s="82">
        <f t="shared" si="31"/>
        <v>6572603.710000001</v>
      </c>
      <c r="I172" s="82">
        <f>J172-2605148.68</f>
        <v>1416133.4099999997</v>
      </c>
      <c r="J172" s="82">
        <v>4021282.09</v>
      </c>
      <c r="K172" s="54">
        <f t="shared" si="29"/>
        <v>0.0062880266426633925</v>
      </c>
      <c r="L172" s="85">
        <f t="shared" si="25"/>
        <v>6572603.710000001</v>
      </c>
      <c r="M172" s="85">
        <f t="shared" si="30"/>
        <v>0</v>
      </c>
    </row>
    <row r="173" spans="1:13" s="5" customFormat="1" ht="15">
      <c r="A173" s="66" t="s">
        <v>97</v>
      </c>
      <c r="B173" s="51" t="s">
        <v>237</v>
      </c>
      <c r="C173" s="89">
        <v>6325000</v>
      </c>
      <c r="D173" s="82">
        <v>18747616.26</v>
      </c>
      <c r="E173" s="82">
        <f>F173-1263231.62</f>
        <v>279937.3899999999</v>
      </c>
      <c r="F173" s="82">
        <v>1543169.01</v>
      </c>
      <c r="G173" s="54">
        <f t="shared" si="27"/>
        <v>0.0023915618208290327</v>
      </c>
      <c r="H173" s="82">
        <f t="shared" si="31"/>
        <v>17204447.25</v>
      </c>
      <c r="I173" s="82">
        <f>J173-1046597.62</f>
        <v>496571.39</v>
      </c>
      <c r="J173" s="82">
        <v>1543169.01</v>
      </c>
      <c r="K173" s="54">
        <f t="shared" si="29"/>
        <v>0.0024130333639469925</v>
      </c>
      <c r="L173" s="85">
        <f t="shared" si="25"/>
        <v>17204447.25</v>
      </c>
      <c r="M173" s="85">
        <f t="shared" si="30"/>
        <v>0</v>
      </c>
    </row>
    <row r="174" spans="1:13" s="5" customFormat="1" ht="15">
      <c r="A174" s="59" t="s">
        <v>201</v>
      </c>
      <c r="B174" s="51" t="s">
        <v>202</v>
      </c>
      <c r="C174" s="89">
        <v>4000000</v>
      </c>
      <c r="D174" s="82">
        <v>4000000</v>
      </c>
      <c r="E174" s="82">
        <f>F174-0</f>
        <v>0</v>
      </c>
      <c r="F174" s="82">
        <v>0</v>
      </c>
      <c r="G174" s="54">
        <f t="shared" si="27"/>
        <v>0</v>
      </c>
      <c r="H174" s="82">
        <f t="shared" si="31"/>
        <v>4000000</v>
      </c>
      <c r="I174" s="82">
        <f>J174-0</f>
        <v>0</v>
      </c>
      <c r="J174" s="82">
        <v>0</v>
      </c>
      <c r="K174" s="54">
        <f t="shared" si="29"/>
        <v>0</v>
      </c>
      <c r="L174" s="85">
        <f aca="true" t="shared" si="32" ref="L174:L205">D174-J174</f>
        <v>4000000</v>
      </c>
      <c r="M174" s="85">
        <f t="shared" si="30"/>
        <v>0</v>
      </c>
    </row>
    <row r="175" spans="1:13" ht="14.25">
      <c r="A175" s="45" t="s">
        <v>158</v>
      </c>
      <c r="B175" s="48" t="s">
        <v>159</v>
      </c>
      <c r="C175" s="81">
        <f>SUM(C176:C183)</f>
        <v>539201464</v>
      </c>
      <c r="D175" s="81">
        <f>SUM(D176:D183)</f>
        <v>561491699.12</v>
      </c>
      <c r="E175" s="81">
        <f>SUM(E176:E183)</f>
        <v>111372180.60999998</v>
      </c>
      <c r="F175" s="81">
        <f>SUM(F176:F183)</f>
        <v>304731678.78000003</v>
      </c>
      <c r="G175" s="49">
        <f t="shared" si="27"/>
        <v>0.4722649585656109</v>
      </c>
      <c r="H175" s="81">
        <f>D175-F175</f>
        <v>256760020.33999997</v>
      </c>
      <c r="I175" s="81">
        <f>SUM(I176:I183)</f>
        <v>136459788.98</v>
      </c>
      <c r="J175" s="81">
        <f>SUM(J176:J183)</f>
        <v>304731678.78000003</v>
      </c>
      <c r="K175" s="49">
        <f t="shared" si="29"/>
        <v>0.47650497332610237</v>
      </c>
      <c r="L175" s="84">
        <f t="shared" si="32"/>
        <v>256760020.33999997</v>
      </c>
      <c r="M175" s="84">
        <f>SUM(M176:M183)</f>
        <v>0</v>
      </c>
    </row>
    <row r="176" spans="1:13" ht="15">
      <c r="A176" s="50" t="s">
        <v>28</v>
      </c>
      <c r="B176" s="51" t="s">
        <v>33</v>
      </c>
      <c r="C176" s="82">
        <v>89577636</v>
      </c>
      <c r="D176" s="82">
        <v>79791257.67</v>
      </c>
      <c r="E176" s="82">
        <f>F176-46460969.63</f>
        <v>12887080.61</v>
      </c>
      <c r="F176" s="82">
        <v>59348050.24</v>
      </c>
      <c r="G176" s="54">
        <f t="shared" si="27"/>
        <v>0.09197601181391488</v>
      </c>
      <c r="H176" s="82">
        <f aca="true" t="shared" si="33" ref="H176:H248">D176-F176</f>
        <v>20443207.43</v>
      </c>
      <c r="I176" s="82">
        <f>J176-45585260.02</f>
        <v>13762790.219999999</v>
      </c>
      <c r="J176" s="82">
        <v>59348050.24</v>
      </c>
      <c r="K176" s="54">
        <f t="shared" si="29"/>
        <v>0.09280177633577694</v>
      </c>
      <c r="L176" s="85">
        <f t="shared" si="32"/>
        <v>20443207.43</v>
      </c>
      <c r="M176" s="84">
        <f aca="true" t="shared" si="34" ref="M176:M183">F176-J176</f>
        <v>0</v>
      </c>
    </row>
    <row r="177" spans="1:13" ht="15">
      <c r="A177" s="50" t="s">
        <v>50</v>
      </c>
      <c r="B177" s="51" t="s">
        <v>57</v>
      </c>
      <c r="C177" s="82">
        <v>20065414</v>
      </c>
      <c r="D177" s="82">
        <v>39220550.33</v>
      </c>
      <c r="E177" s="82">
        <f>F177-11028225.92</f>
        <v>6151022.860000001</v>
      </c>
      <c r="F177" s="82">
        <v>17179248.78</v>
      </c>
      <c r="G177" s="54">
        <f t="shared" si="27"/>
        <v>0.026623937641653227</v>
      </c>
      <c r="H177" s="82">
        <f t="shared" si="33"/>
        <v>22041301.549999997</v>
      </c>
      <c r="I177" s="82">
        <f>J177-3199540.87</f>
        <v>13979707.91</v>
      </c>
      <c r="J177" s="82">
        <v>17179248.78</v>
      </c>
      <c r="K177" s="54">
        <f t="shared" si="29"/>
        <v>0.026862968479185352</v>
      </c>
      <c r="L177" s="85">
        <f t="shared" si="32"/>
        <v>22041301.549999997</v>
      </c>
      <c r="M177" s="84">
        <f t="shared" si="34"/>
        <v>0</v>
      </c>
    </row>
    <row r="178" spans="1:13" ht="15">
      <c r="A178" s="50" t="s">
        <v>29</v>
      </c>
      <c r="B178" s="51" t="s">
        <v>34</v>
      </c>
      <c r="C178" s="82">
        <v>10000</v>
      </c>
      <c r="D178" s="82">
        <v>3000</v>
      </c>
      <c r="E178" s="82">
        <f>F178-0</f>
        <v>0</v>
      </c>
      <c r="F178" s="82">
        <v>0</v>
      </c>
      <c r="G178" s="54">
        <f t="shared" si="27"/>
        <v>0</v>
      </c>
      <c r="H178" s="82">
        <f t="shared" si="33"/>
        <v>3000</v>
      </c>
      <c r="I178" s="82">
        <f>J178-0</f>
        <v>0</v>
      </c>
      <c r="J178" s="82">
        <v>0</v>
      </c>
      <c r="K178" s="54">
        <f t="shared" si="29"/>
        <v>0</v>
      </c>
      <c r="L178" s="85">
        <f t="shared" si="32"/>
        <v>3000</v>
      </c>
      <c r="M178" s="84">
        <f t="shared" si="34"/>
        <v>0</v>
      </c>
    </row>
    <row r="179" spans="1:13" ht="15">
      <c r="A179" s="50" t="s">
        <v>114</v>
      </c>
      <c r="B179" s="51" t="s">
        <v>121</v>
      </c>
      <c r="C179" s="82">
        <v>81600000</v>
      </c>
      <c r="D179" s="82">
        <v>89600000</v>
      </c>
      <c r="E179" s="82">
        <f>F179-62614844.01</f>
        <v>8020569.000000007</v>
      </c>
      <c r="F179" s="82">
        <v>70635413.01</v>
      </c>
      <c r="G179" s="54">
        <f t="shared" si="27"/>
        <v>0.10946886300756285</v>
      </c>
      <c r="H179" s="82">
        <f t="shared" si="33"/>
        <v>18964586.989999995</v>
      </c>
      <c r="I179" s="82">
        <f>J179-62452104.01</f>
        <v>8183309.000000007</v>
      </c>
      <c r="J179" s="82">
        <v>70635413.01</v>
      </c>
      <c r="K179" s="54">
        <f t="shared" si="29"/>
        <v>0.1104516790868587</v>
      </c>
      <c r="L179" s="85">
        <f t="shared" si="32"/>
        <v>18964586.989999995</v>
      </c>
      <c r="M179" s="84">
        <f t="shared" si="34"/>
        <v>0</v>
      </c>
    </row>
    <row r="180" spans="1:13" ht="15">
      <c r="A180" s="50" t="s">
        <v>116</v>
      </c>
      <c r="B180" s="51" t="s">
        <v>123</v>
      </c>
      <c r="C180" s="82">
        <v>0</v>
      </c>
      <c r="D180" s="82">
        <v>0</v>
      </c>
      <c r="E180" s="82">
        <f>F180-0</f>
        <v>0</v>
      </c>
      <c r="F180" s="82">
        <v>0</v>
      </c>
      <c r="G180" s="54">
        <f t="shared" si="27"/>
        <v>0</v>
      </c>
      <c r="H180" s="82">
        <f t="shared" si="33"/>
        <v>0</v>
      </c>
      <c r="I180" s="82">
        <f>J180-0</f>
        <v>0</v>
      </c>
      <c r="J180" s="82">
        <v>0</v>
      </c>
      <c r="K180" s="54">
        <f t="shared" si="29"/>
        <v>0</v>
      </c>
      <c r="L180" s="85">
        <f t="shared" si="32"/>
        <v>0</v>
      </c>
      <c r="M180" s="84">
        <f t="shared" si="34"/>
        <v>0</v>
      </c>
    </row>
    <row r="181" spans="1:13" ht="15">
      <c r="A181" s="50" t="s">
        <v>96</v>
      </c>
      <c r="B181" s="51" t="s">
        <v>102</v>
      </c>
      <c r="C181" s="82">
        <v>178221084</v>
      </c>
      <c r="D181" s="82">
        <v>217533542.97</v>
      </c>
      <c r="E181" s="82">
        <f>F181-66445043.87</f>
        <v>74469273.57</v>
      </c>
      <c r="F181" s="82">
        <v>140914317.44</v>
      </c>
      <c r="G181" s="54">
        <f t="shared" si="27"/>
        <v>0.21838521860783527</v>
      </c>
      <c r="H181" s="82">
        <f t="shared" si="33"/>
        <v>76619225.53</v>
      </c>
      <c r="I181" s="82">
        <f>J181-52390972.77</f>
        <v>88523344.66999999</v>
      </c>
      <c r="J181" s="82">
        <v>140914317.44</v>
      </c>
      <c r="K181" s="54">
        <f t="shared" si="29"/>
        <v>0.22034589033157007</v>
      </c>
      <c r="L181" s="85">
        <f t="shared" si="32"/>
        <v>76619225.53</v>
      </c>
      <c r="M181" s="84">
        <f t="shared" si="34"/>
        <v>0</v>
      </c>
    </row>
    <row r="182" spans="1:13" ht="15">
      <c r="A182" s="50" t="s">
        <v>160</v>
      </c>
      <c r="B182" s="51" t="s">
        <v>161</v>
      </c>
      <c r="C182" s="82">
        <v>139135539</v>
      </c>
      <c r="D182" s="82">
        <v>108891557.15</v>
      </c>
      <c r="E182" s="82">
        <f>F182-6810414.74</f>
        <v>9844234.57</v>
      </c>
      <c r="F182" s="82">
        <v>16654649.31</v>
      </c>
      <c r="G182" s="54">
        <f aca="true" t="shared" si="35" ref="G182:G213">(F182/$F$258)*100</f>
        <v>0.02581092749464467</v>
      </c>
      <c r="H182" s="82">
        <f t="shared" si="33"/>
        <v>92236907.84</v>
      </c>
      <c r="I182" s="82">
        <f>J182-4644012.13</f>
        <v>12010637.18</v>
      </c>
      <c r="J182" s="82">
        <v>16654649.31</v>
      </c>
      <c r="K182" s="54">
        <f aca="true" t="shared" si="36" ref="K182:K213">(J182/$J$258)*100</f>
        <v>0.026042659092711275</v>
      </c>
      <c r="L182" s="85">
        <f t="shared" si="32"/>
        <v>92236907.84</v>
      </c>
      <c r="M182" s="84">
        <f t="shared" si="34"/>
        <v>0</v>
      </c>
    </row>
    <row r="183" spans="1:13" ht="15">
      <c r="A183" s="50" t="s">
        <v>97</v>
      </c>
      <c r="B183" s="51" t="s">
        <v>241</v>
      </c>
      <c r="C183" s="82">
        <v>30591791</v>
      </c>
      <c r="D183" s="82">
        <v>26451791</v>
      </c>
      <c r="E183" s="82">
        <f>F183-0</f>
        <v>0</v>
      </c>
      <c r="F183" s="82">
        <v>0</v>
      </c>
      <c r="G183" s="54">
        <f t="shared" si="35"/>
        <v>0</v>
      </c>
      <c r="H183" s="82">
        <f t="shared" si="33"/>
        <v>26451791</v>
      </c>
      <c r="I183" s="82">
        <f>J183-0</f>
        <v>0</v>
      </c>
      <c r="J183" s="82">
        <v>0</v>
      </c>
      <c r="K183" s="54">
        <f t="shared" si="36"/>
        <v>0</v>
      </c>
      <c r="L183" s="85">
        <f t="shared" si="32"/>
        <v>26451791</v>
      </c>
      <c r="M183" s="84">
        <f t="shared" si="34"/>
        <v>0</v>
      </c>
    </row>
    <row r="184" spans="1:13" ht="14.25">
      <c r="A184" s="45" t="s">
        <v>162</v>
      </c>
      <c r="B184" s="48" t="s">
        <v>163</v>
      </c>
      <c r="C184" s="81">
        <f>SUM(C185:C200)</f>
        <v>357865043</v>
      </c>
      <c r="D184" s="81">
        <f>SUM(D185:D200)</f>
        <v>444650019.6</v>
      </c>
      <c r="E184" s="81">
        <f>SUM(E185:E200)</f>
        <v>64496100.07999998</v>
      </c>
      <c r="F184" s="81">
        <f>SUM(F185:F200)</f>
        <v>319556507.46999997</v>
      </c>
      <c r="G184" s="49">
        <f t="shared" si="35"/>
        <v>0.4952400792851067</v>
      </c>
      <c r="H184" s="81">
        <f t="shared" si="33"/>
        <v>125093512.13000005</v>
      </c>
      <c r="I184" s="81">
        <f>SUM(I185:I200)</f>
        <v>73231838.15999998</v>
      </c>
      <c r="J184" s="81">
        <f>SUM(J185:J200)</f>
        <v>319556507.46999997</v>
      </c>
      <c r="K184" s="49">
        <f t="shared" si="36"/>
        <v>0.49968636565056873</v>
      </c>
      <c r="L184" s="84">
        <f t="shared" si="32"/>
        <v>125093512.13000005</v>
      </c>
      <c r="M184" s="84">
        <f>SUM(M185:M200)</f>
        <v>0</v>
      </c>
    </row>
    <row r="185" spans="1:13" ht="15">
      <c r="A185" s="50" t="s">
        <v>28</v>
      </c>
      <c r="B185" s="51" t="s">
        <v>33</v>
      </c>
      <c r="C185" s="82">
        <v>330972187</v>
      </c>
      <c r="D185" s="82">
        <v>335494460.7</v>
      </c>
      <c r="E185" s="82">
        <f>F185-239637499.1</f>
        <v>57212129.04999998</v>
      </c>
      <c r="F185" s="82">
        <v>296849628.15</v>
      </c>
      <c r="G185" s="54">
        <f t="shared" si="35"/>
        <v>0.4600495685244711</v>
      </c>
      <c r="H185" s="82">
        <f t="shared" si="33"/>
        <v>38644832.55000001</v>
      </c>
      <c r="I185" s="82">
        <f>J185-237769055.81</f>
        <v>59080572.339999974</v>
      </c>
      <c r="J185" s="82">
        <v>296849628.15</v>
      </c>
      <c r="K185" s="54">
        <f t="shared" si="36"/>
        <v>0.46417991299683253</v>
      </c>
      <c r="L185" s="85">
        <f t="shared" si="32"/>
        <v>38644832.55000001</v>
      </c>
      <c r="M185" s="84">
        <f aca="true" t="shared" si="37" ref="M185:M200">F185-J185</f>
        <v>0</v>
      </c>
    </row>
    <row r="186" spans="1:13" ht="15">
      <c r="A186" s="50" t="s">
        <v>50</v>
      </c>
      <c r="B186" s="51" t="s">
        <v>57</v>
      </c>
      <c r="C186" s="82">
        <v>5000</v>
      </c>
      <c r="D186" s="82">
        <v>0</v>
      </c>
      <c r="E186" s="82">
        <f>F186-0</f>
        <v>0</v>
      </c>
      <c r="F186" s="82">
        <v>0</v>
      </c>
      <c r="G186" s="54">
        <f t="shared" si="35"/>
        <v>0</v>
      </c>
      <c r="H186" s="82">
        <f t="shared" si="33"/>
        <v>0</v>
      </c>
      <c r="I186" s="82">
        <f aca="true" t="shared" si="38" ref="I186:I200">J186-0</f>
        <v>0</v>
      </c>
      <c r="J186" s="82">
        <v>0</v>
      </c>
      <c r="K186" s="54">
        <f t="shared" si="36"/>
        <v>0</v>
      </c>
      <c r="L186" s="85">
        <f t="shared" si="32"/>
        <v>0</v>
      </c>
      <c r="M186" s="84">
        <f t="shared" si="37"/>
        <v>0</v>
      </c>
    </row>
    <row r="187" spans="1:13" ht="15">
      <c r="A187" s="50" t="s">
        <v>51</v>
      </c>
      <c r="B187" s="51" t="s">
        <v>58</v>
      </c>
      <c r="C187" s="82">
        <v>0</v>
      </c>
      <c r="D187" s="82">
        <v>0</v>
      </c>
      <c r="E187" s="82">
        <f>F187-0</f>
        <v>0</v>
      </c>
      <c r="F187" s="82">
        <v>0</v>
      </c>
      <c r="G187" s="54">
        <f t="shared" si="35"/>
        <v>0</v>
      </c>
      <c r="H187" s="82">
        <f t="shared" si="33"/>
        <v>0</v>
      </c>
      <c r="I187" s="82">
        <f t="shared" si="38"/>
        <v>0</v>
      </c>
      <c r="J187" s="82">
        <v>0</v>
      </c>
      <c r="K187" s="54">
        <f t="shared" si="36"/>
        <v>0</v>
      </c>
      <c r="L187" s="85">
        <f t="shared" si="32"/>
        <v>0</v>
      </c>
      <c r="M187" s="84">
        <f t="shared" si="37"/>
        <v>0</v>
      </c>
    </row>
    <row r="188" spans="1:13" ht="15">
      <c r="A188" s="50" t="s">
        <v>29</v>
      </c>
      <c r="B188" s="51" t="s">
        <v>267</v>
      </c>
      <c r="C188" s="82">
        <v>5000</v>
      </c>
      <c r="D188" s="82">
        <v>0</v>
      </c>
      <c r="E188" s="52">
        <f>F188-0</f>
        <v>0</v>
      </c>
      <c r="F188" s="52">
        <v>0</v>
      </c>
      <c r="G188" s="54">
        <f t="shared" si="35"/>
        <v>0</v>
      </c>
      <c r="H188" s="82">
        <f t="shared" si="33"/>
        <v>0</v>
      </c>
      <c r="I188" s="82">
        <f t="shared" si="38"/>
        <v>0</v>
      </c>
      <c r="J188" s="82">
        <v>0</v>
      </c>
      <c r="K188" s="54">
        <f t="shared" si="36"/>
        <v>0</v>
      </c>
      <c r="L188" s="85">
        <f t="shared" si="32"/>
        <v>0</v>
      </c>
      <c r="M188" s="84">
        <f t="shared" si="37"/>
        <v>0</v>
      </c>
    </row>
    <row r="189" spans="1:13" ht="15">
      <c r="A189" s="50" t="s">
        <v>94</v>
      </c>
      <c r="B189" s="51" t="s">
        <v>100</v>
      </c>
      <c r="C189" s="52">
        <v>0</v>
      </c>
      <c r="D189" s="52">
        <v>0</v>
      </c>
      <c r="E189" s="52">
        <f>F189-0</f>
        <v>0</v>
      </c>
      <c r="F189" s="52">
        <v>0</v>
      </c>
      <c r="G189" s="54">
        <f t="shared" si="35"/>
        <v>0</v>
      </c>
      <c r="H189" s="82">
        <f t="shared" si="33"/>
        <v>0</v>
      </c>
      <c r="I189" s="82">
        <f t="shared" si="38"/>
        <v>0</v>
      </c>
      <c r="J189" s="82">
        <v>0</v>
      </c>
      <c r="K189" s="54">
        <f t="shared" si="36"/>
        <v>0</v>
      </c>
      <c r="L189" s="85">
        <f t="shared" si="32"/>
        <v>0</v>
      </c>
      <c r="M189" s="84">
        <f t="shared" si="37"/>
        <v>0</v>
      </c>
    </row>
    <row r="190" spans="1:13" ht="15">
      <c r="A190" s="50" t="s">
        <v>68</v>
      </c>
      <c r="B190" s="51" t="s">
        <v>76</v>
      </c>
      <c r="C190" s="82">
        <v>967074</v>
      </c>
      <c r="D190" s="82">
        <v>329000</v>
      </c>
      <c r="E190" s="82">
        <f>F190-13158.9</f>
        <v>0</v>
      </c>
      <c r="F190" s="82">
        <v>13158.9</v>
      </c>
      <c r="G190" s="54">
        <f t="shared" si="35"/>
        <v>2.0393309248808178E-05</v>
      </c>
      <c r="H190" s="82">
        <f t="shared" si="33"/>
        <v>315841.1</v>
      </c>
      <c r="I190" s="82">
        <f>J190-13158.9</f>
        <v>0</v>
      </c>
      <c r="J190" s="82">
        <v>13158.9</v>
      </c>
      <c r="K190" s="54">
        <f t="shared" si="36"/>
        <v>2.0576401241262662E-05</v>
      </c>
      <c r="L190" s="85">
        <f t="shared" si="32"/>
        <v>315841.1</v>
      </c>
      <c r="M190" s="84">
        <f t="shared" si="37"/>
        <v>0</v>
      </c>
    </row>
    <row r="191" spans="1:13" ht="15">
      <c r="A191" s="50" t="s">
        <v>135</v>
      </c>
      <c r="B191" s="51" t="s">
        <v>136</v>
      </c>
      <c r="C191" s="52">
        <v>0</v>
      </c>
      <c r="D191" s="82">
        <v>0</v>
      </c>
      <c r="E191" s="52">
        <f aca="true" t="shared" si="39" ref="E191:E200">F191-0</f>
        <v>0</v>
      </c>
      <c r="F191" s="52">
        <v>0</v>
      </c>
      <c r="G191" s="54">
        <f t="shared" si="35"/>
        <v>0</v>
      </c>
      <c r="H191" s="52">
        <f t="shared" si="33"/>
        <v>0</v>
      </c>
      <c r="I191" s="82">
        <f t="shared" si="38"/>
        <v>0</v>
      </c>
      <c r="J191" s="52">
        <v>0</v>
      </c>
      <c r="K191" s="54">
        <f t="shared" si="36"/>
        <v>0</v>
      </c>
      <c r="L191" s="85">
        <f t="shared" si="32"/>
        <v>0</v>
      </c>
      <c r="M191" s="84">
        <f t="shared" si="37"/>
        <v>0</v>
      </c>
    </row>
    <row r="192" spans="1:13" ht="15">
      <c r="A192" s="50" t="s">
        <v>96</v>
      </c>
      <c r="B192" s="51" t="s">
        <v>102</v>
      </c>
      <c r="C192" s="82">
        <v>73433</v>
      </c>
      <c r="D192" s="82">
        <v>47572.18</v>
      </c>
      <c r="E192" s="52">
        <f>F192-16000</f>
        <v>-240</v>
      </c>
      <c r="F192" s="52">
        <v>15760</v>
      </c>
      <c r="G192" s="54">
        <f t="shared" si="35"/>
        <v>2.442442405985431E-05</v>
      </c>
      <c r="H192" s="82">
        <f t="shared" si="33"/>
        <v>31812.18</v>
      </c>
      <c r="I192" s="82">
        <f>J192-16000</f>
        <v>-240</v>
      </c>
      <c r="J192" s="52">
        <v>15760</v>
      </c>
      <c r="K192" s="54">
        <f t="shared" si="36"/>
        <v>2.464370757147631E-05</v>
      </c>
      <c r="L192" s="85">
        <f t="shared" si="32"/>
        <v>31812.18</v>
      </c>
      <c r="M192" s="84">
        <f t="shared" si="37"/>
        <v>0</v>
      </c>
    </row>
    <row r="193" spans="1:13" ht="15">
      <c r="A193" s="50" t="s">
        <v>155</v>
      </c>
      <c r="B193" s="51" t="s">
        <v>156</v>
      </c>
      <c r="C193" s="52">
        <v>0</v>
      </c>
      <c r="D193" s="82">
        <v>0</v>
      </c>
      <c r="E193" s="52">
        <f t="shared" si="39"/>
        <v>0</v>
      </c>
      <c r="F193" s="52">
        <v>0</v>
      </c>
      <c r="G193" s="54">
        <f t="shared" si="35"/>
        <v>0</v>
      </c>
      <c r="H193" s="82">
        <f t="shared" si="33"/>
        <v>0</v>
      </c>
      <c r="I193" s="82">
        <f t="shared" si="38"/>
        <v>0</v>
      </c>
      <c r="J193" s="52">
        <v>0</v>
      </c>
      <c r="K193" s="54">
        <f t="shared" si="36"/>
        <v>0</v>
      </c>
      <c r="L193" s="85">
        <f t="shared" si="32"/>
        <v>0</v>
      </c>
      <c r="M193" s="84">
        <f t="shared" si="37"/>
        <v>0</v>
      </c>
    </row>
    <row r="194" spans="1:13" ht="15">
      <c r="A194" s="50" t="s">
        <v>166</v>
      </c>
      <c r="B194" s="51" t="s">
        <v>167</v>
      </c>
      <c r="C194" s="52">
        <v>0</v>
      </c>
      <c r="D194" s="82">
        <v>0</v>
      </c>
      <c r="E194" s="52">
        <f t="shared" si="39"/>
        <v>0</v>
      </c>
      <c r="F194" s="52">
        <v>0</v>
      </c>
      <c r="G194" s="54">
        <f t="shared" si="35"/>
        <v>0</v>
      </c>
      <c r="H194" s="82">
        <f t="shared" si="33"/>
        <v>0</v>
      </c>
      <c r="I194" s="82">
        <f t="shared" si="38"/>
        <v>0</v>
      </c>
      <c r="J194" s="52">
        <v>0</v>
      </c>
      <c r="K194" s="54">
        <f t="shared" si="36"/>
        <v>0</v>
      </c>
      <c r="L194" s="85">
        <f t="shared" si="32"/>
        <v>0</v>
      </c>
      <c r="M194" s="84">
        <f t="shared" si="37"/>
        <v>0</v>
      </c>
    </row>
    <row r="195" spans="1:13" ht="15">
      <c r="A195" s="50" t="s">
        <v>168</v>
      </c>
      <c r="B195" s="51" t="s">
        <v>169</v>
      </c>
      <c r="C195" s="52">
        <v>0</v>
      </c>
      <c r="D195" s="82">
        <v>0</v>
      </c>
      <c r="E195" s="52">
        <f t="shared" si="39"/>
        <v>0</v>
      </c>
      <c r="F195" s="52">
        <v>0</v>
      </c>
      <c r="G195" s="54">
        <f t="shared" si="35"/>
        <v>0</v>
      </c>
      <c r="H195" s="82">
        <f t="shared" si="33"/>
        <v>0</v>
      </c>
      <c r="I195" s="82">
        <f t="shared" si="38"/>
        <v>0</v>
      </c>
      <c r="J195" s="52">
        <v>0</v>
      </c>
      <c r="K195" s="54">
        <f t="shared" si="36"/>
        <v>0</v>
      </c>
      <c r="L195" s="85">
        <f t="shared" si="32"/>
        <v>0</v>
      </c>
      <c r="M195" s="84">
        <f t="shared" si="37"/>
        <v>0</v>
      </c>
    </row>
    <row r="196" spans="1:13" ht="15">
      <c r="A196" s="50" t="s">
        <v>170</v>
      </c>
      <c r="B196" s="51" t="s">
        <v>171</v>
      </c>
      <c r="C196" s="82">
        <v>1135001</v>
      </c>
      <c r="D196" s="82">
        <v>700001</v>
      </c>
      <c r="E196" s="52">
        <f t="shared" si="39"/>
        <v>0</v>
      </c>
      <c r="F196" s="52">
        <v>0</v>
      </c>
      <c r="G196" s="54">
        <f t="shared" si="35"/>
        <v>0</v>
      </c>
      <c r="H196" s="82">
        <f t="shared" si="33"/>
        <v>700001</v>
      </c>
      <c r="I196" s="82">
        <f t="shared" si="38"/>
        <v>0</v>
      </c>
      <c r="J196" s="52">
        <v>0</v>
      </c>
      <c r="K196" s="54">
        <f t="shared" si="36"/>
        <v>0</v>
      </c>
      <c r="L196" s="85">
        <f t="shared" si="32"/>
        <v>700001</v>
      </c>
      <c r="M196" s="84">
        <f t="shared" si="37"/>
        <v>0</v>
      </c>
    </row>
    <row r="197" spans="1:13" ht="15">
      <c r="A197" s="50" t="s">
        <v>172</v>
      </c>
      <c r="B197" s="51" t="s">
        <v>173</v>
      </c>
      <c r="C197" s="82">
        <v>8959673</v>
      </c>
      <c r="D197" s="82">
        <v>100443619.87</v>
      </c>
      <c r="E197" s="82">
        <f>F197-13309195.27</f>
        <v>4881165.550000001</v>
      </c>
      <c r="F197" s="82">
        <v>18190360.82</v>
      </c>
      <c r="G197" s="54">
        <f t="shared" si="35"/>
        <v>0.02819093188257863</v>
      </c>
      <c r="H197" s="82">
        <f t="shared" si="33"/>
        <v>82253259.05000001</v>
      </c>
      <c r="I197" s="82">
        <f>J197-7312291.61</f>
        <v>10878069.21</v>
      </c>
      <c r="J197" s="52">
        <v>18190360.82</v>
      </c>
      <c r="K197" s="54">
        <f t="shared" si="36"/>
        <v>0.028444031260642134</v>
      </c>
      <c r="L197" s="85">
        <f t="shared" si="32"/>
        <v>82253259.05000001</v>
      </c>
      <c r="M197" s="84">
        <f t="shared" si="37"/>
        <v>0</v>
      </c>
    </row>
    <row r="198" spans="1:13" ht="15">
      <c r="A198" s="50" t="s">
        <v>274</v>
      </c>
      <c r="B198" s="51" t="s">
        <v>276</v>
      </c>
      <c r="C198" s="82">
        <v>14052415</v>
      </c>
      <c r="D198" s="82">
        <v>6012105.85</v>
      </c>
      <c r="E198" s="82">
        <f>F198-1217715.98</f>
        <v>2346976.24</v>
      </c>
      <c r="F198" s="82">
        <v>3564692.22</v>
      </c>
      <c r="G198" s="54">
        <f t="shared" si="35"/>
        <v>0.005524464113207074</v>
      </c>
      <c r="H198" s="82">
        <f t="shared" si="33"/>
        <v>2447413.6299999994</v>
      </c>
      <c r="I198" s="82">
        <f>J198-575752.38</f>
        <v>2988939.8400000003</v>
      </c>
      <c r="J198" s="52">
        <v>3564692.22</v>
      </c>
      <c r="K198" s="54">
        <f t="shared" si="36"/>
        <v>0.005574062985532785</v>
      </c>
      <c r="L198" s="55">
        <f t="shared" si="32"/>
        <v>2447413.6299999994</v>
      </c>
      <c r="M198" s="84">
        <f t="shared" si="37"/>
        <v>0</v>
      </c>
    </row>
    <row r="199" spans="1:13" ht="15">
      <c r="A199" s="50" t="s">
        <v>275</v>
      </c>
      <c r="B199" s="51" t="s">
        <v>277</v>
      </c>
      <c r="C199" s="82">
        <v>1695260</v>
      </c>
      <c r="D199" s="82">
        <v>1623260</v>
      </c>
      <c r="E199" s="82">
        <f>F199-866838.14</f>
        <v>56069.23999999999</v>
      </c>
      <c r="F199" s="82">
        <v>922907.38</v>
      </c>
      <c r="G199" s="54">
        <f t="shared" si="35"/>
        <v>0.0014302970315411868</v>
      </c>
      <c r="H199" s="82">
        <f t="shared" si="33"/>
        <v>700352.62</v>
      </c>
      <c r="I199" s="82">
        <f>J199-638410.61</f>
        <v>284496.77</v>
      </c>
      <c r="J199" s="52">
        <v>922907.38</v>
      </c>
      <c r="K199" s="54">
        <f t="shared" si="36"/>
        <v>0.0014431382987485637</v>
      </c>
      <c r="L199" s="55">
        <f t="shared" si="32"/>
        <v>700352.62</v>
      </c>
      <c r="M199" s="84">
        <f t="shared" si="37"/>
        <v>0</v>
      </c>
    </row>
    <row r="200" spans="1:13" ht="15">
      <c r="A200" s="50" t="s">
        <v>244</v>
      </c>
      <c r="B200" s="51" t="s">
        <v>245</v>
      </c>
      <c r="C200" s="52">
        <v>0</v>
      </c>
      <c r="D200" s="82">
        <v>0</v>
      </c>
      <c r="E200" s="52">
        <f t="shared" si="39"/>
        <v>0</v>
      </c>
      <c r="F200" s="52">
        <v>0</v>
      </c>
      <c r="G200" s="54">
        <f t="shared" si="35"/>
        <v>0</v>
      </c>
      <c r="H200" s="52">
        <f t="shared" si="33"/>
        <v>0</v>
      </c>
      <c r="I200" s="82">
        <f t="shared" si="38"/>
        <v>0</v>
      </c>
      <c r="J200" s="52">
        <v>0</v>
      </c>
      <c r="K200" s="54">
        <f t="shared" si="36"/>
        <v>0</v>
      </c>
      <c r="L200" s="55">
        <f t="shared" si="32"/>
        <v>0</v>
      </c>
      <c r="M200" s="84">
        <f t="shared" si="37"/>
        <v>0</v>
      </c>
    </row>
    <row r="201" spans="1:13" ht="14.25">
      <c r="A201" s="45" t="s">
        <v>175</v>
      </c>
      <c r="B201" s="48" t="s">
        <v>174</v>
      </c>
      <c r="C201" s="81">
        <f>SUM(C202:C204)</f>
        <v>27578334</v>
      </c>
      <c r="D201" s="81">
        <f>SUM(D202:D204)</f>
        <v>23150171.049999997</v>
      </c>
      <c r="E201" s="81">
        <f>SUM(E202:E204)</f>
        <v>2073629.6100000003</v>
      </c>
      <c r="F201" s="81">
        <f>SUM(F202:F204)</f>
        <v>9028706.49</v>
      </c>
      <c r="G201" s="49">
        <f t="shared" si="35"/>
        <v>0.013992446448205506</v>
      </c>
      <c r="H201" s="81">
        <f t="shared" si="33"/>
        <v>14121464.559999997</v>
      </c>
      <c r="I201" s="81">
        <f>SUM(I202:I204)</f>
        <v>2092070.9700000007</v>
      </c>
      <c r="J201" s="81">
        <f>SUM(J202:J204)</f>
        <v>9028706.49</v>
      </c>
      <c r="K201" s="49">
        <f t="shared" si="36"/>
        <v>0.01411807122387375</v>
      </c>
      <c r="L201" s="84">
        <f t="shared" si="32"/>
        <v>14121464.559999997</v>
      </c>
      <c r="M201" s="84">
        <f>SUM(M202:M204)</f>
        <v>0</v>
      </c>
    </row>
    <row r="202" spans="1:13" ht="15">
      <c r="A202" s="50" t="s">
        <v>28</v>
      </c>
      <c r="B202" s="51" t="s">
        <v>33</v>
      </c>
      <c r="C202" s="82">
        <v>10981758</v>
      </c>
      <c r="D202" s="82">
        <v>11065836.44</v>
      </c>
      <c r="E202" s="82">
        <f>F202-6955076.88</f>
        <v>2073629.6100000003</v>
      </c>
      <c r="F202" s="82">
        <v>9028706.49</v>
      </c>
      <c r="G202" s="54">
        <f t="shared" si="35"/>
        <v>0.013992446448205506</v>
      </c>
      <c r="H202" s="82">
        <f t="shared" si="33"/>
        <v>2037129.9499999993</v>
      </c>
      <c r="I202" s="82">
        <f>J202-6936635.52</f>
        <v>2092070.9700000007</v>
      </c>
      <c r="J202" s="82">
        <v>9028706.49</v>
      </c>
      <c r="K202" s="54">
        <f t="shared" si="36"/>
        <v>0.01411807122387375</v>
      </c>
      <c r="L202" s="85">
        <f t="shared" si="32"/>
        <v>2037129.9499999993</v>
      </c>
      <c r="M202" s="84">
        <f>F202-J202</f>
        <v>0</v>
      </c>
    </row>
    <row r="203" spans="1:13" ht="15">
      <c r="A203" s="50" t="s">
        <v>139</v>
      </c>
      <c r="B203" s="51" t="s">
        <v>140</v>
      </c>
      <c r="C203" s="82">
        <v>900000</v>
      </c>
      <c r="D203" s="82">
        <v>0</v>
      </c>
      <c r="E203" s="82">
        <f>F203-0</f>
        <v>0</v>
      </c>
      <c r="F203" s="82">
        <v>0</v>
      </c>
      <c r="G203" s="54">
        <f t="shared" si="35"/>
        <v>0</v>
      </c>
      <c r="H203" s="82">
        <f t="shared" si="33"/>
        <v>0</v>
      </c>
      <c r="I203" s="82">
        <f>J203-0</f>
        <v>0</v>
      </c>
      <c r="J203" s="82">
        <v>0</v>
      </c>
      <c r="K203" s="54">
        <f t="shared" si="36"/>
        <v>0</v>
      </c>
      <c r="L203" s="85">
        <f t="shared" si="32"/>
        <v>0</v>
      </c>
      <c r="M203" s="84">
        <f>F203-J203</f>
        <v>0</v>
      </c>
    </row>
    <row r="204" spans="1:13" ht="15">
      <c r="A204" s="50" t="s">
        <v>176</v>
      </c>
      <c r="B204" s="51" t="s">
        <v>177</v>
      </c>
      <c r="C204" s="82">
        <v>15696576</v>
      </c>
      <c r="D204" s="82">
        <v>12084334.61</v>
      </c>
      <c r="E204" s="82">
        <f>F204-0</f>
        <v>0</v>
      </c>
      <c r="F204" s="82">
        <v>0</v>
      </c>
      <c r="G204" s="54">
        <f t="shared" si="35"/>
        <v>0</v>
      </c>
      <c r="H204" s="82">
        <f t="shared" si="33"/>
        <v>12084334.61</v>
      </c>
      <c r="I204" s="82">
        <f>J204-0</f>
        <v>0</v>
      </c>
      <c r="J204" s="82">
        <v>0</v>
      </c>
      <c r="K204" s="54">
        <f t="shared" si="36"/>
        <v>0</v>
      </c>
      <c r="L204" s="85">
        <f t="shared" si="32"/>
        <v>12084334.61</v>
      </c>
      <c r="M204" s="84">
        <f>F204-J204</f>
        <v>0</v>
      </c>
    </row>
    <row r="205" spans="1:13" ht="14.25">
      <c r="A205" s="45" t="s">
        <v>178</v>
      </c>
      <c r="B205" s="48" t="s">
        <v>179</v>
      </c>
      <c r="C205" s="81">
        <f>SUM(C206:C216)</f>
        <v>219777111</v>
      </c>
      <c r="D205" s="81">
        <f>SUM(D206:D216)</f>
        <v>241340805.71000004</v>
      </c>
      <c r="E205" s="81">
        <f>SUM(E206:E216)</f>
        <v>62014792.43</v>
      </c>
      <c r="F205" s="81">
        <f>SUM(F206:F216)</f>
        <v>111242758.59</v>
      </c>
      <c r="G205" s="49">
        <f t="shared" si="35"/>
        <v>0.17240103485978178</v>
      </c>
      <c r="H205" s="81">
        <f t="shared" si="33"/>
        <v>130098047.12000003</v>
      </c>
      <c r="I205" s="81">
        <f>SUM(I206:I216)</f>
        <v>62450852.54</v>
      </c>
      <c r="J205" s="81">
        <f>SUM(J206:J216)</f>
        <v>110405795.61</v>
      </c>
      <c r="K205" s="49">
        <f t="shared" si="36"/>
        <v>0.172640110482806</v>
      </c>
      <c r="L205" s="84">
        <f t="shared" si="32"/>
        <v>130935010.10000004</v>
      </c>
      <c r="M205" s="84">
        <f>SUM(M206:M216)</f>
        <v>836962.9800000042</v>
      </c>
    </row>
    <row r="206" spans="1:13" ht="15">
      <c r="A206" s="50" t="s">
        <v>28</v>
      </c>
      <c r="B206" s="51" t="s">
        <v>33</v>
      </c>
      <c r="C206" s="82">
        <v>64682976</v>
      </c>
      <c r="D206" s="82">
        <v>71454538.83</v>
      </c>
      <c r="E206" s="82">
        <f>F206-39591973.64</f>
        <v>11479203.740000002</v>
      </c>
      <c r="F206" s="82">
        <v>51071177.38</v>
      </c>
      <c r="G206" s="54">
        <f t="shared" si="35"/>
        <v>0.07914873690134261</v>
      </c>
      <c r="H206" s="82">
        <f t="shared" si="33"/>
        <v>20383361.449999996</v>
      </c>
      <c r="I206" s="82">
        <f>J206-38671608.97</f>
        <v>11562605.43</v>
      </c>
      <c r="J206" s="82">
        <v>50234214.4</v>
      </c>
      <c r="K206" s="54">
        <f t="shared" si="36"/>
        <v>0.07855058945155102</v>
      </c>
      <c r="L206" s="85">
        <f aca="true" t="shared" si="40" ref="L206:L237">D206-J206</f>
        <v>21220324.43</v>
      </c>
      <c r="M206" s="85">
        <f aca="true" t="shared" si="41" ref="M206:M216">F206-J206</f>
        <v>836962.9800000042</v>
      </c>
    </row>
    <row r="207" spans="1:13" ht="15">
      <c r="A207" s="50" t="s">
        <v>49</v>
      </c>
      <c r="B207" s="51" t="s">
        <v>56</v>
      </c>
      <c r="C207" s="82">
        <v>15975000</v>
      </c>
      <c r="D207" s="82">
        <v>12260847.54</v>
      </c>
      <c r="E207" s="82">
        <f>F207-16640</f>
        <v>0</v>
      </c>
      <c r="F207" s="82">
        <v>16640</v>
      </c>
      <c r="G207" s="54">
        <f t="shared" si="35"/>
        <v>2.5788224388069528E-05</v>
      </c>
      <c r="H207" s="82">
        <f t="shared" si="33"/>
        <v>12244207.54</v>
      </c>
      <c r="I207" s="82">
        <f aca="true" t="shared" si="42" ref="I207:I216">J207-0</f>
        <v>16640</v>
      </c>
      <c r="J207" s="82">
        <v>16640</v>
      </c>
      <c r="K207" s="54">
        <f t="shared" si="36"/>
        <v>2.6019752156685645E-05</v>
      </c>
      <c r="L207" s="85">
        <f t="shared" si="40"/>
        <v>12244207.54</v>
      </c>
      <c r="M207" s="85">
        <f t="shared" si="41"/>
        <v>0</v>
      </c>
    </row>
    <row r="208" spans="1:13" ht="15">
      <c r="A208" s="50" t="s">
        <v>51</v>
      </c>
      <c r="B208" s="51" t="s">
        <v>58</v>
      </c>
      <c r="C208" s="82">
        <v>0</v>
      </c>
      <c r="D208" s="82">
        <v>0</v>
      </c>
      <c r="E208" s="82">
        <f aca="true" t="shared" si="43" ref="E208:E216">F208-0</f>
        <v>0</v>
      </c>
      <c r="F208" s="82">
        <v>0</v>
      </c>
      <c r="G208" s="54">
        <f t="shared" si="35"/>
        <v>0</v>
      </c>
      <c r="H208" s="82">
        <f t="shared" si="33"/>
        <v>0</v>
      </c>
      <c r="I208" s="82">
        <f t="shared" si="42"/>
        <v>0</v>
      </c>
      <c r="J208" s="82">
        <v>0</v>
      </c>
      <c r="K208" s="54">
        <f t="shared" si="36"/>
        <v>0</v>
      </c>
      <c r="L208" s="85">
        <f t="shared" si="40"/>
        <v>0</v>
      </c>
      <c r="M208" s="85">
        <f t="shared" si="41"/>
        <v>0</v>
      </c>
    </row>
    <row r="209" spans="1:13" ht="15">
      <c r="A209" s="50" t="s">
        <v>160</v>
      </c>
      <c r="B209" s="51" t="s">
        <v>161</v>
      </c>
      <c r="C209" s="82">
        <v>0</v>
      </c>
      <c r="D209" s="82">
        <v>0</v>
      </c>
      <c r="E209" s="82">
        <f t="shared" si="43"/>
        <v>0</v>
      </c>
      <c r="F209" s="82">
        <v>0</v>
      </c>
      <c r="G209" s="54">
        <f t="shared" si="35"/>
        <v>0</v>
      </c>
      <c r="H209" s="82">
        <f>D209-F209</f>
        <v>0</v>
      </c>
      <c r="I209" s="82">
        <f t="shared" si="42"/>
        <v>0</v>
      </c>
      <c r="J209" s="82">
        <v>0</v>
      </c>
      <c r="K209" s="54">
        <f t="shared" si="36"/>
        <v>0</v>
      </c>
      <c r="L209" s="85">
        <f t="shared" si="40"/>
        <v>0</v>
      </c>
      <c r="M209" s="85">
        <f t="shared" si="41"/>
        <v>0</v>
      </c>
    </row>
    <row r="210" spans="1:13" ht="15">
      <c r="A210" s="50" t="s">
        <v>97</v>
      </c>
      <c r="B210" s="51" t="s">
        <v>241</v>
      </c>
      <c r="C210" s="82">
        <v>15000</v>
      </c>
      <c r="D210" s="82">
        <v>4700</v>
      </c>
      <c r="E210" s="82">
        <f>F210-2318.7</f>
        <v>0</v>
      </c>
      <c r="F210" s="82">
        <v>2318.7</v>
      </c>
      <c r="G210" s="54">
        <f t="shared" si="35"/>
        <v>3.5934588875370676E-06</v>
      </c>
      <c r="H210" s="82">
        <f>D210-F210</f>
        <v>2381.3</v>
      </c>
      <c r="I210" s="82">
        <f>J210-2318.7</f>
        <v>0</v>
      </c>
      <c r="J210" s="82">
        <v>2318.7</v>
      </c>
      <c r="K210" s="54">
        <f t="shared" si="36"/>
        <v>3.625721113323738E-06</v>
      </c>
      <c r="L210" s="85">
        <f t="shared" si="40"/>
        <v>2381.3</v>
      </c>
      <c r="M210" s="85">
        <f t="shared" si="41"/>
        <v>0</v>
      </c>
    </row>
    <row r="211" spans="1:13" ht="15">
      <c r="A211" s="50" t="s">
        <v>180</v>
      </c>
      <c r="B211" s="51" t="s">
        <v>181</v>
      </c>
      <c r="C211" s="82">
        <v>69119338</v>
      </c>
      <c r="D211" s="82">
        <v>87681523.54</v>
      </c>
      <c r="E211" s="82">
        <f>F211-9607329.52</f>
        <v>50533954.3</v>
      </c>
      <c r="F211" s="82">
        <v>60141283.82</v>
      </c>
      <c r="G211" s="54">
        <f t="shared" si="35"/>
        <v>0.09320534387840958</v>
      </c>
      <c r="H211" s="82">
        <f>D211-F211</f>
        <v>27540239.720000006</v>
      </c>
      <c r="I211" s="82">
        <f>J211-9271437.1</f>
        <v>50869846.72</v>
      </c>
      <c r="J211" s="82">
        <v>60141283.82</v>
      </c>
      <c r="K211" s="54">
        <f t="shared" si="36"/>
        <v>0.09404214539551012</v>
      </c>
      <c r="L211" s="85">
        <f t="shared" si="40"/>
        <v>27540239.720000006</v>
      </c>
      <c r="M211" s="85">
        <f t="shared" si="41"/>
        <v>0</v>
      </c>
    </row>
    <row r="212" spans="1:13" ht="15">
      <c r="A212" s="50" t="s">
        <v>182</v>
      </c>
      <c r="B212" s="51" t="s">
        <v>183</v>
      </c>
      <c r="C212" s="82">
        <v>22200</v>
      </c>
      <c r="D212" s="82">
        <v>21900</v>
      </c>
      <c r="E212" s="82">
        <f>F212-9662.3</f>
        <v>1550.3900000000012</v>
      </c>
      <c r="F212" s="82">
        <v>11212.69</v>
      </c>
      <c r="G212" s="54">
        <f t="shared" si="35"/>
        <v>1.737712534338121E-05</v>
      </c>
      <c r="H212" s="82">
        <f>D212-F212</f>
        <v>10687.31</v>
      </c>
      <c r="I212" s="82">
        <f>J212-9536.3</f>
        <v>1676.3900000000012</v>
      </c>
      <c r="J212" s="82">
        <v>11212.69</v>
      </c>
      <c r="K212" s="54">
        <f t="shared" si="36"/>
        <v>1.7533137909239638E-05</v>
      </c>
      <c r="L212" s="85">
        <f t="shared" si="40"/>
        <v>10687.31</v>
      </c>
      <c r="M212" s="85">
        <f t="shared" si="41"/>
        <v>0</v>
      </c>
    </row>
    <row r="213" spans="1:13" ht="15">
      <c r="A213" s="50" t="s">
        <v>184</v>
      </c>
      <c r="B213" s="51" t="s">
        <v>250</v>
      </c>
      <c r="C213" s="82">
        <v>542648</v>
      </c>
      <c r="D213" s="82">
        <v>537648</v>
      </c>
      <c r="E213" s="82">
        <f>F213-42</f>
        <v>84</v>
      </c>
      <c r="F213" s="82">
        <v>126</v>
      </c>
      <c r="G213" s="54">
        <f t="shared" si="35"/>
        <v>1.9527141063081493E-07</v>
      </c>
      <c r="H213" s="82">
        <f t="shared" si="33"/>
        <v>537522</v>
      </c>
      <c r="I213" s="82">
        <f>J213-42</f>
        <v>84</v>
      </c>
      <c r="J213" s="82">
        <v>126</v>
      </c>
      <c r="K213" s="54">
        <f t="shared" si="36"/>
        <v>1.9702456560951873E-07</v>
      </c>
      <c r="L213" s="85">
        <f t="shared" si="40"/>
        <v>537522</v>
      </c>
      <c r="M213" s="85">
        <f t="shared" si="41"/>
        <v>0</v>
      </c>
    </row>
    <row r="214" spans="1:13" ht="15">
      <c r="A214" s="50" t="s">
        <v>185</v>
      </c>
      <c r="B214" s="51" t="s">
        <v>186</v>
      </c>
      <c r="C214" s="82">
        <v>69375233</v>
      </c>
      <c r="D214" s="82">
        <v>69375233</v>
      </c>
      <c r="E214" s="82">
        <f t="shared" si="43"/>
        <v>0</v>
      </c>
      <c r="F214" s="82">
        <v>0</v>
      </c>
      <c r="G214" s="54">
        <f aca="true" t="shared" si="44" ref="G214:G245">(F214/$F$258)*100</f>
        <v>0</v>
      </c>
      <c r="H214" s="82">
        <f t="shared" si="33"/>
        <v>69375233</v>
      </c>
      <c r="I214" s="82">
        <f t="shared" si="42"/>
        <v>0</v>
      </c>
      <c r="J214" s="82">
        <v>0</v>
      </c>
      <c r="K214" s="54">
        <f aca="true" t="shared" si="45" ref="K214:K245">(J214/$J$258)*100</f>
        <v>0</v>
      </c>
      <c r="L214" s="85">
        <f t="shared" si="40"/>
        <v>69375233</v>
      </c>
      <c r="M214" s="85">
        <f t="shared" si="41"/>
        <v>0</v>
      </c>
    </row>
    <row r="215" spans="1:13" ht="15">
      <c r="A215" s="50" t="s">
        <v>187</v>
      </c>
      <c r="B215" s="51" t="s">
        <v>188</v>
      </c>
      <c r="C215" s="82">
        <v>0</v>
      </c>
      <c r="D215" s="82">
        <v>0</v>
      </c>
      <c r="E215" s="82">
        <f t="shared" si="43"/>
        <v>0</v>
      </c>
      <c r="F215" s="82">
        <v>0</v>
      </c>
      <c r="G215" s="54">
        <f t="shared" si="44"/>
        <v>0</v>
      </c>
      <c r="H215" s="82">
        <f>D215-F215</f>
        <v>0</v>
      </c>
      <c r="I215" s="82">
        <f t="shared" si="42"/>
        <v>0</v>
      </c>
      <c r="J215" s="82">
        <v>0</v>
      </c>
      <c r="K215" s="54">
        <f t="shared" si="45"/>
        <v>0</v>
      </c>
      <c r="L215" s="85">
        <f t="shared" si="40"/>
        <v>0</v>
      </c>
      <c r="M215" s="85">
        <f t="shared" si="41"/>
        <v>0</v>
      </c>
    </row>
    <row r="216" spans="1:13" ht="15">
      <c r="A216" s="50" t="s">
        <v>253</v>
      </c>
      <c r="B216" s="51" t="s">
        <v>254</v>
      </c>
      <c r="C216" s="82">
        <v>44716</v>
      </c>
      <c r="D216" s="82">
        <v>4414.8</v>
      </c>
      <c r="E216" s="82">
        <f t="shared" si="43"/>
        <v>0</v>
      </c>
      <c r="F216" s="82">
        <v>0</v>
      </c>
      <c r="G216" s="54">
        <f t="shared" si="44"/>
        <v>0</v>
      </c>
      <c r="H216" s="82">
        <f t="shared" si="33"/>
        <v>4414.8</v>
      </c>
      <c r="I216" s="82">
        <f t="shared" si="42"/>
        <v>0</v>
      </c>
      <c r="J216" s="82">
        <v>0</v>
      </c>
      <c r="K216" s="54">
        <f t="shared" si="45"/>
        <v>0</v>
      </c>
      <c r="L216" s="85">
        <f t="shared" si="40"/>
        <v>4414.8</v>
      </c>
      <c r="M216" s="85">
        <f t="shared" si="41"/>
        <v>0</v>
      </c>
    </row>
    <row r="217" spans="1:13" ht="14.25">
      <c r="A217" s="45" t="s">
        <v>189</v>
      </c>
      <c r="B217" s="48" t="s">
        <v>190</v>
      </c>
      <c r="C217" s="81">
        <f>SUM(C218:C227)</f>
        <v>274908807</v>
      </c>
      <c r="D217" s="81">
        <f>SUM(D218:D227)</f>
        <v>293464794.83000004</v>
      </c>
      <c r="E217" s="81">
        <f>SUM(E218:E227)</f>
        <v>21924758.860000007</v>
      </c>
      <c r="F217" s="81">
        <f>SUM(F218:F227)</f>
        <v>150242814.35000002</v>
      </c>
      <c r="G217" s="49">
        <f t="shared" si="44"/>
        <v>0.23284227218466785</v>
      </c>
      <c r="H217" s="81">
        <f t="shared" si="33"/>
        <v>143221980.48000002</v>
      </c>
      <c r="I217" s="81">
        <f>SUM(I218:I227)</f>
        <v>37110779.45</v>
      </c>
      <c r="J217" s="81">
        <f>SUM(J218:J227)</f>
        <v>148648757.27</v>
      </c>
      <c r="K217" s="49">
        <f t="shared" si="45"/>
        <v>0.23244013356759158</v>
      </c>
      <c r="L217" s="84">
        <f t="shared" si="40"/>
        <v>144816037.56000003</v>
      </c>
      <c r="M217" s="84">
        <f>SUM(M218:M227)</f>
        <v>1594057.0800000075</v>
      </c>
    </row>
    <row r="218" spans="1:13" ht="15">
      <c r="A218" s="50" t="s">
        <v>28</v>
      </c>
      <c r="B218" s="51" t="s">
        <v>33</v>
      </c>
      <c r="C218" s="82">
        <v>90489797</v>
      </c>
      <c r="D218" s="82">
        <v>98919546.34</v>
      </c>
      <c r="E218" s="82">
        <f>F218-61545209.71</f>
        <v>9889525.580000006</v>
      </c>
      <c r="F218" s="82">
        <v>71434735.29</v>
      </c>
      <c r="G218" s="54">
        <f t="shared" si="44"/>
        <v>0.11070763117553299</v>
      </c>
      <c r="H218" s="82">
        <f t="shared" si="33"/>
        <v>27484811.049999997</v>
      </c>
      <c r="I218" s="82">
        <f>J218-49288594.07</f>
        <v>20660145.54</v>
      </c>
      <c r="J218" s="82">
        <v>69948739.61</v>
      </c>
      <c r="K218" s="54">
        <f t="shared" si="45"/>
        <v>0.10937793679836177</v>
      </c>
      <c r="L218" s="85">
        <f t="shared" si="40"/>
        <v>28970806.730000004</v>
      </c>
      <c r="M218" s="85">
        <f aca="true" t="shared" si="46" ref="M218:M227">F218-J218</f>
        <v>1485995.6800000072</v>
      </c>
    </row>
    <row r="219" spans="1:13" ht="15">
      <c r="A219" s="50" t="s">
        <v>39</v>
      </c>
      <c r="B219" s="51" t="s">
        <v>41</v>
      </c>
      <c r="C219" s="82">
        <v>5000</v>
      </c>
      <c r="D219" s="82">
        <v>5000</v>
      </c>
      <c r="E219" s="82">
        <f aca="true" t="shared" si="47" ref="E219:E225">F219-0</f>
        <v>0</v>
      </c>
      <c r="F219" s="82">
        <v>0</v>
      </c>
      <c r="G219" s="54">
        <f t="shared" si="44"/>
        <v>0</v>
      </c>
      <c r="H219" s="82">
        <f t="shared" si="33"/>
        <v>5000</v>
      </c>
      <c r="I219" s="82">
        <f aca="true" t="shared" si="48" ref="I219:I225">J219-0</f>
        <v>0</v>
      </c>
      <c r="J219" s="82">
        <v>0</v>
      </c>
      <c r="K219" s="54">
        <f t="shared" si="45"/>
        <v>0</v>
      </c>
      <c r="L219" s="85">
        <f t="shared" si="40"/>
        <v>5000</v>
      </c>
      <c r="M219" s="85">
        <f t="shared" si="46"/>
        <v>0</v>
      </c>
    </row>
    <row r="220" spans="1:13" ht="15">
      <c r="A220" s="50" t="s">
        <v>131</v>
      </c>
      <c r="B220" s="51" t="s">
        <v>132</v>
      </c>
      <c r="C220" s="82">
        <v>1164010</v>
      </c>
      <c r="D220" s="82">
        <v>1164010</v>
      </c>
      <c r="E220" s="82">
        <f>F220-69994.02</f>
        <v>0</v>
      </c>
      <c r="F220" s="82">
        <v>69994.02</v>
      </c>
      <c r="G220" s="54">
        <f t="shared" si="44"/>
        <v>0.00010847484937397994</v>
      </c>
      <c r="H220" s="82">
        <f>D220-F220</f>
        <v>1094015.98</v>
      </c>
      <c r="I220" s="82">
        <f>J220-69994.02</f>
        <v>0</v>
      </c>
      <c r="J220" s="82">
        <v>69994.02</v>
      </c>
      <c r="K220" s="54">
        <f t="shared" si="45"/>
        <v>0.00010944874115685686</v>
      </c>
      <c r="L220" s="85">
        <f t="shared" si="40"/>
        <v>1094015.98</v>
      </c>
      <c r="M220" s="85">
        <f t="shared" si="46"/>
        <v>0</v>
      </c>
    </row>
    <row r="221" spans="1:13" ht="15">
      <c r="A221" s="50" t="s">
        <v>83</v>
      </c>
      <c r="B221" s="51" t="s">
        <v>85</v>
      </c>
      <c r="C221" s="82">
        <v>11353566</v>
      </c>
      <c r="D221" s="82">
        <v>11353566</v>
      </c>
      <c r="E221" s="82">
        <f>F221-7019940.73</f>
        <v>221248.7999999998</v>
      </c>
      <c r="F221" s="82">
        <v>7241189.53</v>
      </c>
      <c r="G221" s="54">
        <f t="shared" si="44"/>
        <v>0.01122220074736657</v>
      </c>
      <c r="H221" s="82">
        <f>D221-F221</f>
        <v>4112376.4699999997</v>
      </c>
      <c r="I221" s="82">
        <f>J221-7019940.73</f>
        <v>221248.7999999998</v>
      </c>
      <c r="J221" s="82">
        <v>7241189.53</v>
      </c>
      <c r="K221" s="54">
        <f t="shared" si="45"/>
        <v>0.011322954140035278</v>
      </c>
      <c r="L221" s="85">
        <f t="shared" si="40"/>
        <v>4112376.4699999997</v>
      </c>
      <c r="M221" s="85">
        <f t="shared" si="46"/>
        <v>0</v>
      </c>
    </row>
    <row r="222" spans="1:13" ht="15">
      <c r="A222" s="50" t="s">
        <v>53</v>
      </c>
      <c r="B222" s="51" t="s">
        <v>60</v>
      </c>
      <c r="C222" s="82">
        <v>9500000</v>
      </c>
      <c r="D222" s="82">
        <v>8573000</v>
      </c>
      <c r="E222" s="82">
        <f t="shared" si="47"/>
        <v>0</v>
      </c>
      <c r="F222" s="82">
        <v>0</v>
      </c>
      <c r="G222" s="54">
        <f t="shared" si="44"/>
        <v>0</v>
      </c>
      <c r="H222" s="82">
        <f t="shared" si="33"/>
        <v>8573000</v>
      </c>
      <c r="I222" s="82">
        <f t="shared" si="48"/>
        <v>0</v>
      </c>
      <c r="J222" s="82">
        <v>0</v>
      </c>
      <c r="K222" s="54">
        <f t="shared" si="45"/>
        <v>0</v>
      </c>
      <c r="L222" s="85">
        <f t="shared" si="40"/>
        <v>8573000</v>
      </c>
      <c r="M222" s="85">
        <f t="shared" si="46"/>
        <v>0</v>
      </c>
    </row>
    <row r="223" spans="1:13" ht="15">
      <c r="A223" s="50" t="s">
        <v>191</v>
      </c>
      <c r="B223" s="51" t="s">
        <v>192</v>
      </c>
      <c r="C223" s="82">
        <v>13672544</v>
      </c>
      <c r="D223" s="82">
        <v>15401587.9</v>
      </c>
      <c r="E223" s="82">
        <f>F223-8539161.63</f>
        <v>992581.4199999999</v>
      </c>
      <c r="F223" s="82">
        <v>9531743.05</v>
      </c>
      <c r="G223" s="54">
        <f t="shared" si="44"/>
        <v>0.014772038977333066</v>
      </c>
      <c r="H223" s="82">
        <f t="shared" si="33"/>
        <v>5869844.85</v>
      </c>
      <c r="I223" s="82">
        <f>J223-5551514.1</f>
        <v>3872167.5500000007</v>
      </c>
      <c r="J223" s="82">
        <v>9423681.65</v>
      </c>
      <c r="K223" s="54">
        <f t="shared" si="45"/>
        <v>0.014735688758203512</v>
      </c>
      <c r="L223" s="85">
        <f t="shared" si="40"/>
        <v>5977906.25</v>
      </c>
      <c r="M223" s="85">
        <f t="shared" si="46"/>
        <v>108061.40000000037</v>
      </c>
    </row>
    <row r="224" spans="1:13" ht="15">
      <c r="A224" s="50" t="s">
        <v>244</v>
      </c>
      <c r="B224" s="51" t="s">
        <v>245</v>
      </c>
      <c r="C224" s="82">
        <v>26350</v>
      </c>
      <c r="D224" s="82">
        <v>4405</v>
      </c>
      <c r="E224" s="82">
        <f t="shared" si="47"/>
        <v>0</v>
      </c>
      <c r="F224" s="82">
        <v>0</v>
      </c>
      <c r="G224" s="54">
        <f t="shared" si="44"/>
        <v>0</v>
      </c>
      <c r="H224" s="82">
        <f t="shared" si="33"/>
        <v>4405</v>
      </c>
      <c r="I224" s="82">
        <f t="shared" si="48"/>
        <v>0</v>
      </c>
      <c r="J224" s="82">
        <v>0</v>
      </c>
      <c r="K224" s="54">
        <f t="shared" si="45"/>
        <v>0</v>
      </c>
      <c r="L224" s="85">
        <f t="shared" si="40"/>
        <v>4405</v>
      </c>
      <c r="M224" s="85">
        <f t="shared" si="46"/>
        <v>0</v>
      </c>
    </row>
    <row r="225" spans="1:13" ht="15">
      <c r="A225" s="50" t="s">
        <v>278</v>
      </c>
      <c r="B225" s="51" t="s">
        <v>279</v>
      </c>
      <c r="C225" s="82">
        <v>5000</v>
      </c>
      <c r="D225" s="82">
        <v>0</v>
      </c>
      <c r="E225" s="82">
        <f t="shared" si="47"/>
        <v>0</v>
      </c>
      <c r="F225" s="82">
        <v>0</v>
      </c>
      <c r="G225" s="54">
        <f t="shared" si="44"/>
        <v>0</v>
      </c>
      <c r="H225" s="82">
        <f t="shared" si="33"/>
        <v>0</v>
      </c>
      <c r="I225" s="82">
        <f t="shared" si="48"/>
        <v>0</v>
      </c>
      <c r="J225" s="82">
        <v>0</v>
      </c>
      <c r="K225" s="54">
        <f t="shared" si="45"/>
        <v>0</v>
      </c>
      <c r="L225" s="85">
        <f t="shared" si="40"/>
        <v>0</v>
      </c>
      <c r="M225" s="85">
        <f t="shared" si="46"/>
        <v>0</v>
      </c>
    </row>
    <row r="226" spans="1:13" ht="15">
      <c r="A226" s="50" t="s">
        <v>54</v>
      </c>
      <c r="B226" s="51" t="s">
        <v>61</v>
      </c>
      <c r="C226" s="82">
        <v>148515979</v>
      </c>
      <c r="D226" s="82">
        <v>157867118.59</v>
      </c>
      <c r="E226" s="82">
        <f>F226-51142116.32</f>
        <v>10821403.060000002</v>
      </c>
      <c r="F226" s="82">
        <v>61963519.38</v>
      </c>
      <c r="G226" s="54">
        <f t="shared" si="44"/>
        <v>0.09602939553160666</v>
      </c>
      <c r="H226" s="82">
        <f t="shared" si="33"/>
        <v>95903599.21000001</v>
      </c>
      <c r="I226" s="82">
        <f>J226-49606301.82</f>
        <v>12357217.560000002</v>
      </c>
      <c r="J226" s="82">
        <v>61963519.38</v>
      </c>
      <c r="K226" s="54">
        <f t="shared" si="45"/>
        <v>0.0968915515038214</v>
      </c>
      <c r="L226" s="85">
        <f t="shared" si="40"/>
        <v>95903599.21000001</v>
      </c>
      <c r="M226" s="85">
        <f t="shared" si="46"/>
        <v>0</v>
      </c>
    </row>
    <row r="227" spans="1:13" ht="15">
      <c r="A227" s="50" t="s">
        <v>185</v>
      </c>
      <c r="B227" s="51" t="s">
        <v>186</v>
      </c>
      <c r="C227" s="82">
        <v>176561</v>
      </c>
      <c r="D227" s="82">
        <v>176561</v>
      </c>
      <c r="E227" s="82">
        <f>F227-1633.08</f>
        <v>0</v>
      </c>
      <c r="F227" s="82">
        <v>1633.08</v>
      </c>
      <c r="G227" s="54">
        <f t="shared" si="44"/>
        <v>2.5309034545473906E-06</v>
      </c>
      <c r="H227" s="82">
        <f t="shared" si="33"/>
        <v>174927.92</v>
      </c>
      <c r="I227" s="82">
        <f>J227-1633.08</f>
        <v>0</v>
      </c>
      <c r="J227" s="82">
        <v>1633.08</v>
      </c>
      <c r="K227" s="54">
        <f t="shared" si="45"/>
        <v>2.5536260127428E-06</v>
      </c>
      <c r="L227" s="85">
        <f t="shared" si="40"/>
        <v>174927.92</v>
      </c>
      <c r="M227" s="85">
        <f t="shared" si="46"/>
        <v>0</v>
      </c>
    </row>
    <row r="228" spans="1:13" ht="14.25">
      <c r="A228" s="45" t="s">
        <v>193</v>
      </c>
      <c r="B228" s="48" t="s">
        <v>194</v>
      </c>
      <c r="C228" s="81">
        <f>SUM(C229:C231)</f>
        <v>10171340</v>
      </c>
      <c r="D228" s="81">
        <f>SUM(D229:D231)</f>
        <v>20644717.52</v>
      </c>
      <c r="E228" s="81">
        <f>SUM(E229:E231)</f>
        <v>8677517.870000001</v>
      </c>
      <c r="F228" s="81">
        <f>SUM(F229:F231)</f>
        <v>19145701.249999996</v>
      </c>
      <c r="G228" s="49">
        <f t="shared" si="44"/>
        <v>0.0296714927825687</v>
      </c>
      <c r="H228" s="81">
        <f t="shared" si="33"/>
        <v>1499016.2700000033</v>
      </c>
      <c r="I228" s="81">
        <f>SUM(I229:I231)</f>
        <v>11196393.04</v>
      </c>
      <c r="J228" s="81">
        <f>SUM(J229:J231)</f>
        <v>19145701.249999996</v>
      </c>
      <c r="K228" s="49">
        <f t="shared" si="45"/>
        <v>0.02993788469897515</v>
      </c>
      <c r="L228" s="84">
        <f t="shared" si="40"/>
        <v>1499016.2700000033</v>
      </c>
      <c r="M228" s="84">
        <f>SUM(M229:M231)</f>
        <v>0</v>
      </c>
    </row>
    <row r="229" spans="1:13" ht="15">
      <c r="A229" s="50" t="s">
        <v>28</v>
      </c>
      <c r="B229" s="51" t="s">
        <v>33</v>
      </c>
      <c r="C229" s="82">
        <v>6026742</v>
      </c>
      <c r="D229" s="82">
        <v>8718021.92</v>
      </c>
      <c r="E229" s="82">
        <f>F229-6442719.89</f>
        <v>2095769.04</v>
      </c>
      <c r="F229" s="82">
        <v>8538488.93</v>
      </c>
      <c r="G229" s="54">
        <f t="shared" si="44"/>
        <v>0.01323272046044998</v>
      </c>
      <c r="H229" s="82">
        <f t="shared" si="33"/>
        <v>179532.99000000022</v>
      </c>
      <c r="I229" s="82">
        <f>J229-6436024.47</f>
        <v>2102464.46</v>
      </c>
      <c r="J229" s="82">
        <v>8538488.93</v>
      </c>
      <c r="K229" s="54">
        <f t="shared" si="45"/>
        <v>0.013351524384086778</v>
      </c>
      <c r="L229" s="85">
        <f t="shared" si="40"/>
        <v>179532.99000000022</v>
      </c>
      <c r="M229" s="84">
        <f>F229-J229</f>
        <v>0</v>
      </c>
    </row>
    <row r="230" spans="1:13" ht="15">
      <c r="A230" s="50" t="s">
        <v>164</v>
      </c>
      <c r="B230" s="51" t="s">
        <v>165</v>
      </c>
      <c r="C230" s="82">
        <v>3018075</v>
      </c>
      <c r="D230" s="82">
        <v>11598076.13</v>
      </c>
      <c r="E230" s="82">
        <f>F230-4004700</f>
        <v>6564148.83</v>
      </c>
      <c r="F230" s="82">
        <v>10568848.83</v>
      </c>
      <c r="G230" s="54">
        <f t="shared" si="44"/>
        <v>0.01637931761728522</v>
      </c>
      <c r="H230" s="82">
        <f t="shared" si="33"/>
        <v>1029227.3000000007</v>
      </c>
      <c r="I230" s="82">
        <f>J230-1495726.39</f>
        <v>9073122.44</v>
      </c>
      <c r="J230" s="82">
        <v>10568848.83</v>
      </c>
      <c r="K230" s="54">
        <f t="shared" si="45"/>
        <v>0.016526371823201748</v>
      </c>
      <c r="L230" s="85">
        <f t="shared" si="40"/>
        <v>1029227.3000000007</v>
      </c>
      <c r="M230" s="84">
        <f>F230-J230</f>
        <v>0</v>
      </c>
    </row>
    <row r="231" spans="1:13" ht="15">
      <c r="A231" s="50" t="s">
        <v>117</v>
      </c>
      <c r="B231" s="51" t="s">
        <v>124</v>
      </c>
      <c r="C231" s="82">
        <v>1126523</v>
      </c>
      <c r="D231" s="82">
        <v>328619.47</v>
      </c>
      <c r="E231" s="82">
        <f>F231-20763.49</f>
        <v>17599.999999999996</v>
      </c>
      <c r="F231" s="82">
        <v>38363.49</v>
      </c>
      <c r="G231" s="54">
        <f t="shared" si="44"/>
        <v>5.945470483350128E-05</v>
      </c>
      <c r="H231" s="82">
        <f t="shared" si="33"/>
        <v>290255.98</v>
      </c>
      <c r="I231" s="82">
        <f>J231-17557.35</f>
        <v>20806.14</v>
      </c>
      <c r="J231" s="82">
        <v>38363.49</v>
      </c>
      <c r="K231" s="54">
        <f t="shared" si="45"/>
        <v>5.998849168662789E-05</v>
      </c>
      <c r="L231" s="85">
        <f t="shared" si="40"/>
        <v>290255.98</v>
      </c>
      <c r="M231" s="84">
        <f>F231-J231</f>
        <v>0</v>
      </c>
    </row>
    <row r="232" spans="1:13" ht="14.25">
      <c r="A232" s="45" t="s">
        <v>195</v>
      </c>
      <c r="B232" s="48" t="s">
        <v>196</v>
      </c>
      <c r="C232" s="81">
        <f>SUM(C233:C242)</f>
        <v>1598616202</v>
      </c>
      <c r="D232" s="81">
        <f>SUM(D233:D242)</f>
        <v>1409117676.3999999</v>
      </c>
      <c r="E232" s="81">
        <f>SUM(E233:E242)</f>
        <v>78789231.04</v>
      </c>
      <c r="F232" s="81">
        <f>SUM(F233:F242)</f>
        <v>589321770.8100001</v>
      </c>
      <c r="G232" s="49">
        <f t="shared" si="44"/>
        <v>0.9133150277898296</v>
      </c>
      <c r="H232" s="81">
        <f t="shared" si="33"/>
        <v>819795905.5899998</v>
      </c>
      <c r="I232" s="81">
        <f>SUM(I233:I242)</f>
        <v>123394676.92000005</v>
      </c>
      <c r="J232" s="81">
        <f>SUM(J233:J242)</f>
        <v>588191019.2</v>
      </c>
      <c r="K232" s="49">
        <f t="shared" si="45"/>
        <v>0.9197466670896832</v>
      </c>
      <c r="L232" s="84">
        <f t="shared" si="40"/>
        <v>820926657.1999998</v>
      </c>
      <c r="M232" s="84">
        <f>SUM(M233:M242)</f>
        <v>1130751.6099999845</v>
      </c>
    </row>
    <row r="233" spans="1:13" ht="15">
      <c r="A233" s="50" t="s">
        <v>28</v>
      </c>
      <c r="B233" s="51" t="s">
        <v>33</v>
      </c>
      <c r="C233" s="82">
        <v>339208304</v>
      </c>
      <c r="D233" s="82">
        <v>338983238.45</v>
      </c>
      <c r="E233" s="82">
        <f>F233-199430250.08</f>
        <v>42856439.869999975</v>
      </c>
      <c r="F233" s="82">
        <v>242286689.95</v>
      </c>
      <c r="G233" s="54">
        <f t="shared" si="44"/>
        <v>0.37548939463180464</v>
      </c>
      <c r="H233" s="82">
        <f t="shared" si="33"/>
        <v>96696548.5</v>
      </c>
      <c r="I233" s="82">
        <f>J233-189316064.7</f>
        <v>51997736.910000026</v>
      </c>
      <c r="J233" s="82">
        <v>241313801.61</v>
      </c>
      <c r="K233" s="54">
        <f t="shared" si="45"/>
        <v>0.37733926141104623</v>
      </c>
      <c r="L233" s="85">
        <f t="shared" si="40"/>
        <v>97669436.83999997</v>
      </c>
      <c r="M233" s="85">
        <f aca="true" t="shared" si="49" ref="M233:M242">F233-J233</f>
        <v>972888.3399999738</v>
      </c>
    </row>
    <row r="234" spans="1:13" ht="15">
      <c r="A234" s="50" t="s">
        <v>131</v>
      </c>
      <c r="B234" s="51" t="s">
        <v>266</v>
      </c>
      <c r="C234" s="82">
        <v>0</v>
      </c>
      <c r="D234" s="82">
        <v>0</v>
      </c>
      <c r="E234" s="82">
        <f aca="true" t="shared" si="50" ref="E234:E241">F234-0</f>
        <v>0</v>
      </c>
      <c r="F234" s="82">
        <v>0</v>
      </c>
      <c r="G234" s="54">
        <f t="shared" si="44"/>
        <v>0</v>
      </c>
      <c r="H234" s="82">
        <f t="shared" si="33"/>
        <v>0</v>
      </c>
      <c r="I234" s="82">
        <f aca="true" t="shared" si="51" ref="I234:I241">J234-0</f>
        <v>0</v>
      </c>
      <c r="J234" s="82">
        <v>0</v>
      </c>
      <c r="K234" s="54">
        <f t="shared" si="45"/>
        <v>0</v>
      </c>
      <c r="L234" s="85">
        <f t="shared" si="40"/>
        <v>0</v>
      </c>
      <c r="M234" s="85">
        <f t="shared" si="49"/>
        <v>0</v>
      </c>
    </row>
    <row r="235" spans="1:13" ht="15">
      <c r="A235" s="50" t="s">
        <v>135</v>
      </c>
      <c r="B235" s="51" t="s">
        <v>136</v>
      </c>
      <c r="C235" s="82">
        <v>311977642</v>
      </c>
      <c r="D235" s="82">
        <v>180578036.34</v>
      </c>
      <c r="E235" s="82">
        <f>F235-2606543.72</f>
        <v>1027151.44</v>
      </c>
      <c r="F235" s="82">
        <v>3633695.16</v>
      </c>
      <c r="G235" s="54">
        <f t="shared" si="44"/>
        <v>0.005631403013456863</v>
      </c>
      <c r="H235" s="82">
        <f t="shared" si="33"/>
        <v>176944341.18</v>
      </c>
      <c r="I235" s="82">
        <f>J235-2592947.04</f>
        <v>1040748.1200000001</v>
      </c>
      <c r="J235" s="82">
        <v>3633695.16</v>
      </c>
      <c r="K235" s="54">
        <f t="shared" si="45"/>
        <v>0.0056819619877492905</v>
      </c>
      <c r="L235" s="85">
        <f t="shared" si="40"/>
        <v>176944341.18</v>
      </c>
      <c r="M235" s="85">
        <f t="shared" si="49"/>
        <v>0</v>
      </c>
    </row>
    <row r="236" spans="1:13" ht="15">
      <c r="A236" s="50" t="s">
        <v>151</v>
      </c>
      <c r="B236" s="51" t="s">
        <v>152</v>
      </c>
      <c r="C236" s="82">
        <v>560171232</v>
      </c>
      <c r="D236" s="82">
        <v>419694137.55</v>
      </c>
      <c r="E236" s="82">
        <f>F236-153029362.21</f>
        <v>39020887.870000005</v>
      </c>
      <c r="F236" s="82">
        <v>192050250.08</v>
      </c>
      <c r="G236" s="54">
        <f t="shared" si="44"/>
        <v>0.29763431146922525</v>
      </c>
      <c r="H236" s="82">
        <f t="shared" si="33"/>
        <v>227643887.47</v>
      </c>
      <c r="I236" s="82">
        <f>J236-147937846.94</f>
        <v>44112403.140000015</v>
      </c>
      <c r="J236" s="82">
        <v>192050250.08</v>
      </c>
      <c r="K236" s="54">
        <f t="shared" si="45"/>
        <v>0.3003064848985035</v>
      </c>
      <c r="L236" s="85">
        <f t="shared" si="40"/>
        <v>227643887.47</v>
      </c>
      <c r="M236" s="85">
        <f t="shared" si="49"/>
        <v>0</v>
      </c>
    </row>
    <row r="237" spans="1:13" ht="15">
      <c r="A237" s="50" t="s">
        <v>145</v>
      </c>
      <c r="B237" s="51" t="s">
        <v>146</v>
      </c>
      <c r="C237" s="82">
        <v>5000</v>
      </c>
      <c r="D237" s="82">
        <v>5000</v>
      </c>
      <c r="E237" s="82">
        <f t="shared" si="50"/>
        <v>0</v>
      </c>
      <c r="F237" s="82">
        <v>0</v>
      </c>
      <c r="G237" s="54">
        <f t="shared" si="44"/>
        <v>0</v>
      </c>
      <c r="H237" s="82">
        <f t="shared" si="33"/>
        <v>5000</v>
      </c>
      <c r="I237" s="82">
        <f t="shared" si="51"/>
        <v>0</v>
      </c>
      <c r="J237" s="82">
        <v>0</v>
      </c>
      <c r="K237" s="54">
        <f t="shared" si="45"/>
        <v>0</v>
      </c>
      <c r="L237" s="85">
        <f t="shared" si="40"/>
        <v>5000</v>
      </c>
      <c r="M237" s="85">
        <f t="shared" si="49"/>
        <v>0</v>
      </c>
    </row>
    <row r="238" spans="1:13" ht="15">
      <c r="A238" s="50" t="s">
        <v>70</v>
      </c>
      <c r="B238" s="51" t="s">
        <v>78</v>
      </c>
      <c r="C238" s="82">
        <v>36516336</v>
      </c>
      <c r="D238" s="82">
        <v>36516336</v>
      </c>
      <c r="E238" s="82">
        <f t="shared" si="50"/>
        <v>0</v>
      </c>
      <c r="F238" s="82">
        <v>0</v>
      </c>
      <c r="G238" s="54">
        <f t="shared" si="44"/>
        <v>0</v>
      </c>
      <c r="H238" s="82">
        <f t="shared" si="33"/>
        <v>36516336</v>
      </c>
      <c r="I238" s="82">
        <f t="shared" si="51"/>
        <v>0</v>
      </c>
      <c r="J238" s="82">
        <v>0</v>
      </c>
      <c r="K238" s="54">
        <f t="shared" si="45"/>
        <v>0</v>
      </c>
      <c r="L238" s="85">
        <f aca="true" t="shared" si="52" ref="L238:L257">D238-J238</f>
        <v>36516336</v>
      </c>
      <c r="M238" s="85">
        <f t="shared" si="49"/>
        <v>0</v>
      </c>
    </row>
    <row r="239" spans="1:13" ht="15">
      <c r="A239" s="50" t="s">
        <v>71</v>
      </c>
      <c r="B239" s="51" t="s">
        <v>79</v>
      </c>
      <c r="C239" s="82">
        <v>205431755</v>
      </c>
      <c r="D239" s="82">
        <v>291483276.38</v>
      </c>
      <c r="E239" s="82">
        <f>F239-154050631.67</f>
        <v>-3262326.7399999797</v>
      </c>
      <c r="F239" s="82">
        <v>150788304.93</v>
      </c>
      <c r="G239" s="54">
        <f t="shared" si="44"/>
        <v>0.23368765881198864</v>
      </c>
      <c r="H239" s="82">
        <f t="shared" si="33"/>
        <v>140694971.45</v>
      </c>
      <c r="I239" s="82">
        <f>J239-124676044.23</f>
        <v>25954397.429999992</v>
      </c>
      <c r="J239" s="82">
        <v>150630441.66</v>
      </c>
      <c r="K239" s="54">
        <f t="shared" si="45"/>
        <v>0.23553886774310673</v>
      </c>
      <c r="L239" s="85">
        <f t="shared" si="52"/>
        <v>140852834.72</v>
      </c>
      <c r="M239" s="85">
        <f t="shared" si="49"/>
        <v>157863.27000001073</v>
      </c>
    </row>
    <row r="240" spans="1:13" ht="15">
      <c r="A240" s="50" t="s">
        <v>197</v>
      </c>
      <c r="B240" s="51" t="s">
        <v>198</v>
      </c>
      <c r="C240" s="82">
        <v>75810302</v>
      </c>
      <c r="D240" s="82">
        <v>75810302</v>
      </c>
      <c r="E240" s="82">
        <f>F240-1281742.25</f>
        <v>-878327.77</v>
      </c>
      <c r="F240" s="82">
        <v>403414.48</v>
      </c>
      <c r="G240" s="54">
        <f t="shared" si="44"/>
        <v>0.0006252009093531482</v>
      </c>
      <c r="H240" s="82">
        <f t="shared" si="33"/>
        <v>75406887.52</v>
      </c>
      <c r="I240" s="82">
        <f>J240-188429.53</f>
        <v>214984.94999999998</v>
      </c>
      <c r="J240" s="82">
        <v>403414.48</v>
      </c>
      <c r="K240" s="54">
        <f t="shared" si="45"/>
        <v>0.000630813989544364</v>
      </c>
      <c r="L240" s="85">
        <f t="shared" si="52"/>
        <v>75406887.52</v>
      </c>
      <c r="M240" s="85">
        <f t="shared" si="49"/>
        <v>0</v>
      </c>
    </row>
    <row r="241" spans="1:13" ht="15">
      <c r="A241" s="50" t="s">
        <v>199</v>
      </c>
      <c r="B241" s="51" t="s">
        <v>200</v>
      </c>
      <c r="C241" s="82">
        <v>28414283</v>
      </c>
      <c r="D241" s="82">
        <v>25115955.68</v>
      </c>
      <c r="E241" s="82">
        <f t="shared" si="50"/>
        <v>0</v>
      </c>
      <c r="F241" s="82">
        <v>0</v>
      </c>
      <c r="G241" s="54">
        <f t="shared" si="44"/>
        <v>0</v>
      </c>
      <c r="H241" s="82">
        <f t="shared" si="33"/>
        <v>25115955.68</v>
      </c>
      <c r="I241" s="82">
        <f t="shared" si="51"/>
        <v>0</v>
      </c>
      <c r="J241" s="82">
        <v>0</v>
      </c>
      <c r="K241" s="54">
        <f t="shared" si="45"/>
        <v>0</v>
      </c>
      <c r="L241" s="85">
        <f t="shared" si="52"/>
        <v>25115955.68</v>
      </c>
      <c r="M241" s="85">
        <f t="shared" si="49"/>
        <v>0</v>
      </c>
    </row>
    <row r="242" spans="1:13" ht="15">
      <c r="A242" s="50" t="s">
        <v>201</v>
      </c>
      <c r="B242" s="51" t="s">
        <v>202</v>
      </c>
      <c r="C242" s="82">
        <v>41081348</v>
      </c>
      <c r="D242" s="82">
        <v>40931394</v>
      </c>
      <c r="E242" s="82">
        <f>F242-134009.84</f>
        <v>25406.369999999995</v>
      </c>
      <c r="F242" s="82">
        <v>159416.21</v>
      </c>
      <c r="G242" s="54">
        <f t="shared" si="44"/>
        <v>0.0002470589540009383</v>
      </c>
      <c r="H242" s="82">
        <f t="shared" si="33"/>
        <v>40771977.79</v>
      </c>
      <c r="I242" s="82">
        <f>J242-85009.84</f>
        <v>74406.37</v>
      </c>
      <c r="J242" s="82">
        <v>159416.21</v>
      </c>
      <c r="K242" s="54">
        <f t="shared" si="45"/>
        <v>0.000249277059733062</v>
      </c>
      <c r="L242" s="85">
        <f t="shared" si="52"/>
        <v>40771977.79</v>
      </c>
      <c r="M242" s="85">
        <f t="shared" si="49"/>
        <v>0</v>
      </c>
    </row>
    <row r="243" spans="1:13" ht="14.25">
      <c r="A243" s="45" t="s">
        <v>203</v>
      </c>
      <c r="B243" s="48" t="s">
        <v>204</v>
      </c>
      <c r="C243" s="81">
        <f>SUM(C244:C247)</f>
        <v>79893090</v>
      </c>
      <c r="D243" s="81">
        <f>SUM(D244:D247)</f>
        <v>81709834.86000001</v>
      </c>
      <c r="E243" s="81">
        <f>SUM(E244:E247)</f>
        <v>3464813.9699999997</v>
      </c>
      <c r="F243" s="81">
        <f>SUM(F244:F247)</f>
        <v>16248991.760000002</v>
      </c>
      <c r="G243" s="49">
        <f t="shared" si="44"/>
        <v>0.02518225033574356</v>
      </c>
      <c r="H243" s="81">
        <f t="shared" si="33"/>
        <v>65460843.10000001</v>
      </c>
      <c r="I243" s="81">
        <f>SUM(I244:I247)</f>
        <v>3917224.5100000007</v>
      </c>
      <c r="J243" s="81">
        <f>SUM(J244:J247)</f>
        <v>16248991.760000002</v>
      </c>
      <c r="K243" s="49">
        <f t="shared" si="45"/>
        <v>0.025408337643703562</v>
      </c>
      <c r="L243" s="84">
        <f t="shared" si="52"/>
        <v>65460843.10000001</v>
      </c>
      <c r="M243" s="84">
        <f>SUM(M244:M247)</f>
        <v>0</v>
      </c>
    </row>
    <row r="244" spans="1:13" ht="15">
      <c r="A244" s="50" t="s">
        <v>28</v>
      </c>
      <c r="B244" s="51" t="s">
        <v>33</v>
      </c>
      <c r="C244" s="82">
        <v>13330509</v>
      </c>
      <c r="D244" s="82">
        <v>15535931.29</v>
      </c>
      <c r="E244" s="82">
        <f>F244-10974656.46</f>
        <v>2713710.2799999993</v>
      </c>
      <c r="F244" s="82">
        <v>13688366.74</v>
      </c>
      <c r="G244" s="54">
        <f t="shared" si="44"/>
        <v>0.02121386255993436</v>
      </c>
      <c r="H244" s="82">
        <f t="shared" si="33"/>
        <v>1847564.5499999989</v>
      </c>
      <c r="I244" s="82">
        <f>J244-10700405.77</f>
        <v>2987960.9700000007</v>
      </c>
      <c r="J244" s="82">
        <v>13688366.74</v>
      </c>
      <c r="K244" s="54">
        <f t="shared" si="45"/>
        <v>0.021404321514700664</v>
      </c>
      <c r="L244" s="85">
        <f t="shared" si="52"/>
        <v>1847564.5499999989</v>
      </c>
      <c r="M244" s="84">
        <f>F244-J244</f>
        <v>0</v>
      </c>
    </row>
    <row r="245" spans="1:13" ht="15">
      <c r="A245" s="50" t="s">
        <v>205</v>
      </c>
      <c r="B245" s="51" t="s">
        <v>206</v>
      </c>
      <c r="C245" s="82">
        <v>255000</v>
      </c>
      <c r="D245" s="82">
        <v>255000</v>
      </c>
      <c r="E245" s="82">
        <f>F245-0</f>
        <v>0</v>
      </c>
      <c r="F245" s="82">
        <v>0</v>
      </c>
      <c r="G245" s="54">
        <f t="shared" si="44"/>
        <v>0</v>
      </c>
      <c r="H245" s="82">
        <f t="shared" si="33"/>
        <v>255000</v>
      </c>
      <c r="I245" s="82">
        <f>J245-0</f>
        <v>0</v>
      </c>
      <c r="J245" s="82">
        <v>0</v>
      </c>
      <c r="K245" s="54">
        <f t="shared" si="45"/>
        <v>0</v>
      </c>
      <c r="L245" s="85">
        <f t="shared" si="52"/>
        <v>255000</v>
      </c>
      <c r="M245" s="84">
        <f>F245-J245</f>
        <v>0</v>
      </c>
    </row>
    <row r="246" spans="1:13" ht="15">
      <c r="A246" s="50" t="s">
        <v>207</v>
      </c>
      <c r="B246" s="51" t="s">
        <v>208</v>
      </c>
      <c r="C246" s="82">
        <v>54474757</v>
      </c>
      <c r="D246" s="82">
        <v>53906628.95</v>
      </c>
      <c r="E246" s="82">
        <f>F246-1807820.53</f>
        <v>314491.1900000002</v>
      </c>
      <c r="F246" s="82">
        <v>2122311.72</v>
      </c>
      <c r="G246" s="54">
        <f aca="true" t="shared" si="53" ref="G246:G257">(F246/$F$258)*100</f>
        <v>0.0032891016139897714</v>
      </c>
      <c r="H246" s="82">
        <f t="shared" si="33"/>
        <v>51784317.230000004</v>
      </c>
      <c r="I246" s="82">
        <f>J246-1629660.68</f>
        <v>492651.04000000027</v>
      </c>
      <c r="J246" s="82">
        <v>2122311.72</v>
      </c>
      <c r="K246" s="54">
        <f aca="true" t="shared" si="54" ref="K246:K257">(J246/$J$258)*100</f>
        <v>0.0033186313073094486</v>
      </c>
      <c r="L246" s="85">
        <f t="shared" si="52"/>
        <v>51784317.230000004</v>
      </c>
      <c r="M246" s="84">
        <f>F246-J246</f>
        <v>0</v>
      </c>
    </row>
    <row r="247" spans="1:13" ht="15">
      <c r="A247" s="50" t="s">
        <v>209</v>
      </c>
      <c r="B247" s="51" t="s">
        <v>210</v>
      </c>
      <c r="C247" s="82">
        <v>11832824</v>
      </c>
      <c r="D247" s="82">
        <v>12012274.62</v>
      </c>
      <c r="E247" s="82">
        <f>F247-1700.8</f>
        <v>436612.5</v>
      </c>
      <c r="F247" s="82">
        <v>438313.3</v>
      </c>
      <c r="G247" s="54">
        <f t="shared" si="53"/>
        <v>0.0006792861618194252</v>
      </c>
      <c r="H247" s="82">
        <f t="shared" si="33"/>
        <v>11573961.319999998</v>
      </c>
      <c r="I247" s="54">
        <f>J247-1700.8</f>
        <v>436612.5</v>
      </c>
      <c r="J247" s="82">
        <v>438313.3</v>
      </c>
      <c r="K247" s="54">
        <f t="shared" si="54"/>
        <v>0.0006853848216934496</v>
      </c>
      <c r="L247" s="85">
        <f t="shared" si="52"/>
        <v>11573961.319999998</v>
      </c>
      <c r="M247" s="84">
        <f>F247-J247</f>
        <v>0</v>
      </c>
    </row>
    <row r="248" spans="1:13" ht="14.25">
      <c r="A248" s="45" t="s">
        <v>211</v>
      </c>
      <c r="B248" s="48" t="s">
        <v>212</v>
      </c>
      <c r="C248" s="81">
        <f>SUM(C249:C253)</f>
        <v>8583470986</v>
      </c>
      <c r="D248" s="81">
        <f>SUM(D249:D253)</f>
        <v>7552767057.42</v>
      </c>
      <c r="E248" s="81">
        <f>SUM(E249:E253)</f>
        <v>403602841.12000006</v>
      </c>
      <c r="F248" s="81">
        <f>SUM(F249:F253)</f>
        <v>1835239619.6000001</v>
      </c>
      <c r="G248" s="49">
        <f t="shared" si="53"/>
        <v>2.844204994959145</v>
      </c>
      <c r="H248" s="81">
        <f t="shared" si="33"/>
        <v>5717527437.82</v>
      </c>
      <c r="I248" s="81">
        <f>SUM(I249:I253)</f>
        <v>403602841.12000006</v>
      </c>
      <c r="J248" s="81">
        <f>SUM(J249:J253)</f>
        <v>1835239619.6000001</v>
      </c>
      <c r="K248" s="49">
        <f t="shared" si="54"/>
        <v>2.8697403876275267</v>
      </c>
      <c r="L248" s="84">
        <f t="shared" si="52"/>
        <v>5717527437.82</v>
      </c>
      <c r="M248" s="84">
        <f>SUM(M249:M253)</f>
        <v>0</v>
      </c>
    </row>
    <row r="249" spans="1:13" ht="15">
      <c r="A249" s="50" t="s">
        <v>39</v>
      </c>
      <c r="B249" s="51" t="s">
        <v>41</v>
      </c>
      <c r="C249" s="82">
        <v>1207174000</v>
      </c>
      <c r="D249" s="82">
        <v>556906592.81</v>
      </c>
      <c r="E249" s="82">
        <f>F249-231657479.19</f>
        <v>101975711.51999998</v>
      </c>
      <c r="F249" s="82">
        <v>333633190.71</v>
      </c>
      <c r="G249" s="54">
        <f t="shared" si="53"/>
        <v>0.5170557443111221</v>
      </c>
      <c r="H249" s="82">
        <f aca="true" t="shared" si="55" ref="H249:H324">D249-F249</f>
        <v>223273402.09999996</v>
      </c>
      <c r="I249" s="82">
        <f>J249-231657479.19</f>
        <v>101975711.51999998</v>
      </c>
      <c r="J249" s="82">
        <v>333633190.71</v>
      </c>
      <c r="K249" s="54">
        <f t="shared" si="54"/>
        <v>0.521697892639329</v>
      </c>
      <c r="L249" s="85">
        <f t="shared" si="52"/>
        <v>223273402.09999996</v>
      </c>
      <c r="M249" s="84">
        <f>F249-J249</f>
        <v>0</v>
      </c>
    </row>
    <row r="250" spans="1:13" ht="15">
      <c r="A250" s="50" t="s">
        <v>213</v>
      </c>
      <c r="B250" s="51" t="s">
        <v>214</v>
      </c>
      <c r="C250" s="82">
        <v>140384971</v>
      </c>
      <c r="D250" s="82">
        <v>150732003.54</v>
      </c>
      <c r="E250" s="82">
        <f>F250-61867373.97</f>
        <v>50722565.93000001</v>
      </c>
      <c r="F250" s="82">
        <v>112589939.9</v>
      </c>
      <c r="G250" s="54">
        <f t="shared" si="53"/>
        <v>0.17448886021517201</v>
      </c>
      <c r="H250" s="82">
        <f t="shared" si="55"/>
        <v>38142063.639999986</v>
      </c>
      <c r="I250" s="82">
        <f>J250-61867373.97</f>
        <v>50722565.93000001</v>
      </c>
      <c r="J250" s="82">
        <v>112589939.9</v>
      </c>
      <c r="K250" s="54">
        <f t="shared" si="54"/>
        <v>0.17605542857777237</v>
      </c>
      <c r="L250" s="85">
        <f t="shared" si="52"/>
        <v>38142063.639999986</v>
      </c>
      <c r="M250" s="84">
        <f>F250-J250</f>
        <v>0</v>
      </c>
    </row>
    <row r="251" spans="1:13" ht="15">
      <c r="A251" s="50" t="s">
        <v>215</v>
      </c>
      <c r="B251" s="51" t="s">
        <v>216</v>
      </c>
      <c r="C251" s="82">
        <v>5860471022</v>
      </c>
      <c r="D251" s="82">
        <v>5585838400.73</v>
      </c>
      <c r="E251" s="82">
        <f>F251-494545885.63</f>
        <v>127430611.95000005</v>
      </c>
      <c r="F251" s="82">
        <v>621976497.58</v>
      </c>
      <c r="G251" s="54">
        <f t="shared" si="53"/>
        <v>0.9639224449338115</v>
      </c>
      <c r="H251" s="82">
        <f t="shared" si="55"/>
        <v>4963861903.15</v>
      </c>
      <c r="I251" s="82">
        <f>J251-494545885.63</f>
        <v>127430611.95000005</v>
      </c>
      <c r="J251" s="82">
        <v>621976497.58</v>
      </c>
      <c r="K251" s="54">
        <f t="shared" si="54"/>
        <v>0.972576581389122</v>
      </c>
      <c r="L251" s="85">
        <f t="shared" si="52"/>
        <v>4963861903.15</v>
      </c>
      <c r="M251" s="84">
        <f>F251-J251</f>
        <v>0</v>
      </c>
    </row>
    <row r="252" spans="1:13" ht="15">
      <c r="A252" s="50" t="s">
        <v>217</v>
      </c>
      <c r="B252" s="51" t="s">
        <v>218</v>
      </c>
      <c r="C252" s="82">
        <v>476872299</v>
      </c>
      <c r="D252" s="82">
        <v>444239299</v>
      </c>
      <c r="E252" s="82">
        <f>F252-82192.34</f>
        <v>0</v>
      </c>
      <c r="F252" s="82">
        <v>82192.34</v>
      </c>
      <c r="G252" s="54">
        <f t="shared" si="53"/>
        <v>0.0001273794775781552</v>
      </c>
      <c r="H252" s="82">
        <f t="shared" si="55"/>
        <v>444157106.66</v>
      </c>
      <c r="I252" s="82">
        <f>J252-82192.34</f>
        <v>0</v>
      </c>
      <c r="J252" s="82">
        <v>82192.34</v>
      </c>
      <c r="K252" s="54">
        <f t="shared" si="54"/>
        <v>0.0001285230959121418</v>
      </c>
      <c r="L252" s="85">
        <f t="shared" si="52"/>
        <v>444157106.66</v>
      </c>
      <c r="M252" s="84">
        <f>F252-J252</f>
        <v>0</v>
      </c>
    </row>
    <row r="253" spans="1:13" ht="15">
      <c r="A253" s="50" t="s">
        <v>219</v>
      </c>
      <c r="B253" s="51" t="s">
        <v>220</v>
      </c>
      <c r="C253" s="82">
        <v>898568694</v>
      </c>
      <c r="D253" s="82">
        <v>815050761.34</v>
      </c>
      <c r="E253" s="82">
        <f>F253-643483847.35</f>
        <v>123473951.72000003</v>
      </c>
      <c r="F253" s="82">
        <v>766957799.07</v>
      </c>
      <c r="G253" s="54">
        <f t="shared" si="53"/>
        <v>1.1886105660214605</v>
      </c>
      <c r="H253" s="82">
        <f t="shared" si="55"/>
        <v>48092962.26999998</v>
      </c>
      <c r="I253" s="82">
        <f>J253-643483847.35</f>
        <v>123473951.72000003</v>
      </c>
      <c r="J253" s="82">
        <v>766957799.07</v>
      </c>
      <c r="K253" s="54">
        <f t="shared" si="54"/>
        <v>1.1992819619253912</v>
      </c>
      <c r="L253" s="85">
        <f t="shared" si="52"/>
        <v>48092962.26999998</v>
      </c>
      <c r="M253" s="84">
        <f>F253-J253</f>
        <v>0</v>
      </c>
    </row>
    <row r="254" spans="1:13" ht="14.25">
      <c r="A254" s="45" t="s">
        <v>221</v>
      </c>
      <c r="B254" s="48" t="s">
        <v>222</v>
      </c>
      <c r="C254" s="81">
        <f>SUM(C255:C256)</f>
        <v>482946944</v>
      </c>
      <c r="D254" s="81">
        <f>SUM(D255:D256)</f>
        <v>481276944</v>
      </c>
      <c r="E254" s="81">
        <f>SUM(E255:E256)</f>
        <v>0</v>
      </c>
      <c r="F254" s="81">
        <f>SUM(F255:F256)</f>
        <v>0</v>
      </c>
      <c r="G254" s="49">
        <f t="shared" si="53"/>
        <v>0</v>
      </c>
      <c r="H254" s="81">
        <f t="shared" si="55"/>
        <v>481276944</v>
      </c>
      <c r="I254" s="81">
        <f>SUM(I255:I256)</f>
        <v>0</v>
      </c>
      <c r="J254" s="81">
        <f>J255+J256</f>
        <v>0</v>
      </c>
      <c r="K254" s="49">
        <f t="shared" si="54"/>
        <v>0</v>
      </c>
      <c r="L254" s="84">
        <f t="shared" si="52"/>
        <v>481276944</v>
      </c>
      <c r="M254" s="84">
        <f>SUM(M255:M256)</f>
        <v>0</v>
      </c>
    </row>
    <row r="255" spans="1:13" ht="15">
      <c r="A255" s="50" t="s">
        <v>246</v>
      </c>
      <c r="B255" s="64" t="s">
        <v>247</v>
      </c>
      <c r="C255" s="82">
        <v>480446944</v>
      </c>
      <c r="D255" s="90">
        <v>478776944</v>
      </c>
      <c r="E255" s="82">
        <f>F255-0</f>
        <v>0</v>
      </c>
      <c r="F255" s="82">
        <v>0</v>
      </c>
      <c r="G255" s="54">
        <f t="shared" si="53"/>
        <v>0</v>
      </c>
      <c r="H255" s="82">
        <f t="shared" si="55"/>
        <v>478776944</v>
      </c>
      <c r="I255" s="82">
        <f>J255-0</f>
        <v>0</v>
      </c>
      <c r="J255" s="82">
        <v>0</v>
      </c>
      <c r="K255" s="54">
        <f t="shared" si="54"/>
        <v>0</v>
      </c>
      <c r="L255" s="85">
        <f t="shared" si="52"/>
        <v>478776944</v>
      </c>
      <c r="M255" s="84">
        <f>F255-J255</f>
        <v>0</v>
      </c>
    </row>
    <row r="256" spans="1:13" ht="15">
      <c r="A256" s="50" t="s">
        <v>223</v>
      </c>
      <c r="B256" s="51" t="s">
        <v>224</v>
      </c>
      <c r="C256" s="82">
        <v>2500000</v>
      </c>
      <c r="D256" s="82">
        <v>2500000</v>
      </c>
      <c r="E256" s="82">
        <f>F256-0</f>
        <v>0</v>
      </c>
      <c r="F256" s="82">
        <v>0</v>
      </c>
      <c r="G256" s="54">
        <f t="shared" si="53"/>
        <v>0</v>
      </c>
      <c r="H256" s="82">
        <f t="shared" si="55"/>
        <v>2500000</v>
      </c>
      <c r="I256" s="82">
        <f>J256-0</f>
        <v>0</v>
      </c>
      <c r="J256" s="82">
        <v>0</v>
      </c>
      <c r="K256" s="54">
        <f t="shared" si="54"/>
        <v>0</v>
      </c>
      <c r="L256" s="85">
        <f t="shared" si="52"/>
        <v>2500000</v>
      </c>
      <c r="M256" s="84">
        <f>F256-J256</f>
        <v>0</v>
      </c>
    </row>
    <row r="257" spans="1:13" ht="14.25">
      <c r="A257" s="45"/>
      <c r="B257" s="48" t="s">
        <v>16</v>
      </c>
      <c r="C257" s="81">
        <f>C274</f>
        <v>6040339444</v>
      </c>
      <c r="D257" s="81">
        <f>D274</f>
        <v>5992789520.599999</v>
      </c>
      <c r="E257" s="81">
        <f>E274</f>
        <v>826472854.1300002</v>
      </c>
      <c r="F257" s="81">
        <f>F274</f>
        <v>4628939565.8</v>
      </c>
      <c r="G257" s="49">
        <f t="shared" si="53"/>
        <v>7.173806021734587</v>
      </c>
      <c r="H257" s="81">
        <f>D257-F257</f>
        <v>1363849954.7999992</v>
      </c>
      <c r="I257" s="81">
        <f>I274</f>
        <v>980628682.82</v>
      </c>
      <c r="J257" s="81">
        <f>J274</f>
        <v>4610164328.67</v>
      </c>
      <c r="K257" s="49">
        <f t="shared" si="54"/>
        <v>7.208854160672264</v>
      </c>
      <c r="L257" s="84">
        <f t="shared" si="52"/>
        <v>1382625191.9299994</v>
      </c>
      <c r="M257" s="84">
        <f>M274</f>
        <v>18775237.130000036</v>
      </c>
    </row>
    <row r="258" spans="1:13" ht="14.25">
      <c r="A258" s="109" t="s">
        <v>225</v>
      </c>
      <c r="B258" s="110"/>
      <c r="C258" s="96">
        <f aca="true" t="shared" si="56" ref="C258:L258">C14+C257</f>
        <v>83329210649</v>
      </c>
      <c r="D258" s="96">
        <f t="shared" si="56"/>
        <v>89670039274.92</v>
      </c>
      <c r="E258" s="96">
        <f t="shared" si="56"/>
        <v>12800004006.810007</v>
      </c>
      <c r="F258" s="96">
        <f t="shared" si="56"/>
        <v>64525574733.63</v>
      </c>
      <c r="G258" s="96">
        <f t="shared" si="56"/>
        <v>100</v>
      </c>
      <c r="H258" s="96">
        <f t="shared" si="56"/>
        <v>25144464541.289997</v>
      </c>
      <c r="I258" s="96">
        <f t="shared" si="56"/>
        <v>14879201311.650002</v>
      </c>
      <c r="J258" s="96">
        <f t="shared" si="56"/>
        <v>63951416215.63999</v>
      </c>
      <c r="K258" s="96">
        <f t="shared" si="56"/>
        <v>100</v>
      </c>
      <c r="L258" s="97">
        <f t="shared" si="56"/>
        <v>25718623059.28</v>
      </c>
      <c r="M258" s="97">
        <f>M257+M14</f>
        <v>574158517.9899993</v>
      </c>
    </row>
    <row r="259" spans="1:13" ht="15">
      <c r="A259" s="67"/>
      <c r="B259" s="67"/>
      <c r="C259" s="67"/>
      <c r="D259" s="67"/>
      <c r="E259" s="67"/>
      <c r="F259" s="68"/>
      <c r="G259" s="69"/>
      <c r="H259" s="68"/>
      <c r="I259" s="68"/>
      <c r="J259" s="68"/>
      <c r="K259" s="69"/>
      <c r="L259" s="63"/>
      <c r="M259" s="102" t="s">
        <v>226</v>
      </c>
    </row>
    <row r="260" spans="1:12" ht="15">
      <c r="A260" s="67"/>
      <c r="B260" s="67"/>
      <c r="C260" s="100"/>
      <c r="D260" s="100"/>
      <c r="E260" s="100"/>
      <c r="F260" s="100"/>
      <c r="G260" s="100"/>
      <c r="H260" s="100"/>
      <c r="I260" s="100"/>
      <c r="J260" s="100"/>
      <c r="K260" s="100"/>
      <c r="L260" s="100"/>
    </row>
    <row r="261" spans="1:13" ht="15.75">
      <c r="A261" s="32"/>
      <c r="B261" s="33"/>
      <c r="C261" s="101"/>
      <c r="D261" s="101"/>
      <c r="E261" s="101"/>
      <c r="F261" s="101"/>
      <c r="G261" s="101"/>
      <c r="H261" s="101"/>
      <c r="I261" s="101"/>
      <c r="J261" s="101"/>
      <c r="K261" s="101"/>
      <c r="L261" s="101"/>
      <c r="M261" s="35"/>
    </row>
    <row r="262" spans="1:12" ht="15.75">
      <c r="A262" s="32"/>
      <c r="B262" s="33"/>
      <c r="C262" s="34"/>
      <c r="D262" s="34"/>
      <c r="E262" s="34"/>
      <c r="F262" s="35"/>
      <c r="G262" s="36"/>
      <c r="H262" s="35"/>
      <c r="I262" s="35"/>
      <c r="J262" s="35"/>
      <c r="K262" s="36"/>
      <c r="L262" s="35"/>
    </row>
    <row r="263" spans="1:13" ht="15.75">
      <c r="A263" s="29"/>
      <c r="B263" s="26"/>
      <c r="C263" s="30"/>
      <c r="D263" s="30"/>
      <c r="E263" s="30"/>
      <c r="F263" s="30"/>
      <c r="G263" s="31"/>
      <c r="H263" s="30"/>
      <c r="I263" s="30"/>
      <c r="J263" s="30"/>
      <c r="K263" s="31"/>
      <c r="L263" s="23"/>
      <c r="M263" s="23" t="s">
        <v>157</v>
      </c>
    </row>
    <row r="264" spans="1:13" ht="15.75">
      <c r="A264" s="107" t="s">
        <v>14</v>
      </c>
      <c r="B264" s="107"/>
      <c r="C264" s="107"/>
      <c r="D264" s="107"/>
      <c r="E264" s="107"/>
      <c r="F264" s="107"/>
      <c r="G264" s="107"/>
      <c r="H264" s="107"/>
      <c r="I264" s="107"/>
      <c r="J264" s="107"/>
      <c r="K264" s="107"/>
      <c r="L264" s="107"/>
      <c r="M264" s="107"/>
    </row>
    <row r="265" spans="1:13" ht="15.75">
      <c r="A265" s="107" t="s">
        <v>0</v>
      </c>
      <c r="B265" s="107"/>
      <c r="C265" s="107"/>
      <c r="D265" s="107"/>
      <c r="E265" s="107"/>
      <c r="F265" s="107"/>
      <c r="G265" s="107"/>
      <c r="H265" s="107"/>
      <c r="I265" s="107"/>
      <c r="J265" s="107"/>
      <c r="K265" s="107"/>
      <c r="L265" s="107"/>
      <c r="M265" s="107"/>
    </row>
    <row r="266" spans="1:13" ht="15.75">
      <c r="A266" s="117" t="s">
        <v>1</v>
      </c>
      <c r="B266" s="117"/>
      <c r="C266" s="117"/>
      <c r="D266" s="117"/>
      <c r="E266" s="117"/>
      <c r="F266" s="117"/>
      <c r="G266" s="117"/>
      <c r="H266" s="117"/>
      <c r="I266" s="117"/>
      <c r="J266" s="117"/>
      <c r="K266" s="117"/>
      <c r="L266" s="117"/>
      <c r="M266" s="117"/>
    </row>
    <row r="267" spans="1:13" ht="15.75">
      <c r="A267" s="107" t="s">
        <v>2</v>
      </c>
      <c r="B267" s="107"/>
      <c r="C267" s="107"/>
      <c r="D267" s="107"/>
      <c r="E267" s="107"/>
      <c r="F267" s="107"/>
      <c r="G267" s="107"/>
      <c r="H267" s="107"/>
      <c r="I267" s="107"/>
      <c r="J267" s="107"/>
      <c r="K267" s="107"/>
      <c r="L267" s="107"/>
      <c r="M267" s="107"/>
    </row>
    <row r="268" spans="1:13" ht="15.75">
      <c r="A268" s="107" t="str">
        <f>A136</f>
        <v>JANEIRO A DEZEMBRO 2020/BIMESTRE NOVEMBRO-DEZEMBRO</v>
      </c>
      <c r="B268" s="107"/>
      <c r="C268" s="107"/>
      <c r="D268" s="107"/>
      <c r="E268" s="107"/>
      <c r="F268" s="107"/>
      <c r="G268" s="107"/>
      <c r="H268" s="107"/>
      <c r="I268" s="107"/>
      <c r="J268" s="107"/>
      <c r="K268" s="107"/>
      <c r="L268" s="107"/>
      <c r="M268" s="107"/>
    </row>
    <row r="269" spans="1:13" ht="15.75">
      <c r="A269" s="22"/>
      <c r="B269" s="22"/>
      <c r="C269" s="22"/>
      <c r="D269" s="22"/>
      <c r="E269" s="22"/>
      <c r="F269" s="22"/>
      <c r="G269" s="22"/>
      <c r="H269" s="22"/>
      <c r="I269" s="22"/>
      <c r="J269" s="22"/>
      <c r="K269" s="22"/>
      <c r="L269" s="23"/>
      <c r="M269" s="3" t="str">
        <f>M137</f>
        <v>Emissão: 22/01/2021</v>
      </c>
    </row>
    <row r="270" spans="1:13" ht="15.75">
      <c r="A270" s="25" t="s">
        <v>240</v>
      </c>
      <c r="B270" s="24"/>
      <c r="C270" s="26"/>
      <c r="D270" s="24"/>
      <c r="E270" s="24"/>
      <c r="F270" s="27"/>
      <c r="G270" s="27"/>
      <c r="H270" s="27"/>
      <c r="I270" s="24"/>
      <c r="J270" s="24"/>
      <c r="K270" s="23"/>
      <c r="L270" s="28"/>
      <c r="M270" s="28">
        <v>1</v>
      </c>
    </row>
    <row r="271" spans="1:13" ht="15.75">
      <c r="A271" s="9"/>
      <c r="B271" s="10"/>
      <c r="C271" s="11" t="s">
        <v>3</v>
      </c>
      <c r="D271" s="11" t="s">
        <v>3</v>
      </c>
      <c r="E271" s="111" t="s">
        <v>4</v>
      </c>
      <c r="F271" s="112"/>
      <c r="G271" s="113"/>
      <c r="H271" s="11" t="s">
        <v>18</v>
      </c>
      <c r="I271" s="111" t="s">
        <v>5</v>
      </c>
      <c r="J271" s="112"/>
      <c r="K271" s="113"/>
      <c r="L271" s="12" t="s">
        <v>18</v>
      </c>
      <c r="M271" s="114" t="s">
        <v>281</v>
      </c>
    </row>
    <row r="272" spans="1:13" ht="15.75">
      <c r="A272" s="13" t="s">
        <v>23</v>
      </c>
      <c r="B272" s="14" t="s">
        <v>269</v>
      </c>
      <c r="C272" s="14" t="s">
        <v>7</v>
      </c>
      <c r="D272" s="14" t="s">
        <v>8</v>
      </c>
      <c r="E272" s="14" t="s">
        <v>9</v>
      </c>
      <c r="F272" s="14" t="s">
        <v>10</v>
      </c>
      <c r="G272" s="14" t="s">
        <v>11</v>
      </c>
      <c r="H272" s="15"/>
      <c r="I272" s="14" t="s">
        <v>9</v>
      </c>
      <c r="J272" s="14" t="s">
        <v>10</v>
      </c>
      <c r="K272" s="14" t="s">
        <v>11</v>
      </c>
      <c r="L272" s="16"/>
      <c r="M272" s="115"/>
    </row>
    <row r="273" spans="1:13" ht="45.75" customHeight="1">
      <c r="A273" s="17"/>
      <c r="B273" s="18"/>
      <c r="C273" s="18"/>
      <c r="D273" s="19" t="s">
        <v>12</v>
      </c>
      <c r="E273" s="19"/>
      <c r="F273" s="19" t="s">
        <v>13</v>
      </c>
      <c r="G273" s="19" t="s">
        <v>270</v>
      </c>
      <c r="H273" s="20" t="s">
        <v>19</v>
      </c>
      <c r="I273" s="19"/>
      <c r="J273" s="19" t="s">
        <v>20</v>
      </c>
      <c r="K273" s="19" t="s">
        <v>271</v>
      </c>
      <c r="L273" s="21" t="s">
        <v>22</v>
      </c>
      <c r="M273" s="116"/>
    </row>
    <row r="274" spans="1:15" ht="14.25">
      <c r="A274" s="45"/>
      <c r="B274" s="70" t="s">
        <v>16</v>
      </c>
      <c r="C274" s="91">
        <f>C275+C279+C282+C287+C291+C296+C300+C302+C306+C308+C315+C317+C319+C321+C323+C325+C327+C331+C335+C337+C339+C341+C343+C346</f>
        <v>6040339444</v>
      </c>
      <c r="D274" s="91">
        <f>D275+D279+D282+D287+D291+D296+D300+D302+D306+D308+D315+D317+D319+D321+D323+D325+D327+D331+D335+D337+D339+D341+D343+D346</f>
        <v>5992789520.599999</v>
      </c>
      <c r="E274" s="91">
        <f>E275+E279+E282+E287+E291+E296+E300+E302+E306+E308+E315+E317+E319+E321+E323+E325+E327+E331+E335+E337+E339+E341+E343+E346</f>
        <v>826472854.1300002</v>
      </c>
      <c r="F274" s="91">
        <f>F275+F279+F282+F287+F291+F296+F300+F302+F306+F308+F315+F317+F319+F321+F323+F325+F327+F331+F335+F337+F339+F341+F343+F346</f>
        <v>4628939565.8</v>
      </c>
      <c r="G274" s="69">
        <f aca="true" t="shared" si="57" ref="G274:G298">(F274/$F$258)*100</f>
        <v>7.173806021734587</v>
      </c>
      <c r="H274" s="91">
        <f>D274-F274</f>
        <v>1363849954.7999992</v>
      </c>
      <c r="I274" s="91">
        <f>I275+I279+I282+I287+I291+I296+I300+I302+I306+I308+I315+I317+I319+I321+I323+I325+I327+I331+I335+I337+I339+I341+I343+I346</f>
        <v>980628682.82</v>
      </c>
      <c r="J274" s="91">
        <f>J275+J279+J282+J287+J291+J296+J300+J302+J306+J308+J315+J317+J319+J321+J323+J325+J327+J331+J335+J337+J339+J341+J343+J346</f>
        <v>4610164328.67</v>
      </c>
      <c r="K274" s="71">
        <f aca="true" t="shared" si="58" ref="K274:K298">(J274/$J$258)*100</f>
        <v>7.208854160672264</v>
      </c>
      <c r="L274" s="92">
        <f aca="true" t="shared" si="59" ref="L274:L305">D274-J274</f>
        <v>1382625191.9299994</v>
      </c>
      <c r="M274" s="84">
        <f>M275+M279+M282+M287+M291+M296+M300+M302+M306+M308+M315+M317+M319+M321+M323+M325+M327+M331+M335+M337+M339+M341+M343+M346</f>
        <v>18775237.130000036</v>
      </c>
      <c r="O274" s="106"/>
    </row>
    <row r="275" spans="1:13" ht="14.25">
      <c r="A275" s="45" t="s">
        <v>25</v>
      </c>
      <c r="B275" s="70" t="s">
        <v>24</v>
      </c>
      <c r="C275" s="81">
        <f>SUM(C276:C278)</f>
        <v>157460000</v>
      </c>
      <c r="D275" s="81">
        <f>SUM(D276:D278)</f>
        <v>182460000</v>
      </c>
      <c r="E275" s="81">
        <f>SUM(E276:E278)</f>
        <v>12013819.219999999</v>
      </c>
      <c r="F275" s="81">
        <f>SUM(F276:F278)</f>
        <v>132619408.46000001</v>
      </c>
      <c r="G275" s="69">
        <f t="shared" si="57"/>
        <v>0.2055299918016542</v>
      </c>
      <c r="H275" s="81">
        <f t="shared" si="55"/>
        <v>49840591.53999999</v>
      </c>
      <c r="I275" s="81">
        <f>SUM(I276:I278)</f>
        <v>26922337.539999995</v>
      </c>
      <c r="J275" s="81">
        <f>SUM(J276:J278)</f>
        <v>127124456.82</v>
      </c>
      <c r="K275" s="49">
        <f t="shared" si="58"/>
        <v>0.19878286415322632</v>
      </c>
      <c r="L275" s="92">
        <f t="shared" si="59"/>
        <v>55335543.18000001</v>
      </c>
      <c r="M275" s="84">
        <f>SUM(M276:M278)</f>
        <v>5494951.640000008</v>
      </c>
    </row>
    <row r="276" spans="1:13" ht="15">
      <c r="A276" s="50" t="s">
        <v>26</v>
      </c>
      <c r="B276" s="64" t="s">
        <v>31</v>
      </c>
      <c r="C276" s="82">
        <v>2000000</v>
      </c>
      <c r="D276" s="82">
        <v>21000000</v>
      </c>
      <c r="E276" s="82">
        <f>F276-302951.87</f>
        <v>0</v>
      </c>
      <c r="F276" s="82">
        <v>302951.87</v>
      </c>
      <c r="G276" s="69">
        <f t="shared" si="57"/>
        <v>0.00046950665879478783</v>
      </c>
      <c r="H276" s="81">
        <f t="shared" si="55"/>
        <v>20697048.13</v>
      </c>
      <c r="I276" s="82">
        <f>J276-160371.75</f>
        <v>45345.29999999999</v>
      </c>
      <c r="J276" s="82">
        <v>205717.05</v>
      </c>
      <c r="K276" s="49">
        <f t="shared" si="58"/>
        <v>0.0003216770826565209</v>
      </c>
      <c r="L276" s="93">
        <f t="shared" si="59"/>
        <v>20794282.95</v>
      </c>
      <c r="M276" s="85">
        <f>F276-J276</f>
        <v>97234.82</v>
      </c>
    </row>
    <row r="277" spans="1:13" ht="15">
      <c r="A277" s="50" t="s">
        <v>28</v>
      </c>
      <c r="B277" s="64" t="s">
        <v>33</v>
      </c>
      <c r="C277" s="82">
        <v>155300000</v>
      </c>
      <c r="D277" s="82">
        <v>161300000</v>
      </c>
      <c r="E277" s="82">
        <f>F277-120302637.37</f>
        <v>12013819.219999999</v>
      </c>
      <c r="F277" s="82">
        <v>132316456.59</v>
      </c>
      <c r="G277" s="69">
        <f t="shared" si="57"/>
        <v>0.20506048514285943</v>
      </c>
      <c r="H277" s="82">
        <f>D277-F277</f>
        <v>28983543.409999996</v>
      </c>
      <c r="I277" s="82">
        <f>J277-100041747.53</f>
        <v>26876992.239999995</v>
      </c>
      <c r="J277" s="82">
        <v>126918739.77</v>
      </c>
      <c r="K277" s="49">
        <f t="shared" si="58"/>
        <v>0.19846118707056978</v>
      </c>
      <c r="L277" s="93">
        <f t="shared" si="59"/>
        <v>34381260.230000004</v>
      </c>
      <c r="M277" s="85">
        <f>F277-J277</f>
        <v>5397716.820000008</v>
      </c>
    </row>
    <row r="278" spans="1:13" ht="15">
      <c r="A278" s="50" t="s">
        <v>50</v>
      </c>
      <c r="B278" s="64" t="s">
        <v>57</v>
      </c>
      <c r="C278" s="82">
        <v>160000</v>
      </c>
      <c r="D278" s="82">
        <v>160000</v>
      </c>
      <c r="E278" s="82">
        <f>F278-0</f>
        <v>0</v>
      </c>
      <c r="F278" s="82">
        <v>0</v>
      </c>
      <c r="G278" s="62">
        <f t="shared" si="57"/>
        <v>0</v>
      </c>
      <c r="H278" s="82">
        <f t="shared" si="55"/>
        <v>160000</v>
      </c>
      <c r="I278" s="82">
        <f>J278-0</f>
        <v>0</v>
      </c>
      <c r="J278" s="82">
        <v>0</v>
      </c>
      <c r="K278" s="54">
        <f t="shared" si="58"/>
        <v>0</v>
      </c>
      <c r="L278" s="93">
        <f t="shared" si="59"/>
        <v>160000</v>
      </c>
      <c r="M278" s="84">
        <f>F278-J278</f>
        <v>0</v>
      </c>
    </row>
    <row r="279" spans="1:13" ht="14.25">
      <c r="A279" s="45" t="s">
        <v>36</v>
      </c>
      <c r="B279" s="70" t="s">
        <v>37</v>
      </c>
      <c r="C279" s="81">
        <f>SUM(C280:C281)</f>
        <v>616670000</v>
      </c>
      <c r="D279" s="81">
        <f>SUM(D280:D281)</f>
        <v>537720000</v>
      </c>
      <c r="E279" s="81">
        <f>SUM(E280:E281)</f>
        <v>115745974.84999996</v>
      </c>
      <c r="F279" s="81">
        <f>SUM(F280:F281)</f>
        <v>530155477.19</v>
      </c>
      <c r="G279" s="69">
        <f t="shared" si="57"/>
        <v>0.821620697496382</v>
      </c>
      <c r="H279" s="81">
        <f t="shared" si="55"/>
        <v>7564522.810000002</v>
      </c>
      <c r="I279" s="81">
        <f>SUM(I280:I281)</f>
        <v>121221289.88999996</v>
      </c>
      <c r="J279" s="81">
        <f>SUM(J280:J281)</f>
        <v>529668293.59</v>
      </c>
      <c r="K279" s="49">
        <f t="shared" si="58"/>
        <v>0.82823544017226</v>
      </c>
      <c r="L279" s="92">
        <f t="shared" si="59"/>
        <v>8051706.410000026</v>
      </c>
      <c r="M279" s="84">
        <f>SUM(M280:M281)</f>
        <v>487183.60000000056</v>
      </c>
    </row>
    <row r="280" spans="1:13" ht="15">
      <c r="A280" s="50" t="s">
        <v>38</v>
      </c>
      <c r="B280" s="64" t="s">
        <v>40</v>
      </c>
      <c r="C280" s="82">
        <v>6670000</v>
      </c>
      <c r="D280" s="82">
        <v>6720000</v>
      </c>
      <c r="E280" s="82">
        <f>F280-6229690.62</f>
        <v>0</v>
      </c>
      <c r="F280" s="82">
        <v>6229690.62</v>
      </c>
      <c r="G280" s="62">
        <f t="shared" si="57"/>
        <v>0.009654606945721874</v>
      </c>
      <c r="H280" s="82">
        <f t="shared" si="55"/>
        <v>490309.3799999999</v>
      </c>
      <c r="I280" s="82">
        <f>J280-267191.98</f>
        <v>5475315.039999999</v>
      </c>
      <c r="J280" s="82">
        <v>5742507.02</v>
      </c>
      <c r="K280" s="54">
        <f t="shared" si="58"/>
        <v>0.008979483739088188</v>
      </c>
      <c r="L280" s="93">
        <f t="shared" si="59"/>
        <v>977492.9800000004</v>
      </c>
      <c r="M280" s="85">
        <f>F280-J280</f>
        <v>487183.60000000056</v>
      </c>
    </row>
    <row r="281" spans="1:13" ht="15">
      <c r="A281" s="50" t="s">
        <v>28</v>
      </c>
      <c r="B281" s="64" t="s">
        <v>33</v>
      </c>
      <c r="C281" s="82">
        <v>610000000</v>
      </c>
      <c r="D281" s="82">
        <v>531000000</v>
      </c>
      <c r="E281" s="82">
        <f>F281-408179811.72</f>
        <v>115745974.84999996</v>
      </c>
      <c r="F281" s="82">
        <v>523925786.57</v>
      </c>
      <c r="G281" s="62">
        <f t="shared" si="57"/>
        <v>0.81196609055066</v>
      </c>
      <c r="H281" s="82">
        <f t="shared" si="55"/>
        <v>7074213.430000007</v>
      </c>
      <c r="I281" s="82">
        <f>J281-408179811.72</f>
        <v>115745974.84999996</v>
      </c>
      <c r="J281" s="82">
        <v>523925786.57</v>
      </c>
      <c r="K281" s="54">
        <f t="shared" si="58"/>
        <v>0.8192559564331718</v>
      </c>
      <c r="L281" s="93">
        <f t="shared" si="59"/>
        <v>7074213.430000007</v>
      </c>
      <c r="M281" s="85">
        <f>F281-J281</f>
        <v>0</v>
      </c>
    </row>
    <row r="282" spans="1:13" ht="14.25">
      <c r="A282" s="45" t="s">
        <v>42</v>
      </c>
      <c r="B282" s="70" t="s">
        <v>43</v>
      </c>
      <c r="C282" s="81">
        <f>SUM(C283:C286)</f>
        <v>404851060</v>
      </c>
      <c r="D282" s="81">
        <f>SUM(D283:D286)</f>
        <v>558256172.02</v>
      </c>
      <c r="E282" s="81">
        <f>SUM(E283:E286)</f>
        <v>23614384.960000027</v>
      </c>
      <c r="F282" s="81">
        <f>SUM(F283:F286)</f>
        <v>457552556.93</v>
      </c>
      <c r="G282" s="69">
        <f t="shared" si="57"/>
        <v>0.709102644678233</v>
      </c>
      <c r="H282" s="81">
        <f>D282-F282</f>
        <v>100703615.08999997</v>
      </c>
      <c r="I282" s="81">
        <f>SUM(I283+I284+I285+I286)</f>
        <v>84377041.78000003</v>
      </c>
      <c r="J282" s="81">
        <f>SUM(J283+J284+J285+J286)</f>
        <v>449950503.8</v>
      </c>
      <c r="K282" s="49">
        <f t="shared" si="58"/>
        <v>0.703581766325231</v>
      </c>
      <c r="L282" s="92">
        <f t="shared" si="59"/>
        <v>108305668.21999997</v>
      </c>
      <c r="M282" s="84">
        <f>SUM(M283:M286)</f>
        <v>7602053.129999995</v>
      </c>
    </row>
    <row r="283" spans="1:13" ht="15">
      <c r="A283" s="50" t="s">
        <v>44</v>
      </c>
      <c r="B283" s="64" t="s">
        <v>45</v>
      </c>
      <c r="C283" s="81">
        <v>0</v>
      </c>
      <c r="D283" s="82">
        <v>87483140</v>
      </c>
      <c r="E283" s="82">
        <f>F283-8289.01</f>
        <v>-8289.01</v>
      </c>
      <c r="F283" s="82">
        <v>0</v>
      </c>
      <c r="G283" s="62">
        <f t="shared" si="57"/>
        <v>0</v>
      </c>
      <c r="H283" s="82">
        <f>D283-F283</f>
        <v>87483140</v>
      </c>
      <c r="I283" s="82">
        <f>J283-0</f>
        <v>0</v>
      </c>
      <c r="J283" s="82">
        <v>0</v>
      </c>
      <c r="K283" s="54"/>
      <c r="L283" s="93">
        <f t="shared" si="59"/>
        <v>87483140</v>
      </c>
      <c r="M283" s="85">
        <f>F283-J283</f>
        <v>0</v>
      </c>
    </row>
    <row r="284" spans="1:13" ht="15">
      <c r="A284" s="50" t="s">
        <v>229</v>
      </c>
      <c r="B284" s="64" t="s">
        <v>230</v>
      </c>
      <c r="C284" s="82">
        <v>0</v>
      </c>
      <c r="D284" s="82">
        <v>500000</v>
      </c>
      <c r="E284" s="82">
        <f>F284-0</f>
        <v>0</v>
      </c>
      <c r="F284" s="82">
        <v>0</v>
      </c>
      <c r="G284" s="62">
        <f t="shared" si="57"/>
        <v>0</v>
      </c>
      <c r="H284" s="82">
        <f>D284-F284</f>
        <v>500000</v>
      </c>
      <c r="I284" s="82">
        <f>J284-0</f>
        <v>0</v>
      </c>
      <c r="J284" s="82">
        <v>0</v>
      </c>
      <c r="K284" s="54">
        <f t="shared" si="58"/>
        <v>0</v>
      </c>
      <c r="L284" s="93">
        <f t="shared" si="59"/>
        <v>500000</v>
      </c>
      <c r="M284" s="85">
        <f>F284-J284</f>
        <v>0</v>
      </c>
    </row>
    <row r="285" spans="1:13" ht="15">
      <c r="A285" s="50" t="s">
        <v>28</v>
      </c>
      <c r="B285" s="64" t="s">
        <v>33</v>
      </c>
      <c r="C285" s="82">
        <v>404518272</v>
      </c>
      <c r="D285" s="82">
        <v>469840244.02</v>
      </c>
      <c r="E285" s="82">
        <f>F285-433929882.96</f>
        <v>23622673.97000003</v>
      </c>
      <c r="F285" s="82">
        <v>457552556.93</v>
      </c>
      <c r="G285" s="62">
        <f t="shared" si="57"/>
        <v>0.709102644678233</v>
      </c>
      <c r="H285" s="82">
        <f t="shared" si="55"/>
        <v>12287687.089999974</v>
      </c>
      <c r="I285" s="82">
        <f>J285-365573462.02</f>
        <v>84377041.78000003</v>
      </c>
      <c r="J285" s="82">
        <v>449950503.8</v>
      </c>
      <c r="K285" s="54">
        <f t="shared" si="58"/>
        <v>0.703581766325231</v>
      </c>
      <c r="L285" s="93">
        <f t="shared" si="59"/>
        <v>19889740.21999997</v>
      </c>
      <c r="M285" s="85">
        <f>F285-J285</f>
        <v>7602053.129999995</v>
      </c>
    </row>
    <row r="286" spans="1:13" ht="15">
      <c r="A286" s="50" t="s">
        <v>29</v>
      </c>
      <c r="B286" s="64" t="s">
        <v>267</v>
      </c>
      <c r="C286" s="82">
        <v>332788</v>
      </c>
      <c r="D286" s="82">
        <v>432788</v>
      </c>
      <c r="E286" s="82">
        <f>F286-0</f>
        <v>0</v>
      </c>
      <c r="F286" s="82">
        <v>0</v>
      </c>
      <c r="G286" s="62">
        <f t="shared" si="57"/>
        <v>0</v>
      </c>
      <c r="H286" s="82">
        <f t="shared" si="55"/>
        <v>432788</v>
      </c>
      <c r="I286" s="82">
        <f>J286-0</f>
        <v>0</v>
      </c>
      <c r="J286" s="82">
        <v>0</v>
      </c>
      <c r="K286" s="54">
        <f t="shared" si="58"/>
        <v>0</v>
      </c>
      <c r="L286" s="93">
        <f t="shared" si="59"/>
        <v>432788</v>
      </c>
      <c r="M286" s="85">
        <f>F286-J286</f>
        <v>0</v>
      </c>
    </row>
    <row r="287" spans="1:13" ht="14.25">
      <c r="A287" s="45" t="s">
        <v>46</v>
      </c>
      <c r="B287" s="70" t="s">
        <v>47</v>
      </c>
      <c r="C287" s="81">
        <f>SUM(C288:C290)</f>
        <v>152427310</v>
      </c>
      <c r="D287" s="81">
        <f>SUM(D288:D290)</f>
        <v>146426284.65</v>
      </c>
      <c r="E287" s="81">
        <f>SUM(E288:E290)</f>
        <v>30748114.419999987</v>
      </c>
      <c r="F287" s="81">
        <f>SUM(F288:F290)</f>
        <v>140449738.29</v>
      </c>
      <c r="G287" s="69">
        <f t="shared" si="57"/>
        <v>0.2176652263382308</v>
      </c>
      <c r="H287" s="81">
        <f t="shared" si="55"/>
        <v>5976546.360000014</v>
      </c>
      <c r="I287" s="81">
        <f>SUM(I288:I290)</f>
        <v>32890652.049999997</v>
      </c>
      <c r="J287" s="81">
        <f>SUM(J288:J290)</f>
        <v>140244436.47</v>
      </c>
      <c r="K287" s="49">
        <f t="shared" si="58"/>
        <v>0.2192984061480436</v>
      </c>
      <c r="L287" s="92">
        <f t="shared" si="59"/>
        <v>6181848.180000007</v>
      </c>
      <c r="M287" s="84">
        <f>SUM(M288:M290)</f>
        <v>205301.81999999285</v>
      </c>
    </row>
    <row r="288" spans="1:13" ht="15">
      <c r="A288" s="50" t="s">
        <v>28</v>
      </c>
      <c r="B288" s="64" t="s">
        <v>33</v>
      </c>
      <c r="C288" s="82">
        <v>152427310</v>
      </c>
      <c r="D288" s="82">
        <v>146426284.65</v>
      </c>
      <c r="E288" s="82">
        <f>F288-109701623.87</f>
        <v>30748114.419999987</v>
      </c>
      <c r="F288" s="99">
        <v>140449738.29</v>
      </c>
      <c r="G288" s="62">
        <f t="shared" si="57"/>
        <v>0.2176652263382308</v>
      </c>
      <c r="H288" s="82">
        <f t="shared" si="55"/>
        <v>5976546.360000014</v>
      </c>
      <c r="I288" s="82">
        <f>J288-107353784.42</f>
        <v>32890652.049999997</v>
      </c>
      <c r="J288" s="82">
        <v>140244436.47</v>
      </c>
      <c r="K288" s="54">
        <f t="shared" si="58"/>
        <v>0.2192984061480436</v>
      </c>
      <c r="L288" s="93">
        <f t="shared" si="59"/>
        <v>6181848.180000007</v>
      </c>
      <c r="M288" s="85">
        <f>F288-J288</f>
        <v>205301.81999999285</v>
      </c>
    </row>
    <row r="289" spans="1:13" ht="15">
      <c r="A289" s="50" t="s">
        <v>39</v>
      </c>
      <c r="B289" s="64" t="s">
        <v>41</v>
      </c>
      <c r="C289" s="82">
        <v>0</v>
      </c>
      <c r="D289" s="82">
        <v>0</v>
      </c>
      <c r="E289" s="82">
        <f>F289-0</f>
        <v>0</v>
      </c>
      <c r="F289" s="82">
        <v>0</v>
      </c>
      <c r="G289" s="62">
        <f t="shared" si="57"/>
        <v>0</v>
      </c>
      <c r="H289" s="82">
        <f t="shared" si="55"/>
        <v>0</v>
      </c>
      <c r="I289" s="82">
        <f>J289-0</f>
        <v>0</v>
      </c>
      <c r="J289" s="82">
        <v>0</v>
      </c>
      <c r="K289" s="54">
        <f t="shared" si="58"/>
        <v>0</v>
      </c>
      <c r="L289" s="93">
        <f t="shared" si="59"/>
        <v>0</v>
      </c>
      <c r="M289" s="85">
        <f>F289-J289</f>
        <v>0</v>
      </c>
    </row>
    <row r="290" spans="1:13" ht="15">
      <c r="A290" s="50" t="s">
        <v>53</v>
      </c>
      <c r="B290" s="64" t="s">
        <v>60</v>
      </c>
      <c r="C290" s="82">
        <v>0</v>
      </c>
      <c r="D290" s="82">
        <v>0</v>
      </c>
      <c r="E290" s="82">
        <f>F290-0</f>
        <v>0</v>
      </c>
      <c r="F290" s="82">
        <v>0</v>
      </c>
      <c r="G290" s="62">
        <f t="shared" si="57"/>
        <v>0</v>
      </c>
      <c r="H290" s="82">
        <f t="shared" si="55"/>
        <v>0</v>
      </c>
      <c r="I290" s="82">
        <f>J290-0</f>
        <v>0</v>
      </c>
      <c r="J290" s="82">
        <v>0</v>
      </c>
      <c r="K290" s="54">
        <f t="shared" si="58"/>
        <v>0</v>
      </c>
      <c r="L290" s="93">
        <f t="shared" si="59"/>
        <v>0</v>
      </c>
      <c r="M290" s="85">
        <f>F290-J290</f>
        <v>0</v>
      </c>
    </row>
    <row r="291" spans="1:13" ht="14.25">
      <c r="A291" s="45" t="s">
        <v>63</v>
      </c>
      <c r="B291" s="70" t="s">
        <v>62</v>
      </c>
      <c r="C291" s="81">
        <f>SUM(C292:C295)</f>
        <v>1861716731</v>
      </c>
      <c r="D291" s="81">
        <f>SUM(D292:D295)</f>
        <v>1298093648.12</v>
      </c>
      <c r="E291" s="81">
        <f>SUM(E292:E295)</f>
        <v>170661262.33999997</v>
      </c>
      <c r="F291" s="81">
        <f>SUM(F292:F295)</f>
        <v>710222414.6899999</v>
      </c>
      <c r="G291" s="69">
        <f t="shared" si="57"/>
        <v>1.100683593477301</v>
      </c>
      <c r="H291" s="81">
        <f t="shared" si="55"/>
        <v>587871233.43</v>
      </c>
      <c r="I291" s="81">
        <f>SUM(I292:I295)</f>
        <v>179855642.49999994</v>
      </c>
      <c r="J291" s="81">
        <f>SUM(J292:J295)</f>
        <v>705758289.5699999</v>
      </c>
      <c r="K291" s="49">
        <f t="shared" si="58"/>
        <v>1.1035850827606837</v>
      </c>
      <c r="L291" s="92">
        <f t="shared" si="59"/>
        <v>592335358.55</v>
      </c>
      <c r="M291" s="84">
        <f>SUM(M292:M295)</f>
        <v>4464125.12000004</v>
      </c>
    </row>
    <row r="292" spans="1:13" ht="15">
      <c r="A292" s="50" t="s">
        <v>28</v>
      </c>
      <c r="B292" s="64" t="s">
        <v>33</v>
      </c>
      <c r="C292" s="82">
        <v>1788395430</v>
      </c>
      <c r="D292" s="82">
        <v>1219978047.12</v>
      </c>
      <c r="E292" s="82">
        <f>F292-505890106.74</f>
        <v>153105076.51</v>
      </c>
      <c r="F292" s="82">
        <v>658995183.25</v>
      </c>
      <c r="G292" s="62">
        <f t="shared" si="57"/>
        <v>1.0212930081915863</v>
      </c>
      <c r="H292" s="82">
        <f t="shared" si="55"/>
        <v>560982863.8699999</v>
      </c>
      <c r="I292" s="82">
        <f>J292-492607201.04</f>
        <v>165163744.37999994</v>
      </c>
      <c r="J292" s="82">
        <v>657770945.42</v>
      </c>
      <c r="K292" s="54">
        <f t="shared" si="58"/>
        <v>1.0285478951741105</v>
      </c>
      <c r="L292" s="93">
        <f t="shared" si="59"/>
        <v>562207101.6999999</v>
      </c>
      <c r="M292" s="85">
        <f>F292-J292</f>
        <v>1224237.830000043</v>
      </c>
    </row>
    <row r="293" spans="1:13" ht="15">
      <c r="A293" s="50" t="s">
        <v>49</v>
      </c>
      <c r="B293" s="64" t="s">
        <v>56</v>
      </c>
      <c r="C293" s="82">
        <v>59471301</v>
      </c>
      <c r="D293" s="82">
        <v>75471301</v>
      </c>
      <c r="E293" s="82">
        <f>F293-32407016.85</f>
        <v>17126185.83</v>
      </c>
      <c r="F293" s="82">
        <v>49533202.68</v>
      </c>
      <c r="G293" s="62">
        <f t="shared" si="57"/>
        <v>0.07676522508242589</v>
      </c>
      <c r="H293" s="82">
        <f t="shared" si="55"/>
        <v>25938098.32</v>
      </c>
      <c r="I293" s="82">
        <f>J293-32318064.18</f>
        <v>14142305.560000002</v>
      </c>
      <c r="J293" s="82">
        <v>46460369.74</v>
      </c>
      <c r="K293" s="54">
        <f t="shared" si="58"/>
        <v>0.07264947750858038</v>
      </c>
      <c r="L293" s="93">
        <f t="shared" si="59"/>
        <v>29010931.259999998</v>
      </c>
      <c r="M293" s="85">
        <f>F293-J293</f>
        <v>3072832.9399999976</v>
      </c>
    </row>
    <row r="294" spans="1:13" ht="15">
      <c r="A294" s="50" t="s">
        <v>64</v>
      </c>
      <c r="B294" s="64" t="s">
        <v>72</v>
      </c>
      <c r="C294" s="82">
        <v>10000000</v>
      </c>
      <c r="D294" s="82">
        <v>0</v>
      </c>
      <c r="E294" s="82">
        <f>F294-0</f>
        <v>0</v>
      </c>
      <c r="F294" s="82">
        <v>0</v>
      </c>
      <c r="G294" s="62">
        <f t="shared" si="57"/>
        <v>0</v>
      </c>
      <c r="H294" s="82">
        <f t="shared" si="55"/>
        <v>0</v>
      </c>
      <c r="I294" s="82">
        <f>J294-0</f>
        <v>0</v>
      </c>
      <c r="J294" s="82">
        <v>0</v>
      </c>
      <c r="K294" s="54">
        <f t="shared" si="58"/>
        <v>0</v>
      </c>
      <c r="L294" s="93">
        <f t="shared" si="59"/>
        <v>0</v>
      </c>
      <c r="M294" s="85">
        <f>F294-J294</f>
        <v>0</v>
      </c>
    </row>
    <row r="295" spans="1:13" ht="15">
      <c r="A295" s="50" t="s">
        <v>65</v>
      </c>
      <c r="B295" s="64" t="s">
        <v>73</v>
      </c>
      <c r="C295" s="82">
        <v>3850000</v>
      </c>
      <c r="D295" s="82">
        <v>2644300</v>
      </c>
      <c r="E295" s="82">
        <f>F295-1264028.76</f>
        <v>430000</v>
      </c>
      <c r="F295" s="82">
        <v>1694028.76</v>
      </c>
      <c r="G295" s="62">
        <f t="shared" si="57"/>
        <v>0.0026253602032886526</v>
      </c>
      <c r="H295" s="82">
        <f t="shared" si="55"/>
        <v>950271.24</v>
      </c>
      <c r="I295" s="82">
        <f>J295-977381.85</f>
        <v>549592.5599999999</v>
      </c>
      <c r="J295" s="82">
        <v>1526974.41</v>
      </c>
      <c r="K295" s="54">
        <f t="shared" si="58"/>
        <v>0.002387710077992866</v>
      </c>
      <c r="L295" s="93">
        <f t="shared" si="59"/>
        <v>1117325.59</v>
      </c>
      <c r="M295" s="85">
        <f>F295-J295</f>
        <v>167054.3500000001</v>
      </c>
    </row>
    <row r="296" spans="1:13" ht="14.25">
      <c r="A296" s="45" t="s">
        <v>81</v>
      </c>
      <c r="B296" s="70" t="s">
        <v>80</v>
      </c>
      <c r="C296" s="81">
        <f>SUM(C297:C299)</f>
        <v>7662574</v>
      </c>
      <c r="D296" s="81">
        <f>SUM(D297:D299)</f>
        <v>8756340.06</v>
      </c>
      <c r="E296" s="81">
        <f>SUM(E297:E299)</f>
        <v>1136669.11</v>
      </c>
      <c r="F296" s="81">
        <f>SUM(F297:F299)</f>
        <v>5744849.08</v>
      </c>
      <c r="G296" s="69">
        <f t="shared" si="57"/>
        <v>0.008903212569148725</v>
      </c>
      <c r="H296" s="81">
        <f t="shared" si="55"/>
        <v>3011490.9800000004</v>
      </c>
      <c r="I296" s="81">
        <f>SUM(I297:I299)</f>
        <v>1315178.8399999996</v>
      </c>
      <c r="J296" s="81">
        <f>SUM(J297:J299)</f>
        <v>5744849.08</v>
      </c>
      <c r="K296" s="49">
        <f t="shared" si="58"/>
        <v>0.008983145987930503</v>
      </c>
      <c r="L296" s="92">
        <f t="shared" si="59"/>
        <v>3011490.9800000004</v>
      </c>
      <c r="M296" s="84">
        <f>SUM(M297:M299)</f>
        <v>0</v>
      </c>
    </row>
    <row r="297" spans="1:13" ht="15">
      <c r="A297" s="50" t="s">
        <v>28</v>
      </c>
      <c r="B297" s="64" t="s">
        <v>33</v>
      </c>
      <c r="C297" s="82">
        <v>7662574</v>
      </c>
      <c r="D297" s="82">
        <v>8327648.47</v>
      </c>
      <c r="E297" s="82">
        <f>F297-4441412.13</f>
        <v>1064862.1600000001</v>
      </c>
      <c r="F297" s="82">
        <v>5506274.29</v>
      </c>
      <c r="G297" s="62">
        <f t="shared" si="57"/>
        <v>0.00853347577721023</v>
      </c>
      <c r="H297" s="82">
        <f t="shared" si="55"/>
        <v>2821374.1799999997</v>
      </c>
      <c r="I297" s="82">
        <f>J297-4262902.4</f>
        <v>1243371.8899999997</v>
      </c>
      <c r="J297" s="82">
        <v>5506274.29</v>
      </c>
      <c r="K297" s="54">
        <f t="shared" si="58"/>
        <v>0.008610089683445326</v>
      </c>
      <c r="L297" s="93">
        <f t="shared" si="59"/>
        <v>2821374.1799999997</v>
      </c>
      <c r="M297" s="84">
        <f>F297-J297</f>
        <v>0</v>
      </c>
    </row>
    <row r="298" spans="1:13" ht="15">
      <c r="A298" s="50" t="s">
        <v>82</v>
      </c>
      <c r="B298" s="64" t="s">
        <v>84</v>
      </c>
      <c r="C298" s="82">
        <v>0</v>
      </c>
      <c r="D298" s="82">
        <v>428691.59</v>
      </c>
      <c r="E298" s="82">
        <f>F298-166767.84</f>
        <v>71806.95000000001</v>
      </c>
      <c r="F298" s="82">
        <v>238574.79</v>
      </c>
      <c r="G298" s="62">
        <f t="shared" si="57"/>
        <v>0.0003697367919384956</v>
      </c>
      <c r="H298" s="82">
        <f t="shared" si="55"/>
        <v>190116.80000000002</v>
      </c>
      <c r="I298" s="82">
        <f>J298-166767.84</f>
        <v>71806.95000000001</v>
      </c>
      <c r="J298" s="82">
        <v>238574.79</v>
      </c>
      <c r="K298" s="54">
        <f t="shared" si="58"/>
        <v>0.00037305630448517576</v>
      </c>
      <c r="L298" s="93">
        <f t="shared" si="59"/>
        <v>190116.80000000002</v>
      </c>
      <c r="M298" s="84">
        <f>F298-J298</f>
        <v>0</v>
      </c>
    </row>
    <row r="299" spans="1:13" ht="15">
      <c r="A299" s="50" t="s">
        <v>83</v>
      </c>
      <c r="B299" s="64" t="s">
        <v>268</v>
      </c>
      <c r="C299" s="82">
        <v>0</v>
      </c>
      <c r="D299" s="82">
        <v>0</v>
      </c>
      <c r="E299" s="82">
        <f>F299-0</f>
        <v>0</v>
      </c>
      <c r="F299" s="82">
        <v>0</v>
      </c>
      <c r="G299" s="62">
        <f aca="true" t="shared" si="60" ref="G299:G307">(F299/$F$258)*100</f>
        <v>0</v>
      </c>
      <c r="H299" s="82">
        <f t="shared" si="55"/>
        <v>0</v>
      </c>
      <c r="I299" s="82">
        <f>J299-0</f>
        <v>0</v>
      </c>
      <c r="J299" s="82">
        <v>0</v>
      </c>
      <c r="K299" s="54">
        <f aca="true" t="shared" si="61" ref="K299:K307">(J299/$J$258)*100</f>
        <v>0</v>
      </c>
      <c r="L299" s="93">
        <f t="shared" si="59"/>
        <v>0</v>
      </c>
      <c r="M299" s="84">
        <f>F299-J299</f>
        <v>0</v>
      </c>
    </row>
    <row r="300" spans="1:13" ht="14.25">
      <c r="A300" s="45" t="s">
        <v>87</v>
      </c>
      <c r="B300" s="70" t="s">
        <v>86</v>
      </c>
      <c r="C300" s="81">
        <f>C301</f>
        <v>327985137</v>
      </c>
      <c r="D300" s="81">
        <f>D301</f>
        <v>191603574.66</v>
      </c>
      <c r="E300" s="81">
        <f>E301</f>
        <v>12035115.41</v>
      </c>
      <c r="F300" s="81">
        <f>F301</f>
        <v>40949713.68</v>
      </c>
      <c r="G300" s="69">
        <f t="shared" si="60"/>
        <v>0.06346276472398078</v>
      </c>
      <c r="H300" s="81">
        <f t="shared" si="55"/>
        <v>150653860.98</v>
      </c>
      <c r="I300" s="81">
        <f>I301</f>
        <v>36595809.1</v>
      </c>
      <c r="J300" s="81">
        <f>J301</f>
        <v>40771272.24</v>
      </c>
      <c r="K300" s="49">
        <f t="shared" si="61"/>
        <v>0.06375350954312245</v>
      </c>
      <c r="L300" s="92">
        <f t="shared" si="59"/>
        <v>150832302.42</v>
      </c>
      <c r="M300" s="84">
        <f>M301</f>
        <v>178441.43999999762</v>
      </c>
    </row>
    <row r="301" spans="1:13" ht="15">
      <c r="A301" s="50" t="s">
        <v>28</v>
      </c>
      <c r="B301" s="64" t="s">
        <v>33</v>
      </c>
      <c r="C301" s="82">
        <v>327985137</v>
      </c>
      <c r="D301" s="82">
        <v>191603574.66</v>
      </c>
      <c r="E301" s="82">
        <f>F301-28914598.27</f>
        <v>12035115.41</v>
      </c>
      <c r="F301" s="82">
        <v>40949713.68</v>
      </c>
      <c r="G301" s="62">
        <f t="shared" si="60"/>
        <v>0.06346276472398078</v>
      </c>
      <c r="H301" s="82">
        <f t="shared" si="55"/>
        <v>150653860.98</v>
      </c>
      <c r="I301" s="82">
        <f>J301-4175463.14</f>
        <v>36595809.1</v>
      </c>
      <c r="J301" s="82">
        <v>40771272.24</v>
      </c>
      <c r="K301" s="54">
        <f t="shared" si="61"/>
        <v>0.06375350954312245</v>
      </c>
      <c r="L301" s="93">
        <f t="shared" si="59"/>
        <v>150832302.42</v>
      </c>
      <c r="M301" s="85">
        <f>F301-J301</f>
        <v>178441.43999999762</v>
      </c>
    </row>
    <row r="302" spans="1:13" ht="14.25">
      <c r="A302" s="45" t="s">
        <v>90</v>
      </c>
      <c r="B302" s="70" t="s">
        <v>91</v>
      </c>
      <c r="C302" s="81">
        <f>SUM(C303:C305)</f>
        <v>724264166</v>
      </c>
      <c r="D302" s="81">
        <f>SUM(D303:D305)</f>
        <v>536288656.32</v>
      </c>
      <c r="E302" s="81">
        <f>SUM(E303:E305)</f>
        <v>7909664.350000031</v>
      </c>
      <c r="F302" s="81">
        <f>SUM(F303:F305)</f>
        <v>535466766.18</v>
      </c>
      <c r="G302" s="69">
        <f t="shared" si="60"/>
        <v>0.8298519903007092</v>
      </c>
      <c r="H302" s="81">
        <f>D302-F302</f>
        <v>821890.1399999857</v>
      </c>
      <c r="I302" s="81">
        <f>SUM(I303:I305)</f>
        <v>40144236.59000005</v>
      </c>
      <c r="J302" s="81">
        <f>SUM(J303:J305)</f>
        <v>535466766.18</v>
      </c>
      <c r="K302" s="49">
        <f t="shared" si="61"/>
        <v>0.8373024365472082</v>
      </c>
      <c r="L302" s="92">
        <f t="shared" si="59"/>
        <v>821890.1399999857</v>
      </c>
      <c r="M302" s="84">
        <f>SUM(M303:M305)</f>
        <v>0</v>
      </c>
    </row>
    <row r="303" spans="1:13" ht="15">
      <c r="A303" s="50" t="s">
        <v>28</v>
      </c>
      <c r="B303" s="64" t="s">
        <v>33</v>
      </c>
      <c r="C303" s="82">
        <v>58649481</v>
      </c>
      <c r="D303" s="82">
        <v>55588869.55</v>
      </c>
      <c r="E303" s="82">
        <f>F303-46204282.2</f>
        <v>8664697.82</v>
      </c>
      <c r="F303" s="82">
        <v>54868980.02</v>
      </c>
      <c r="G303" s="62">
        <f t="shared" si="60"/>
        <v>0.0850344692728524</v>
      </c>
      <c r="H303" s="82">
        <f t="shared" si="55"/>
        <v>719889.5299999937</v>
      </c>
      <c r="I303" s="82">
        <f>J303-42537516.82</f>
        <v>12331463.200000003</v>
      </c>
      <c r="J303" s="82">
        <v>54868980.02</v>
      </c>
      <c r="K303" s="54">
        <f t="shared" si="61"/>
        <v>0.08579791233236399</v>
      </c>
      <c r="L303" s="93">
        <f t="shared" si="59"/>
        <v>719889.5299999937</v>
      </c>
      <c r="M303" s="84">
        <f>F303-J303</f>
        <v>0</v>
      </c>
    </row>
    <row r="304" spans="1:13" ht="15">
      <c r="A304" s="50" t="s">
        <v>65</v>
      </c>
      <c r="B304" s="64" t="s">
        <v>73</v>
      </c>
      <c r="C304" s="82">
        <v>5000</v>
      </c>
      <c r="D304" s="82">
        <v>0</v>
      </c>
      <c r="E304" s="82">
        <f>F304-0</f>
        <v>0</v>
      </c>
      <c r="F304" s="82">
        <v>0</v>
      </c>
      <c r="G304" s="62">
        <f t="shared" si="60"/>
        <v>0</v>
      </c>
      <c r="H304" s="82">
        <f t="shared" si="55"/>
        <v>0</v>
      </c>
      <c r="I304" s="82">
        <f>J304-0</f>
        <v>0</v>
      </c>
      <c r="J304" s="82">
        <v>0</v>
      </c>
      <c r="K304" s="54">
        <f t="shared" si="61"/>
        <v>0</v>
      </c>
      <c r="L304" s="93">
        <f t="shared" si="59"/>
        <v>0</v>
      </c>
      <c r="M304" s="84">
        <f>F304-J304</f>
        <v>0</v>
      </c>
    </row>
    <row r="305" spans="1:13" ht="15">
      <c r="A305" s="50" t="s">
        <v>67</v>
      </c>
      <c r="B305" s="64" t="s">
        <v>75</v>
      </c>
      <c r="C305" s="82">
        <v>665609685</v>
      </c>
      <c r="D305" s="82">
        <v>480699786.77</v>
      </c>
      <c r="E305" s="82">
        <f>F305-481352819.63</f>
        <v>-755033.469999969</v>
      </c>
      <c r="F305" s="82">
        <v>480597786.16</v>
      </c>
      <c r="G305" s="62">
        <f t="shared" si="60"/>
        <v>0.7448175210278568</v>
      </c>
      <c r="H305" s="82">
        <f t="shared" si="55"/>
        <v>102000.6099999547</v>
      </c>
      <c r="I305" s="82">
        <f>J305-452785012.77</f>
        <v>27812773.390000045</v>
      </c>
      <c r="J305" s="82">
        <v>480597786.16</v>
      </c>
      <c r="K305" s="54">
        <f t="shared" si="61"/>
        <v>0.7515045242148441</v>
      </c>
      <c r="L305" s="93">
        <f t="shared" si="59"/>
        <v>102000.6099999547</v>
      </c>
      <c r="M305" s="84">
        <f>F305-J305</f>
        <v>0</v>
      </c>
    </row>
    <row r="306" spans="1:13" ht="14.25">
      <c r="A306" s="45" t="s">
        <v>104</v>
      </c>
      <c r="B306" s="70" t="s">
        <v>103</v>
      </c>
      <c r="C306" s="81">
        <f>C307</f>
        <v>476199</v>
      </c>
      <c r="D306" s="81">
        <f>D307</f>
        <v>1770082.62</v>
      </c>
      <c r="E306" s="81">
        <f>E307</f>
        <v>1047193.4600000001</v>
      </c>
      <c r="F306" s="81">
        <f>F307</f>
        <v>1770082.62</v>
      </c>
      <c r="G306" s="69">
        <f t="shared" si="60"/>
        <v>0.002743226429686419</v>
      </c>
      <c r="H306" s="81">
        <f t="shared" si="55"/>
        <v>0</v>
      </c>
      <c r="I306" s="81">
        <f>I307</f>
        <v>1047193.4600000001</v>
      </c>
      <c r="J306" s="81">
        <f>J307</f>
        <v>1770082.62</v>
      </c>
      <c r="K306" s="49">
        <f t="shared" si="61"/>
        <v>0.002767855232527451</v>
      </c>
      <c r="L306" s="92">
        <f aca="true" t="shared" si="62" ref="L306:L337">D306-J306</f>
        <v>0</v>
      </c>
      <c r="M306" s="84">
        <f>M307</f>
        <v>0</v>
      </c>
    </row>
    <row r="307" spans="1:13" ht="15">
      <c r="A307" s="50" t="s">
        <v>28</v>
      </c>
      <c r="B307" s="64" t="s">
        <v>33</v>
      </c>
      <c r="C307" s="82">
        <v>476199</v>
      </c>
      <c r="D307" s="82">
        <v>1770082.62</v>
      </c>
      <c r="E307" s="82">
        <f>F307-722889.16</f>
        <v>1047193.4600000001</v>
      </c>
      <c r="F307" s="82">
        <v>1770082.62</v>
      </c>
      <c r="G307" s="62">
        <f t="shared" si="60"/>
        <v>0.002743226429686419</v>
      </c>
      <c r="H307" s="82">
        <f t="shared" si="55"/>
        <v>0</v>
      </c>
      <c r="I307" s="82">
        <f>J307-722889.16</f>
        <v>1047193.4600000001</v>
      </c>
      <c r="J307" s="82">
        <v>1770082.62</v>
      </c>
      <c r="K307" s="54">
        <f t="shared" si="61"/>
        <v>0.002767855232527451</v>
      </c>
      <c r="L307" s="93">
        <f t="shared" si="62"/>
        <v>0</v>
      </c>
      <c r="M307" s="84">
        <f>F307-J307</f>
        <v>0</v>
      </c>
    </row>
    <row r="308" spans="1:13" ht="14.25">
      <c r="A308" s="45" t="s">
        <v>109</v>
      </c>
      <c r="B308" s="70" t="s">
        <v>110</v>
      </c>
      <c r="C308" s="81">
        <f>SUM(C309:C314)</f>
        <v>864581517</v>
      </c>
      <c r="D308" s="81">
        <f>SUM(D309:D314)</f>
        <v>958928987.3299999</v>
      </c>
      <c r="E308" s="81">
        <f>SUM(E309:E314)</f>
        <v>197508438.99000007</v>
      </c>
      <c r="F308" s="81">
        <f>SUM(F309:F314)</f>
        <v>875581497.6400001</v>
      </c>
      <c r="G308" s="69">
        <f aca="true" t="shared" si="63" ref="G308:G346">(F308/$F$258)*100</f>
        <v>1.3569526521143205</v>
      </c>
      <c r="H308" s="81">
        <f t="shared" si="55"/>
        <v>83347489.68999982</v>
      </c>
      <c r="I308" s="81">
        <f>SUM(I309:I314)</f>
        <v>200700630.55000007</v>
      </c>
      <c r="J308" s="81">
        <f>SUM(J309:J314)</f>
        <v>875581497.6400001</v>
      </c>
      <c r="K308" s="49">
        <f aca="true" t="shared" si="64" ref="K308:K346">(J308/$J$258)*100</f>
        <v>1.369135430382959</v>
      </c>
      <c r="L308" s="92">
        <f t="shared" si="62"/>
        <v>83347489.68999982</v>
      </c>
      <c r="M308" s="84">
        <f>SUM(M309:M314)</f>
        <v>0</v>
      </c>
    </row>
    <row r="309" spans="1:13" ht="15">
      <c r="A309" s="50" t="s">
        <v>28</v>
      </c>
      <c r="B309" s="64" t="s">
        <v>33</v>
      </c>
      <c r="C309" s="82">
        <v>359767429</v>
      </c>
      <c r="D309" s="82">
        <v>370062319.33</v>
      </c>
      <c r="E309" s="82">
        <f>F309-290079733.34</f>
        <v>67889781.13000005</v>
      </c>
      <c r="F309" s="82">
        <v>357969514.47</v>
      </c>
      <c r="G309" s="62">
        <f t="shared" si="63"/>
        <v>0.554771524233213</v>
      </c>
      <c r="H309" s="82">
        <f t="shared" si="55"/>
        <v>12092804.859999955</v>
      </c>
      <c r="I309" s="82">
        <f>J309-286887541.78</f>
        <v>71081972.69000006</v>
      </c>
      <c r="J309" s="82">
        <v>357969514.47</v>
      </c>
      <c r="K309" s="54">
        <f t="shared" si="64"/>
        <v>0.5597522864277943</v>
      </c>
      <c r="L309" s="93">
        <f t="shared" si="62"/>
        <v>12092804.859999955</v>
      </c>
      <c r="M309" s="84">
        <f aca="true" t="shared" si="65" ref="M309:M314">F309-J309</f>
        <v>0</v>
      </c>
    </row>
    <row r="310" spans="1:13" ht="15">
      <c r="A310" s="50" t="s">
        <v>29</v>
      </c>
      <c r="B310" s="64" t="s">
        <v>34</v>
      </c>
      <c r="C310" s="82">
        <v>0</v>
      </c>
      <c r="D310" s="82">
        <v>85000</v>
      </c>
      <c r="E310" s="82">
        <f>F310-0</f>
        <v>0</v>
      </c>
      <c r="F310" s="82">
        <v>0</v>
      </c>
      <c r="G310" s="62">
        <f t="shared" si="63"/>
        <v>0</v>
      </c>
      <c r="H310" s="82">
        <f t="shared" si="55"/>
        <v>85000</v>
      </c>
      <c r="I310" s="82">
        <f>J310-0</f>
        <v>0</v>
      </c>
      <c r="J310" s="82">
        <v>0</v>
      </c>
      <c r="K310" s="54">
        <f t="shared" si="64"/>
        <v>0</v>
      </c>
      <c r="L310" s="93">
        <f t="shared" si="62"/>
        <v>85000</v>
      </c>
      <c r="M310" s="84">
        <f t="shared" si="65"/>
        <v>0</v>
      </c>
    </row>
    <row r="311" spans="1:13" ht="15">
      <c r="A311" s="50" t="s">
        <v>82</v>
      </c>
      <c r="B311" s="64" t="s">
        <v>84</v>
      </c>
      <c r="C311" s="82">
        <v>60000</v>
      </c>
      <c r="D311" s="82">
        <v>60000</v>
      </c>
      <c r="E311" s="82">
        <f>F311-0</f>
        <v>0</v>
      </c>
      <c r="F311" s="82">
        <v>0</v>
      </c>
      <c r="G311" s="62">
        <f t="shared" si="63"/>
        <v>0</v>
      </c>
      <c r="H311" s="82">
        <f>D311-F311</f>
        <v>60000</v>
      </c>
      <c r="I311" s="82">
        <f>J311-0</f>
        <v>0</v>
      </c>
      <c r="J311" s="82">
        <v>0</v>
      </c>
      <c r="K311" s="54">
        <f t="shared" si="64"/>
        <v>0</v>
      </c>
      <c r="L311" s="93">
        <f t="shared" si="62"/>
        <v>60000</v>
      </c>
      <c r="M311" s="84">
        <f t="shared" si="65"/>
        <v>0</v>
      </c>
    </row>
    <row r="312" spans="1:13" ht="15">
      <c r="A312" s="50" t="s">
        <v>111</v>
      </c>
      <c r="B312" s="64" t="s">
        <v>118</v>
      </c>
      <c r="C312" s="82">
        <v>132185336</v>
      </c>
      <c r="D312" s="82">
        <v>226885605.57</v>
      </c>
      <c r="E312" s="82">
        <f>F312-141266526.65</f>
        <v>41024330.29999998</v>
      </c>
      <c r="F312" s="82">
        <v>182290856.95</v>
      </c>
      <c r="G312" s="62">
        <f t="shared" si="63"/>
        <v>0.2825094665216396</v>
      </c>
      <c r="H312" s="82">
        <f>D312-F312</f>
        <v>44594748.620000005</v>
      </c>
      <c r="I312" s="82">
        <f>J312-141266526.65</f>
        <v>41024330.29999998</v>
      </c>
      <c r="J312" s="82">
        <v>182290856.95</v>
      </c>
      <c r="K312" s="54">
        <f t="shared" si="64"/>
        <v>0.28504584845365605</v>
      </c>
      <c r="L312" s="93">
        <f t="shared" si="62"/>
        <v>44594748.620000005</v>
      </c>
      <c r="M312" s="84">
        <f t="shared" si="65"/>
        <v>0</v>
      </c>
    </row>
    <row r="313" spans="1:13" ht="15">
      <c r="A313" s="50" t="s">
        <v>112</v>
      </c>
      <c r="B313" s="64" t="s">
        <v>119</v>
      </c>
      <c r="C313" s="82">
        <v>372568752</v>
      </c>
      <c r="D313" s="82">
        <v>361836062.43</v>
      </c>
      <c r="E313" s="82">
        <f>F313-246726798.66</f>
        <v>88594327.56000003</v>
      </c>
      <c r="F313" s="82">
        <v>335321126.22</v>
      </c>
      <c r="G313" s="62">
        <f t="shared" si="63"/>
        <v>0.5196716613594679</v>
      </c>
      <c r="H313" s="82">
        <f t="shared" si="55"/>
        <v>26514936.20999998</v>
      </c>
      <c r="I313" s="82">
        <f>J313-246726798.66</f>
        <v>88594327.56000003</v>
      </c>
      <c r="J313" s="82">
        <v>335321126.22</v>
      </c>
      <c r="K313" s="54">
        <f t="shared" si="64"/>
        <v>0.5243372955015088</v>
      </c>
      <c r="L313" s="93">
        <f t="shared" si="62"/>
        <v>26514936.20999998</v>
      </c>
      <c r="M313" s="84">
        <f t="shared" si="65"/>
        <v>0</v>
      </c>
    </row>
    <row r="314" spans="1:13" ht="15">
      <c r="A314" s="50" t="s">
        <v>114</v>
      </c>
      <c r="B314" s="64" t="s">
        <v>121</v>
      </c>
      <c r="C314" s="82">
        <v>0</v>
      </c>
      <c r="D314" s="82">
        <v>0</v>
      </c>
      <c r="E314" s="82">
        <f>F314-0</f>
        <v>0</v>
      </c>
      <c r="F314" s="82">
        <v>0</v>
      </c>
      <c r="G314" s="62">
        <f t="shared" si="63"/>
        <v>0</v>
      </c>
      <c r="H314" s="82">
        <f t="shared" si="55"/>
        <v>0</v>
      </c>
      <c r="I314" s="82">
        <f>J314-0</f>
        <v>0</v>
      </c>
      <c r="J314" s="82">
        <v>0</v>
      </c>
      <c r="K314" s="54">
        <f t="shared" si="64"/>
        <v>0</v>
      </c>
      <c r="L314" s="93">
        <f t="shared" si="62"/>
        <v>0</v>
      </c>
      <c r="M314" s="84">
        <f t="shared" si="65"/>
        <v>0</v>
      </c>
    </row>
    <row r="315" spans="1:13" ht="14.25">
      <c r="A315" s="45" t="s">
        <v>125</v>
      </c>
      <c r="B315" s="70" t="s">
        <v>126</v>
      </c>
      <c r="C315" s="81">
        <f>C316</f>
        <v>9507302</v>
      </c>
      <c r="D315" s="81">
        <f>D316</f>
        <v>8620128.99</v>
      </c>
      <c r="E315" s="81">
        <f>E316</f>
        <v>1985792.2599999998</v>
      </c>
      <c r="F315" s="81">
        <f>F316</f>
        <v>8554949.94</v>
      </c>
      <c r="G315" s="69">
        <f t="shared" si="63"/>
        <v>0.013258231290950837</v>
      </c>
      <c r="H315" s="81">
        <f t="shared" si="55"/>
        <v>65179.050000000745</v>
      </c>
      <c r="I315" s="81">
        <f>I316</f>
        <v>1986056.459999999</v>
      </c>
      <c r="J315" s="81">
        <f>J316</f>
        <v>8554949.94</v>
      </c>
      <c r="K315" s="49">
        <f t="shared" si="64"/>
        <v>0.013377264251902206</v>
      </c>
      <c r="L315" s="92">
        <f t="shared" si="62"/>
        <v>65179.050000000745</v>
      </c>
      <c r="M315" s="84">
        <f>M316</f>
        <v>0</v>
      </c>
    </row>
    <row r="316" spans="1:13" ht="15">
      <c r="A316" s="50" t="s">
        <v>28</v>
      </c>
      <c r="B316" s="64" t="s">
        <v>33</v>
      </c>
      <c r="C316" s="82">
        <v>9507302</v>
      </c>
      <c r="D316" s="82">
        <v>8620128.99</v>
      </c>
      <c r="E316" s="82">
        <f>F316-6569157.68</f>
        <v>1985792.2599999998</v>
      </c>
      <c r="F316" s="82">
        <v>8554949.94</v>
      </c>
      <c r="G316" s="62">
        <f t="shared" si="63"/>
        <v>0.013258231290950837</v>
      </c>
      <c r="H316" s="82">
        <f t="shared" si="55"/>
        <v>65179.050000000745</v>
      </c>
      <c r="I316" s="82">
        <f>J316-6568893.48</f>
        <v>1986056.459999999</v>
      </c>
      <c r="J316" s="82">
        <v>8554949.94</v>
      </c>
      <c r="K316" s="54">
        <f t="shared" si="64"/>
        <v>0.013377264251902206</v>
      </c>
      <c r="L316" s="93">
        <f t="shared" si="62"/>
        <v>65179.050000000745</v>
      </c>
      <c r="M316" s="84">
        <f>F316-J316</f>
        <v>0</v>
      </c>
    </row>
    <row r="317" spans="1:13" ht="14.25">
      <c r="A317" s="72" t="s">
        <v>129</v>
      </c>
      <c r="B317" s="70" t="s">
        <v>130</v>
      </c>
      <c r="C317" s="81">
        <f>C318</f>
        <v>1010267</v>
      </c>
      <c r="D317" s="81">
        <f>D318</f>
        <v>1875679.38</v>
      </c>
      <c r="E317" s="81">
        <f>E318</f>
        <v>264785</v>
      </c>
      <c r="F317" s="81">
        <f>F318</f>
        <v>1721741.74</v>
      </c>
      <c r="G317" s="69">
        <f t="shared" si="63"/>
        <v>0.002668309034220268</v>
      </c>
      <c r="H317" s="81">
        <f t="shared" si="55"/>
        <v>153937.6399999999</v>
      </c>
      <c r="I317" s="81">
        <f>I318</f>
        <v>452814.75</v>
      </c>
      <c r="J317" s="81">
        <f>J318</f>
        <v>1721741.74</v>
      </c>
      <c r="K317" s="49">
        <f t="shared" si="64"/>
        <v>0.002692265225518071</v>
      </c>
      <c r="L317" s="92">
        <f t="shared" si="62"/>
        <v>153937.6399999999</v>
      </c>
      <c r="M317" s="84">
        <f>M318</f>
        <v>0</v>
      </c>
    </row>
    <row r="318" spans="1:13" ht="15">
      <c r="A318" s="59" t="s">
        <v>28</v>
      </c>
      <c r="B318" s="64" t="s">
        <v>33</v>
      </c>
      <c r="C318" s="82">
        <v>1010267</v>
      </c>
      <c r="D318" s="82">
        <v>1875679.38</v>
      </c>
      <c r="E318" s="82">
        <f>F318-1456956.74</f>
        <v>264785</v>
      </c>
      <c r="F318" s="82">
        <v>1721741.74</v>
      </c>
      <c r="G318" s="62">
        <f t="shared" si="63"/>
        <v>0.002668309034220268</v>
      </c>
      <c r="H318" s="82">
        <f t="shared" si="55"/>
        <v>153937.6399999999</v>
      </c>
      <c r="I318" s="82">
        <f>J318-1268926.99</f>
        <v>452814.75</v>
      </c>
      <c r="J318" s="82">
        <v>1721741.74</v>
      </c>
      <c r="K318" s="54">
        <f t="shared" si="64"/>
        <v>0.002692265225518071</v>
      </c>
      <c r="L318" s="93">
        <f t="shared" si="62"/>
        <v>153937.6399999999</v>
      </c>
      <c r="M318" s="84">
        <f>F318-J318</f>
        <v>0</v>
      </c>
    </row>
    <row r="319" spans="1:13" ht="14.25">
      <c r="A319" s="72" t="s">
        <v>133</v>
      </c>
      <c r="B319" s="70" t="s">
        <v>134</v>
      </c>
      <c r="C319" s="81">
        <f>C320</f>
        <v>612858</v>
      </c>
      <c r="D319" s="81">
        <f>D320</f>
        <v>581379.48</v>
      </c>
      <c r="E319" s="81">
        <f>E320</f>
        <v>129040.44000000006</v>
      </c>
      <c r="F319" s="81">
        <f>F320</f>
        <v>560457.8</v>
      </c>
      <c r="G319" s="69">
        <f t="shared" si="63"/>
        <v>0.0008685824222622472</v>
      </c>
      <c r="H319" s="81">
        <f t="shared" si="55"/>
        <v>20921.679999999935</v>
      </c>
      <c r="I319" s="81">
        <f>I320</f>
        <v>132340.44000000006</v>
      </c>
      <c r="J319" s="81">
        <f>J320</f>
        <v>560457.8</v>
      </c>
      <c r="K319" s="49">
        <f t="shared" si="64"/>
        <v>0.0008763805919640201</v>
      </c>
      <c r="L319" s="92">
        <f t="shared" si="62"/>
        <v>20921.679999999935</v>
      </c>
      <c r="M319" s="84">
        <f>M320</f>
        <v>0</v>
      </c>
    </row>
    <row r="320" spans="1:13" ht="15">
      <c r="A320" s="66" t="s">
        <v>28</v>
      </c>
      <c r="B320" s="60" t="s">
        <v>33</v>
      </c>
      <c r="C320" s="82">
        <v>612858</v>
      </c>
      <c r="D320" s="82">
        <v>581379.48</v>
      </c>
      <c r="E320" s="82">
        <f>F320-431417.36</f>
        <v>129040.44000000006</v>
      </c>
      <c r="F320" s="82">
        <v>560457.8</v>
      </c>
      <c r="G320" s="62">
        <f t="shared" si="63"/>
        <v>0.0008685824222622472</v>
      </c>
      <c r="H320" s="82">
        <f t="shared" si="55"/>
        <v>20921.679999999935</v>
      </c>
      <c r="I320" s="82">
        <f>J320-428117.36</f>
        <v>132340.44000000006</v>
      </c>
      <c r="J320" s="82">
        <v>560457.8</v>
      </c>
      <c r="K320" s="54">
        <f t="shared" si="64"/>
        <v>0.0008763805919640201</v>
      </c>
      <c r="L320" s="93">
        <f t="shared" si="62"/>
        <v>20921.679999999935</v>
      </c>
      <c r="M320" s="84">
        <f>F320-J320</f>
        <v>0</v>
      </c>
    </row>
    <row r="321" spans="1:13" ht="14.25">
      <c r="A321" s="73" t="s">
        <v>138</v>
      </c>
      <c r="B321" s="74" t="s">
        <v>137</v>
      </c>
      <c r="C321" s="81">
        <f>C322</f>
        <v>241380</v>
      </c>
      <c r="D321" s="81">
        <f>D322</f>
        <v>295405.42</v>
      </c>
      <c r="E321" s="81">
        <f>E322</f>
        <v>74537.47</v>
      </c>
      <c r="F321" s="81">
        <f>F322</f>
        <v>186769.94</v>
      </c>
      <c r="G321" s="69">
        <f t="shared" si="63"/>
        <v>0.00028945102894629103</v>
      </c>
      <c r="H321" s="81">
        <f t="shared" si="55"/>
        <v>108635.47999999998</v>
      </c>
      <c r="I321" s="81">
        <f>I322</f>
        <v>84597.59</v>
      </c>
      <c r="J321" s="81">
        <f>J322</f>
        <v>186769.94</v>
      </c>
      <c r="K321" s="49">
        <f t="shared" si="64"/>
        <v>0.0002920497325191736</v>
      </c>
      <c r="L321" s="92">
        <f t="shared" si="62"/>
        <v>108635.47999999998</v>
      </c>
      <c r="M321" s="84">
        <f>M322</f>
        <v>0</v>
      </c>
    </row>
    <row r="322" spans="1:13" ht="15">
      <c r="A322" s="66" t="s">
        <v>28</v>
      </c>
      <c r="B322" s="60" t="s">
        <v>33</v>
      </c>
      <c r="C322" s="82">
        <v>241380</v>
      </c>
      <c r="D322" s="82">
        <v>295405.42</v>
      </c>
      <c r="E322" s="82">
        <f>F322-112232.47</f>
        <v>74537.47</v>
      </c>
      <c r="F322" s="82">
        <v>186769.94</v>
      </c>
      <c r="G322" s="62">
        <f t="shared" si="63"/>
        <v>0.00028945102894629103</v>
      </c>
      <c r="H322" s="82">
        <f t="shared" si="55"/>
        <v>108635.47999999998</v>
      </c>
      <c r="I322" s="82">
        <f>J322-102172.35</f>
        <v>84597.59</v>
      </c>
      <c r="J322" s="82">
        <v>186769.94</v>
      </c>
      <c r="K322" s="54">
        <f t="shared" si="64"/>
        <v>0.0002920497325191736</v>
      </c>
      <c r="L322" s="93">
        <f t="shared" si="62"/>
        <v>108635.47999999998</v>
      </c>
      <c r="M322" s="84">
        <f>F322-J322</f>
        <v>0</v>
      </c>
    </row>
    <row r="323" spans="1:13" ht="14.25">
      <c r="A323" s="45" t="s">
        <v>141</v>
      </c>
      <c r="B323" s="48" t="s">
        <v>142</v>
      </c>
      <c r="C323" s="81">
        <f>C324</f>
        <v>0</v>
      </c>
      <c r="D323" s="81">
        <f>D324</f>
        <v>0</v>
      </c>
      <c r="E323" s="81">
        <f>E324</f>
        <v>0</v>
      </c>
      <c r="F323" s="81">
        <f>F324</f>
        <v>0</v>
      </c>
      <c r="G323" s="69">
        <f>(F323/$F$258)*100</f>
        <v>0</v>
      </c>
      <c r="H323" s="81">
        <f>D323-F323</f>
        <v>0</v>
      </c>
      <c r="I323" s="81">
        <f>I324</f>
        <v>0</v>
      </c>
      <c r="J323" s="81">
        <f>J324</f>
        <v>0</v>
      </c>
      <c r="K323" s="49">
        <f t="shared" si="64"/>
        <v>0</v>
      </c>
      <c r="L323" s="92">
        <f t="shared" si="62"/>
        <v>0</v>
      </c>
      <c r="M323" s="84">
        <f>M324</f>
        <v>0</v>
      </c>
    </row>
    <row r="324" spans="1:13" ht="15">
      <c r="A324" s="66" t="s">
        <v>143</v>
      </c>
      <c r="B324" s="60" t="s">
        <v>144</v>
      </c>
      <c r="C324" s="82">
        <v>0</v>
      </c>
      <c r="D324" s="82">
        <v>0</v>
      </c>
      <c r="E324" s="82">
        <f>F324-0</f>
        <v>0</v>
      </c>
      <c r="F324" s="82">
        <v>0</v>
      </c>
      <c r="G324" s="62">
        <f>(F324/$F$258)*100</f>
        <v>0</v>
      </c>
      <c r="H324" s="82">
        <f t="shared" si="55"/>
        <v>0</v>
      </c>
      <c r="I324" s="82">
        <f>J324-0</f>
        <v>0</v>
      </c>
      <c r="J324" s="82">
        <v>0</v>
      </c>
      <c r="K324" s="54">
        <f>(J324/$J$258)*100</f>
        <v>0</v>
      </c>
      <c r="L324" s="93">
        <f t="shared" si="62"/>
        <v>0</v>
      </c>
      <c r="M324" s="84">
        <f>F324-J324</f>
        <v>0</v>
      </c>
    </row>
    <row r="325" spans="1:13" ht="14.25">
      <c r="A325" s="73" t="s">
        <v>149</v>
      </c>
      <c r="B325" s="74" t="s">
        <v>150</v>
      </c>
      <c r="C325" s="81">
        <f>C326</f>
        <v>21455221</v>
      </c>
      <c r="D325" s="81">
        <f>D326</f>
        <v>32483735.76</v>
      </c>
      <c r="E325" s="81">
        <f>E326</f>
        <v>2934208.75</v>
      </c>
      <c r="F325" s="81">
        <f>F326</f>
        <v>13227657.09</v>
      </c>
      <c r="G325" s="69">
        <f t="shared" si="63"/>
        <v>0.020499867137341275</v>
      </c>
      <c r="H325" s="81">
        <f aca="true" t="shared" si="66" ref="H325:H331">D325-F325</f>
        <v>19256078.67</v>
      </c>
      <c r="I325" s="81">
        <f>I326</f>
        <v>3060817.049999999</v>
      </c>
      <c r="J325" s="81">
        <f>J326</f>
        <v>13205540.01</v>
      </c>
      <c r="K325" s="49">
        <f t="shared" si="64"/>
        <v>0.02064933161991563</v>
      </c>
      <c r="L325" s="92">
        <f t="shared" si="62"/>
        <v>19278195.75</v>
      </c>
      <c r="M325" s="84">
        <f>M326</f>
        <v>22117.080000000075</v>
      </c>
    </row>
    <row r="326" spans="1:13" ht="15">
      <c r="A326" s="66" t="s">
        <v>28</v>
      </c>
      <c r="B326" s="60" t="s">
        <v>33</v>
      </c>
      <c r="C326" s="82">
        <v>21455221</v>
      </c>
      <c r="D326" s="82">
        <v>32483735.76</v>
      </c>
      <c r="E326" s="82">
        <f>F326-10293448.34</f>
        <v>2934208.75</v>
      </c>
      <c r="F326" s="82">
        <v>13227657.09</v>
      </c>
      <c r="G326" s="62">
        <f t="shared" si="63"/>
        <v>0.020499867137341275</v>
      </c>
      <c r="H326" s="82">
        <f t="shared" si="66"/>
        <v>19256078.67</v>
      </c>
      <c r="I326" s="82">
        <f>J326-10144722.96</f>
        <v>3060817.049999999</v>
      </c>
      <c r="J326" s="82">
        <v>13205540.01</v>
      </c>
      <c r="K326" s="54">
        <f t="shared" si="64"/>
        <v>0.02064933161991563</v>
      </c>
      <c r="L326" s="93">
        <f t="shared" si="62"/>
        <v>19278195.75</v>
      </c>
      <c r="M326" s="85">
        <f>F326-J326</f>
        <v>22117.080000000075</v>
      </c>
    </row>
    <row r="327" spans="1:13" ht="14.25">
      <c r="A327" s="73" t="s">
        <v>158</v>
      </c>
      <c r="B327" s="74" t="s">
        <v>159</v>
      </c>
      <c r="C327" s="81">
        <f>SUM(C328:C330)</f>
        <v>9292339</v>
      </c>
      <c r="D327" s="81">
        <f>SUM(D328:D330)</f>
        <v>9232242.32</v>
      </c>
      <c r="E327" s="81">
        <f>SUM(E328:E330)</f>
        <v>1700619.209999999</v>
      </c>
      <c r="F327" s="81">
        <f>SUM(F328:F330)</f>
        <v>8681828.62</v>
      </c>
      <c r="G327" s="69">
        <f t="shared" si="63"/>
        <v>0.013454864456209373</v>
      </c>
      <c r="H327" s="81">
        <f t="shared" si="66"/>
        <v>550413.7000000011</v>
      </c>
      <c r="I327" s="81">
        <f>SUM(I328:I329)</f>
        <v>1892593.249999999</v>
      </c>
      <c r="J327" s="81">
        <f>SUM(J328:J329)</f>
        <v>8681828.62</v>
      </c>
      <c r="K327" s="49">
        <f t="shared" si="64"/>
        <v>0.013575662798030056</v>
      </c>
      <c r="L327" s="92">
        <f t="shared" si="62"/>
        <v>550413.7000000011</v>
      </c>
      <c r="M327" s="84">
        <f>SUM(M328:M330)</f>
        <v>0</v>
      </c>
    </row>
    <row r="328" spans="1:13" ht="15">
      <c r="A328" s="66" t="s">
        <v>28</v>
      </c>
      <c r="B328" s="60" t="s">
        <v>33</v>
      </c>
      <c r="C328" s="82">
        <v>8944339</v>
      </c>
      <c r="D328" s="82">
        <v>8884242.32</v>
      </c>
      <c r="E328" s="82">
        <f>F328-6981209.41</f>
        <v>1700619.209999999</v>
      </c>
      <c r="F328" s="82">
        <v>8681828.62</v>
      </c>
      <c r="G328" s="69">
        <f t="shared" si="63"/>
        <v>0.013454864456209373</v>
      </c>
      <c r="H328" s="82">
        <f t="shared" si="66"/>
        <v>202413.70000000112</v>
      </c>
      <c r="I328" s="82">
        <f>J328-6789235.37</f>
        <v>1892593.249999999</v>
      </c>
      <c r="J328" s="82">
        <v>8681828.62</v>
      </c>
      <c r="K328" s="54">
        <f t="shared" si="64"/>
        <v>0.013575662798030056</v>
      </c>
      <c r="L328" s="93">
        <f t="shared" si="62"/>
        <v>202413.70000000112</v>
      </c>
      <c r="M328" s="84">
        <f>F328-J328</f>
        <v>0</v>
      </c>
    </row>
    <row r="329" spans="1:13" ht="15">
      <c r="A329" s="66" t="s">
        <v>96</v>
      </c>
      <c r="B329" s="60" t="s">
        <v>102</v>
      </c>
      <c r="C329" s="82">
        <v>0</v>
      </c>
      <c r="D329" s="82">
        <v>0</v>
      </c>
      <c r="E329" s="82">
        <f>F329-0</f>
        <v>0</v>
      </c>
      <c r="F329" s="82">
        <v>0</v>
      </c>
      <c r="G329" s="69">
        <f t="shared" si="63"/>
        <v>0</v>
      </c>
      <c r="H329" s="82">
        <f t="shared" si="66"/>
        <v>0</v>
      </c>
      <c r="I329" s="82">
        <f>J329-0</f>
        <v>0</v>
      </c>
      <c r="J329" s="82">
        <v>0</v>
      </c>
      <c r="K329" s="54">
        <f t="shared" si="64"/>
        <v>0</v>
      </c>
      <c r="L329" s="93">
        <f t="shared" si="62"/>
        <v>0</v>
      </c>
      <c r="M329" s="84">
        <f>F329-J329</f>
        <v>0</v>
      </c>
    </row>
    <row r="330" spans="1:13" ht="15">
      <c r="A330" s="66" t="s">
        <v>97</v>
      </c>
      <c r="B330" s="60" t="s">
        <v>237</v>
      </c>
      <c r="C330" s="82">
        <v>348000</v>
      </c>
      <c r="D330" s="82">
        <v>348000</v>
      </c>
      <c r="E330" s="82">
        <f>F330-0</f>
        <v>0</v>
      </c>
      <c r="F330" s="82">
        <v>0</v>
      </c>
      <c r="G330" s="69">
        <f t="shared" si="63"/>
        <v>0</v>
      </c>
      <c r="H330" s="82">
        <f t="shared" si="66"/>
        <v>348000</v>
      </c>
      <c r="I330" s="82">
        <f>J330-0</f>
        <v>0</v>
      </c>
      <c r="J330" s="82">
        <v>0</v>
      </c>
      <c r="K330" s="54">
        <f t="shared" si="64"/>
        <v>0</v>
      </c>
      <c r="L330" s="93">
        <f t="shared" si="62"/>
        <v>348000</v>
      </c>
      <c r="M330" s="84">
        <f>F330-J330</f>
        <v>0</v>
      </c>
    </row>
    <row r="331" spans="1:13" ht="14.25">
      <c r="A331" s="73" t="s">
        <v>162</v>
      </c>
      <c r="B331" s="74" t="s">
        <v>163</v>
      </c>
      <c r="C331" s="81">
        <f>SUM(C332:C334)</f>
        <v>5490710</v>
      </c>
      <c r="D331" s="81">
        <f>SUM(D332:D334)</f>
        <v>5751834.58</v>
      </c>
      <c r="E331" s="81">
        <f>SUM(E332:E334)</f>
        <v>1223435.9199999997</v>
      </c>
      <c r="F331" s="81">
        <f>SUM(F332:F334)</f>
        <v>5338526.59</v>
      </c>
      <c r="G331" s="69">
        <f t="shared" si="63"/>
        <v>0.008273504904122334</v>
      </c>
      <c r="H331" s="81">
        <f t="shared" si="66"/>
        <v>413307.9900000002</v>
      </c>
      <c r="I331" s="81">
        <f>SUM(I332:I334)</f>
        <v>1242063.0899999994</v>
      </c>
      <c r="J331" s="81">
        <f>SUM(J332:J334)</f>
        <v>5338526.59</v>
      </c>
      <c r="K331" s="49">
        <f t="shared" si="64"/>
        <v>0.008347784780869961</v>
      </c>
      <c r="L331" s="92">
        <f t="shared" si="62"/>
        <v>413307.9900000002</v>
      </c>
      <c r="M331" s="84">
        <f>SUM(M332:M334)</f>
        <v>0</v>
      </c>
    </row>
    <row r="332" spans="1:13" ht="15">
      <c r="A332" s="59" t="s">
        <v>28</v>
      </c>
      <c r="B332" s="51" t="s">
        <v>33</v>
      </c>
      <c r="C332" s="82">
        <v>5479210</v>
      </c>
      <c r="D332" s="82">
        <v>5668334.58</v>
      </c>
      <c r="E332" s="82">
        <f>F332-4062202.44</f>
        <v>1207177.7399999998</v>
      </c>
      <c r="F332" s="82">
        <v>5269380.18</v>
      </c>
      <c r="G332" s="62">
        <f t="shared" si="63"/>
        <v>0.008166343657925852</v>
      </c>
      <c r="H332" s="82">
        <f>D332-F332</f>
        <v>398954.4000000004</v>
      </c>
      <c r="I332" s="82">
        <f>J332-4049451.74</f>
        <v>1219928.4399999995</v>
      </c>
      <c r="J332" s="82">
        <v>5269380.18</v>
      </c>
      <c r="K332" s="54">
        <f t="shared" si="64"/>
        <v>0.008239661436475455</v>
      </c>
      <c r="L332" s="93">
        <f t="shared" si="62"/>
        <v>398954.4000000004</v>
      </c>
      <c r="M332" s="84">
        <f>F332-J332</f>
        <v>0</v>
      </c>
    </row>
    <row r="333" spans="1:13" ht="15">
      <c r="A333" s="59" t="s">
        <v>172</v>
      </c>
      <c r="B333" s="51" t="s">
        <v>173</v>
      </c>
      <c r="C333" s="82">
        <v>11500</v>
      </c>
      <c r="D333" s="82">
        <v>11500</v>
      </c>
      <c r="E333" s="82">
        <f>F333-0</f>
        <v>0</v>
      </c>
      <c r="F333" s="82">
        <v>0</v>
      </c>
      <c r="G333" s="62">
        <f t="shared" si="63"/>
        <v>0</v>
      </c>
      <c r="H333" s="82">
        <f>D333-F333</f>
        <v>11500</v>
      </c>
      <c r="I333" s="82">
        <f>J333-0</f>
        <v>0</v>
      </c>
      <c r="J333" s="82">
        <v>0</v>
      </c>
      <c r="K333" s="54">
        <f t="shared" si="64"/>
        <v>0</v>
      </c>
      <c r="L333" s="93">
        <f t="shared" si="62"/>
        <v>11500</v>
      </c>
      <c r="M333" s="84">
        <f>F333-J333</f>
        <v>0</v>
      </c>
    </row>
    <row r="334" spans="1:13" ht="15">
      <c r="A334" s="59" t="s">
        <v>275</v>
      </c>
      <c r="B334" s="51" t="s">
        <v>277</v>
      </c>
      <c r="C334" s="82">
        <v>0</v>
      </c>
      <c r="D334" s="82">
        <v>72000</v>
      </c>
      <c r="E334" s="82">
        <f>F334-52888.23</f>
        <v>16258.18</v>
      </c>
      <c r="F334" s="82">
        <v>69146.41</v>
      </c>
      <c r="G334" s="62">
        <f t="shared" si="63"/>
        <v>0.00010716124619648164</v>
      </c>
      <c r="H334" s="82">
        <f>D334-F334</f>
        <v>2853.5899999999965</v>
      </c>
      <c r="I334" s="82">
        <f>J334-47011.76</f>
        <v>22134.65</v>
      </c>
      <c r="J334" s="82">
        <v>69146.41</v>
      </c>
      <c r="K334" s="54">
        <f t="shared" si="64"/>
        <v>0.00010812334439450541</v>
      </c>
      <c r="L334" s="93">
        <f t="shared" si="62"/>
        <v>2853.5899999999965</v>
      </c>
      <c r="M334" s="84">
        <f>F334-J334</f>
        <v>0</v>
      </c>
    </row>
    <row r="335" spans="1:13" ht="14.25">
      <c r="A335" s="73" t="s">
        <v>175</v>
      </c>
      <c r="B335" s="74" t="s">
        <v>174</v>
      </c>
      <c r="C335" s="81">
        <f>C336</f>
        <v>1571343</v>
      </c>
      <c r="D335" s="81">
        <f>D336</f>
        <v>1487264.56</v>
      </c>
      <c r="E335" s="81">
        <f>E336</f>
        <v>327698.1200000001</v>
      </c>
      <c r="F335" s="81">
        <f>F336</f>
        <v>1473187.84</v>
      </c>
      <c r="G335" s="69">
        <f t="shared" si="63"/>
        <v>0.0022831068860393916</v>
      </c>
      <c r="H335" s="81">
        <f aca="true" t="shared" si="67" ref="H335:H343">D335-F335</f>
        <v>14076.719999999972</v>
      </c>
      <c r="I335" s="81">
        <f>I336</f>
        <v>344285.52</v>
      </c>
      <c r="J335" s="81">
        <f>J336</f>
        <v>1473187.84</v>
      </c>
      <c r="K335" s="49">
        <f t="shared" si="64"/>
        <v>0.0023036047161684534</v>
      </c>
      <c r="L335" s="92">
        <f t="shared" si="62"/>
        <v>14076.719999999972</v>
      </c>
      <c r="M335" s="84">
        <f>M336</f>
        <v>0</v>
      </c>
    </row>
    <row r="336" spans="1:13" ht="15">
      <c r="A336" s="66" t="s">
        <v>28</v>
      </c>
      <c r="B336" s="60" t="s">
        <v>33</v>
      </c>
      <c r="C336" s="82">
        <v>1571343</v>
      </c>
      <c r="D336" s="82">
        <v>1487264.56</v>
      </c>
      <c r="E336" s="82">
        <f>F336-1145489.72</f>
        <v>327698.1200000001</v>
      </c>
      <c r="F336" s="82">
        <v>1473187.84</v>
      </c>
      <c r="G336" s="62">
        <f t="shared" si="63"/>
        <v>0.0022831068860393916</v>
      </c>
      <c r="H336" s="82">
        <f t="shared" si="67"/>
        <v>14076.719999999972</v>
      </c>
      <c r="I336" s="82">
        <f>J336-1128902.32</f>
        <v>344285.52</v>
      </c>
      <c r="J336" s="82">
        <v>1473187.84</v>
      </c>
      <c r="K336" s="54">
        <f t="shared" si="64"/>
        <v>0.0023036047161684534</v>
      </c>
      <c r="L336" s="93">
        <f t="shared" si="62"/>
        <v>14076.719999999972</v>
      </c>
      <c r="M336" s="84">
        <f>F336-J336</f>
        <v>0</v>
      </c>
    </row>
    <row r="337" spans="1:13" ht="14.25">
      <c r="A337" s="73" t="s">
        <v>178</v>
      </c>
      <c r="B337" s="74" t="s">
        <v>179</v>
      </c>
      <c r="C337" s="81">
        <f>C338</f>
        <v>3528508</v>
      </c>
      <c r="D337" s="81">
        <f>D338</f>
        <v>3486697.63</v>
      </c>
      <c r="E337" s="81">
        <f>E338</f>
        <v>937586.9000000004</v>
      </c>
      <c r="F337" s="81">
        <f>F338</f>
        <v>3223133.43</v>
      </c>
      <c r="G337" s="69">
        <f t="shared" si="63"/>
        <v>0.004995125488312993</v>
      </c>
      <c r="H337" s="81">
        <f t="shared" si="67"/>
        <v>263564.1999999997</v>
      </c>
      <c r="I337" s="81">
        <f>I338</f>
        <v>908115.9000000004</v>
      </c>
      <c r="J337" s="81">
        <f>J338</f>
        <v>3190859.91</v>
      </c>
      <c r="K337" s="49">
        <f t="shared" si="64"/>
        <v>0.004989506251496651</v>
      </c>
      <c r="L337" s="92">
        <f t="shared" si="62"/>
        <v>295837.71999999974</v>
      </c>
      <c r="M337" s="84">
        <f>M338</f>
        <v>32273.52000000002</v>
      </c>
    </row>
    <row r="338" spans="1:13" ht="15">
      <c r="A338" s="66" t="s">
        <v>28</v>
      </c>
      <c r="B338" s="60" t="s">
        <v>33</v>
      </c>
      <c r="C338" s="82">
        <v>3528508</v>
      </c>
      <c r="D338" s="82">
        <v>3486697.63</v>
      </c>
      <c r="E338" s="82">
        <f>F338-2285546.53</f>
        <v>937586.9000000004</v>
      </c>
      <c r="F338" s="82">
        <v>3223133.43</v>
      </c>
      <c r="G338" s="62">
        <f t="shared" si="63"/>
        <v>0.004995125488312993</v>
      </c>
      <c r="H338" s="82">
        <f t="shared" si="67"/>
        <v>263564.1999999997</v>
      </c>
      <c r="I338" s="82">
        <f>J338-2282744.01</f>
        <v>908115.9000000004</v>
      </c>
      <c r="J338" s="82">
        <v>3190859.91</v>
      </c>
      <c r="K338" s="54">
        <f t="shared" si="64"/>
        <v>0.004989506251496651</v>
      </c>
      <c r="L338" s="93">
        <f aca="true" t="shared" si="68" ref="L338:L343">D338-J338</f>
        <v>295837.71999999974</v>
      </c>
      <c r="M338" s="85">
        <f>F338-J338</f>
        <v>32273.52000000002</v>
      </c>
    </row>
    <row r="339" spans="1:13" ht="14.25">
      <c r="A339" s="73" t="s">
        <v>189</v>
      </c>
      <c r="B339" s="74" t="s">
        <v>190</v>
      </c>
      <c r="C339" s="81">
        <f>C340</f>
        <v>4322694</v>
      </c>
      <c r="D339" s="81">
        <f>D340</f>
        <v>5108436.24</v>
      </c>
      <c r="E339" s="81">
        <f>E340</f>
        <v>863912.9900000002</v>
      </c>
      <c r="F339" s="81">
        <f>F340</f>
        <v>4662279.08</v>
      </c>
      <c r="G339" s="69">
        <f t="shared" si="63"/>
        <v>0.007225474704016969</v>
      </c>
      <c r="H339" s="81">
        <f t="shared" si="67"/>
        <v>446157.16000000015</v>
      </c>
      <c r="I339" s="81">
        <f>I340</f>
        <v>1410628.58</v>
      </c>
      <c r="J339" s="81">
        <f>J340</f>
        <v>4374441.82</v>
      </c>
      <c r="K339" s="49">
        <f t="shared" si="64"/>
        <v>0.006840257931504861</v>
      </c>
      <c r="L339" s="92">
        <f t="shared" si="68"/>
        <v>733994.4199999999</v>
      </c>
      <c r="M339" s="84">
        <f>M340</f>
        <v>287837.2599999998</v>
      </c>
    </row>
    <row r="340" spans="1:13" ht="15">
      <c r="A340" s="66" t="s">
        <v>28</v>
      </c>
      <c r="B340" s="60" t="s">
        <v>33</v>
      </c>
      <c r="C340" s="82">
        <v>4322694</v>
      </c>
      <c r="D340" s="82">
        <v>5108436.24</v>
      </c>
      <c r="E340" s="82">
        <f>F340-3798366.09</f>
        <v>863912.9900000002</v>
      </c>
      <c r="F340" s="82">
        <v>4662279.08</v>
      </c>
      <c r="G340" s="62">
        <f t="shared" si="63"/>
        <v>0.007225474704016969</v>
      </c>
      <c r="H340" s="82">
        <f t="shared" si="67"/>
        <v>446157.16000000015</v>
      </c>
      <c r="I340" s="82">
        <f>J340-2963813.24</f>
        <v>1410628.58</v>
      </c>
      <c r="J340" s="82">
        <v>4374441.82</v>
      </c>
      <c r="K340" s="54">
        <f t="shared" si="64"/>
        <v>0.006840257931504861</v>
      </c>
      <c r="L340" s="93">
        <f>D340-J340</f>
        <v>733994.4199999999</v>
      </c>
      <c r="M340" s="85">
        <f>F340-J340</f>
        <v>287837.2599999998</v>
      </c>
    </row>
    <row r="341" spans="1:13" ht="14.25">
      <c r="A341" s="73" t="s">
        <v>195</v>
      </c>
      <c r="B341" s="74" t="s">
        <v>196</v>
      </c>
      <c r="C341" s="81">
        <f>SUM(C342:C342)</f>
        <v>12681725</v>
      </c>
      <c r="D341" s="81">
        <f>SUM(D342:D342)</f>
        <v>13265778.01</v>
      </c>
      <c r="E341" s="81">
        <f>SUM(E342:E342)</f>
        <v>2405817.2300000004</v>
      </c>
      <c r="F341" s="81">
        <f>SUM(F342:F342)</f>
        <v>12129992.02</v>
      </c>
      <c r="G341" s="69">
        <f t="shared" si="63"/>
        <v>0.018798735338777208</v>
      </c>
      <c r="H341" s="81">
        <f t="shared" si="67"/>
        <v>1135785.9900000002</v>
      </c>
      <c r="I341" s="81">
        <f>SUM(I342:I342)</f>
        <v>2839575.16</v>
      </c>
      <c r="J341" s="81">
        <f>SUM(J342:J342)</f>
        <v>12129039.5</v>
      </c>
      <c r="K341" s="49">
        <f t="shared" si="64"/>
        <v>0.018966021736096777</v>
      </c>
      <c r="L341" s="92">
        <f t="shared" si="68"/>
        <v>1136738.5099999998</v>
      </c>
      <c r="M341" s="84">
        <f>M342</f>
        <v>952.519999999553</v>
      </c>
    </row>
    <row r="342" spans="1:13" ht="15">
      <c r="A342" s="66" t="s">
        <v>28</v>
      </c>
      <c r="B342" s="60" t="s">
        <v>33</v>
      </c>
      <c r="C342" s="82">
        <v>12681725</v>
      </c>
      <c r="D342" s="82">
        <v>13265778.01</v>
      </c>
      <c r="E342" s="82">
        <f>F342-9724174.79</f>
        <v>2405817.2300000004</v>
      </c>
      <c r="F342" s="82">
        <v>12129992.02</v>
      </c>
      <c r="G342" s="69">
        <f t="shared" si="63"/>
        <v>0.018798735338777208</v>
      </c>
      <c r="H342" s="82">
        <f t="shared" si="67"/>
        <v>1135785.9900000002</v>
      </c>
      <c r="I342" s="82">
        <f>J342-9289464.34</f>
        <v>2839575.16</v>
      </c>
      <c r="J342" s="82">
        <v>12129039.5</v>
      </c>
      <c r="K342" s="54">
        <f t="shared" si="64"/>
        <v>0.018966021736096777</v>
      </c>
      <c r="L342" s="93">
        <f t="shared" si="68"/>
        <v>1136738.5099999998</v>
      </c>
      <c r="M342" s="85">
        <f>F342-J342</f>
        <v>952.519999999553</v>
      </c>
    </row>
    <row r="343" spans="1:13" ht="14.25">
      <c r="A343" s="73" t="s">
        <v>203</v>
      </c>
      <c r="B343" s="74" t="s">
        <v>204</v>
      </c>
      <c r="C343" s="81">
        <f>SUM(C344:C344)</f>
        <v>1004403</v>
      </c>
      <c r="D343" s="81">
        <f>SUM(D344:D344)</f>
        <v>1005113.2</v>
      </c>
      <c r="E343" s="81">
        <f>SUM(E344:E344)</f>
        <v>216540.71999999997</v>
      </c>
      <c r="F343" s="81">
        <f>SUM(F344:F344)</f>
        <v>1005113.2</v>
      </c>
      <c r="G343" s="69">
        <f t="shared" si="63"/>
        <v>0.0015576974000607335</v>
      </c>
      <c r="H343" s="81">
        <f t="shared" si="67"/>
        <v>0</v>
      </c>
      <c r="I343" s="81">
        <f>SUM(I344:I344)</f>
        <v>216540.71999999997</v>
      </c>
      <c r="J343" s="81">
        <f>SUM(J344:J344)</f>
        <v>1005113.2</v>
      </c>
      <c r="K343" s="49">
        <f t="shared" si="64"/>
        <v>0.0015716824731618515</v>
      </c>
      <c r="L343" s="92">
        <f t="shared" si="68"/>
        <v>0</v>
      </c>
      <c r="M343" s="84">
        <f>SUM(M344:M345)</f>
        <v>0</v>
      </c>
    </row>
    <row r="344" spans="1:13" ht="15">
      <c r="A344" s="66" t="s">
        <v>28</v>
      </c>
      <c r="B344" s="60" t="s">
        <v>33</v>
      </c>
      <c r="C344" s="82">
        <v>1004403</v>
      </c>
      <c r="D344" s="82">
        <v>1005113.2</v>
      </c>
      <c r="E344" s="82">
        <f>F344-788572.48</f>
        <v>216540.71999999997</v>
      </c>
      <c r="F344" s="82">
        <v>1005113.2</v>
      </c>
      <c r="G344" s="62">
        <f t="shared" si="63"/>
        <v>0.0015576974000607335</v>
      </c>
      <c r="H344" s="82">
        <f>D344-F344</f>
        <v>0</v>
      </c>
      <c r="I344" s="82">
        <f>J344-788572.48</f>
        <v>216540.71999999997</v>
      </c>
      <c r="J344" s="82">
        <v>1005113.2</v>
      </c>
      <c r="K344" s="54">
        <f t="shared" si="64"/>
        <v>0.0015716824731618515</v>
      </c>
      <c r="L344" s="93">
        <f>D344-J344</f>
        <v>0</v>
      </c>
      <c r="M344" s="84">
        <f>F344-J344</f>
        <v>0</v>
      </c>
    </row>
    <row r="345" spans="1:13" ht="15">
      <c r="A345" s="66" t="s">
        <v>207</v>
      </c>
      <c r="B345" s="60" t="s">
        <v>208</v>
      </c>
      <c r="C345" s="82">
        <v>0</v>
      </c>
      <c r="D345" s="82">
        <v>0</v>
      </c>
      <c r="E345" s="82">
        <f>F345-0</f>
        <v>0</v>
      </c>
      <c r="F345" s="82">
        <v>0</v>
      </c>
      <c r="G345" s="62">
        <f t="shared" si="63"/>
        <v>0</v>
      </c>
      <c r="H345" s="82">
        <f>D345-F345</f>
        <v>0</v>
      </c>
      <c r="I345" s="82">
        <f>J345-0</f>
        <v>0</v>
      </c>
      <c r="J345" s="82">
        <v>0</v>
      </c>
      <c r="K345" s="54">
        <f t="shared" si="64"/>
        <v>0</v>
      </c>
      <c r="L345" s="93">
        <f>D345-J345</f>
        <v>0</v>
      </c>
      <c r="M345" s="84">
        <f>F345-J345</f>
        <v>0</v>
      </c>
    </row>
    <row r="346" spans="1:13" ht="14.25">
      <c r="A346" s="73" t="s">
        <v>211</v>
      </c>
      <c r="B346" s="74" t="s">
        <v>212</v>
      </c>
      <c r="C346" s="81">
        <f>C347</f>
        <v>851526000</v>
      </c>
      <c r="D346" s="81">
        <f>D347</f>
        <v>1489292079.25</v>
      </c>
      <c r="E346" s="81">
        <f>E347</f>
        <v>240988242.01</v>
      </c>
      <c r="F346" s="81">
        <f>F347</f>
        <v>1137661423.75</v>
      </c>
      <c r="G346" s="69">
        <f t="shared" si="63"/>
        <v>1.763117071713681</v>
      </c>
      <c r="H346" s="81">
        <f>D346-F346</f>
        <v>351630655.5</v>
      </c>
      <c r="I346" s="81">
        <f>I347</f>
        <v>240988242.01</v>
      </c>
      <c r="J346" s="81">
        <f>J347</f>
        <v>1137661423.75</v>
      </c>
      <c r="K346" s="49">
        <f t="shared" si="64"/>
        <v>1.7789464113099234</v>
      </c>
      <c r="L346" s="92">
        <f>D346-J346</f>
        <v>351630655.5</v>
      </c>
      <c r="M346" s="84">
        <f>M347</f>
        <v>0</v>
      </c>
    </row>
    <row r="347" spans="1:13" ht="15">
      <c r="A347" s="66" t="s">
        <v>39</v>
      </c>
      <c r="B347" s="60" t="s">
        <v>41</v>
      </c>
      <c r="C347" s="82">
        <v>851526000</v>
      </c>
      <c r="D347" s="82">
        <v>1489292079.25</v>
      </c>
      <c r="E347" s="82">
        <f>F347-896673181.74</f>
        <v>240988242.01</v>
      </c>
      <c r="F347" s="82">
        <v>1137661423.75</v>
      </c>
      <c r="G347" s="62">
        <f>(F347/$F$258)*100</f>
        <v>1.763117071713681</v>
      </c>
      <c r="H347" s="82">
        <f>D347-F347</f>
        <v>351630655.5</v>
      </c>
      <c r="I347" s="82">
        <f>J347-896673181.74</f>
        <v>240988242.01</v>
      </c>
      <c r="J347" s="82">
        <v>1137661423.75</v>
      </c>
      <c r="K347" s="54">
        <f>(J347/$J$258)*100</f>
        <v>1.7789464113099234</v>
      </c>
      <c r="L347" s="93">
        <f>D347-J347</f>
        <v>351630655.5</v>
      </c>
      <c r="M347" s="84">
        <f>F347-J347</f>
        <v>0</v>
      </c>
    </row>
    <row r="348" spans="1:13" ht="14.25">
      <c r="A348" s="75" t="s">
        <v>221</v>
      </c>
      <c r="B348" s="76" t="s">
        <v>222</v>
      </c>
      <c r="C348" s="94">
        <v>0</v>
      </c>
      <c r="D348" s="94">
        <v>0</v>
      </c>
      <c r="E348" s="94">
        <f>F348-0</f>
        <v>0</v>
      </c>
      <c r="F348" s="94">
        <v>0</v>
      </c>
      <c r="G348" s="77">
        <f>(F348/$F$258)*100</f>
        <v>0</v>
      </c>
      <c r="H348" s="94">
        <f>D348-F348</f>
        <v>0</v>
      </c>
      <c r="I348" s="94">
        <f>J348-0</f>
        <v>0</v>
      </c>
      <c r="J348" s="94">
        <v>0</v>
      </c>
      <c r="K348" s="77">
        <f>(J348/$J$258)*100</f>
        <v>0</v>
      </c>
      <c r="L348" s="95">
        <f>D348-J348</f>
        <v>0</v>
      </c>
      <c r="M348" s="95">
        <f>F348-J348</f>
        <v>0</v>
      </c>
    </row>
    <row r="349" spans="1:13" ht="15.75">
      <c r="A349" s="42" t="s">
        <v>262</v>
      </c>
      <c r="B349" s="24"/>
      <c r="C349" s="24"/>
      <c r="D349" s="24"/>
      <c r="E349" s="24"/>
      <c r="F349" s="43"/>
      <c r="G349" s="36"/>
      <c r="H349" s="24"/>
      <c r="I349" s="24"/>
      <c r="J349" s="24"/>
      <c r="K349" s="24"/>
      <c r="L349" s="78"/>
      <c r="M349" s="104" t="s">
        <v>227</v>
      </c>
    </row>
    <row r="350" spans="1:13" ht="15.75">
      <c r="A350" s="42" t="s">
        <v>263</v>
      </c>
      <c r="B350" s="24"/>
      <c r="C350" s="24"/>
      <c r="D350" s="24"/>
      <c r="E350" s="24"/>
      <c r="F350" s="24"/>
      <c r="G350" s="24"/>
      <c r="H350" s="24"/>
      <c r="I350" s="44"/>
      <c r="J350" s="24"/>
      <c r="K350" s="24"/>
      <c r="L350" s="24"/>
      <c r="M350" s="105"/>
    </row>
    <row r="351" spans="1:13" ht="15.75">
      <c r="A351" s="42" t="s">
        <v>280</v>
      </c>
      <c r="B351" s="24"/>
      <c r="C351" s="24"/>
      <c r="D351" s="24"/>
      <c r="E351" s="24"/>
      <c r="F351" s="24"/>
      <c r="G351" s="24"/>
      <c r="H351" s="24"/>
      <c r="I351" s="24"/>
      <c r="J351" s="44"/>
      <c r="K351" s="24"/>
      <c r="L351" s="24"/>
      <c r="M351" s="105"/>
    </row>
    <row r="352" spans="1:13" ht="15.75">
      <c r="A352" s="42"/>
      <c r="B352" s="24"/>
      <c r="C352" s="24"/>
      <c r="D352" s="24"/>
      <c r="E352" s="24"/>
      <c r="F352" s="24"/>
      <c r="G352" s="24"/>
      <c r="H352" s="24"/>
      <c r="I352" s="24"/>
      <c r="J352" s="24"/>
      <c r="K352" s="24"/>
      <c r="L352" s="24"/>
      <c r="M352" s="105"/>
    </row>
    <row r="353" spans="1:13" ht="15.75">
      <c r="A353" s="42"/>
      <c r="B353" s="24"/>
      <c r="C353" s="24"/>
      <c r="D353" s="24"/>
      <c r="E353" s="24"/>
      <c r="F353" s="24"/>
      <c r="G353" s="24"/>
      <c r="H353" s="24"/>
      <c r="I353" s="24"/>
      <c r="J353" s="24"/>
      <c r="K353" s="24"/>
      <c r="L353" s="24"/>
      <c r="M353" s="105"/>
    </row>
    <row r="354" spans="1:13" ht="15.75">
      <c r="A354" s="42"/>
      <c r="B354" s="24"/>
      <c r="C354" s="24"/>
      <c r="D354" s="24"/>
      <c r="E354" s="24"/>
      <c r="F354" s="24"/>
      <c r="G354" s="24"/>
      <c r="H354" s="24"/>
      <c r="I354" s="24"/>
      <c r="J354" s="24"/>
      <c r="K354" s="24"/>
      <c r="L354" s="24"/>
      <c r="M354" s="105"/>
    </row>
    <row r="355" spans="1:13" ht="15.75">
      <c r="A355" s="42"/>
      <c r="B355" s="24"/>
      <c r="C355" s="24"/>
      <c r="D355" s="24"/>
      <c r="E355" s="24"/>
      <c r="F355" s="24"/>
      <c r="G355" s="24"/>
      <c r="H355" s="24"/>
      <c r="I355" s="24"/>
      <c r="J355" s="24"/>
      <c r="K355" s="24"/>
      <c r="L355" s="24"/>
      <c r="M355" s="105"/>
    </row>
    <row r="356" spans="1:13" ht="15.75">
      <c r="A356" s="42"/>
      <c r="B356" s="24"/>
      <c r="C356" s="24"/>
      <c r="D356" s="24"/>
      <c r="E356" s="24"/>
      <c r="F356" s="24"/>
      <c r="G356" s="24"/>
      <c r="H356" s="24"/>
      <c r="I356" s="24"/>
      <c r="J356" s="24"/>
      <c r="K356" s="24"/>
      <c r="L356" s="24"/>
      <c r="M356" s="105"/>
    </row>
    <row r="357" spans="1:13" ht="15.75">
      <c r="A357" s="42"/>
      <c r="B357" s="24"/>
      <c r="C357" s="24"/>
      <c r="D357" s="24"/>
      <c r="E357" s="24"/>
      <c r="F357" s="24"/>
      <c r="G357" s="24"/>
      <c r="H357" s="24"/>
      <c r="I357" s="24"/>
      <c r="J357" s="24"/>
      <c r="K357" s="24"/>
      <c r="L357" s="24"/>
      <c r="M357" s="105"/>
    </row>
    <row r="358" spans="1:13" ht="15.75">
      <c r="A358" s="42"/>
      <c r="B358" s="24"/>
      <c r="C358" s="24"/>
      <c r="D358" s="24"/>
      <c r="E358" s="24"/>
      <c r="F358" s="24"/>
      <c r="G358" s="24"/>
      <c r="H358" s="24"/>
      <c r="I358" s="24"/>
      <c r="J358" s="24"/>
      <c r="K358" s="24"/>
      <c r="L358" s="24"/>
      <c r="M358" s="105"/>
    </row>
    <row r="359" spans="1:13" ht="15.75">
      <c r="A359" s="22"/>
      <c r="B359" s="24"/>
      <c r="C359" s="24"/>
      <c r="D359" s="24"/>
      <c r="E359" s="44"/>
      <c r="F359" s="24"/>
      <c r="G359" s="24"/>
      <c r="H359" s="24"/>
      <c r="I359" s="44"/>
      <c r="J359" s="24"/>
      <c r="K359" s="24"/>
      <c r="L359" s="24"/>
      <c r="M359" s="105"/>
    </row>
    <row r="360" spans="1:13" ht="12.75">
      <c r="A360" s="37"/>
      <c r="B360" s="34"/>
      <c r="C360" s="34"/>
      <c r="D360" s="34"/>
      <c r="E360" s="34"/>
      <c r="F360" s="34"/>
      <c r="G360" s="34"/>
      <c r="H360" s="34"/>
      <c r="I360" s="34"/>
      <c r="J360" s="34"/>
      <c r="K360" s="34"/>
      <c r="L360" s="34"/>
      <c r="M360" s="105"/>
    </row>
    <row r="361" spans="1:13" ht="12.75">
      <c r="A361" s="37"/>
      <c r="B361" s="34"/>
      <c r="C361" s="34"/>
      <c r="D361" s="34"/>
      <c r="E361" s="34"/>
      <c r="F361" s="34"/>
      <c r="G361" s="34"/>
      <c r="H361" s="34"/>
      <c r="I361" s="34"/>
      <c r="J361" s="34"/>
      <c r="K361" s="34"/>
      <c r="L361" s="34"/>
      <c r="M361" s="105"/>
    </row>
    <row r="362" spans="1:13" ht="15.75">
      <c r="A362" s="108" t="s">
        <v>255</v>
      </c>
      <c r="B362" s="108"/>
      <c r="C362" s="107" t="s">
        <v>257</v>
      </c>
      <c r="D362" s="107"/>
      <c r="E362" s="107"/>
      <c r="F362" s="107"/>
      <c r="G362" s="107"/>
      <c r="H362" s="107"/>
      <c r="I362" s="107" t="s">
        <v>261</v>
      </c>
      <c r="J362" s="107"/>
      <c r="K362" s="107"/>
      <c r="L362" s="107"/>
      <c r="M362" s="105"/>
    </row>
    <row r="363" spans="1:13" ht="15.75">
      <c r="A363" s="108" t="s">
        <v>256</v>
      </c>
      <c r="B363" s="108"/>
      <c r="C363" s="107" t="s">
        <v>258</v>
      </c>
      <c r="D363" s="107"/>
      <c r="E363" s="107"/>
      <c r="F363" s="107"/>
      <c r="G363" s="107"/>
      <c r="H363" s="107"/>
      <c r="I363" s="107" t="s">
        <v>260</v>
      </c>
      <c r="J363" s="107"/>
      <c r="K363" s="107"/>
      <c r="L363" s="107"/>
      <c r="M363" s="105"/>
    </row>
    <row r="364" spans="1:13" ht="15.75">
      <c r="A364" s="108" t="s">
        <v>248</v>
      </c>
      <c r="B364" s="108"/>
      <c r="C364" s="107" t="s">
        <v>249</v>
      </c>
      <c r="D364" s="107"/>
      <c r="E364" s="107"/>
      <c r="F364" s="107"/>
      <c r="G364" s="107"/>
      <c r="H364" s="107"/>
      <c r="I364" s="107" t="s">
        <v>259</v>
      </c>
      <c r="J364" s="107"/>
      <c r="K364" s="107"/>
      <c r="L364" s="107"/>
      <c r="M364" s="105"/>
    </row>
    <row r="365" spans="1:13" ht="12.75">
      <c r="A365" s="37"/>
      <c r="B365" s="34"/>
      <c r="C365" s="34"/>
      <c r="D365" s="34"/>
      <c r="E365" s="34"/>
      <c r="F365" s="34"/>
      <c r="G365" s="34"/>
      <c r="H365" s="34"/>
      <c r="I365" s="34"/>
      <c r="J365" s="34"/>
      <c r="K365" s="34"/>
      <c r="L365" s="34"/>
      <c r="M365" s="105"/>
    </row>
    <row r="366" spans="1:13" ht="12.75">
      <c r="A366" s="37"/>
      <c r="B366" s="34"/>
      <c r="C366" s="34"/>
      <c r="D366" s="34"/>
      <c r="E366" s="34"/>
      <c r="F366" s="34"/>
      <c r="G366" s="34"/>
      <c r="H366" s="34"/>
      <c r="I366" s="34"/>
      <c r="J366" s="34"/>
      <c r="K366" s="34"/>
      <c r="L366" s="34"/>
      <c r="M366" s="105"/>
    </row>
    <row r="367" spans="1:13" ht="12.75">
      <c r="A367" s="34"/>
      <c r="B367" s="34"/>
      <c r="C367" s="34"/>
      <c r="D367" s="34"/>
      <c r="E367" s="34"/>
      <c r="F367" s="34"/>
      <c r="G367" s="34"/>
      <c r="H367" s="34"/>
      <c r="I367" s="34"/>
      <c r="J367" s="34"/>
      <c r="K367" s="34"/>
      <c r="L367" s="34"/>
      <c r="M367" s="105"/>
    </row>
    <row r="368" spans="1:13" ht="12.75">
      <c r="A368" s="34"/>
      <c r="B368" s="34"/>
      <c r="C368" s="34"/>
      <c r="D368" s="34"/>
      <c r="E368" s="34"/>
      <c r="F368" s="34"/>
      <c r="G368" s="34"/>
      <c r="H368" s="34"/>
      <c r="I368" s="34"/>
      <c r="J368" s="34"/>
      <c r="K368" s="34"/>
      <c r="L368" s="34"/>
      <c r="M368" s="105"/>
    </row>
    <row r="369" spans="1:13" ht="12.75">
      <c r="A369" s="34"/>
      <c r="B369" s="34"/>
      <c r="C369" s="34"/>
      <c r="D369" s="34"/>
      <c r="E369" s="34"/>
      <c r="F369" s="34"/>
      <c r="G369" s="34"/>
      <c r="H369" s="34"/>
      <c r="I369" s="34"/>
      <c r="J369" s="34"/>
      <c r="K369" s="34"/>
      <c r="L369" s="34"/>
      <c r="M369" s="105"/>
    </row>
    <row r="370" spans="1:13" ht="15">
      <c r="A370" s="41"/>
      <c r="B370" s="33"/>
      <c r="C370" s="33"/>
      <c r="D370" s="33"/>
      <c r="E370" s="33"/>
      <c r="F370" s="33"/>
      <c r="G370" s="33"/>
      <c r="H370" s="33"/>
      <c r="I370" s="33"/>
      <c r="J370" s="33"/>
      <c r="K370" s="33"/>
      <c r="L370" s="33"/>
      <c r="M370" s="105"/>
    </row>
    <row r="371" spans="1:13" ht="12.75">
      <c r="A371" s="37"/>
      <c r="B371" s="34"/>
      <c r="C371" s="34"/>
      <c r="D371" s="34"/>
      <c r="E371" s="34"/>
      <c r="F371" s="34"/>
      <c r="G371" s="34"/>
      <c r="H371" s="34"/>
      <c r="I371" s="34"/>
      <c r="J371" s="34"/>
      <c r="K371" s="34"/>
      <c r="L371" s="34"/>
      <c r="M371" s="105"/>
    </row>
    <row r="372" spans="1:13" ht="12.75">
      <c r="A372" s="37"/>
      <c r="B372" s="34"/>
      <c r="C372" s="34"/>
      <c r="D372" s="34"/>
      <c r="E372" s="34"/>
      <c r="F372" s="34"/>
      <c r="G372" s="34"/>
      <c r="H372" s="34"/>
      <c r="I372" s="34"/>
      <c r="J372" s="34"/>
      <c r="K372" s="34"/>
      <c r="L372" s="34"/>
      <c r="M372" s="105"/>
    </row>
    <row r="373" spans="1:13" ht="12.75">
      <c r="A373" s="37"/>
      <c r="B373" s="34"/>
      <c r="C373" s="34"/>
      <c r="D373" s="34"/>
      <c r="E373" s="34"/>
      <c r="F373" s="34"/>
      <c r="G373" s="34"/>
      <c r="H373" s="34"/>
      <c r="I373" s="34"/>
      <c r="J373" s="34"/>
      <c r="K373" s="34"/>
      <c r="L373" s="34"/>
      <c r="M373" s="105"/>
    </row>
    <row r="374" spans="1:13" ht="12.75">
      <c r="A374" s="37"/>
      <c r="B374" s="34"/>
      <c r="C374" s="34"/>
      <c r="D374" s="34"/>
      <c r="E374" s="34"/>
      <c r="F374" s="34"/>
      <c r="G374" s="34"/>
      <c r="H374" s="34"/>
      <c r="I374" s="34"/>
      <c r="J374" s="34"/>
      <c r="K374" s="34"/>
      <c r="L374" s="34"/>
      <c r="M374" s="105"/>
    </row>
    <row r="375" spans="1:13" ht="12.75">
      <c r="A375" s="37"/>
      <c r="B375" s="34"/>
      <c r="C375" s="34"/>
      <c r="D375" s="34"/>
      <c r="E375" s="34"/>
      <c r="F375" s="34"/>
      <c r="G375" s="34"/>
      <c r="H375" s="34"/>
      <c r="I375" s="34"/>
      <c r="J375" s="34"/>
      <c r="K375" s="34"/>
      <c r="L375" s="34"/>
      <c r="M375" s="105"/>
    </row>
    <row r="376" spans="1:13" ht="12.75">
      <c r="A376" s="37"/>
      <c r="B376" s="34"/>
      <c r="C376" s="34"/>
      <c r="D376" s="34"/>
      <c r="E376" s="34"/>
      <c r="F376" s="34"/>
      <c r="G376" s="34"/>
      <c r="H376" s="34"/>
      <c r="I376" s="34"/>
      <c r="J376" s="34"/>
      <c r="K376" s="34"/>
      <c r="L376" s="34"/>
      <c r="M376" s="105"/>
    </row>
    <row r="377" spans="1:13" ht="12.75">
      <c r="A377" s="37"/>
      <c r="B377" s="34"/>
      <c r="C377" s="34"/>
      <c r="D377" s="34"/>
      <c r="E377" s="34"/>
      <c r="F377" s="34"/>
      <c r="G377" s="34"/>
      <c r="H377" s="34"/>
      <c r="I377" s="34"/>
      <c r="J377" s="34"/>
      <c r="K377" s="34"/>
      <c r="L377" s="34"/>
      <c r="M377" s="105"/>
    </row>
    <row r="378" spans="1:13" ht="12.75">
      <c r="A378" s="37"/>
      <c r="B378" s="34"/>
      <c r="C378" s="34"/>
      <c r="D378" s="34"/>
      <c r="E378" s="34"/>
      <c r="F378" s="34"/>
      <c r="G378" s="34"/>
      <c r="H378" s="34"/>
      <c r="I378" s="34"/>
      <c r="J378" s="34"/>
      <c r="K378" s="34"/>
      <c r="L378" s="34"/>
      <c r="M378" s="105"/>
    </row>
    <row r="379" spans="1:13" ht="12.75">
      <c r="A379" s="37"/>
      <c r="B379" s="34"/>
      <c r="C379" s="34"/>
      <c r="D379" s="34"/>
      <c r="E379" s="34"/>
      <c r="F379" s="34"/>
      <c r="G379" s="34"/>
      <c r="H379" s="34"/>
      <c r="I379" s="34"/>
      <c r="J379" s="34"/>
      <c r="K379" s="34"/>
      <c r="L379" s="34"/>
      <c r="M379" s="105"/>
    </row>
    <row r="380" spans="1:13" ht="12.75">
      <c r="A380" s="37"/>
      <c r="B380" s="34"/>
      <c r="C380" s="34"/>
      <c r="D380" s="34"/>
      <c r="E380" s="34"/>
      <c r="F380" s="34"/>
      <c r="G380" s="34"/>
      <c r="H380" s="34"/>
      <c r="I380" s="34"/>
      <c r="J380" s="34"/>
      <c r="K380" s="34"/>
      <c r="L380" s="34"/>
      <c r="M380" s="105"/>
    </row>
    <row r="381" spans="1:13" ht="12.75">
      <c r="A381" s="37"/>
      <c r="B381" s="34"/>
      <c r="C381" s="34"/>
      <c r="D381" s="34"/>
      <c r="E381" s="34"/>
      <c r="F381" s="34"/>
      <c r="G381" s="34"/>
      <c r="H381" s="34"/>
      <c r="I381" s="34"/>
      <c r="J381" s="34"/>
      <c r="K381" s="34"/>
      <c r="L381" s="34"/>
      <c r="M381" s="105"/>
    </row>
    <row r="382" spans="1:13" ht="12.75">
      <c r="A382" s="37"/>
      <c r="B382" s="34"/>
      <c r="C382" s="34"/>
      <c r="D382" s="34"/>
      <c r="E382" s="34"/>
      <c r="F382" s="34"/>
      <c r="G382" s="34"/>
      <c r="H382" s="34"/>
      <c r="I382" s="34"/>
      <c r="J382" s="34"/>
      <c r="K382" s="34"/>
      <c r="L382" s="34"/>
      <c r="M382" s="105"/>
    </row>
    <row r="383" spans="1:13" ht="12.75">
      <c r="A383" s="37"/>
      <c r="B383" s="34"/>
      <c r="C383" s="34"/>
      <c r="D383" s="34"/>
      <c r="E383" s="34"/>
      <c r="F383" s="34"/>
      <c r="G383" s="34"/>
      <c r="H383" s="34"/>
      <c r="I383" s="34"/>
      <c r="J383" s="34"/>
      <c r="K383" s="34"/>
      <c r="L383" s="34"/>
      <c r="M383" s="105"/>
    </row>
    <row r="384" spans="1:13" ht="12.75">
      <c r="A384" s="37"/>
      <c r="B384" s="34"/>
      <c r="C384" s="34"/>
      <c r="D384" s="34"/>
      <c r="E384" s="34"/>
      <c r="F384" s="34"/>
      <c r="G384" s="34"/>
      <c r="H384" s="34"/>
      <c r="I384" s="34"/>
      <c r="J384" s="34"/>
      <c r="K384" s="34"/>
      <c r="L384" s="34"/>
      <c r="M384" s="105"/>
    </row>
    <row r="385" spans="1:13" ht="12.75">
      <c r="A385" s="37"/>
      <c r="B385" s="34"/>
      <c r="C385" s="34"/>
      <c r="D385" s="34"/>
      <c r="E385" s="34"/>
      <c r="F385" s="34"/>
      <c r="G385" s="34"/>
      <c r="H385" s="34"/>
      <c r="I385" s="34"/>
      <c r="J385" s="34"/>
      <c r="K385" s="34"/>
      <c r="L385" s="34"/>
      <c r="M385" s="105"/>
    </row>
    <row r="386" spans="1:13" ht="12.75">
      <c r="A386" s="37"/>
      <c r="B386" s="34"/>
      <c r="C386" s="34"/>
      <c r="D386" s="34"/>
      <c r="E386" s="34"/>
      <c r="F386" s="34"/>
      <c r="G386" s="34"/>
      <c r="H386" s="34"/>
      <c r="I386" s="34"/>
      <c r="J386" s="34"/>
      <c r="K386" s="34"/>
      <c r="L386" s="34"/>
      <c r="M386" s="105"/>
    </row>
    <row r="387" spans="1:13" ht="12.75">
      <c r="A387" s="37"/>
      <c r="B387" s="34"/>
      <c r="C387" s="34"/>
      <c r="D387" s="34"/>
      <c r="E387" s="34"/>
      <c r="F387" s="34"/>
      <c r="G387" s="34"/>
      <c r="H387" s="34"/>
      <c r="I387" s="34"/>
      <c r="J387" s="34"/>
      <c r="K387" s="34"/>
      <c r="L387" s="34"/>
      <c r="M387" s="105"/>
    </row>
    <row r="388" spans="1:13" ht="12.75">
      <c r="A388" s="37"/>
      <c r="B388" s="34"/>
      <c r="C388" s="34"/>
      <c r="D388" s="34"/>
      <c r="E388" s="34"/>
      <c r="F388" s="34"/>
      <c r="G388" s="34"/>
      <c r="H388" s="34"/>
      <c r="I388" s="34"/>
      <c r="J388" s="34"/>
      <c r="K388" s="34"/>
      <c r="L388" s="34"/>
      <c r="M388" s="105"/>
    </row>
    <row r="389" spans="1:13" ht="12.75">
      <c r="A389" s="37"/>
      <c r="B389" s="34"/>
      <c r="C389" s="34"/>
      <c r="D389" s="34"/>
      <c r="E389" s="34"/>
      <c r="F389" s="34"/>
      <c r="G389" s="34"/>
      <c r="H389" s="34"/>
      <c r="I389" s="34"/>
      <c r="J389" s="34"/>
      <c r="K389" s="34"/>
      <c r="L389" s="34"/>
      <c r="M389" s="105"/>
    </row>
    <row r="390" spans="1:13" ht="12.75">
      <c r="A390" s="37"/>
      <c r="B390" s="34"/>
      <c r="C390" s="34"/>
      <c r="D390" s="34"/>
      <c r="E390" s="34"/>
      <c r="F390" s="34"/>
      <c r="G390" s="34"/>
      <c r="H390" s="34"/>
      <c r="I390" s="34"/>
      <c r="J390" s="34"/>
      <c r="K390" s="34"/>
      <c r="L390" s="34"/>
      <c r="M390" s="105"/>
    </row>
    <row r="391" spans="1:13" ht="12.75">
      <c r="A391" s="37"/>
      <c r="B391" s="34"/>
      <c r="C391" s="34"/>
      <c r="D391" s="34"/>
      <c r="E391" s="34"/>
      <c r="F391" s="34"/>
      <c r="G391" s="34"/>
      <c r="H391" s="34"/>
      <c r="I391" s="34"/>
      <c r="J391" s="34"/>
      <c r="K391" s="34"/>
      <c r="L391" s="34"/>
      <c r="M391" s="105"/>
    </row>
    <row r="392" spans="1:13" ht="12.75">
      <c r="A392" s="37"/>
      <c r="B392" s="34"/>
      <c r="C392" s="34"/>
      <c r="D392" s="34"/>
      <c r="E392" s="34"/>
      <c r="F392" s="34"/>
      <c r="G392" s="34"/>
      <c r="H392" s="34"/>
      <c r="I392" s="34"/>
      <c r="J392" s="34"/>
      <c r="K392" s="34"/>
      <c r="L392" s="34"/>
      <c r="M392" s="105"/>
    </row>
    <row r="393" spans="1:13" ht="12.75">
      <c r="A393" s="37"/>
      <c r="B393" s="34"/>
      <c r="C393" s="34"/>
      <c r="D393" s="34"/>
      <c r="E393" s="34"/>
      <c r="F393" s="34"/>
      <c r="G393" s="34"/>
      <c r="H393" s="34"/>
      <c r="I393" s="34"/>
      <c r="J393" s="34"/>
      <c r="K393" s="34"/>
      <c r="L393" s="34"/>
      <c r="M393" s="105"/>
    </row>
    <row r="394" spans="1:13" ht="12.75">
      <c r="A394" s="37"/>
      <c r="B394" s="34"/>
      <c r="C394" s="34"/>
      <c r="D394" s="34"/>
      <c r="E394" s="34"/>
      <c r="F394" s="34"/>
      <c r="G394" s="34"/>
      <c r="H394" s="34"/>
      <c r="I394" s="34"/>
      <c r="J394" s="34"/>
      <c r="K394" s="34"/>
      <c r="L394" s="34"/>
      <c r="M394" s="105"/>
    </row>
    <row r="395" spans="1:13" ht="12.75">
      <c r="A395" s="37"/>
      <c r="B395" s="34"/>
      <c r="C395" s="34"/>
      <c r="D395" s="34"/>
      <c r="E395" s="34"/>
      <c r="F395" s="34"/>
      <c r="G395" s="34"/>
      <c r="H395" s="34"/>
      <c r="I395" s="34"/>
      <c r="J395" s="34"/>
      <c r="K395" s="34"/>
      <c r="L395" s="34"/>
      <c r="M395" s="105"/>
    </row>
    <row r="396" spans="1:13" ht="12.75">
      <c r="A396" s="37"/>
      <c r="B396" s="34"/>
      <c r="C396" s="34"/>
      <c r="D396" s="34"/>
      <c r="E396" s="34"/>
      <c r="F396" s="34"/>
      <c r="G396" s="34"/>
      <c r="H396" s="34"/>
      <c r="I396" s="34"/>
      <c r="J396" s="34"/>
      <c r="K396" s="34"/>
      <c r="L396" s="34"/>
      <c r="M396" s="105"/>
    </row>
    <row r="397" spans="1:13" ht="12.75">
      <c r="A397" s="37"/>
      <c r="B397" s="34"/>
      <c r="C397" s="34"/>
      <c r="D397" s="34"/>
      <c r="E397" s="34"/>
      <c r="F397" s="34"/>
      <c r="G397" s="34"/>
      <c r="H397" s="34"/>
      <c r="I397" s="34"/>
      <c r="J397" s="34"/>
      <c r="K397" s="34"/>
      <c r="L397" s="34"/>
      <c r="M397" s="105"/>
    </row>
    <row r="398" spans="1:13" ht="12.75">
      <c r="A398" s="37"/>
      <c r="B398" s="34"/>
      <c r="C398" s="34"/>
      <c r="D398" s="34"/>
      <c r="E398" s="34"/>
      <c r="F398" s="34"/>
      <c r="G398" s="34"/>
      <c r="H398" s="34"/>
      <c r="I398" s="34"/>
      <c r="J398" s="34"/>
      <c r="K398" s="34"/>
      <c r="L398" s="34"/>
      <c r="M398" s="105"/>
    </row>
    <row r="399" spans="1:13" ht="12.75">
      <c r="A399" s="37"/>
      <c r="B399" s="34"/>
      <c r="C399" s="34"/>
      <c r="D399" s="34"/>
      <c r="E399" s="34"/>
      <c r="F399" s="34"/>
      <c r="G399" s="34"/>
      <c r="H399" s="34"/>
      <c r="I399" s="34"/>
      <c r="J399" s="34"/>
      <c r="K399" s="34"/>
      <c r="L399" s="34"/>
      <c r="M399" s="105"/>
    </row>
    <row r="400" spans="1:13" ht="12.75">
      <c r="A400" s="37"/>
      <c r="B400" s="34"/>
      <c r="C400" s="34"/>
      <c r="D400" s="34"/>
      <c r="E400" s="34"/>
      <c r="F400" s="34"/>
      <c r="G400" s="34"/>
      <c r="H400" s="34"/>
      <c r="I400" s="34"/>
      <c r="J400" s="34"/>
      <c r="K400" s="34"/>
      <c r="L400" s="34"/>
      <c r="M400" s="105"/>
    </row>
    <row r="401" spans="1:13" ht="12.75">
      <c r="A401" s="37"/>
      <c r="B401" s="34"/>
      <c r="C401" s="34"/>
      <c r="D401" s="34"/>
      <c r="E401" s="34"/>
      <c r="F401" s="34"/>
      <c r="G401" s="34"/>
      <c r="H401" s="34"/>
      <c r="I401" s="34"/>
      <c r="J401" s="34"/>
      <c r="K401" s="34"/>
      <c r="L401" s="34"/>
      <c r="M401" s="105"/>
    </row>
    <row r="402" spans="1:13" ht="12.75">
      <c r="A402" s="37"/>
      <c r="B402" s="34"/>
      <c r="C402" s="34"/>
      <c r="D402" s="34"/>
      <c r="E402" s="34"/>
      <c r="F402" s="34"/>
      <c r="G402" s="34"/>
      <c r="H402" s="34"/>
      <c r="I402" s="34"/>
      <c r="J402" s="34"/>
      <c r="K402" s="34"/>
      <c r="L402" s="34"/>
      <c r="M402" s="105"/>
    </row>
    <row r="403" spans="1:13" ht="12.75">
      <c r="A403" s="37"/>
      <c r="B403" s="34"/>
      <c r="C403" s="34"/>
      <c r="D403" s="34"/>
      <c r="E403" s="34"/>
      <c r="F403" s="34"/>
      <c r="G403" s="34"/>
      <c r="H403" s="34"/>
      <c r="I403" s="34"/>
      <c r="J403" s="34"/>
      <c r="K403" s="34"/>
      <c r="L403" s="34"/>
      <c r="M403" s="105"/>
    </row>
    <row r="404" spans="1:13" ht="12.75">
      <c r="A404" s="37"/>
      <c r="B404" s="34"/>
      <c r="C404" s="34"/>
      <c r="D404" s="34"/>
      <c r="E404" s="34"/>
      <c r="F404" s="34"/>
      <c r="G404" s="34"/>
      <c r="H404" s="34"/>
      <c r="I404" s="34"/>
      <c r="J404" s="34"/>
      <c r="K404" s="34"/>
      <c r="L404" s="34"/>
      <c r="M404" s="105"/>
    </row>
    <row r="405" spans="1:13" ht="12.75">
      <c r="A405" s="37"/>
      <c r="B405" s="34"/>
      <c r="C405" s="34"/>
      <c r="D405" s="34"/>
      <c r="E405" s="34"/>
      <c r="F405" s="34"/>
      <c r="G405" s="34"/>
      <c r="H405" s="34"/>
      <c r="I405" s="34"/>
      <c r="J405" s="34"/>
      <c r="K405" s="34"/>
      <c r="L405" s="34"/>
      <c r="M405" s="105"/>
    </row>
    <row r="406" spans="1:13" ht="12.75">
      <c r="A406" s="37"/>
      <c r="B406" s="34"/>
      <c r="C406" s="34"/>
      <c r="D406" s="34"/>
      <c r="E406" s="34"/>
      <c r="F406" s="34"/>
      <c r="G406" s="34"/>
      <c r="H406" s="34"/>
      <c r="I406" s="34"/>
      <c r="J406" s="34"/>
      <c r="K406" s="34"/>
      <c r="L406" s="34"/>
      <c r="M406" s="105"/>
    </row>
    <row r="407" spans="1:13" ht="12.75">
      <c r="A407" s="37"/>
      <c r="B407" s="34"/>
      <c r="C407" s="34"/>
      <c r="D407" s="34"/>
      <c r="E407" s="34"/>
      <c r="F407" s="34"/>
      <c r="G407" s="34"/>
      <c r="H407" s="34"/>
      <c r="I407" s="34"/>
      <c r="J407" s="34"/>
      <c r="K407" s="34"/>
      <c r="L407" s="34"/>
      <c r="M407" s="105"/>
    </row>
    <row r="408" spans="1:13" ht="12.75">
      <c r="A408" s="37"/>
      <c r="B408" s="34"/>
      <c r="C408" s="34"/>
      <c r="D408" s="34"/>
      <c r="E408" s="34"/>
      <c r="F408" s="34"/>
      <c r="G408" s="34"/>
      <c r="H408" s="34"/>
      <c r="I408" s="34"/>
      <c r="J408" s="34"/>
      <c r="K408" s="34"/>
      <c r="L408" s="34"/>
      <c r="M408" s="105"/>
    </row>
    <row r="409" spans="1:13" ht="12.75">
      <c r="A409" s="37"/>
      <c r="B409" s="34"/>
      <c r="C409" s="34"/>
      <c r="D409" s="34"/>
      <c r="E409" s="34"/>
      <c r="F409" s="34"/>
      <c r="G409" s="34"/>
      <c r="H409" s="34"/>
      <c r="I409" s="34"/>
      <c r="J409" s="34"/>
      <c r="K409" s="34"/>
      <c r="L409" s="34"/>
      <c r="M409" s="105"/>
    </row>
    <row r="410" spans="1:13" ht="12.75">
      <c r="A410" s="37"/>
      <c r="B410" s="34"/>
      <c r="C410" s="34"/>
      <c r="D410" s="34"/>
      <c r="E410" s="34"/>
      <c r="F410" s="34"/>
      <c r="G410" s="34"/>
      <c r="H410" s="34"/>
      <c r="I410" s="34"/>
      <c r="J410" s="34"/>
      <c r="K410" s="34"/>
      <c r="L410" s="34"/>
      <c r="M410" s="105"/>
    </row>
    <row r="411" spans="1:13" ht="12.75">
      <c r="A411" s="37"/>
      <c r="B411" s="34"/>
      <c r="C411" s="34"/>
      <c r="D411" s="34"/>
      <c r="E411" s="34"/>
      <c r="F411" s="34"/>
      <c r="G411" s="34"/>
      <c r="H411" s="34"/>
      <c r="I411" s="34"/>
      <c r="J411" s="34"/>
      <c r="K411" s="34"/>
      <c r="L411" s="34"/>
      <c r="M411" s="105"/>
    </row>
    <row r="412" spans="1:13" ht="12.75">
      <c r="A412" s="37"/>
      <c r="B412" s="34"/>
      <c r="C412" s="34"/>
      <c r="D412" s="34"/>
      <c r="E412" s="34"/>
      <c r="F412" s="34"/>
      <c r="G412" s="34"/>
      <c r="H412" s="34"/>
      <c r="I412" s="34"/>
      <c r="J412" s="34"/>
      <c r="K412" s="34"/>
      <c r="L412" s="34"/>
      <c r="M412" s="105"/>
    </row>
  </sheetData>
  <sheetProtection/>
  <mergeCells count="34">
    <mergeCell ref="A268:M268"/>
    <mergeCell ref="A135:M135"/>
    <mergeCell ref="A136:M136"/>
    <mergeCell ref="A264:M264"/>
    <mergeCell ref="A265:M265"/>
    <mergeCell ref="A266:M266"/>
    <mergeCell ref="A267:M267"/>
    <mergeCell ref="A134:M134"/>
    <mergeCell ref="A4:M4"/>
    <mergeCell ref="A5:M5"/>
    <mergeCell ref="A6:M6"/>
    <mergeCell ref="A7:M7"/>
    <mergeCell ref="A8:M8"/>
    <mergeCell ref="A132:M132"/>
    <mergeCell ref="I362:L362"/>
    <mergeCell ref="A363:B363"/>
    <mergeCell ref="M271:M273"/>
    <mergeCell ref="E11:G11"/>
    <mergeCell ref="I11:K11"/>
    <mergeCell ref="M11:M13"/>
    <mergeCell ref="M139:M141"/>
    <mergeCell ref="E139:G139"/>
    <mergeCell ref="I139:K139"/>
    <mergeCell ref="A133:M133"/>
    <mergeCell ref="C363:H363"/>
    <mergeCell ref="I363:L363"/>
    <mergeCell ref="A364:B364"/>
    <mergeCell ref="C364:H364"/>
    <mergeCell ref="I364:L364"/>
    <mergeCell ref="A258:B258"/>
    <mergeCell ref="E271:G271"/>
    <mergeCell ref="I271:K271"/>
    <mergeCell ref="A362:B362"/>
    <mergeCell ref="C362:H362"/>
  </mergeCells>
  <printOptions horizontalCentered="1" verticalCentered="1"/>
  <pageMargins left="0.2362204724409449" right="0.2362204724409449" top="0" bottom="0" header="0" footer="0"/>
  <pageSetup fitToHeight="0" fitToWidth="1" horizontalDpi="600" verticalDpi="600" orientation="portrait" paperSize="9" scale="35" r:id="rId2"/>
  <rowBreaks count="2" manualBreakCount="2">
    <brk id="127" max="255" man="1"/>
    <brk id="259" max="255" man="1"/>
  </rowBreaks>
  <ignoredErrors>
    <ignoredError sqref="F150 H150 J150" formulaRange="1"/>
    <ignoredError sqref="E154:F154 E25:F25 E279:F279 E258 F257 E254:F254 E28:F28 H26:H27 E34:F34 H29:H31 H33 E83:F83 H84 E88:F88 H87 H89:H91 E106:F106 E122:F122 H155 H165 E175:F175 E184:F184 E201:F201 E205:F205 H202 H206 E217:F217 H210:H212 H218 E232:F232 E243:F243 E248:F248 E291:F291 E296:F296 E300:F300 H297 H299 E302:F302 H301 E306:F306 H305 E308:F308 H307 E315:F315 F325 F335 H336 H338 H340 E343:F343 H342 E346:F346 H344 H279:H281 H292:H295 H331:H332 H346:H348 J279 J325 J346 I315:J315 H311:H315 H308:J308 H306:J306 H302:J302 H300:J300 H296:J296 H291:J291 H282 I278:I279 J184 H154:J154 H257:J258 H254:J254 H160:I160 H175:J175 H189:H190 H191:I191 H201:J201 H205:J205 H207:I207 H217:J217 H219:I219 H243:J243 H244:H247 H248:J248 H249:H253 H25:J25 H28:J28 H34:J34 H42:I42 H43:H46 H60:I60 H62:H65 H75:I76 H83:J83 H86:I86 H88:J88 H106:J106 H113:H121 H122:J122 L25:L31 L33:L39 L41:L60 L284:L289 L291:L297 L311:L322 L335:L344 L346:L348 H35:H39 H52:I52 H92:I92 H101:H104 H123:H126 H157:I157 H167:H173 H203:I203 H214:I214 H41 H67:H70 H99 H204 J232 H163:I164 H200:I200 H255:I256 H324:H326 H72:H74 H215:H216 H238:H242 H335:J335 H327:I327 I324:I325 H81:I81 H158:H159 H343:J343 I345:I346 L238:L258 H80 H192:H197 H209:I209 H208 L62:L65 L67:L70 H77:H78 L72:L78 L80:L81 L83:L84 L86:L97 H93:H97 L99:L104 E53 H53:H59 E100 H100:J100 L106:L111 H107:H111 L113:L126 L154:L155 L157:L160 E160 L162:L165 L167:L173 E164 L175:L177 H176:H177 L180:L185 H179:H185 L189:L197 L187 H187 L200:L223 H220:H223 L226:L230 H227:H230 E228 L232:L236 H232:H236 E287 L299:L303 H303 L325:L329 H328:H329 L331:L332 I331 E72 H50:H51 I72 E150 J319 J317 J321 F337 F339 F341 H341 H339 H337:I337 H47 H284:H285 I286:I287 L279:L282 E333 E329:E331 E322:E325 E327 H49 H48 E335 J341 J339 J337 I339 I341 H162 I232 I234 H286:H289 L305:L309 H309 E47 I49 I187 I183:I184 I180 I186 I188:I189 I224:I225 H226 E224:E225 F317 F319 F321 H321 H317 H319 H316 H322 H320 H318 E45 H213 E341 E339 E337 I45 I47 G224:H225 I190 I319 I317 I321 I323 E162 I125 E179 E191 E190 E192 M232 M279 E321 E319 E317 E316 E318 E320 M322" formula="1"/>
    <ignoredError sqref="A15:A20 A21:B21 A32:B32 A33:A78 A79:B79 A80:A104 A105:B105 A106:A111 A112:B112 A113:A126 A156:B156 A157:A165 A166:B166 A167:A173 A174:B174 A175:A185 A186:B186 A238:A257 A187:A223 A224:B224 A225:A230 A231:B231 A232:A236 A237:B237 A298:B298 N298:IV298 A310:A348 A142:A155 A22:A31 A275:A297 A299:A309" numberStoredAsText="1"/>
    <ignoredError sqref="G347 G348 G344 G346 G342 G343 G340 G341 G338 G339 G336 G337 G332 G335 G328 G331 G326 G327 G325 G313 G312 G314:G315 G309 G311 G307 G308 G305 G306 G303 G301 G302 G299 G297 G300 G295 G296 G293 G292 G294 G289 G288 G291 G285:G287 G280 G281 G282 G284 G279 G240 G172 G251 G250 G249 G252 G247 G246 G248 G244 G245 G239 G241:G243 G236 G233 G234:G235 G230 G229 G232 G222:G223 G227:G228 G220 G221 G218 G219 G212 G211 G210 G213:G217 G206 G207:G209 G202 G203:G205 G197 G200:G201 G190 G191:G192 G185 G189 G182 G183:G184 G179 G180:G181 G177 G176 G171 G170 G169 G168 G175 G165 G167 G162 G163:G164 G155 G157:G160 G253 G254:G256 G257 G258 G154 K252 K248 K245 K241:K243 K234:K235 K232 K227:K228 K221 K219 K213:K217 K207:K209 K203:K205 K200:K201 K191:K192 K175 K167 K163:K164 K157:K160 K254:K256 K154 K251 K250 K249 K247 K246 K244 K240 K238 K239 K236 K233 K229 K226 K223 K220 K218 K212 K211 K210 K206 K202 K189 K183:K184 K180:K181 K190 K185 K182 K179 K177 K176 K170 K169 K172 K171 K168 K165 K155 K230 K222 K197 K162 K258 G125 G124 G123 G126 G121 G122 G120 G118 G117 G116 G115 G114 G113 G111 G110 G109 G119 G107 G108 G103 G106 G101 G102 G97 G96 G95 G94 G99:G100 G91 G90 G89 G92:G93 G87 G88 G84 G86 G78 G83 G73 G74:G77 G70 G69 G68 G72 G64 G67 G62 G63 G59 G58 G60 G55 G54 G56:G57 G50 G51:G53 G47:G49 K126 K122 K119 K108 K106 K102 K99:K100 K92:K93 K88 K86 K83 K74:K77 K72 K67 K60 K56:K57 K51:K53 K47:K49 K45 K41:K42 K38 K34:K35 K28 K124 K123 K125 K121 K120 K117 K116 K115 K114 K113 K110 K109 K107 K118 K111 K101 K103 K97 K96 K95 K94 K91 K90 K89 K87 K84 K78 K73 K63 K69 K68 K64 K62 K59 K58 K55 K54 K50 K44 K43 K39 K37 K36 K33 K31 K30 K29 K70 K46 K348 K346 K343 K341 K339 K337 K335 K331 K327 K325 K321 K319 K317 K314:K315 K311 K308 K306 K302 K300 K296 K294 K291 K286:K287 K284 K279 K299 K293 K289 K347 K344 K342 K340 K338 K336 K332 K328 K326 K322 K320 K318 K316 K313 K312 K309 K307 K305 K303 K301 K297 K295 K292 K288 K285 K281 K280 G193:G196 K193:K196 K65 G65 K80:K81 G80:G81 K104 G104 K173 G173 K187 G187 K329 G329 K26 K27 K25 G25 G28 G26 G27 G34:G35 G29 G30 G31 G33 G38 G36 G37 G41:G42 G39 G45 G43 G44 G46 G226 G317 G316 G319 G318 G321 G320 G322 G150 K150 J160 J164 J327 I150" evalError="1" formula="1"/>
    <ignoredError sqref="G274:G278 G151:G153 K151:K153 K253 K257 K274:K278 K282 G290 G323:G324 G345 K345 K14:K20 G14:G20 K22:K23 K21 K24 G22:G23 G21 G40 G32 G24" evalError="1"/>
    <ignoredError sqref="G150 K150" evalError="1" formulaRange="1"/>
    <ignoredError sqref="J160 J164 J327 I150"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Yago Barros Barbosa</cp:lastModifiedBy>
  <cp:lastPrinted>2021-01-22T21:24:00Z</cp:lastPrinted>
  <dcterms:created xsi:type="dcterms:W3CDTF">2005-03-08T15:13:02Z</dcterms:created>
  <dcterms:modified xsi:type="dcterms:W3CDTF">2021-01-29T14:51:02Z</dcterms:modified>
  <cp:category/>
  <cp:version/>
  <cp:contentType/>
  <cp:contentStatus/>
</cp:coreProperties>
</file>