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5" windowWidth="7680" windowHeight="7590" activeTab="0"/>
  </bookViews>
  <sheets>
    <sheet name="Anexo II - 6º BIM" sheetId="1" r:id="rId1"/>
  </sheets>
  <definedNames>
    <definedName name="_xlnm.Print_Area" localSheetId="0">'Anexo II - 6º BIM'!$A$1:$M$387</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s>
  <calcPr fullCalcOnLoad="1"/>
</workbook>
</file>

<file path=xl/sharedStrings.xml><?xml version="1.0" encoding="utf-8"?>
<sst xmlns="http://schemas.openxmlformats.org/spreadsheetml/2006/main" count="649" uniqueCount="277">
  <si>
    <t>RELATÓRIO RESUMIDO DA EXECUÇÃO ORÇAMENTÁRIA</t>
  </si>
  <si>
    <t>DEMONSTRATIVO DA EXECUÇÃO DAS DESPESAS POR FUNÇÃO/SUBFUNÇÃO</t>
  </si>
  <si>
    <t>ORÇAMENTOS FISCAL E DA SEGURIDADE SOCIAL</t>
  </si>
  <si>
    <t>DOTAÇÃO</t>
  </si>
  <si>
    <t>DESPESAS EMPENHADAS</t>
  </si>
  <si>
    <t>DESPESAS LIQUIDADAS</t>
  </si>
  <si>
    <t>FUNÇÃO/SUBFUNÇÃO</t>
  </si>
  <si>
    <t>INICIAL</t>
  </si>
  <si>
    <t>ATUALIZADA</t>
  </si>
  <si>
    <t>No Bimestre</t>
  </si>
  <si>
    <t>Até o Bimestre</t>
  </si>
  <si>
    <t>%</t>
  </si>
  <si>
    <t>(a)</t>
  </si>
  <si>
    <t>(b)</t>
  </si>
  <si>
    <t>GOVERNO DO ESTADO DO RIO DE JANEIRO</t>
  </si>
  <si>
    <t>DESPESAS (EXCETO INTRA-ORÇAMENTÁRIAS) (I)</t>
  </si>
  <si>
    <t>DESPESAS (INTRA-ORÇAMENTÁRIAS) (II)</t>
  </si>
  <si>
    <t>(b/total b)</t>
  </si>
  <si>
    <t>SALDO</t>
  </si>
  <si>
    <t>(c) = (a - b)</t>
  </si>
  <si>
    <t>(d)</t>
  </si>
  <si>
    <t>(d/total d)</t>
  </si>
  <si>
    <t>(e) = (a - d)</t>
  </si>
  <si>
    <t>COD</t>
  </si>
  <si>
    <t>Legislativa</t>
  </si>
  <si>
    <t>01</t>
  </si>
  <si>
    <t>031</t>
  </si>
  <si>
    <t>032</t>
  </si>
  <si>
    <t>122</t>
  </si>
  <si>
    <t>128</t>
  </si>
  <si>
    <t>542</t>
  </si>
  <si>
    <t>Ação Legislativa</t>
  </si>
  <si>
    <t>Controle Externo</t>
  </si>
  <si>
    <t>Administração Geral</t>
  </si>
  <si>
    <t>Formação de Recursos Humanos</t>
  </si>
  <si>
    <t>Controle Ambiental</t>
  </si>
  <si>
    <t>02</t>
  </si>
  <si>
    <t>Judiciária</t>
  </si>
  <si>
    <t>061</t>
  </si>
  <si>
    <t>123</t>
  </si>
  <si>
    <t>Ação Judiciária</t>
  </si>
  <si>
    <t>Administração Financeira</t>
  </si>
  <si>
    <t>03</t>
  </si>
  <si>
    <t>Essencial à Justiça</t>
  </si>
  <si>
    <t>091</t>
  </si>
  <si>
    <t>Defesa da Ordem Jurídica</t>
  </si>
  <si>
    <t>04</t>
  </si>
  <si>
    <t>Administração</t>
  </si>
  <si>
    <t>121</t>
  </si>
  <si>
    <t>125</t>
  </si>
  <si>
    <t>126</t>
  </si>
  <si>
    <t>127</t>
  </si>
  <si>
    <t>241</t>
  </si>
  <si>
    <t>422</t>
  </si>
  <si>
    <t>694</t>
  </si>
  <si>
    <t>Planejamento e Orçamento</t>
  </si>
  <si>
    <t>Normatização e Fiscalização</t>
  </si>
  <si>
    <t>Tecnologia da Informação</t>
  </si>
  <si>
    <t>Ordenamento Territorial</t>
  </si>
  <si>
    <t>Assistência ao Idoso</t>
  </si>
  <si>
    <t>Direitos Individuais, Coletivos e Difusos</t>
  </si>
  <si>
    <t>Serviços Financeiros</t>
  </si>
  <si>
    <t>Segurança Pública</t>
  </si>
  <si>
    <t>06</t>
  </si>
  <si>
    <t>181</t>
  </si>
  <si>
    <t>182</t>
  </si>
  <si>
    <t>183</t>
  </si>
  <si>
    <t>302</t>
  </si>
  <si>
    <t>306</t>
  </si>
  <si>
    <t>421</t>
  </si>
  <si>
    <t>781</t>
  </si>
  <si>
    <t>782</t>
  </si>
  <si>
    <t>Policiamento</t>
  </si>
  <si>
    <t>Defesa Civil</t>
  </si>
  <si>
    <t>Informação e Inteligência</t>
  </si>
  <si>
    <t>Assistência Hospitalar e Ambulatorial</t>
  </si>
  <si>
    <t>Alimentação e Nutrição</t>
  </si>
  <si>
    <t>Custódia e Reintegração Social</t>
  </si>
  <si>
    <t>Transporte Aéreo</t>
  </si>
  <si>
    <t>Transporte Rodoviário</t>
  </si>
  <si>
    <t>Assistência Social</t>
  </si>
  <si>
    <t>08</t>
  </si>
  <si>
    <t>243</t>
  </si>
  <si>
    <t>244</t>
  </si>
  <si>
    <t>Assistência à Criança e ao Adolescente</t>
  </si>
  <si>
    <t>Assistência Comunitária</t>
  </si>
  <si>
    <t>Previdência Social</t>
  </si>
  <si>
    <t>09</t>
  </si>
  <si>
    <t>272</t>
  </si>
  <si>
    <t>Previdência do Regime Estatutário</t>
  </si>
  <si>
    <t>10</t>
  </si>
  <si>
    <t>Saúde</t>
  </si>
  <si>
    <t>301</t>
  </si>
  <si>
    <t>303</t>
  </si>
  <si>
    <t>304</t>
  </si>
  <si>
    <t>305</t>
  </si>
  <si>
    <t>571</t>
  </si>
  <si>
    <t>573</t>
  </si>
  <si>
    <t>Atenção Básica</t>
  </si>
  <si>
    <t>Suporte Profilático e Terapêutico</t>
  </si>
  <si>
    <t>Vigilância Sanitária</t>
  </si>
  <si>
    <t>Vigilância Epidemiológica</t>
  </si>
  <si>
    <t>Desenvolvimento Científico</t>
  </si>
  <si>
    <t>Trabalho</t>
  </si>
  <si>
    <t>11</t>
  </si>
  <si>
    <t>333</t>
  </si>
  <si>
    <t>334</t>
  </si>
  <si>
    <t>Empregabilidade</t>
  </si>
  <si>
    <t>Fomento ao Trabalho</t>
  </si>
  <si>
    <t>12</t>
  </si>
  <si>
    <t>Educação</t>
  </si>
  <si>
    <t>361</t>
  </si>
  <si>
    <t>362</t>
  </si>
  <si>
    <t>363</t>
  </si>
  <si>
    <t>364</t>
  </si>
  <si>
    <t>366</t>
  </si>
  <si>
    <t>367</t>
  </si>
  <si>
    <t>392</t>
  </si>
  <si>
    <t>Ensino Fundamental</t>
  </si>
  <si>
    <t>Ensino Médio</t>
  </si>
  <si>
    <t>Ensino Profissional</t>
  </si>
  <si>
    <t>Ensino Superior</t>
  </si>
  <si>
    <t>Educação de Jovens e Adultos</t>
  </si>
  <si>
    <t>Educação Especial</t>
  </si>
  <si>
    <t>Difusão Cultural</t>
  </si>
  <si>
    <t>13</t>
  </si>
  <si>
    <t>Cultura</t>
  </si>
  <si>
    <t>391</t>
  </si>
  <si>
    <t>Patrimônio Histór, Artístico e Arqueológico</t>
  </si>
  <si>
    <t>14</t>
  </si>
  <si>
    <t>Direitos da Cidadania</t>
  </si>
  <si>
    <t>242</t>
  </si>
  <si>
    <t>Assistência ao Portador de Deficiência</t>
  </si>
  <si>
    <t>15</t>
  </si>
  <si>
    <t>Urbanismo</t>
  </si>
  <si>
    <t>451</t>
  </si>
  <si>
    <t>Infraestrutura Urbana</t>
  </si>
  <si>
    <t>Habitação</t>
  </si>
  <si>
    <t>16</t>
  </si>
  <si>
    <t>482</t>
  </si>
  <si>
    <t>Habitação Urbana</t>
  </si>
  <si>
    <t>17</t>
  </si>
  <si>
    <t>Saneamento</t>
  </si>
  <si>
    <t>512</t>
  </si>
  <si>
    <t>Saneamento Básico Urbano</t>
  </si>
  <si>
    <t>543</t>
  </si>
  <si>
    <t>Recuperação de Áreas Degradadas</t>
  </si>
  <si>
    <t>544</t>
  </si>
  <si>
    <t>Recursos Hídricos</t>
  </si>
  <si>
    <t>18</t>
  </si>
  <si>
    <t>Gestão Ambiental</t>
  </si>
  <si>
    <t>453</t>
  </si>
  <si>
    <t>Transportes Coletivos Urbanos</t>
  </si>
  <si>
    <t>541</t>
  </si>
  <si>
    <t>Preservação e Conservação Ambiental</t>
  </si>
  <si>
    <t>601</t>
  </si>
  <si>
    <t>Promoção da Produção Vegetal</t>
  </si>
  <si>
    <t>Continuação</t>
  </si>
  <si>
    <t>19</t>
  </si>
  <si>
    <t>Ciência e Tecnologia</t>
  </si>
  <si>
    <t>572</t>
  </si>
  <si>
    <t>Desenvolvimento Tecnológico e Engenharia</t>
  </si>
  <si>
    <t>20</t>
  </si>
  <si>
    <t>Agricultura</t>
  </si>
  <si>
    <t>131</t>
  </si>
  <si>
    <t>Comunicação Social</t>
  </si>
  <si>
    <t>602</t>
  </si>
  <si>
    <t>Promoção da Produção Animal</t>
  </si>
  <si>
    <t>604</t>
  </si>
  <si>
    <t>Defesa Sanitária Animal</t>
  </si>
  <si>
    <t>605</t>
  </si>
  <si>
    <t>Abastecimento</t>
  </si>
  <si>
    <t>606</t>
  </si>
  <si>
    <t>Extensão Rural</t>
  </si>
  <si>
    <t>Organização Agrária</t>
  </si>
  <si>
    <t>21</t>
  </si>
  <si>
    <t>631</t>
  </si>
  <si>
    <t>Reforma Agrária</t>
  </si>
  <si>
    <t>22</t>
  </si>
  <si>
    <t>Indústria</t>
  </si>
  <si>
    <t>661</t>
  </si>
  <si>
    <t>Promoção Industrial</t>
  </si>
  <si>
    <t>663</t>
  </si>
  <si>
    <t>Mineração</t>
  </si>
  <si>
    <t>665</t>
  </si>
  <si>
    <t>695</t>
  </si>
  <si>
    <t>Turismo</t>
  </si>
  <si>
    <t>751</t>
  </si>
  <si>
    <t>Conservação de Energia</t>
  </si>
  <si>
    <t>23</t>
  </si>
  <si>
    <t>Comércio e Serviços</t>
  </si>
  <si>
    <t>691</t>
  </si>
  <si>
    <t>Promoção Comercial</t>
  </si>
  <si>
    <t>24</t>
  </si>
  <si>
    <t>Comunicações</t>
  </si>
  <si>
    <t>26</t>
  </si>
  <si>
    <t>Transporte</t>
  </si>
  <si>
    <t>783</t>
  </si>
  <si>
    <t>Transporte Ferroviário</t>
  </si>
  <si>
    <t>784</t>
  </si>
  <si>
    <t>Transporte Hidroviário</t>
  </si>
  <si>
    <t>785</t>
  </si>
  <si>
    <t>Transportes Especiais</t>
  </si>
  <si>
    <t>27</t>
  </si>
  <si>
    <t>Desporto e Lazer</t>
  </si>
  <si>
    <t>811</t>
  </si>
  <si>
    <t>Desporto de Rendimento</t>
  </si>
  <si>
    <t>812</t>
  </si>
  <si>
    <t>Desporto Comunitário</t>
  </si>
  <si>
    <t>813</t>
  </si>
  <si>
    <t>Lazer</t>
  </si>
  <si>
    <t>28</t>
  </si>
  <si>
    <t>Encargos Especiais</t>
  </si>
  <si>
    <t>841</t>
  </si>
  <si>
    <t>Refinanciamento da Dívida Interna</t>
  </si>
  <si>
    <t>843</t>
  </si>
  <si>
    <t>Serviço da Dívida Interna</t>
  </si>
  <si>
    <t>844</t>
  </si>
  <si>
    <t>Serviço da Dívida Externa</t>
  </si>
  <si>
    <t>846</t>
  </si>
  <si>
    <t>Outros Encargos Especiais</t>
  </si>
  <si>
    <t>99</t>
  </si>
  <si>
    <t>Reserva de Contingência</t>
  </si>
  <si>
    <t>999</t>
  </si>
  <si>
    <t>Reserva de Contingência do RPPS</t>
  </si>
  <si>
    <t>TOTAL (III) = (I) + (II)</t>
  </si>
  <si>
    <t>Continua (2/3)</t>
  </si>
  <si>
    <t>(3/3)</t>
  </si>
  <si>
    <t>Continua (1/3)</t>
  </si>
  <si>
    <t>092</t>
  </si>
  <si>
    <t>Representação Judicial e Extrajudicial</t>
  </si>
  <si>
    <t>Controle Interno</t>
  </si>
  <si>
    <t>124</t>
  </si>
  <si>
    <t>129</t>
  </si>
  <si>
    <t>Administração de Receitas</t>
  </si>
  <si>
    <t>Administração de Concessões</t>
  </si>
  <si>
    <t>130</t>
  </si>
  <si>
    <t>Difusão do Conhecimento Científico e Tecnológico</t>
  </si>
  <si>
    <t>332</t>
  </si>
  <si>
    <t>Relações de Trabalho</t>
  </si>
  <si>
    <t>RREO - Anexo 2 (LRF, Art 52, inciso II, alínea "c")</t>
  </si>
  <si>
    <t>Difusão do Conhecimento Científ e Tecnológ</t>
  </si>
  <si>
    <t>331</t>
  </si>
  <si>
    <t>Proteção e Benefícios ao Trabalhador</t>
  </si>
  <si>
    <t>692</t>
  </si>
  <si>
    <t>Comercialização</t>
  </si>
  <si>
    <t>997</t>
  </si>
  <si>
    <t>Reserva do Regime Próprio de Previdência do Servidor - RPPS</t>
  </si>
  <si>
    <t xml:space="preserve">     Contador - CRC-RJ-097281/O-6</t>
  </si>
  <si>
    <t xml:space="preserve">Contador - CRC-RJ-079208/O-8 </t>
  </si>
  <si>
    <t>Normalização e Qualidade</t>
  </si>
  <si>
    <t>368</t>
  </si>
  <si>
    <t>Educação Básica</t>
  </si>
  <si>
    <t>752</t>
  </si>
  <si>
    <t>Energia Elétrica</t>
  </si>
  <si>
    <t>Renato Ferreira Costa</t>
  </si>
  <si>
    <t>Coordenador - ID: 4.284.985-3</t>
  </si>
  <si>
    <t>Ronald Marcio G. Rodrigues</t>
  </si>
  <si>
    <t>Superintendente - ID: 1.943.584-3</t>
  </si>
  <si>
    <t>Contadora - CRC-RJ-115174/O-0</t>
  </si>
  <si>
    <t>Subsecretária de Estado - ID: 4.412.059-1</t>
  </si>
  <si>
    <t>Stephanie Guimarães da Silva</t>
  </si>
  <si>
    <t xml:space="preserve">          2 - Imprensa Oficial, CEDAE e AGERIO não constam nos Orçamentos Fiscal e da Seguridade Social no exercício de 2019.</t>
  </si>
  <si>
    <t xml:space="preserve">          3 - Este Demonstrativo não considera a casa dos centavos.</t>
  </si>
  <si>
    <t>FONTE: Siafe-Rio - Secretaria de Estado de Fazenda.</t>
  </si>
  <si>
    <t>Obs.:  1 - Excluídas a Imprensa Oficial, a CEDAE e a AGERIO por não se enquadrarem no conceito de Empresa Dependente.</t>
  </si>
  <si>
    <t>481</t>
  </si>
  <si>
    <t>Habitação Rural</t>
  </si>
  <si>
    <t xml:space="preserve"> Assistência ao Portador de Deficiência</t>
  </si>
  <si>
    <t xml:space="preserve"> Formação de Recursos Humanos</t>
  </si>
  <si>
    <t xml:space="preserve"> Assistência Comunitária</t>
  </si>
  <si>
    <t>FUNÇÃO/SUBFUNÇÃO - INTRA-ORÇAMENTÁRIAS</t>
  </si>
  <si>
    <t>(b/III b)</t>
  </si>
  <si>
    <t>(d/III d)</t>
  </si>
  <si>
    <t>JANEIRO A DEZEMBRO 2019/BIMESTRE NOVEMBRO-DEZEMBRO</t>
  </si>
  <si>
    <t>INSCRITAS EM RESTOS A PAGAR NÃO PROCESSADOS (f)</t>
  </si>
  <si>
    <t>Emissão: 24/01/2020</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</si>
</sst>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_);\(#,##0.0\)"/>
    <numFmt numFmtId="173" formatCode="_(* #,##0.0_);_(* \(#,##0.0\);_(* &quot;-&quot;??_);_(@_)"/>
    <numFmt numFmtId="174" formatCode="_(* #,##0_);_(* \(#,##0\);_(* &quot;-&quot;??_);_(@_)"/>
    <numFmt numFmtId="175" formatCode="_(* #,##0.000_);_(* \(#,##0.000\);_(* &quot;-&quot;??_);_(@_)"/>
    <numFmt numFmtId="176" formatCode="_(* #,##0.0000_);_(* \(#,##0.0000\);_(* &quot;-&quot;??_);_(@_)"/>
  </numFmts>
  <fonts count="45">
    <font>
      <sz val="10"/>
      <name val="Arial"/>
      <family val="0"/>
    </font>
    <font>
      <sz val="8"/>
      <name val="Times New Roman"/>
      <family val="1"/>
    </font>
    <font>
      <sz val="11"/>
      <name val="Times New Roman"/>
      <family val="1"/>
    </font>
    <font>
      <sz val="10"/>
      <name val="Times New Roman"/>
      <family val="1"/>
    </font>
    <font>
      <sz val="12"/>
      <name val="Times New Roman"/>
      <family val="1"/>
    </font>
    <font>
      <b/>
      <sz val="12"/>
      <name val="Times New Roman"/>
      <family val="1"/>
    </font>
    <font>
      <b/>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FF0000"/>
      <name val="Times New Roman"/>
      <family val="1"/>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171" fontId="0" fillId="0" borderId="0" applyFont="0" applyFill="0" applyBorder="0" applyAlignment="0" applyProtection="0"/>
  </cellStyleXfs>
  <cellXfs count="105">
    <xf numFmtId="0" fontId="0" fillId="0" borderId="0" xfId="0" applyAlignment="1">
      <alignment/>
    </xf>
    <xf numFmtId="49" fontId="1" fillId="0" borderId="0" xfId="0" applyNumberFormat="1" applyFont="1" applyFill="1" applyAlignment="1">
      <alignment horizontal="center"/>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Alignment="1">
      <alignment/>
    </xf>
    <xf numFmtId="0" fontId="2" fillId="0" borderId="0" xfId="0" applyFont="1" applyFill="1" applyAlignment="1">
      <alignment/>
    </xf>
    <xf numFmtId="174" fontId="2" fillId="0" borderId="0" xfId="60" applyNumberFormat="1" applyFont="1" applyFill="1" applyAlignment="1">
      <alignment/>
    </xf>
    <xf numFmtId="174" fontId="2" fillId="0" borderId="0" xfId="0" applyNumberFormat="1" applyFont="1" applyFill="1" applyAlignment="1">
      <alignment/>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xf>
    <xf numFmtId="0" fontId="5" fillId="33" borderId="14" xfId="0" applyFont="1" applyFill="1" applyBorder="1" applyAlignment="1">
      <alignment horizontal="center"/>
    </xf>
    <xf numFmtId="49" fontId="4" fillId="34" borderId="0" xfId="0" applyNumberFormat="1" applyFont="1" applyFill="1" applyAlignment="1">
      <alignment horizontal="center"/>
    </xf>
    <xf numFmtId="0" fontId="4" fillId="34" borderId="12" xfId="0" applyFont="1" applyFill="1" applyBorder="1" applyAlignment="1">
      <alignment/>
    </xf>
    <xf numFmtId="0" fontId="4" fillId="34" borderId="0" xfId="0" applyFont="1" applyFill="1" applyAlignment="1">
      <alignment horizontal="right"/>
    </xf>
    <xf numFmtId="0" fontId="5" fillId="34" borderId="12" xfId="0" applyFont="1" applyFill="1" applyBorder="1" applyAlignment="1">
      <alignment/>
    </xf>
    <xf numFmtId="49" fontId="43" fillId="34" borderId="0" xfId="0" applyNumberFormat="1" applyFont="1" applyFill="1" applyAlignment="1">
      <alignment horizontal="center"/>
    </xf>
    <xf numFmtId="0" fontId="4" fillId="34" borderId="0" xfId="0" applyFont="1" applyFill="1" applyAlignment="1">
      <alignment/>
    </xf>
    <xf numFmtId="0" fontId="4" fillId="34" borderId="0" xfId="0" applyFont="1" applyFill="1" applyAlignment="1">
      <alignment horizontal="center"/>
    </xf>
    <xf numFmtId="49" fontId="4" fillId="34" borderId="0" xfId="0" applyNumberFormat="1" applyFont="1" applyFill="1" applyAlignment="1">
      <alignment/>
    </xf>
    <xf numFmtId="0" fontId="4" fillId="34" borderId="0" xfId="0" applyFont="1" applyFill="1" applyBorder="1" applyAlignment="1">
      <alignment/>
    </xf>
    <xf numFmtId="172" fontId="4" fillId="34" borderId="0" xfId="0" applyNumberFormat="1" applyFont="1" applyFill="1" applyAlignment="1">
      <alignment/>
    </xf>
    <xf numFmtId="167" fontId="4" fillId="34" borderId="0" xfId="0" applyNumberFormat="1" applyFont="1" applyFill="1" applyAlignment="1">
      <alignment horizontal="right"/>
    </xf>
    <xf numFmtId="49" fontId="5" fillId="34" borderId="0" xfId="0" applyNumberFormat="1" applyFont="1" applyFill="1" applyAlignment="1">
      <alignment horizontal="center"/>
    </xf>
    <xf numFmtId="0" fontId="5" fillId="34" borderId="10" xfId="0" applyFont="1" applyFill="1" applyBorder="1" applyAlignment="1">
      <alignment/>
    </xf>
    <xf numFmtId="174" fontId="5" fillId="34" borderId="12" xfId="60" applyNumberFormat="1" applyFont="1" applyFill="1" applyBorder="1" applyAlignment="1">
      <alignment/>
    </xf>
    <xf numFmtId="174" fontId="5" fillId="34" borderId="12" xfId="60" applyNumberFormat="1" applyFont="1" applyFill="1" applyBorder="1" applyAlignment="1">
      <alignment horizontal="center"/>
    </xf>
    <xf numFmtId="171" fontId="5" fillId="34" borderId="12" xfId="60" applyFont="1" applyFill="1" applyBorder="1" applyAlignment="1">
      <alignment horizontal="center"/>
    </xf>
    <xf numFmtId="174" fontId="5" fillId="34" borderId="13" xfId="60" applyNumberFormat="1" applyFont="1" applyFill="1" applyBorder="1" applyAlignment="1">
      <alignment horizontal="center"/>
    </xf>
    <xf numFmtId="174" fontId="5" fillId="34" borderId="12" xfId="60" applyNumberFormat="1" applyFont="1" applyFill="1" applyBorder="1" applyAlignment="1">
      <alignment/>
    </xf>
    <xf numFmtId="171" fontId="5" fillId="34" borderId="12" xfId="60" applyFont="1" applyFill="1" applyBorder="1" applyAlignment="1">
      <alignment/>
    </xf>
    <xf numFmtId="174" fontId="5" fillId="34" borderId="13" xfId="60" applyNumberFormat="1" applyFont="1" applyFill="1" applyBorder="1" applyAlignment="1">
      <alignment/>
    </xf>
    <xf numFmtId="174" fontId="4" fillId="34" borderId="12" xfId="60" applyNumberFormat="1" applyFont="1" applyFill="1" applyBorder="1" applyAlignment="1">
      <alignment/>
    </xf>
    <xf numFmtId="171" fontId="4" fillId="34" borderId="12" xfId="60" applyFont="1" applyFill="1" applyBorder="1" applyAlignment="1">
      <alignment horizontal="center"/>
    </xf>
    <xf numFmtId="171" fontId="4" fillId="34" borderId="12" xfId="60" applyFont="1" applyFill="1" applyBorder="1" applyAlignment="1">
      <alignment/>
    </xf>
    <xf numFmtId="174" fontId="4" fillId="34" borderId="13" xfId="60" applyNumberFormat="1" applyFont="1" applyFill="1" applyBorder="1" applyAlignment="1">
      <alignment/>
    </xf>
    <xf numFmtId="49" fontId="4" fillId="34" borderId="15" xfId="0" applyNumberFormat="1" applyFont="1" applyFill="1" applyBorder="1" applyAlignment="1">
      <alignment horizontal="center"/>
    </xf>
    <xf numFmtId="0" fontId="4" fillId="34" borderId="14" xfId="0" applyFont="1" applyFill="1" applyBorder="1" applyAlignment="1">
      <alignment/>
    </xf>
    <xf numFmtId="174" fontId="4" fillId="34" borderId="14" xfId="60" applyNumberFormat="1" applyFont="1" applyFill="1" applyBorder="1" applyAlignment="1">
      <alignment/>
    </xf>
    <xf numFmtId="171" fontId="4" fillId="34" borderId="14" xfId="60" applyFont="1" applyFill="1" applyBorder="1" applyAlignment="1">
      <alignment/>
    </xf>
    <xf numFmtId="174" fontId="4" fillId="34" borderId="16" xfId="60" applyNumberFormat="1" applyFont="1" applyFill="1" applyBorder="1" applyAlignment="1">
      <alignment/>
    </xf>
    <xf numFmtId="49" fontId="4" fillId="34" borderId="0" xfId="0" applyNumberFormat="1" applyFont="1" applyFill="1" applyBorder="1" applyAlignment="1">
      <alignment horizontal="center"/>
    </xf>
    <xf numFmtId="174" fontId="4" fillId="34" borderId="0" xfId="60" applyNumberFormat="1" applyFont="1" applyFill="1" applyBorder="1" applyAlignment="1">
      <alignment/>
    </xf>
    <xf numFmtId="171" fontId="4" fillId="34" borderId="0" xfId="60" applyFont="1" applyFill="1" applyBorder="1" applyAlignment="1">
      <alignment/>
    </xf>
    <xf numFmtId="174" fontId="4" fillId="34" borderId="0" xfId="60" applyNumberFormat="1" applyFont="1" applyFill="1" applyBorder="1" applyAlignment="1">
      <alignment horizontal="right"/>
    </xf>
    <xf numFmtId="49" fontId="4" fillId="34" borderId="17" xfId="0" applyNumberFormat="1" applyFont="1" applyFill="1" applyBorder="1" applyAlignment="1">
      <alignment horizontal="center"/>
    </xf>
    <xf numFmtId="0" fontId="4" fillId="34" borderId="17" xfId="0" applyFont="1" applyFill="1" applyBorder="1" applyAlignment="1">
      <alignment/>
    </xf>
    <xf numFmtId="174" fontId="4" fillId="34" borderId="17" xfId="60" applyNumberFormat="1" applyFont="1" applyFill="1" applyBorder="1" applyAlignment="1">
      <alignment/>
    </xf>
    <xf numFmtId="0" fontId="4" fillId="34" borderId="13" xfId="0" applyFont="1" applyFill="1" applyBorder="1" applyAlignment="1">
      <alignment/>
    </xf>
    <xf numFmtId="174" fontId="4" fillId="34" borderId="0" xfId="60" applyNumberFormat="1" applyFont="1" applyFill="1" applyBorder="1" applyAlignment="1" applyProtection="1">
      <alignment/>
      <protection locked="0"/>
    </xf>
    <xf numFmtId="174" fontId="5" fillId="34" borderId="18" xfId="60" applyNumberFormat="1" applyFont="1" applyFill="1" applyBorder="1" applyAlignment="1">
      <alignment/>
    </xf>
    <xf numFmtId="171" fontId="5" fillId="34" borderId="18" xfId="60" applyFont="1" applyFill="1" applyBorder="1" applyAlignment="1">
      <alignment/>
    </xf>
    <xf numFmtId="174" fontId="5" fillId="34" borderId="19" xfId="60" applyNumberFormat="1" applyFont="1" applyFill="1" applyBorder="1" applyAlignment="1">
      <alignment/>
    </xf>
    <xf numFmtId="49" fontId="2" fillId="34" borderId="0" xfId="0" applyNumberFormat="1" applyFont="1" applyFill="1" applyAlignment="1">
      <alignment horizontal="left"/>
    </xf>
    <xf numFmtId="0" fontId="2" fillId="34" borderId="0" xfId="0" applyFont="1" applyFill="1" applyAlignment="1">
      <alignment/>
    </xf>
    <xf numFmtId="0" fontId="3" fillId="34" borderId="0" xfId="0" applyFont="1" applyFill="1" applyAlignment="1">
      <alignment/>
    </xf>
    <xf numFmtId="174" fontId="5" fillId="34" borderId="0" xfId="60" applyNumberFormat="1" applyFont="1" applyFill="1" applyBorder="1" applyAlignment="1">
      <alignment/>
    </xf>
    <xf numFmtId="171" fontId="5" fillId="34" borderId="0" xfId="60" applyFont="1" applyFill="1" applyBorder="1" applyAlignment="1">
      <alignment/>
    </xf>
    <xf numFmtId="49" fontId="5" fillId="34" borderId="0" xfId="0" applyNumberFormat="1" applyFont="1" applyFill="1" applyBorder="1" applyAlignment="1">
      <alignment horizontal="center"/>
    </xf>
    <xf numFmtId="0" fontId="5" fillId="34" borderId="0" xfId="0" applyFont="1" applyFill="1" applyBorder="1" applyAlignment="1">
      <alignment/>
    </xf>
    <xf numFmtId="0" fontId="5" fillId="34" borderId="13" xfId="0" applyFont="1" applyFill="1" applyBorder="1" applyAlignment="1">
      <alignment/>
    </xf>
    <xf numFmtId="49" fontId="5" fillId="34" borderId="17" xfId="0" applyNumberFormat="1" applyFont="1" applyFill="1" applyBorder="1" applyAlignment="1">
      <alignment horizontal="center"/>
    </xf>
    <xf numFmtId="174" fontId="44" fillId="34" borderId="0" xfId="0" applyNumberFormat="1" applyFont="1" applyFill="1" applyAlignment="1">
      <alignment/>
    </xf>
    <xf numFmtId="171" fontId="6" fillId="34" borderId="0" xfId="60" applyFont="1" applyFill="1" applyBorder="1" applyAlignment="1">
      <alignment/>
    </xf>
    <xf numFmtId="0" fontId="2" fillId="34" borderId="0" xfId="0" applyFont="1" applyFill="1" applyAlignment="1">
      <alignment horizontal="right"/>
    </xf>
    <xf numFmtId="174" fontId="3" fillId="34" borderId="0" xfId="0" applyNumberFormat="1" applyFont="1" applyFill="1" applyAlignment="1">
      <alignment/>
    </xf>
    <xf numFmtId="49" fontId="1" fillId="34" borderId="0" xfId="0" applyNumberFormat="1" applyFont="1" applyFill="1" applyAlignment="1">
      <alignment horizontal="center"/>
    </xf>
    <xf numFmtId="49" fontId="2" fillId="34" borderId="0" xfId="0" applyNumberFormat="1" applyFont="1" applyFill="1" applyAlignment="1">
      <alignment horizontal="center"/>
    </xf>
    <xf numFmtId="174" fontId="5" fillId="34" borderId="10" xfId="60" applyNumberFormat="1" applyFont="1" applyFill="1" applyBorder="1" applyAlignment="1">
      <alignment/>
    </xf>
    <xf numFmtId="171" fontId="5" fillId="34" borderId="10" xfId="60" applyFont="1" applyFill="1" applyBorder="1" applyAlignment="1">
      <alignment/>
    </xf>
    <xf numFmtId="49" fontId="5" fillId="34" borderId="15" xfId="0" applyNumberFormat="1" applyFont="1" applyFill="1" applyBorder="1" applyAlignment="1">
      <alignment horizontal="center"/>
    </xf>
    <xf numFmtId="0" fontId="5" fillId="34" borderId="14" xfId="0" applyFont="1" applyFill="1" applyBorder="1" applyAlignment="1">
      <alignment/>
    </xf>
    <xf numFmtId="174" fontId="5" fillId="34" borderId="14" xfId="60" applyNumberFormat="1" applyFont="1" applyFill="1" applyBorder="1" applyAlignment="1">
      <alignment/>
    </xf>
    <xf numFmtId="171" fontId="5" fillId="34" borderId="14" xfId="60" applyFont="1" applyFill="1" applyBorder="1" applyAlignment="1">
      <alignment/>
    </xf>
    <xf numFmtId="174" fontId="5" fillId="34" borderId="16" xfId="60" applyNumberFormat="1" applyFont="1" applyFill="1" applyBorder="1" applyAlignment="1">
      <alignment/>
    </xf>
    <xf numFmtId="171" fontId="4" fillId="34" borderId="0" xfId="60" applyFont="1" applyFill="1" applyAlignment="1">
      <alignment horizontal="center"/>
    </xf>
    <xf numFmtId="174" fontId="4" fillId="34" borderId="0" xfId="0" applyNumberFormat="1" applyFont="1" applyFill="1" applyBorder="1" applyAlignment="1">
      <alignment/>
    </xf>
    <xf numFmtId="174" fontId="4" fillId="34" borderId="0" xfId="0" applyNumberFormat="1" applyFont="1" applyFill="1" applyAlignment="1">
      <alignment horizontal="right"/>
    </xf>
    <xf numFmtId="174" fontId="4" fillId="34" borderId="12" xfId="60" applyNumberFormat="1" applyFont="1" applyFill="1" applyBorder="1" applyAlignment="1">
      <alignment wrapText="1"/>
    </xf>
    <xf numFmtId="0" fontId="3" fillId="34" borderId="0" xfId="0" applyFont="1" applyFill="1" applyBorder="1" applyAlignment="1">
      <alignment/>
    </xf>
    <xf numFmtId="174" fontId="4" fillId="34" borderId="0" xfId="0" applyNumberFormat="1" applyFont="1" applyFill="1" applyBorder="1" applyAlignment="1">
      <alignment/>
    </xf>
    <xf numFmtId="0" fontId="2" fillId="34" borderId="0" xfId="0" applyFont="1" applyFill="1" applyBorder="1" applyAlignment="1">
      <alignment/>
    </xf>
    <xf numFmtId="0" fontId="5" fillId="33" borderId="16" xfId="0" applyFont="1" applyFill="1" applyBorder="1" applyAlignment="1">
      <alignment horizontal="center"/>
    </xf>
    <xf numFmtId="174" fontId="5" fillId="34" borderId="11" xfId="60" applyNumberFormat="1" applyFont="1" applyFill="1" applyBorder="1" applyAlignment="1">
      <alignment/>
    </xf>
    <xf numFmtId="0" fontId="4" fillId="34" borderId="0" xfId="0" applyFont="1" applyFill="1" applyAlignment="1">
      <alignment horizontal="center"/>
    </xf>
    <xf numFmtId="49" fontId="5" fillId="33" borderId="20" xfId="0" applyNumberFormat="1" applyFont="1" applyFill="1" applyBorder="1" applyAlignment="1">
      <alignment horizontal="center" vertical="center"/>
    </xf>
    <xf numFmtId="49" fontId="5" fillId="33" borderId="17" xfId="0" applyNumberFormat="1" applyFont="1" applyFill="1" applyBorder="1" applyAlignment="1">
      <alignment horizontal="center" vertical="center"/>
    </xf>
    <xf numFmtId="49" fontId="5" fillId="33" borderId="21" xfId="0" applyNumberFormat="1"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4" xfId="0" applyFont="1" applyFill="1" applyBorder="1" applyAlignment="1">
      <alignment horizontal="center" vertical="center"/>
    </xf>
    <xf numFmtId="0" fontId="5" fillId="34" borderId="0" xfId="0" applyFont="1" applyFill="1" applyAlignment="1">
      <alignment horizontal="center"/>
    </xf>
    <xf numFmtId="0" fontId="5" fillId="33" borderId="19"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11" xfId="0" applyFont="1" applyFill="1" applyBorder="1" applyAlignment="1">
      <alignment horizontal="center" wrapText="1"/>
    </xf>
    <xf numFmtId="0" fontId="5" fillId="33" borderId="13" xfId="0" applyFont="1" applyFill="1" applyBorder="1" applyAlignment="1">
      <alignment horizontal="center" wrapText="1"/>
    </xf>
    <xf numFmtId="0" fontId="5" fillId="33" borderId="16" xfId="0" applyFont="1" applyFill="1" applyBorder="1" applyAlignment="1">
      <alignment horizontal="center" wrapText="1"/>
    </xf>
    <xf numFmtId="49" fontId="2" fillId="34" borderId="0" xfId="0" applyNumberFormat="1" applyFont="1" applyFill="1" applyAlignment="1">
      <alignment horizontal="center"/>
    </xf>
    <xf numFmtId="0" fontId="2" fillId="34" borderId="0" xfId="0" applyFont="1" applyFill="1" applyAlignment="1">
      <alignment horizontal="center"/>
    </xf>
    <xf numFmtId="49" fontId="5" fillId="34" borderId="22" xfId="0" applyNumberFormat="1" applyFont="1" applyFill="1" applyBorder="1" applyAlignment="1">
      <alignment horizontal="left"/>
    </xf>
    <xf numFmtId="49" fontId="5" fillId="34" borderId="23" xfId="0" applyNumberFormat="1" applyFont="1" applyFill="1" applyBorder="1" applyAlignment="1">
      <alignment horizontal="lef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1257300</xdr:colOff>
      <xdr:row>0</xdr:row>
      <xdr:rowOff>171450</xdr:rowOff>
    </xdr:from>
    <xdr:to>
      <xdr:col>5</xdr:col>
      <xdr:colOff>647700</xdr:colOff>
      <xdr:row>3</xdr:row>
      <xdr:rowOff>171450</xdr:rowOff>
    </xdr:to>
    <xdr:pic>
      <xdr:nvPicPr>
        <xdr:cNvPr id="1" name="Picture 1"/>
        <xdr:cNvPicPr preferRelativeResize="1">
          <a:picLocks noChangeAspect="1"/>
        </xdr:cNvPicPr>
      </xdr:nvPicPr>
      <xdr:blipFill>
        <a:blip r:embed="rId1"/>
        <a:stretch>
          <a:fillRect/>
        </a:stretch>
      </xdr:blipFill>
      <xdr:spPr>
        <a:xfrm>
          <a:off x="8315325" y="171450"/>
          <a:ext cx="695325" cy="600075"/>
        </a:xfrm>
        <a:prstGeom prst="rect">
          <a:avLst/>
        </a:prstGeom>
        <a:noFill/>
        <a:ln w="9525" cmpd="sng">
          <a:noFill/>
        </a:ln>
      </xdr:spPr>
    </xdr:pic>
    <xdr:clientData/>
  </xdr:twoCellAnchor>
  <xdr:twoCellAnchor editAs="oneCell">
    <xdr:from>
      <xdr:col>4</xdr:col>
      <xdr:colOff>1257300</xdr:colOff>
      <xdr:row>124</xdr:row>
      <xdr:rowOff>66675</xdr:rowOff>
    </xdr:from>
    <xdr:to>
      <xdr:col>5</xdr:col>
      <xdr:colOff>647700</xdr:colOff>
      <xdr:row>127</xdr:row>
      <xdr:rowOff>161925</xdr:rowOff>
    </xdr:to>
    <xdr:pic>
      <xdr:nvPicPr>
        <xdr:cNvPr id="2" name="Picture 1"/>
        <xdr:cNvPicPr preferRelativeResize="1">
          <a:picLocks noChangeAspect="1"/>
        </xdr:cNvPicPr>
      </xdr:nvPicPr>
      <xdr:blipFill>
        <a:blip r:embed="rId1"/>
        <a:stretch>
          <a:fillRect/>
        </a:stretch>
      </xdr:blipFill>
      <xdr:spPr>
        <a:xfrm>
          <a:off x="8315325" y="25250775"/>
          <a:ext cx="695325" cy="695325"/>
        </a:xfrm>
        <a:prstGeom prst="rect">
          <a:avLst/>
        </a:prstGeom>
        <a:noFill/>
        <a:ln w="9525" cmpd="sng">
          <a:noFill/>
        </a:ln>
      </xdr:spPr>
    </xdr:pic>
    <xdr:clientData/>
  </xdr:twoCellAnchor>
  <xdr:twoCellAnchor editAs="oneCell">
    <xdr:from>
      <xdr:col>4</xdr:col>
      <xdr:colOff>1285875</xdr:colOff>
      <xdr:row>249</xdr:row>
      <xdr:rowOff>133350</xdr:rowOff>
    </xdr:from>
    <xdr:to>
      <xdr:col>5</xdr:col>
      <xdr:colOff>676275</xdr:colOff>
      <xdr:row>252</xdr:row>
      <xdr:rowOff>161925</xdr:rowOff>
    </xdr:to>
    <xdr:pic>
      <xdr:nvPicPr>
        <xdr:cNvPr id="3" name="Picture 1"/>
        <xdr:cNvPicPr preferRelativeResize="1">
          <a:picLocks noChangeAspect="1"/>
        </xdr:cNvPicPr>
      </xdr:nvPicPr>
      <xdr:blipFill>
        <a:blip r:embed="rId1"/>
        <a:stretch>
          <a:fillRect/>
        </a:stretch>
      </xdr:blipFill>
      <xdr:spPr>
        <a:xfrm>
          <a:off x="8343900" y="50653950"/>
          <a:ext cx="6953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92"/>
  <sheetViews>
    <sheetView tabSelected="1" zoomScale="70" zoomScaleNormal="70" zoomScalePageLayoutView="0" workbookViewId="0" topLeftCell="B1">
      <selection activeCell="N10" sqref="N10"/>
    </sheetView>
  </sheetViews>
  <sheetFormatPr defaultColWidth="9.140625" defaultRowHeight="12.75"/>
  <cols>
    <col min="1" max="1" width="5.8515625" style="1" customWidth="1"/>
    <col min="2" max="2" width="62.28125" style="2" customWidth="1"/>
    <col min="3" max="3" width="19.421875" style="2" customWidth="1"/>
    <col min="4" max="4" width="18.28125" style="2" customWidth="1"/>
    <col min="5" max="5" width="19.57421875" style="2" bestFit="1" customWidth="1"/>
    <col min="6" max="6" width="18.57421875" style="2" customWidth="1"/>
    <col min="7" max="7" width="11.140625" style="2" customWidth="1"/>
    <col min="8" max="8" width="19.140625" style="2" bestFit="1" customWidth="1"/>
    <col min="9" max="9" width="19.140625" style="2" customWidth="1"/>
    <col min="10" max="10" width="18.140625" style="2" bestFit="1" customWidth="1"/>
    <col min="11" max="11" width="10.421875" style="2" customWidth="1"/>
    <col min="12" max="12" width="21.28125" style="2" customWidth="1"/>
    <col min="13" max="13" width="18.7109375" style="3" customWidth="1"/>
    <col min="14" max="14" width="9.140625" style="2" customWidth="1"/>
    <col min="15" max="15" width="8.421875" style="2" customWidth="1"/>
    <col min="16" max="16384" width="9.140625" style="2" customWidth="1"/>
  </cols>
  <sheetData>
    <row r="1" spans="1:12" ht="15.75">
      <c r="A1" s="19"/>
      <c r="B1" s="20"/>
      <c r="C1" s="20"/>
      <c r="D1" s="20"/>
      <c r="E1" s="20"/>
      <c r="F1" s="20"/>
      <c r="G1" s="20"/>
      <c r="H1" s="20"/>
      <c r="I1" s="20"/>
      <c r="J1" s="20"/>
      <c r="K1" s="20"/>
      <c r="L1" s="20"/>
    </row>
    <row r="2" spans="1:13" ht="15.75">
      <c r="A2" s="15"/>
      <c r="B2" s="20"/>
      <c r="C2" s="20"/>
      <c r="D2" s="20"/>
      <c r="E2" s="20"/>
      <c r="F2" s="20"/>
      <c r="G2" s="20"/>
      <c r="H2" s="20"/>
      <c r="I2" s="20"/>
      <c r="J2" s="20"/>
      <c r="K2" s="20"/>
      <c r="L2" s="20"/>
      <c r="M2" s="82"/>
    </row>
    <row r="3" spans="1:13" ht="15.75">
      <c r="A3" s="15"/>
      <c r="B3" s="20"/>
      <c r="C3" s="20"/>
      <c r="D3" s="20"/>
      <c r="E3" s="20"/>
      <c r="F3" s="20"/>
      <c r="G3" s="20"/>
      <c r="H3" s="20"/>
      <c r="I3" s="20"/>
      <c r="J3" s="20"/>
      <c r="K3" s="20"/>
      <c r="L3" s="20"/>
      <c r="M3" s="82"/>
    </row>
    <row r="4" spans="1:13" ht="15.75">
      <c r="A4" s="15"/>
      <c r="B4" s="20"/>
      <c r="C4" s="20"/>
      <c r="D4" s="20"/>
      <c r="E4" s="20"/>
      <c r="F4" s="20"/>
      <c r="G4" s="20"/>
      <c r="H4" s="20"/>
      <c r="I4" s="20"/>
      <c r="J4" s="20"/>
      <c r="K4" s="20"/>
      <c r="L4" s="20"/>
      <c r="M4" s="82"/>
    </row>
    <row r="5" spans="1:13" s="4" customFormat="1" ht="15.75">
      <c r="A5" s="87" t="s">
        <v>14</v>
      </c>
      <c r="B5" s="87"/>
      <c r="C5" s="87"/>
      <c r="D5" s="87"/>
      <c r="E5" s="87"/>
      <c r="F5" s="87"/>
      <c r="G5" s="87"/>
      <c r="H5" s="87"/>
      <c r="I5" s="87"/>
      <c r="J5" s="87"/>
      <c r="K5" s="87"/>
      <c r="L5" s="87"/>
      <c r="M5" s="87"/>
    </row>
    <row r="6" spans="1:13" s="4" customFormat="1" ht="15.75">
      <c r="A6" s="87" t="s">
        <v>0</v>
      </c>
      <c r="B6" s="87"/>
      <c r="C6" s="87"/>
      <c r="D6" s="87"/>
      <c r="E6" s="87"/>
      <c r="F6" s="87"/>
      <c r="G6" s="87"/>
      <c r="H6" s="87"/>
      <c r="I6" s="87"/>
      <c r="J6" s="87"/>
      <c r="K6" s="87"/>
      <c r="L6" s="87"/>
      <c r="M6" s="87"/>
    </row>
    <row r="7" spans="1:13" s="4" customFormat="1" ht="15.75">
      <c r="A7" s="94" t="s">
        <v>1</v>
      </c>
      <c r="B7" s="94"/>
      <c r="C7" s="94"/>
      <c r="D7" s="94"/>
      <c r="E7" s="94"/>
      <c r="F7" s="94"/>
      <c r="G7" s="94"/>
      <c r="H7" s="94"/>
      <c r="I7" s="94"/>
      <c r="J7" s="94"/>
      <c r="K7" s="94"/>
      <c r="L7" s="94"/>
      <c r="M7" s="94"/>
    </row>
    <row r="8" spans="1:13" s="4" customFormat="1" ht="15.75">
      <c r="A8" s="87" t="s">
        <v>2</v>
      </c>
      <c r="B8" s="87"/>
      <c r="C8" s="87"/>
      <c r="D8" s="87"/>
      <c r="E8" s="87"/>
      <c r="F8" s="87"/>
      <c r="G8" s="87"/>
      <c r="H8" s="87"/>
      <c r="I8" s="87"/>
      <c r="J8" s="87"/>
      <c r="K8" s="87"/>
      <c r="L8" s="87"/>
      <c r="M8" s="87"/>
    </row>
    <row r="9" spans="1:13" s="4" customFormat="1" ht="15.75">
      <c r="A9" s="87" t="s">
        <v>274</v>
      </c>
      <c r="B9" s="87"/>
      <c r="C9" s="87"/>
      <c r="D9" s="87"/>
      <c r="E9" s="87"/>
      <c r="F9" s="87"/>
      <c r="G9" s="87"/>
      <c r="H9" s="87"/>
      <c r="I9" s="87"/>
      <c r="J9" s="87"/>
      <c r="K9" s="87"/>
      <c r="L9" s="87"/>
      <c r="M9" s="87"/>
    </row>
    <row r="10" spans="1:13" s="4" customFormat="1" ht="15.75">
      <c r="A10" s="21"/>
      <c r="B10" s="21"/>
      <c r="C10" s="21"/>
      <c r="D10" s="21"/>
      <c r="E10" s="21"/>
      <c r="F10" s="21"/>
      <c r="G10" s="21"/>
      <c r="H10" s="21"/>
      <c r="I10" s="21"/>
      <c r="J10" s="21"/>
      <c r="K10" s="21"/>
      <c r="L10" s="21"/>
      <c r="M10" s="83"/>
    </row>
    <row r="11" spans="1:13" ht="15.75">
      <c r="A11" s="15"/>
      <c r="B11" s="15"/>
      <c r="C11" s="78"/>
      <c r="D11" s="78"/>
      <c r="E11" s="78"/>
      <c r="F11" s="78"/>
      <c r="G11" s="78"/>
      <c r="H11" s="78"/>
      <c r="I11" s="78"/>
      <c r="J11" s="78"/>
      <c r="K11" s="15"/>
      <c r="L11" s="58"/>
      <c r="M11" s="17" t="s">
        <v>276</v>
      </c>
    </row>
    <row r="12" spans="1:13" s="5" customFormat="1" ht="15.75">
      <c r="A12" s="22" t="s">
        <v>240</v>
      </c>
      <c r="B12" s="20"/>
      <c r="C12" s="79"/>
      <c r="D12" s="79"/>
      <c r="E12" s="79"/>
      <c r="F12" s="79"/>
      <c r="G12" s="79"/>
      <c r="H12" s="79"/>
      <c r="I12" s="79"/>
      <c r="J12" s="79"/>
      <c r="K12" s="80"/>
      <c r="L12" s="57"/>
      <c r="M12" s="25">
        <v>1</v>
      </c>
    </row>
    <row r="13" spans="1:13" s="5" customFormat="1" ht="15.75">
      <c r="A13" s="88" t="s">
        <v>23</v>
      </c>
      <c r="B13" s="91" t="s">
        <v>6</v>
      </c>
      <c r="C13" s="8" t="s">
        <v>3</v>
      </c>
      <c r="D13" s="8" t="s">
        <v>3</v>
      </c>
      <c r="E13" s="95" t="s">
        <v>4</v>
      </c>
      <c r="F13" s="96"/>
      <c r="G13" s="97"/>
      <c r="H13" s="8" t="s">
        <v>18</v>
      </c>
      <c r="I13" s="95" t="s">
        <v>5</v>
      </c>
      <c r="J13" s="96"/>
      <c r="K13" s="96"/>
      <c r="L13" s="9" t="s">
        <v>18</v>
      </c>
      <c r="M13" s="98" t="s">
        <v>275</v>
      </c>
    </row>
    <row r="14" spans="1:13" s="5" customFormat="1" ht="15.75">
      <c r="A14" s="89"/>
      <c r="B14" s="92"/>
      <c r="C14" s="10" t="s">
        <v>7</v>
      </c>
      <c r="D14" s="10" t="s">
        <v>8</v>
      </c>
      <c r="E14" s="10" t="s">
        <v>9</v>
      </c>
      <c r="F14" s="10" t="s">
        <v>10</v>
      </c>
      <c r="G14" s="10" t="s">
        <v>11</v>
      </c>
      <c r="H14" s="11"/>
      <c r="I14" s="10" t="s">
        <v>9</v>
      </c>
      <c r="J14" s="10" t="s">
        <v>10</v>
      </c>
      <c r="K14" s="10" t="s">
        <v>11</v>
      </c>
      <c r="L14" s="12"/>
      <c r="M14" s="99"/>
    </row>
    <row r="15" spans="1:13" s="5" customFormat="1" ht="45.75" customHeight="1">
      <c r="A15" s="90"/>
      <c r="B15" s="93"/>
      <c r="C15" s="13"/>
      <c r="D15" s="14" t="s">
        <v>12</v>
      </c>
      <c r="E15" s="14"/>
      <c r="F15" s="14" t="s">
        <v>13</v>
      </c>
      <c r="G15" s="14" t="s">
        <v>17</v>
      </c>
      <c r="H15" s="14" t="s">
        <v>19</v>
      </c>
      <c r="I15" s="14"/>
      <c r="J15" s="14" t="s">
        <v>20</v>
      </c>
      <c r="K15" s="14" t="s">
        <v>21</v>
      </c>
      <c r="L15" s="85" t="s">
        <v>22</v>
      </c>
      <c r="M15" s="100"/>
    </row>
    <row r="16" spans="1:13" s="5" customFormat="1" ht="15.75">
      <c r="A16" s="26"/>
      <c r="B16" s="27" t="s">
        <v>15</v>
      </c>
      <c r="C16" s="28">
        <f>C17+C25+C28+C33+C51+C67+C76+C80+C91+C96+C111+C116+C140+C144+C149+C152+C161+C169+C182+C186+C198+C207+C210+C220+C225+C231</f>
        <v>74866214124</v>
      </c>
      <c r="D16" s="29">
        <f>D17+D25+D28+D33+D51+D67+D76+D80+D91+D96+D111+D116+D140+D144+D149+D152+D161+D169+D182+D186+D198+D207+D210+D220+D225+D231</f>
        <v>78852852155</v>
      </c>
      <c r="E16" s="29">
        <f>E17+E25+E28+E33+E51+E67+E76+E80+E91+E96+E111+E116+E140+E144+E149+E152+E161+E169+E182+E186+E198+E207+E210+E220+E225+E231</f>
        <v>12685422603</v>
      </c>
      <c r="F16" s="29">
        <f>F17+F25+F28+F33+F51+F67+F76+F80+F91+F96+F111+F116+F140+F144+F149+F152+F161+F169+F182+F186+F198+F207+F210+F220+F225+F231</f>
        <v>59441897873</v>
      </c>
      <c r="G16" s="30">
        <f aca="true" t="shared" si="0" ref="G16:G47">(F16/$F$235)*100</f>
        <v>88.78412085218531</v>
      </c>
      <c r="H16" s="29">
        <f>D16-F16</f>
        <v>19410954282</v>
      </c>
      <c r="I16" s="29">
        <f>I17+I25+I28+I33+I51+I67+I76+I80+I91+I96+I111+I116+I140+I144+I149+I152+I161+I169+I182+I186+I198+I207+I210+I220+I225+I231</f>
        <v>14744248251</v>
      </c>
      <c r="J16" s="29">
        <f>J17+J25+J28+J33+J51+J67+J76+J80+J91+J96+J111+J116+J140+J144+J149+J152+J161+J169+J182+J186+J198+J207+J210+J220+J225+J231</f>
        <v>59059033457</v>
      </c>
      <c r="K16" s="30">
        <f aca="true" t="shared" si="1" ref="K16:K47">(J16/$J$235)*100</f>
        <v>88.7342538148055</v>
      </c>
      <c r="L16" s="31">
        <f>D16-J16</f>
        <v>19793818698</v>
      </c>
      <c r="M16" s="31">
        <f>M17+M25+M28+M33+M51+M67+M76+M80+M91+M96+M111+M116+M140+M144+M149+M152+M161+M169+M182+M186+M198+M207+M210+M220+M225+M231</f>
        <v>382864416</v>
      </c>
    </row>
    <row r="17" spans="1:13" s="5" customFormat="1" ht="15.75">
      <c r="A17" s="26" t="s">
        <v>25</v>
      </c>
      <c r="B17" s="18" t="s">
        <v>24</v>
      </c>
      <c r="C17" s="32">
        <f>SUM(C18:C24)</f>
        <v>1807734445</v>
      </c>
      <c r="D17" s="32">
        <f>SUM(D18:D24)</f>
        <v>1542855964</v>
      </c>
      <c r="E17" s="32">
        <f>SUM(E18:E24)</f>
        <v>147264595</v>
      </c>
      <c r="F17" s="32">
        <f>SUM(F18:F24)</f>
        <v>1288360144</v>
      </c>
      <c r="G17" s="30">
        <f t="shared" si="0"/>
        <v>1.9243316047954084</v>
      </c>
      <c r="H17" s="32">
        <f>D17-F17</f>
        <v>254495820</v>
      </c>
      <c r="I17" s="32">
        <f>SUM(I18:I24)</f>
        <v>254747655</v>
      </c>
      <c r="J17" s="32">
        <f>SUM(J18:J24)</f>
        <v>1255756192</v>
      </c>
      <c r="K17" s="33">
        <f t="shared" si="1"/>
        <v>1.8867323447067774</v>
      </c>
      <c r="L17" s="34">
        <f>D17-J17</f>
        <v>287099772</v>
      </c>
      <c r="M17" s="34">
        <f>SUM(M18:M24)</f>
        <v>32603952</v>
      </c>
    </row>
    <row r="18" spans="1:13" s="5" customFormat="1" ht="15.75">
      <c r="A18" s="15" t="s">
        <v>26</v>
      </c>
      <c r="B18" s="16" t="s">
        <v>31</v>
      </c>
      <c r="C18" s="35">
        <v>92150307</v>
      </c>
      <c r="D18" s="35">
        <v>193571826</v>
      </c>
      <c r="E18" s="35">
        <f>F18-3767243</f>
        <v>8854758</v>
      </c>
      <c r="F18" s="35">
        <v>12622001</v>
      </c>
      <c r="G18" s="36">
        <f t="shared" si="0"/>
        <v>0.01885258213953198</v>
      </c>
      <c r="H18" s="35">
        <f aca="true" t="shared" si="2" ref="H18:H122">D18-F18</f>
        <v>180949825</v>
      </c>
      <c r="I18" s="35">
        <f>J18-2318231</f>
        <v>1093725</v>
      </c>
      <c r="J18" s="35">
        <v>3411956</v>
      </c>
      <c r="K18" s="37">
        <f t="shared" si="1"/>
        <v>0.005126351583951702</v>
      </c>
      <c r="L18" s="38">
        <f aca="true" t="shared" si="3" ref="L18:L122">D18-J18</f>
        <v>190159870</v>
      </c>
      <c r="M18" s="38">
        <f>F18-J18</f>
        <v>9210045</v>
      </c>
    </row>
    <row r="19" spans="1:13" s="5" customFormat="1" ht="15.75">
      <c r="A19" s="15" t="s">
        <v>27</v>
      </c>
      <c r="B19" s="16" t="s">
        <v>32</v>
      </c>
      <c r="C19" s="35">
        <v>4060000</v>
      </c>
      <c r="D19" s="35">
        <v>4060000</v>
      </c>
      <c r="E19" s="35">
        <f>F19-3467837</f>
        <v>4465</v>
      </c>
      <c r="F19" s="35">
        <v>3472302</v>
      </c>
      <c r="G19" s="36">
        <f t="shared" si="0"/>
        <v>0.005186329700675921</v>
      </c>
      <c r="H19" s="35">
        <f t="shared" si="2"/>
        <v>587698</v>
      </c>
      <c r="I19" s="35">
        <f>J19-1160453</f>
        <v>1671048</v>
      </c>
      <c r="J19" s="35">
        <v>2831501</v>
      </c>
      <c r="K19" s="37">
        <f t="shared" si="1"/>
        <v>0.00425423705238603</v>
      </c>
      <c r="L19" s="38">
        <f t="shared" si="3"/>
        <v>1228499</v>
      </c>
      <c r="M19" s="38">
        <f aca="true" t="shared" si="4" ref="M19:M82">F19-J19</f>
        <v>640801</v>
      </c>
    </row>
    <row r="20" spans="1:13" s="5" customFormat="1" ht="15.75">
      <c r="A20" s="15" t="s">
        <v>28</v>
      </c>
      <c r="B20" s="16" t="s">
        <v>33</v>
      </c>
      <c r="C20" s="35">
        <v>1682363788</v>
      </c>
      <c r="D20" s="35">
        <v>1319063788</v>
      </c>
      <c r="E20" s="35">
        <f>F20-1128747794</f>
        <v>137283689</v>
      </c>
      <c r="F20" s="35">
        <v>1266031483</v>
      </c>
      <c r="G20" s="36">
        <f t="shared" si="0"/>
        <v>1.890980877318183</v>
      </c>
      <c r="H20" s="35">
        <f t="shared" si="2"/>
        <v>53032305</v>
      </c>
      <c r="I20" s="35">
        <f>J20-994865939</f>
        <v>251483380</v>
      </c>
      <c r="J20" s="35">
        <v>1246349319</v>
      </c>
      <c r="K20" s="37">
        <f t="shared" si="1"/>
        <v>1.8725988276556835</v>
      </c>
      <c r="L20" s="38">
        <f t="shared" si="3"/>
        <v>72714469</v>
      </c>
      <c r="M20" s="38">
        <f t="shared" si="4"/>
        <v>19682164</v>
      </c>
    </row>
    <row r="21" spans="1:13" s="5" customFormat="1" ht="15.75">
      <c r="A21" s="15" t="s">
        <v>50</v>
      </c>
      <c r="B21" s="16" t="s">
        <v>57</v>
      </c>
      <c r="C21" s="35">
        <v>23000000</v>
      </c>
      <c r="D21" s="35">
        <v>20000000</v>
      </c>
      <c r="E21" s="35">
        <f>F21-3717096</f>
        <v>966062</v>
      </c>
      <c r="F21" s="35">
        <v>4683158</v>
      </c>
      <c r="G21" s="36">
        <f t="shared" si="0"/>
        <v>0.006994898896570069</v>
      </c>
      <c r="H21" s="35">
        <f>D21-F21</f>
        <v>15316842</v>
      </c>
      <c r="I21" s="35">
        <f>J21-1978580</f>
        <v>373123</v>
      </c>
      <c r="J21" s="35">
        <v>2351703</v>
      </c>
      <c r="K21" s="37">
        <f t="shared" si="1"/>
        <v>0.0035333563501504617</v>
      </c>
      <c r="L21" s="38">
        <f>D21-J21</f>
        <v>17648297</v>
      </c>
      <c r="M21" s="38">
        <f t="shared" si="4"/>
        <v>2331455</v>
      </c>
    </row>
    <row r="22" spans="1:13" s="5" customFormat="1" ht="15.75">
      <c r="A22" s="15" t="s">
        <v>29</v>
      </c>
      <c r="B22" s="16" t="s">
        <v>34</v>
      </c>
      <c r="C22" s="35">
        <v>5160350</v>
      </c>
      <c r="D22" s="35">
        <v>5160350</v>
      </c>
      <c r="E22" s="35">
        <f>F22-1379849</f>
        <v>154191</v>
      </c>
      <c r="F22" s="35">
        <v>1534040</v>
      </c>
      <c r="G22" s="36">
        <f t="shared" si="0"/>
        <v>0.0022912860730503535</v>
      </c>
      <c r="H22" s="35">
        <f t="shared" si="2"/>
        <v>3626310</v>
      </c>
      <c r="I22" s="35">
        <f>J22-680609</f>
        <v>124212</v>
      </c>
      <c r="J22" s="35">
        <v>804821</v>
      </c>
      <c r="K22" s="37">
        <f t="shared" si="1"/>
        <v>0.0012092170614590554</v>
      </c>
      <c r="L22" s="38">
        <f t="shared" si="3"/>
        <v>4355529</v>
      </c>
      <c r="M22" s="38">
        <f t="shared" si="4"/>
        <v>729219</v>
      </c>
    </row>
    <row r="23" spans="1:13" s="5" customFormat="1" ht="15.75">
      <c r="A23" s="15" t="s">
        <v>53</v>
      </c>
      <c r="B23" s="16" t="s">
        <v>60</v>
      </c>
      <c r="C23" s="35">
        <v>400000</v>
      </c>
      <c r="D23" s="35">
        <v>400000</v>
      </c>
      <c r="E23" s="35">
        <f>F23-0</f>
        <v>0</v>
      </c>
      <c r="F23" s="35">
        <v>0</v>
      </c>
      <c r="G23" s="36">
        <f t="shared" si="0"/>
        <v>0</v>
      </c>
      <c r="H23" s="35">
        <f t="shared" si="2"/>
        <v>400000</v>
      </c>
      <c r="I23" s="35">
        <f>J23</f>
        <v>0</v>
      </c>
      <c r="J23" s="35">
        <v>0</v>
      </c>
      <c r="K23" s="37">
        <f t="shared" si="1"/>
        <v>0</v>
      </c>
      <c r="L23" s="38">
        <f t="shared" si="3"/>
        <v>400000</v>
      </c>
      <c r="M23" s="38">
        <f t="shared" si="4"/>
        <v>0</v>
      </c>
    </row>
    <row r="24" spans="1:13" s="5" customFormat="1" ht="15.75">
      <c r="A24" s="15" t="s">
        <v>30</v>
      </c>
      <c r="B24" s="16" t="s">
        <v>35</v>
      </c>
      <c r="C24" s="35">
        <v>600000</v>
      </c>
      <c r="D24" s="35">
        <v>600000</v>
      </c>
      <c r="E24" s="35">
        <f>F24-15730</f>
        <v>1430</v>
      </c>
      <c r="F24" s="35">
        <v>17160</v>
      </c>
      <c r="G24" s="36">
        <f t="shared" si="0"/>
        <v>2.563066739690234E-05</v>
      </c>
      <c r="H24" s="35">
        <f t="shared" si="2"/>
        <v>582840</v>
      </c>
      <c r="I24" s="35">
        <f>J24-4725</f>
        <v>2167</v>
      </c>
      <c r="J24" s="35">
        <v>6892</v>
      </c>
      <c r="K24" s="37">
        <f t="shared" si="1"/>
        <v>1.035500314675662E-05</v>
      </c>
      <c r="L24" s="38">
        <f t="shared" si="3"/>
        <v>593108</v>
      </c>
      <c r="M24" s="38">
        <f t="shared" si="4"/>
        <v>10268</v>
      </c>
    </row>
    <row r="25" spans="1:13" s="5" customFormat="1" ht="15.75">
      <c r="A25" s="26" t="s">
        <v>36</v>
      </c>
      <c r="B25" s="18" t="s">
        <v>37</v>
      </c>
      <c r="C25" s="32">
        <f>SUM(C26:C27)</f>
        <v>4616538695</v>
      </c>
      <c r="D25" s="32">
        <f>SUM(D26:D27)</f>
        <v>4239038695</v>
      </c>
      <c r="E25" s="32">
        <f>SUM(E26:E27)</f>
        <v>575655351</v>
      </c>
      <c r="F25" s="32">
        <f>SUM(F26:F27)</f>
        <v>4012057089</v>
      </c>
      <c r="G25" s="30">
        <f t="shared" si="0"/>
        <v>5.99252335813189</v>
      </c>
      <c r="H25" s="32">
        <f t="shared" si="2"/>
        <v>226981606</v>
      </c>
      <c r="I25" s="32">
        <f>SUM(I26:I27)</f>
        <v>751041702</v>
      </c>
      <c r="J25" s="32">
        <f>SUM(J26:J27)</f>
        <v>3889191690</v>
      </c>
      <c r="K25" s="33">
        <f t="shared" si="1"/>
        <v>5.843382499751843</v>
      </c>
      <c r="L25" s="34">
        <f t="shared" si="3"/>
        <v>349847005</v>
      </c>
      <c r="M25" s="34">
        <f>SUM(M26:M27)</f>
        <v>122865399</v>
      </c>
    </row>
    <row r="26" spans="1:13" s="5" customFormat="1" ht="15.75">
      <c r="A26" s="15" t="s">
        <v>38</v>
      </c>
      <c r="B26" s="16" t="s">
        <v>40</v>
      </c>
      <c r="C26" s="35">
        <v>1692448000</v>
      </c>
      <c r="D26" s="35">
        <v>1693948000</v>
      </c>
      <c r="E26" s="35">
        <f>F26-1383075304</f>
        <v>95435156</v>
      </c>
      <c r="F26" s="35">
        <v>1478510460</v>
      </c>
      <c r="G26" s="37">
        <f t="shared" si="0"/>
        <v>2.208345561952278</v>
      </c>
      <c r="H26" s="35">
        <f t="shared" si="2"/>
        <v>215437540</v>
      </c>
      <c r="I26" s="35">
        <f>J26-1084831804</f>
        <v>270813257</v>
      </c>
      <c r="J26" s="35">
        <v>1355645061</v>
      </c>
      <c r="K26" s="37">
        <f t="shared" si="1"/>
        <v>2.036812082492755</v>
      </c>
      <c r="L26" s="38">
        <f t="shared" si="3"/>
        <v>338302939</v>
      </c>
      <c r="M26" s="38">
        <f t="shared" si="4"/>
        <v>122865399</v>
      </c>
    </row>
    <row r="27" spans="1:13" s="5" customFormat="1" ht="15.75">
      <c r="A27" s="15" t="s">
        <v>28</v>
      </c>
      <c r="B27" s="16" t="s">
        <v>33</v>
      </c>
      <c r="C27" s="35">
        <v>2924090695</v>
      </c>
      <c r="D27" s="35">
        <v>2545090695</v>
      </c>
      <c r="E27" s="35">
        <f>F27-2053326434</f>
        <v>480220195</v>
      </c>
      <c r="F27" s="35">
        <v>2533546629</v>
      </c>
      <c r="G27" s="37">
        <f t="shared" si="0"/>
        <v>3.7841777961796117</v>
      </c>
      <c r="H27" s="35">
        <f t="shared" si="2"/>
        <v>11544066</v>
      </c>
      <c r="I27" s="35">
        <f>J27-2053318184</f>
        <v>480228445</v>
      </c>
      <c r="J27" s="35">
        <v>2533546629</v>
      </c>
      <c r="K27" s="37">
        <f t="shared" si="1"/>
        <v>3.806570417259087</v>
      </c>
      <c r="L27" s="38">
        <f t="shared" si="3"/>
        <v>11544066</v>
      </c>
      <c r="M27" s="38">
        <f t="shared" si="4"/>
        <v>0</v>
      </c>
    </row>
    <row r="28" spans="1:13" s="5" customFormat="1" ht="15.75">
      <c r="A28" s="26" t="s">
        <v>42</v>
      </c>
      <c r="B28" s="18" t="s">
        <v>43</v>
      </c>
      <c r="C28" s="32">
        <f>SUM(C29:C32)</f>
        <v>2584604150</v>
      </c>
      <c r="D28" s="32">
        <f>SUM(D29:D32)</f>
        <v>2897340174</v>
      </c>
      <c r="E28" s="32">
        <f>SUM(E29:E32)</f>
        <v>174058958</v>
      </c>
      <c r="F28" s="32">
        <f>SUM(F29:F32)</f>
        <v>2457926065</v>
      </c>
      <c r="G28" s="33">
        <f t="shared" si="0"/>
        <v>3.6712287563048935</v>
      </c>
      <c r="H28" s="32">
        <f t="shared" si="2"/>
        <v>439414109</v>
      </c>
      <c r="I28" s="32">
        <f>SUM(I29:I32)</f>
        <v>481710563</v>
      </c>
      <c r="J28" s="32">
        <f>SUM(J29:J32)</f>
        <v>2380927176</v>
      </c>
      <c r="K28" s="33">
        <f t="shared" si="1"/>
        <v>3.577264712663719</v>
      </c>
      <c r="L28" s="34">
        <f t="shared" si="3"/>
        <v>516412998</v>
      </c>
      <c r="M28" s="34">
        <f>SUM(M29:M32)</f>
        <v>76998889</v>
      </c>
    </row>
    <row r="29" spans="1:13" s="5" customFormat="1" ht="15.75">
      <c r="A29" s="15" t="s">
        <v>44</v>
      </c>
      <c r="B29" s="16" t="s">
        <v>45</v>
      </c>
      <c r="C29" s="35">
        <v>70376800</v>
      </c>
      <c r="D29" s="35">
        <v>185093750</v>
      </c>
      <c r="E29" s="35">
        <f>F29-58575646</f>
        <v>7247671</v>
      </c>
      <c r="F29" s="35">
        <v>65823317</v>
      </c>
      <c r="G29" s="37">
        <f t="shared" si="0"/>
        <v>0.09831559119975919</v>
      </c>
      <c r="H29" s="35">
        <f t="shared" si="2"/>
        <v>119270433</v>
      </c>
      <c r="I29" s="35">
        <f>J29-32879081</f>
        <v>6436593</v>
      </c>
      <c r="J29" s="35">
        <v>39315674</v>
      </c>
      <c r="K29" s="37">
        <f t="shared" si="1"/>
        <v>0.05907050609211512</v>
      </c>
      <c r="L29" s="38">
        <f t="shared" si="3"/>
        <v>145778076</v>
      </c>
      <c r="M29" s="38">
        <f t="shared" si="4"/>
        <v>26507643</v>
      </c>
    </row>
    <row r="30" spans="1:13" s="5" customFormat="1" ht="15.75">
      <c r="A30" s="15" t="s">
        <v>229</v>
      </c>
      <c r="B30" s="16" t="s">
        <v>230</v>
      </c>
      <c r="C30" s="35">
        <v>46821005</v>
      </c>
      <c r="D30" s="35">
        <v>72213721</v>
      </c>
      <c r="E30" s="35">
        <f>F30-41400698</f>
        <v>46993</v>
      </c>
      <c r="F30" s="35">
        <v>41447691</v>
      </c>
      <c r="G30" s="37">
        <f t="shared" si="0"/>
        <v>0.06190745818126939</v>
      </c>
      <c r="H30" s="35">
        <f>D30-F30</f>
        <v>30766030</v>
      </c>
      <c r="I30" s="35">
        <f>J30-28592514</f>
        <v>10270375</v>
      </c>
      <c r="J30" s="35">
        <v>38862889</v>
      </c>
      <c r="K30" s="37">
        <f t="shared" si="1"/>
        <v>0.05839021153323465</v>
      </c>
      <c r="L30" s="38">
        <f>D30-J30</f>
        <v>33350832</v>
      </c>
      <c r="M30" s="38">
        <f t="shared" si="4"/>
        <v>2584802</v>
      </c>
    </row>
    <row r="31" spans="1:13" s="5" customFormat="1" ht="15.75">
      <c r="A31" s="15" t="s">
        <v>28</v>
      </c>
      <c r="B31" s="16" t="s">
        <v>33</v>
      </c>
      <c r="C31" s="35">
        <v>2425369628</v>
      </c>
      <c r="D31" s="35">
        <v>2487595552</v>
      </c>
      <c r="E31" s="35">
        <f>F31-2131061674</f>
        <v>149289961</v>
      </c>
      <c r="F31" s="35">
        <v>2280351635</v>
      </c>
      <c r="G31" s="37">
        <f t="shared" si="0"/>
        <v>3.4059985026029986</v>
      </c>
      <c r="H31" s="35">
        <f t="shared" si="2"/>
        <v>207243917</v>
      </c>
      <c r="I31" s="35">
        <f>J31-1786067631</f>
        <v>449405563</v>
      </c>
      <c r="J31" s="35">
        <v>2235473194</v>
      </c>
      <c r="K31" s="37">
        <f t="shared" si="1"/>
        <v>3.3587248923911885</v>
      </c>
      <c r="L31" s="38">
        <f>D31-J31</f>
        <v>252122358</v>
      </c>
      <c r="M31" s="38">
        <f t="shared" si="4"/>
        <v>44878441</v>
      </c>
    </row>
    <row r="32" spans="1:13" s="5" customFormat="1" ht="15.75">
      <c r="A32" s="15" t="s">
        <v>29</v>
      </c>
      <c r="B32" s="16" t="s">
        <v>34</v>
      </c>
      <c r="C32" s="35">
        <v>42036717</v>
      </c>
      <c r="D32" s="35">
        <v>152437151</v>
      </c>
      <c r="E32" s="35">
        <f>F32-52829089</f>
        <v>17474333</v>
      </c>
      <c r="F32" s="35">
        <v>70303422</v>
      </c>
      <c r="G32" s="37">
        <f t="shared" si="0"/>
        <v>0.10500720432086638</v>
      </c>
      <c r="H32" s="35">
        <f t="shared" si="2"/>
        <v>82133729</v>
      </c>
      <c r="I32" s="35">
        <f>J32-51677387</f>
        <v>15598032</v>
      </c>
      <c r="J32" s="35">
        <v>67275419</v>
      </c>
      <c r="K32" s="37">
        <f t="shared" si="1"/>
        <v>0.10107910264718081</v>
      </c>
      <c r="L32" s="38">
        <f t="shared" si="3"/>
        <v>85161732</v>
      </c>
      <c r="M32" s="38">
        <f t="shared" si="4"/>
        <v>3028003</v>
      </c>
    </row>
    <row r="33" spans="1:13" s="5" customFormat="1" ht="15.75">
      <c r="A33" s="26" t="s">
        <v>46</v>
      </c>
      <c r="B33" s="18" t="s">
        <v>47</v>
      </c>
      <c r="C33" s="32">
        <f>SUM(C34:C50)</f>
        <v>7328124144</v>
      </c>
      <c r="D33" s="32">
        <f>SUM(D34:D50)</f>
        <v>7891248110</v>
      </c>
      <c r="E33" s="32">
        <f>SUM(E34:E50)</f>
        <v>1062519906</v>
      </c>
      <c r="F33" s="32">
        <f>SUM(F34:F50)</f>
        <v>3290783658</v>
      </c>
      <c r="G33" s="33">
        <f t="shared" si="0"/>
        <v>4.91520870707224</v>
      </c>
      <c r="H33" s="32">
        <f t="shared" si="2"/>
        <v>4600464452</v>
      </c>
      <c r="I33" s="32">
        <f>SUM(I34:I50)</f>
        <v>1141070429</v>
      </c>
      <c r="J33" s="32">
        <f>SUM(J34:J50)</f>
        <v>3290419055</v>
      </c>
      <c r="K33" s="33">
        <f t="shared" si="1"/>
        <v>4.943746324531768</v>
      </c>
      <c r="L33" s="34">
        <f t="shared" si="3"/>
        <v>4600829055</v>
      </c>
      <c r="M33" s="34">
        <f>SUM(M34:M50)</f>
        <v>364603</v>
      </c>
    </row>
    <row r="34" spans="1:13" s="5" customFormat="1" ht="15.75">
      <c r="A34" s="15" t="s">
        <v>48</v>
      </c>
      <c r="B34" s="16" t="s">
        <v>55</v>
      </c>
      <c r="C34" s="35">
        <v>200340000</v>
      </c>
      <c r="D34" s="35">
        <v>390084427</v>
      </c>
      <c r="E34" s="35">
        <f>F34-0</f>
        <v>0</v>
      </c>
      <c r="F34" s="35">
        <v>0</v>
      </c>
      <c r="G34" s="37">
        <f t="shared" si="0"/>
        <v>0</v>
      </c>
      <c r="H34" s="35">
        <f t="shared" si="2"/>
        <v>390084427</v>
      </c>
      <c r="I34" s="35">
        <f aca="true" t="shared" si="5" ref="I34:I50">J34-0</f>
        <v>0</v>
      </c>
      <c r="J34" s="35">
        <v>0</v>
      </c>
      <c r="K34" s="37">
        <f t="shared" si="1"/>
        <v>0</v>
      </c>
      <c r="L34" s="38">
        <f t="shared" si="3"/>
        <v>390084427</v>
      </c>
      <c r="M34" s="38">
        <f t="shared" si="4"/>
        <v>0</v>
      </c>
    </row>
    <row r="35" spans="1:13" s="5" customFormat="1" ht="15.75">
      <c r="A35" s="15" t="s">
        <v>28</v>
      </c>
      <c r="B35" s="16" t="s">
        <v>33</v>
      </c>
      <c r="C35" s="35">
        <v>6028797095</v>
      </c>
      <c r="D35" s="35">
        <v>6305563205</v>
      </c>
      <c r="E35" s="35">
        <f>F35-1447722473</f>
        <v>817513131</v>
      </c>
      <c r="F35" s="35">
        <v>2265235604</v>
      </c>
      <c r="G35" s="37">
        <f t="shared" si="0"/>
        <v>3.383420765835967</v>
      </c>
      <c r="H35" s="35">
        <f t="shared" si="2"/>
        <v>4040327601</v>
      </c>
      <c r="I35" s="35">
        <f>J35-1379382325</f>
        <v>885580913</v>
      </c>
      <c r="J35" s="35">
        <v>2264963238</v>
      </c>
      <c r="K35" s="37">
        <f t="shared" si="1"/>
        <v>3.4030327128232827</v>
      </c>
      <c r="L35" s="38">
        <f t="shared" si="3"/>
        <v>4040599967</v>
      </c>
      <c r="M35" s="38">
        <f t="shared" si="4"/>
        <v>272366</v>
      </c>
    </row>
    <row r="36" spans="1:13" s="5" customFormat="1" ht="15.75">
      <c r="A36" s="15" t="s">
        <v>39</v>
      </c>
      <c r="B36" s="16" t="s">
        <v>41</v>
      </c>
      <c r="C36" s="35">
        <v>133970894</v>
      </c>
      <c r="D36" s="35">
        <v>133967059</v>
      </c>
      <c r="E36" s="35">
        <f>F36-24109408</f>
        <v>9441033</v>
      </c>
      <c r="F36" s="35">
        <v>33550441</v>
      </c>
      <c r="G36" s="37">
        <f t="shared" si="0"/>
        <v>0.05011189943417224</v>
      </c>
      <c r="H36" s="35">
        <f t="shared" si="2"/>
        <v>100416618</v>
      </c>
      <c r="I36" s="35">
        <f>J36-15033843</f>
        <v>18516598</v>
      </c>
      <c r="J36" s="35">
        <v>33550441</v>
      </c>
      <c r="K36" s="37">
        <f t="shared" si="1"/>
        <v>0.05040843327482186</v>
      </c>
      <c r="L36" s="38">
        <f t="shared" si="3"/>
        <v>100416618</v>
      </c>
      <c r="M36" s="38">
        <f t="shared" si="4"/>
        <v>0</v>
      </c>
    </row>
    <row r="37" spans="1:13" s="5" customFormat="1" ht="15.75">
      <c r="A37" s="15" t="s">
        <v>232</v>
      </c>
      <c r="B37" s="16" t="s">
        <v>231</v>
      </c>
      <c r="C37" s="35">
        <v>240000</v>
      </c>
      <c r="D37" s="35">
        <v>235000</v>
      </c>
      <c r="E37" s="35">
        <f>F37-59952</f>
        <v>4179</v>
      </c>
      <c r="F37" s="35">
        <v>64131</v>
      </c>
      <c r="G37" s="37">
        <f t="shared" si="0"/>
        <v>9.578789806705968E-05</v>
      </c>
      <c r="H37" s="35">
        <f t="shared" si="2"/>
        <v>170869</v>
      </c>
      <c r="I37" s="35">
        <f>J37-51360</f>
        <v>12771</v>
      </c>
      <c r="J37" s="35">
        <v>64131</v>
      </c>
      <c r="K37" s="37">
        <f t="shared" si="1"/>
        <v>9.635471659962982E-05</v>
      </c>
      <c r="L37" s="38">
        <f t="shared" si="3"/>
        <v>170869</v>
      </c>
      <c r="M37" s="38">
        <f t="shared" si="4"/>
        <v>0</v>
      </c>
    </row>
    <row r="38" spans="1:13" s="5" customFormat="1" ht="15.75">
      <c r="A38" s="15" t="s">
        <v>49</v>
      </c>
      <c r="B38" s="16" t="s">
        <v>56</v>
      </c>
      <c r="C38" s="35">
        <v>11310175</v>
      </c>
      <c r="D38" s="35">
        <v>11310175</v>
      </c>
      <c r="E38" s="35">
        <f>F38-854734</f>
        <v>-82575</v>
      </c>
      <c r="F38" s="35">
        <v>772159</v>
      </c>
      <c r="G38" s="37">
        <f t="shared" si="0"/>
        <v>0.001153318794086522</v>
      </c>
      <c r="H38" s="35">
        <f t="shared" si="2"/>
        <v>10538016</v>
      </c>
      <c r="I38" s="35">
        <f>J38-524193</f>
        <v>247966</v>
      </c>
      <c r="J38" s="35">
        <v>772159</v>
      </c>
      <c r="K38" s="37">
        <f t="shared" si="1"/>
        <v>0.001160143481543303</v>
      </c>
      <c r="L38" s="38">
        <f t="shared" si="3"/>
        <v>10538016</v>
      </c>
      <c r="M38" s="38">
        <f t="shared" si="4"/>
        <v>0</v>
      </c>
    </row>
    <row r="39" spans="1:13" s="5" customFormat="1" ht="15.75">
      <c r="A39" s="15" t="s">
        <v>51</v>
      </c>
      <c r="B39" s="16" t="s">
        <v>58</v>
      </c>
      <c r="C39" s="35">
        <v>125000</v>
      </c>
      <c r="D39" s="35">
        <v>2648</v>
      </c>
      <c r="E39" s="35">
        <f>F39-2648</f>
        <v>0</v>
      </c>
      <c r="F39" s="35">
        <v>2648</v>
      </c>
      <c r="G39" s="37">
        <f t="shared" si="0"/>
        <v>3.955128628612903E-06</v>
      </c>
      <c r="H39" s="35">
        <f t="shared" si="2"/>
        <v>0</v>
      </c>
      <c r="I39" s="35">
        <f>J39-2648</f>
        <v>0</v>
      </c>
      <c r="J39" s="35">
        <v>2648</v>
      </c>
      <c r="K39" s="37">
        <f t="shared" si="1"/>
        <v>3.978532839903008E-06</v>
      </c>
      <c r="L39" s="38">
        <f t="shared" si="3"/>
        <v>0</v>
      </c>
      <c r="M39" s="38">
        <f t="shared" si="4"/>
        <v>0</v>
      </c>
    </row>
    <row r="40" spans="1:13" s="5" customFormat="1" ht="15.75">
      <c r="A40" s="15" t="s">
        <v>29</v>
      </c>
      <c r="B40" s="16" t="s">
        <v>34</v>
      </c>
      <c r="C40" s="35">
        <v>130000</v>
      </c>
      <c r="D40" s="35">
        <v>0</v>
      </c>
      <c r="E40" s="35">
        <f>F40-0</f>
        <v>0</v>
      </c>
      <c r="F40" s="35">
        <v>0</v>
      </c>
      <c r="G40" s="37">
        <f t="shared" si="0"/>
        <v>0</v>
      </c>
      <c r="H40" s="35">
        <f t="shared" si="2"/>
        <v>0</v>
      </c>
      <c r="I40" s="35">
        <f t="shared" si="5"/>
        <v>0</v>
      </c>
      <c r="J40" s="35">
        <v>0</v>
      </c>
      <c r="K40" s="37">
        <f t="shared" si="1"/>
        <v>0</v>
      </c>
      <c r="L40" s="38">
        <f t="shared" si="3"/>
        <v>0</v>
      </c>
      <c r="M40" s="38">
        <f t="shared" si="4"/>
        <v>0</v>
      </c>
    </row>
    <row r="41" spans="1:13" s="5" customFormat="1" ht="15.75">
      <c r="A41" s="15" t="s">
        <v>233</v>
      </c>
      <c r="B41" s="16" t="s">
        <v>234</v>
      </c>
      <c r="C41" s="35">
        <v>2800000</v>
      </c>
      <c r="D41" s="35">
        <v>2312156</v>
      </c>
      <c r="E41" s="35">
        <f>F41-1583151</f>
        <v>134507</v>
      </c>
      <c r="F41" s="35">
        <v>1717658</v>
      </c>
      <c r="G41" s="37">
        <f t="shared" si="0"/>
        <v>0.0025655431759690262</v>
      </c>
      <c r="H41" s="35">
        <f t="shared" si="2"/>
        <v>594498</v>
      </c>
      <c r="I41" s="35">
        <f>J41-1268521</f>
        <v>449137</v>
      </c>
      <c r="J41" s="35">
        <v>1717658</v>
      </c>
      <c r="K41" s="37">
        <f t="shared" si="1"/>
        <v>0.0025807246075234594</v>
      </c>
      <c r="L41" s="38">
        <f t="shared" si="3"/>
        <v>594498</v>
      </c>
      <c r="M41" s="38">
        <f t="shared" si="4"/>
        <v>0</v>
      </c>
    </row>
    <row r="42" spans="1:13" s="5" customFormat="1" ht="15.75">
      <c r="A42" s="15" t="s">
        <v>236</v>
      </c>
      <c r="B42" s="16" t="s">
        <v>235</v>
      </c>
      <c r="C42" s="35">
        <v>4667668</v>
      </c>
      <c r="D42" s="35">
        <v>4722815</v>
      </c>
      <c r="E42" s="35">
        <f>F42-1283927</f>
        <v>4924</v>
      </c>
      <c r="F42" s="35">
        <v>1288851</v>
      </c>
      <c r="G42" s="37">
        <f t="shared" si="0"/>
        <v>0.0019250647613732509</v>
      </c>
      <c r="H42" s="35">
        <f t="shared" si="2"/>
        <v>3433964</v>
      </c>
      <c r="I42" s="35">
        <f>J42-989600</f>
        <v>207014</v>
      </c>
      <c r="J42" s="35">
        <v>1196614</v>
      </c>
      <c r="K42" s="37">
        <f t="shared" si="1"/>
        <v>0.001797873147918315</v>
      </c>
      <c r="L42" s="38">
        <f t="shared" si="3"/>
        <v>3526201</v>
      </c>
      <c r="M42" s="38">
        <f t="shared" si="4"/>
        <v>92237</v>
      </c>
    </row>
    <row r="43" spans="1:13" s="5" customFormat="1" ht="15.75">
      <c r="A43" s="15" t="s">
        <v>66</v>
      </c>
      <c r="B43" s="16" t="s">
        <v>74</v>
      </c>
      <c r="C43" s="35">
        <v>60000</v>
      </c>
      <c r="D43" s="35">
        <v>0</v>
      </c>
      <c r="E43" s="35">
        <f>F43-0</f>
        <v>0</v>
      </c>
      <c r="F43" s="35">
        <v>0</v>
      </c>
      <c r="G43" s="37">
        <f t="shared" si="0"/>
        <v>0</v>
      </c>
      <c r="H43" s="35">
        <f t="shared" si="2"/>
        <v>0</v>
      </c>
      <c r="I43" s="35">
        <f t="shared" si="5"/>
        <v>0</v>
      </c>
      <c r="J43" s="35">
        <v>0</v>
      </c>
      <c r="K43" s="37">
        <f t="shared" si="1"/>
        <v>0</v>
      </c>
      <c r="L43" s="38">
        <f t="shared" si="3"/>
        <v>0</v>
      </c>
      <c r="M43" s="38">
        <f t="shared" si="4"/>
        <v>0</v>
      </c>
    </row>
    <row r="44" spans="1:13" s="5" customFormat="1" ht="15.75">
      <c r="A44" s="15" t="s">
        <v>53</v>
      </c>
      <c r="B44" s="16" t="s">
        <v>60</v>
      </c>
      <c r="C44" s="35">
        <v>11617436</v>
      </c>
      <c r="D44" s="35">
        <v>11617031</v>
      </c>
      <c r="E44" s="35">
        <f>F44-2220241</f>
        <v>286054</v>
      </c>
      <c r="F44" s="35">
        <v>2506295</v>
      </c>
      <c r="G44" s="37">
        <f t="shared" si="0"/>
        <v>0.0037434739827225737</v>
      </c>
      <c r="H44" s="35">
        <f t="shared" si="2"/>
        <v>9110736</v>
      </c>
      <c r="I44" s="35">
        <f>J44-1668918</f>
        <v>837377</v>
      </c>
      <c r="J44" s="35">
        <v>2506295</v>
      </c>
      <c r="K44" s="37">
        <f t="shared" si="1"/>
        <v>0.0037656257416860683</v>
      </c>
      <c r="L44" s="38">
        <f t="shared" si="3"/>
        <v>9110736</v>
      </c>
      <c r="M44" s="38">
        <f t="shared" si="4"/>
        <v>0</v>
      </c>
    </row>
    <row r="45" spans="1:13" s="5" customFormat="1" ht="15.75">
      <c r="A45" s="15" t="s">
        <v>135</v>
      </c>
      <c r="B45" s="16" t="s">
        <v>136</v>
      </c>
      <c r="C45" s="35">
        <v>6000</v>
      </c>
      <c r="D45" s="35">
        <v>440</v>
      </c>
      <c r="E45" s="35">
        <f>F45-0</f>
        <v>0</v>
      </c>
      <c r="F45" s="35">
        <v>0</v>
      </c>
      <c r="G45" s="37">
        <f t="shared" si="0"/>
        <v>0</v>
      </c>
      <c r="H45" s="35">
        <f t="shared" si="2"/>
        <v>440</v>
      </c>
      <c r="I45" s="35">
        <f t="shared" si="5"/>
        <v>0</v>
      </c>
      <c r="J45" s="35">
        <v>0</v>
      </c>
      <c r="K45" s="37">
        <f t="shared" si="1"/>
        <v>0</v>
      </c>
      <c r="L45" s="38">
        <f>D45-J45</f>
        <v>440</v>
      </c>
      <c r="M45" s="38">
        <f t="shared" si="4"/>
        <v>0</v>
      </c>
    </row>
    <row r="46" spans="1:13" s="5" customFormat="1" ht="15.75">
      <c r="A46" s="15" t="s">
        <v>97</v>
      </c>
      <c r="B46" s="16" t="s">
        <v>237</v>
      </c>
      <c r="C46" s="35">
        <v>1391489</v>
      </c>
      <c r="D46" s="35">
        <v>1331489</v>
      </c>
      <c r="E46" s="35">
        <f>F46-0</f>
        <v>0</v>
      </c>
      <c r="F46" s="35">
        <v>0</v>
      </c>
      <c r="G46" s="37">
        <f t="shared" si="0"/>
        <v>0</v>
      </c>
      <c r="H46" s="35">
        <f t="shared" si="2"/>
        <v>1331489</v>
      </c>
      <c r="I46" s="35">
        <f t="shared" si="5"/>
        <v>0</v>
      </c>
      <c r="J46" s="35">
        <v>0</v>
      </c>
      <c r="K46" s="37">
        <f t="shared" si="1"/>
        <v>0</v>
      </c>
      <c r="L46" s="38">
        <f>D46-J46</f>
        <v>1331489</v>
      </c>
      <c r="M46" s="38">
        <f t="shared" si="4"/>
        <v>0</v>
      </c>
    </row>
    <row r="47" spans="1:13" s="5" customFormat="1" ht="15.75">
      <c r="A47" s="15" t="s">
        <v>191</v>
      </c>
      <c r="B47" s="16" t="s">
        <v>192</v>
      </c>
      <c r="C47" s="35">
        <v>60000</v>
      </c>
      <c r="D47" s="35">
        <v>0</v>
      </c>
      <c r="E47" s="35">
        <f>F47-0</f>
        <v>0</v>
      </c>
      <c r="F47" s="35">
        <v>0</v>
      </c>
      <c r="G47" s="37">
        <f t="shared" si="0"/>
        <v>0</v>
      </c>
      <c r="H47" s="35">
        <f t="shared" si="2"/>
        <v>0</v>
      </c>
      <c r="I47" s="35">
        <f t="shared" si="5"/>
        <v>0</v>
      </c>
      <c r="J47" s="35">
        <v>0</v>
      </c>
      <c r="K47" s="37">
        <f t="shared" si="1"/>
        <v>0</v>
      </c>
      <c r="L47" s="38">
        <f>D47-J47</f>
        <v>0</v>
      </c>
      <c r="M47" s="38">
        <f t="shared" si="4"/>
        <v>0</v>
      </c>
    </row>
    <row r="48" spans="1:13" s="5" customFormat="1" ht="15.75">
      <c r="A48" s="15" t="s">
        <v>54</v>
      </c>
      <c r="B48" s="16" t="s">
        <v>61</v>
      </c>
      <c r="C48" s="35">
        <v>932602387</v>
      </c>
      <c r="D48" s="35">
        <v>1030101285</v>
      </c>
      <c r="E48" s="35">
        <f>F48-750427218</f>
        <v>235218653</v>
      </c>
      <c r="F48" s="35">
        <v>985645871</v>
      </c>
      <c r="G48" s="37">
        <f aca="true" t="shared" si="6" ref="G48:G79">(F48/$F$235)*100</f>
        <v>1.4721888980612536</v>
      </c>
      <c r="H48" s="35">
        <f t="shared" si="2"/>
        <v>44455414</v>
      </c>
      <c r="I48" s="35">
        <f>J48-750427218</f>
        <v>235218653</v>
      </c>
      <c r="J48" s="35">
        <v>985645871</v>
      </c>
      <c r="K48" s="37">
        <f aca="true" t="shared" si="7" ref="K48:K79">(J48/$J$235)*100</f>
        <v>1.4809004782055526</v>
      </c>
      <c r="L48" s="38">
        <f>D48-J48</f>
        <v>44455414</v>
      </c>
      <c r="M48" s="38">
        <f t="shared" si="4"/>
        <v>0</v>
      </c>
    </row>
    <row r="49" spans="1:13" s="5" customFormat="1" ht="15.75">
      <c r="A49" s="15" t="s">
        <v>185</v>
      </c>
      <c r="B49" s="16" t="s">
        <v>186</v>
      </c>
      <c r="C49" s="35">
        <v>1000</v>
      </c>
      <c r="D49" s="35">
        <v>380</v>
      </c>
      <c r="E49" s="35">
        <f>F49-0</f>
        <v>0</v>
      </c>
      <c r="F49" s="35">
        <v>0</v>
      </c>
      <c r="G49" s="37">
        <f t="shared" si="6"/>
        <v>0</v>
      </c>
      <c r="H49" s="35">
        <f t="shared" si="2"/>
        <v>380</v>
      </c>
      <c r="I49" s="35">
        <f t="shared" si="5"/>
        <v>0</v>
      </c>
      <c r="J49" s="35">
        <v>0</v>
      </c>
      <c r="K49" s="37">
        <f t="shared" si="7"/>
        <v>0</v>
      </c>
      <c r="L49" s="38">
        <f t="shared" si="3"/>
        <v>380</v>
      </c>
      <c r="M49" s="38">
        <f t="shared" si="4"/>
        <v>0</v>
      </c>
    </row>
    <row r="50" spans="1:13" s="5" customFormat="1" ht="15.75">
      <c r="A50" s="15" t="s">
        <v>209</v>
      </c>
      <c r="B50" s="16" t="s">
        <v>210</v>
      </c>
      <c r="C50" s="35">
        <v>5000</v>
      </c>
      <c r="D50" s="35">
        <v>0</v>
      </c>
      <c r="E50" s="35">
        <f>F50-0</f>
        <v>0</v>
      </c>
      <c r="F50" s="35">
        <v>0</v>
      </c>
      <c r="G50" s="37">
        <f t="shared" si="6"/>
        <v>0</v>
      </c>
      <c r="H50" s="35">
        <f>D50-F50</f>
        <v>0</v>
      </c>
      <c r="I50" s="35">
        <f t="shared" si="5"/>
        <v>0</v>
      </c>
      <c r="J50" s="35">
        <v>0</v>
      </c>
      <c r="K50" s="37">
        <f t="shared" si="7"/>
        <v>0</v>
      </c>
      <c r="L50" s="38">
        <f>D50-J50</f>
        <v>0</v>
      </c>
      <c r="M50" s="38">
        <f t="shared" si="4"/>
        <v>0</v>
      </c>
    </row>
    <row r="51" spans="1:13" s="5" customFormat="1" ht="15.75">
      <c r="A51" s="26" t="s">
        <v>63</v>
      </c>
      <c r="B51" s="18" t="s">
        <v>62</v>
      </c>
      <c r="C51" s="32">
        <f>SUM(C52:C66)</f>
        <v>10835181425</v>
      </c>
      <c r="D51" s="32">
        <f>SUM(D52:D66)</f>
        <v>12588289678</v>
      </c>
      <c r="E51" s="32">
        <f>SUM(E52:E66)</f>
        <v>1969700071</v>
      </c>
      <c r="F51" s="32">
        <f>SUM(F52:F66)</f>
        <v>9722991100</v>
      </c>
      <c r="G51" s="33">
        <f t="shared" si="6"/>
        <v>14.522537936313618</v>
      </c>
      <c r="H51" s="32">
        <f t="shared" si="2"/>
        <v>2865298578</v>
      </c>
      <c r="I51" s="32">
        <f>SUM(I52:I66)</f>
        <v>2295658915</v>
      </c>
      <c r="J51" s="32">
        <f>SUM(J52:J66)</f>
        <v>9654124450</v>
      </c>
      <c r="K51" s="33">
        <f t="shared" si="7"/>
        <v>14.50500421632763</v>
      </c>
      <c r="L51" s="34">
        <f t="shared" si="3"/>
        <v>2934165228</v>
      </c>
      <c r="M51" s="34">
        <f>SUM(M52:M66)</f>
        <v>68866650</v>
      </c>
    </row>
    <row r="52" spans="1:13" s="5" customFormat="1" ht="15.75">
      <c r="A52" s="15" t="s">
        <v>28</v>
      </c>
      <c r="B52" s="16" t="s">
        <v>33</v>
      </c>
      <c r="C52" s="35">
        <v>8746165452</v>
      </c>
      <c r="D52" s="35">
        <v>9981833892</v>
      </c>
      <c r="E52" s="35">
        <f>F52-6603240478</f>
        <v>1439039087</v>
      </c>
      <c r="F52" s="35">
        <v>8042279565</v>
      </c>
      <c r="G52" s="37">
        <f t="shared" si="6"/>
        <v>12.012179058474327</v>
      </c>
      <c r="H52" s="35">
        <f t="shared" si="2"/>
        <v>1939554327</v>
      </c>
      <c r="I52" s="35">
        <f>J52-6448431416</f>
        <v>1566420383</v>
      </c>
      <c r="J52" s="35">
        <v>8014851799</v>
      </c>
      <c r="K52" s="37">
        <f t="shared" si="7"/>
        <v>12.042051015588067</v>
      </c>
      <c r="L52" s="38">
        <f t="shared" si="3"/>
        <v>1966982093</v>
      </c>
      <c r="M52" s="38">
        <f t="shared" si="4"/>
        <v>27427766</v>
      </c>
    </row>
    <row r="53" spans="1:13" s="5" customFormat="1" ht="15.75">
      <c r="A53" s="15" t="s">
        <v>49</v>
      </c>
      <c r="B53" s="16" t="s">
        <v>56</v>
      </c>
      <c r="C53" s="35">
        <v>563840578</v>
      </c>
      <c r="D53" s="35">
        <v>604667897</v>
      </c>
      <c r="E53" s="35">
        <f>F53-281871729</f>
        <v>74922827</v>
      </c>
      <c r="F53" s="35">
        <v>356794556</v>
      </c>
      <c r="G53" s="37">
        <f t="shared" si="6"/>
        <v>0.532918566075842</v>
      </c>
      <c r="H53" s="35">
        <f t="shared" si="2"/>
        <v>247873341</v>
      </c>
      <c r="I53" s="35">
        <f>J53-221797915</f>
        <v>130434729</v>
      </c>
      <c r="J53" s="35">
        <v>352232644</v>
      </c>
      <c r="K53" s="37">
        <f t="shared" si="7"/>
        <v>0.5292179537159611</v>
      </c>
      <c r="L53" s="38">
        <f t="shared" si="3"/>
        <v>252435253</v>
      </c>
      <c r="M53" s="38">
        <f t="shared" si="4"/>
        <v>4561912</v>
      </c>
    </row>
    <row r="54" spans="1:13" s="5" customFormat="1" ht="15.75">
      <c r="A54" s="15" t="s">
        <v>50</v>
      </c>
      <c r="B54" s="16" t="s">
        <v>57</v>
      </c>
      <c r="C54" s="35">
        <v>100000</v>
      </c>
      <c r="D54" s="35">
        <v>50000</v>
      </c>
      <c r="E54" s="35">
        <f>F54-0</f>
        <v>0</v>
      </c>
      <c r="F54" s="35">
        <v>0</v>
      </c>
      <c r="G54" s="37">
        <f t="shared" si="6"/>
        <v>0</v>
      </c>
      <c r="H54" s="35">
        <f>D54-F54</f>
        <v>50000</v>
      </c>
      <c r="I54" s="35">
        <f>J54-0</f>
        <v>0</v>
      </c>
      <c r="J54" s="35">
        <v>0</v>
      </c>
      <c r="K54" s="37">
        <f t="shared" si="7"/>
        <v>0</v>
      </c>
      <c r="L54" s="38">
        <f t="shared" si="3"/>
        <v>50000</v>
      </c>
      <c r="M54" s="38">
        <f t="shared" si="4"/>
        <v>0</v>
      </c>
    </row>
    <row r="55" spans="1:13" s="5" customFormat="1" ht="15.75">
      <c r="A55" s="15" t="s">
        <v>29</v>
      </c>
      <c r="B55" s="16" t="s">
        <v>34</v>
      </c>
      <c r="C55" s="35">
        <v>56148</v>
      </c>
      <c r="D55" s="35">
        <v>41148</v>
      </c>
      <c r="E55" s="35">
        <f>F55-0</f>
        <v>0</v>
      </c>
      <c r="F55" s="35">
        <v>0</v>
      </c>
      <c r="G55" s="37">
        <f t="shared" si="6"/>
        <v>0</v>
      </c>
      <c r="H55" s="35">
        <f t="shared" si="2"/>
        <v>41148</v>
      </c>
      <c r="I55" s="35">
        <f>J55-0</f>
        <v>0</v>
      </c>
      <c r="J55" s="35">
        <v>0</v>
      </c>
      <c r="K55" s="37">
        <f t="shared" si="7"/>
        <v>0</v>
      </c>
      <c r="L55" s="38">
        <f t="shared" si="3"/>
        <v>41148</v>
      </c>
      <c r="M55" s="38">
        <f t="shared" si="4"/>
        <v>0</v>
      </c>
    </row>
    <row r="56" spans="1:13" s="5" customFormat="1" ht="15.75">
      <c r="A56" s="15" t="s">
        <v>64</v>
      </c>
      <c r="B56" s="16" t="s">
        <v>72</v>
      </c>
      <c r="C56" s="35">
        <v>619551192</v>
      </c>
      <c r="D56" s="35">
        <v>908655391</v>
      </c>
      <c r="E56" s="35">
        <f>F56-271899054</f>
        <v>428534848</v>
      </c>
      <c r="F56" s="35">
        <v>700433902</v>
      </c>
      <c r="G56" s="37">
        <f t="shared" si="6"/>
        <v>1.0461881337806813</v>
      </c>
      <c r="H56" s="35">
        <f t="shared" si="2"/>
        <v>208221489</v>
      </c>
      <c r="I56" s="35">
        <f>J56-230429281</f>
        <v>469530017</v>
      </c>
      <c r="J56" s="35">
        <v>699959298</v>
      </c>
      <c r="K56" s="37">
        <f t="shared" si="7"/>
        <v>1.051665805773586</v>
      </c>
      <c r="L56" s="38">
        <f t="shared" si="3"/>
        <v>208696093</v>
      </c>
      <c r="M56" s="38">
        <f t="shared" si="4"/>
        <v>474604</v>
      </c>
    </row>
    <row r="57" spans="1:13" s="5" customFormat="1" ht="15.75">
      <c r="A57" s="15" t="s">
        <v>65</v>
      </c>
      <c r="B57" s="16" t="s">
        <v>73</v>
      </c>
      <c r="C57" s="35">
        <v>151793953</v>
      </c>
      <c r="D57" s="35">
        <v>190703791</v>
      </c>
      <c r="E57" s="35">
        <f>F57-101707866</f>
        <v>36194313</v>
      </c>
      <c r="F57" s="35">
        <v>137902179</v>
      </c>
      <c r="G57" s="37">
        <f t="shared" si="6"/>
        <v>0.20597464354645054</v>
      </c>
      <c r="H57" s="35">
        <f t="shared" si="2"/>
        <v>52801612</v>
      </c>
      <c r="I57" s="35">
        <f>J57-77171506</f>
        <v>60730673</v>
      </c>
      <c r="J57" s="35">
        <v>137902179</v>
      </c>
      <c r="K57" s="37">
        <f t="shared" si="7"/>
        <v>0.20719348483598296</v>
      </c>
      <c r="L57" s="38">
        <f t="shared" si="3"/>
        <v>52801612</v>
      </c>
      <c r="M57" s="38">
        <f t="shared" si="4"/>
        <v>0</v>
      </c>
    </row>
    <row r="58" spans="1:13" s="5" customFormat="1" ht="15.75">
      <c r="A58" s="15" t="s">
        <v>66</v>
      </c>
      <c r="B58" s="16" t="s">
        <v>74</v>
      </c>
      <c r="C58" s="35">
        <v>1000</v>
      </c>
      <c r="D58" s="35">
        <v>500</v>
      </c>
      <c r="E58" s="35">
        <f>F58-0</f>
        <v>0</v>
      </c>
      <c r="F58" s="35">
        <v>0</v>
      </c>
      <c r="G58" s="37">
        <f t="shared" si="6"/>
        <v>0</v>
      </c>
      <c r="H58" s="35">
        <f t="shared" si="2"/>
        <v>500</v>
      </c>
      <c r="I58" s="35">
        <f>J58-0</f>
        <v>0</v>
      </c>
      <c r="J58" s="35">
        <v>0</v>
      </c>
      <c r="K58" s="37">
        <f t="shared" si="7"/>
        <v>0</v>
      </c>
      <c r="L58" s="38">
        <f t="shared" si="3"/>
        <v>500</v>
      </c>
      <c r="M58" s="38">
        <f t="shared" si="4"/>
        <v>0</v>
      </c>
    </row>
    <row r="59" spans="1:13" s="5" customFormat="1" ht="15.75">
      <c r="A59" s="15" t="s">
        <v>67</v>
      </c>
      <c r="B59" s="16" t="s">
        <v>75</v>
      </c>
      <c r="C59" s="35">
        <v>148004000</v>
      </c>
      <c r="D59" s="35">
        <v>209892019</v>
      </c>
      <c r="E59" s="35">
        <f>F59-82748931</f>
        <v>17968228</v>
      </c>
      <c r="F59" s="35">
        <v>100717159</v>
      </c>
      <c r="G59" s="37">
        <f t="shared" si="6"/>
        <v>0.15043403283740847</v>
      </c>
      <c r="H59" s="35">
        <f t="shared" si="2"/>
        <v>109174860</v>
      </c>
      <c r="I59" s="35">
        <f>J59-47183373</f>
        <v>20908444</v>
      </c>
      <c r="J59" s="35">
        <v>68091817</v>
      </c>
      <c r="K59" s="37">
        <f t="shared" si="7"/>
        <v>0.10230571377007776</v>
      </c>
      <c r="L59" s="38">
        <f t="shared" si="3"/>
        <v>141800202</v>
      </c>
      <c r="M59" s="38">
        <f t="shared" si="4"/>
        <v>32625342</v>
      </c>
    </row>
    <row r="60" spans="1:13" s="5" customFormat="1" ht="15.75">
      <c r="A60" s="15" t="s">
        <v>68</v>
      </c>
      <c r="B60" s="16" t="s">
        <v>76</v>
      </c>
      <c r="C60" s="35">
        <v>419440141</v>
      </c>
      <c r="D60" s="35">
        <v>332867674</v>
      </c>
      <c r="E60" s="35">
        <f>F60-261849517</f>
        <v>-49833045</v>
      </c>
      <c r="F60" s="35">
        <v>212016472</v>
      </c>
      <c r="G60" s="37">
        <f t="shared" si="6"/>
        <v>0.3166738739217167</v>
      </c>
      <c r="H60" s="35">
        <f t="shared" si="2"/>
        <v>120851202</v>
      </c>
      <c r="I60" s="35">
        <f>J60-210626441</f>
        <v>1390031</v>
      </c>
      <c r="J60" s="35">
        <v>212016472</v>
      </c>
      <c r="K60" s="37">
        <f t="shared" si="7"/>
        <v>0.3185477705635863</v>
      </c>
      <c r="L60" s="38">
        <f t="shared" si="3"/>
        <v>120851202</v>
      </c>
      <c r="M60" s="38">
        <f t="shared" si="4"/>
        <v>0</v>
      </c>
    </row>
    <row r="61" spans="1:13" s="5" customFormat="1" ht="15.75">
      <c r="A61" s="15" t="s">
        <v>238</v>
      </c>
      <c r="B61" s="16" t="s">
        <v>239</v>
      </c>
      <c r="C61" s="35">
        <v>11395733</v>
      </c>
      <c r="D61" s="35">
        <v>13084816</v>
      </c>
      <c r="E61" s="35">
        <f>F61-9253351</f>
        <v>3631116</v>
      </c>
      <c r="F61" s="35">
        <v>12884467</v>
      </c>
      <c r="G61" s="37">
        <f t="shared" si="6"/>
        <v>0.019244608873156422</v>
      </c>
      <c r="H61" s="35">
        <f>D61-F61</f>
        <v>200349</v>
      </c>
      <c r="I61" s="35">
        <f>J61-9152648</f>
        <v>3731819</v>
      </c>
      <c r="J61" s="35">
        <v>12884467</v>
      </c>
      <c r="K61" s="37">
        <f t="shared" si="7"/>
        <v>0.01935848756954176</v>
      </c>
      <c r="L61" s="38">
        <f t="shared" si="3"/>
        <v>200349</v>
      </c>
      <c r="M61" s="38">
        <f t="shared" si="4"/>
        <v>0</v>
      </c>
    </row>
    <row r="62" spans="1:13" s="5" customFormat="1" ht="15.75">
      <c r="A62" s="15" t="s">
        <v>106</v>
      </c>
      <c r="B62" s="16" t="s">
        <v>108</v>
      </c>
      <c r="C62" s="35">
        <v>810000</v>
      </c>
      <c r="D62" s="35">
        <v>280000</v>
      </c>
      <c r="E62" s="35">
        <f>F62-0</f>
        <v>0</v>
      </c>
      <c r="F62" s="35">
        <v>0</v>
      </c>
      <c r="G62" s="37">
        <f t="shared" si="6"/>
        <v>0</v>
      </c>
      <c r="H62" s="35">
        <f>D62-F62</f>
        <v>280000</v>
      </c>
      <c r="I62" s="35">
        <f>J62-0</f>
        <v>0</v>
      </c>
      <c r="J62" s="35">
        <v>0</v>
      </c>
      <c r="K62" s="37">
        <f t="shared" si="7"/>
        <v>0</v>
      </c>
      <c r="L62" s="38">
        <f t="shared" si="3"/>
        <v>280000</v>
      </c>
      <c r="M62" s="38">
        <f t="shared" si="4"/>
        <v>0</v>
      </c>
    </row>
    <row r="63" spans="1:13" s="5" customFormat="1" ht="15.75">
      <c r="A63" s="15" t="s">
        <v>69</v>
      </c>
      <c r="B63" s="16" t="s">
        <v>77</v>
      </c>
      <c r="C63" s="35">
        <v>23806442</v>
      </c>
      <c r="D63" s="35">
        <v>149628239</v>
      </c>
      <c r="E63" s="35">
        <f>F63-20714535</f>
        <v>6604305</v>
      </c>
      <c r="F63" s="35">
        <v>27318840</v>
      </c>
      <c r="G63" s="37">
        <f t="shared" si="6"/>
        <v>0.040804201731304876</v>
      </c>
      <c r="H63" s="35">
        <f t="shared" si="2"/>
        <v>122309399</v>
      </c>
      <c r="I63" s="35">
        <f>J63-18325859</f>
        <v>8992981</v>
      </c>
      <c r="J63" s="35">
        <v>27318840</v>
      </c>
      <c r="K63" s="37">
        <f t="shared" si="7"/>
        <v>0.04104565788823863</v>
      </c>
      <c r="L63" s="38">
        <f t="shared" si="3"/>
        <v>122309399</v>
      </c>
      <c r="M63" s="38">
        <f t="shared" si="4"/>
        <v>0</v>
      </c>
    </row>
    <row r="64" spans="1:13" s="5" customFormat="1" ht="15.75">
      <c r="A64" s="15" t="s">
        <v>53</v>
      </c>
      <c r="B64" s="16" t="s">
        <v>60</v>
      </c>
      <c r="C64" s="35">
        <v>139221261</v>
      </c>
      <c r="D64" s="35">
        <v>149594061</v>
      </c>
      <c r="E64" s="35">
        <f>F64-90929223</f>
        <v>7402690</v>
      </c>
      <c r="F64" s="35">
        <v>98331913</v>
      </c>
      <c r="G64" s="37">
        <f t="shared" si="6"/>
        <v>0.14687136110746724</v>
      </c>
      <c r="H64" s="35">
        <f t="shared" si="2"/>
        <v>51262148</v>
      </c>
      <c r="I64" s="35">
        <f>J64-72960490</f>
        <v>21594397</v>
      </c>
      <c r="J64" s="35">
        <v>94554887</v>
      </c>
      <c r="K64" s="37">
        <f t="shared" si="7"/>
        <v>0.1420656054013663</v>
      </c>
      <c r="L64" s="38">
        <f t="shared" si="3"/>
        <v>55039174</v>
      </c>
      <c r="M64" s="38">
        <f t="shared" si="4"/>
        <v>3777026</v>
      </c>
    </row>
    <row r="65" spans="1:13" s="5" customFormat="1" ht="15.75">
      <c r="A65" s="15" t="s">
        <v>70</v>
      </c>
      <c r="B65" s="16" t="s">
        <v>78</v>
      </c>
      <c r="C65" s="35">
        <v>5119272</v>
      </c>
      <c r="D65" s="35">
        <v>4122477</v>
      </c>
      <c r="E65" s="35">
        <f>F65-3349867</f>
        <v>361029</v>
      </c>
      <c r="F65" s="35">
        <v>3710896</v>
      </c>
      <c r="G65" s="37">
        <f t="shared" si="6"/>
        <v>0.005542700531497396</v>
      </c>
      <c r="H65" s="35">
        <f t="shared" si="2"/>
        <v>411581</v>
      </c>
      <c r="I65" s="35">
        <f>J65-3044198</f>
        <v>666698</v>
      </c>
      <c r="J65" s="35">
        <v>3710896</v>
      </c>
      <c r="K65" s="37">
        <f t="shared" si="7"/>
        <v>0.005575499094208728</v>
      </c>
      <c r="L65" s="38">
        <f t="shared" si="3"/>
        <v>411581</v>
      </c>
      <c r="M65" s="38">
        <f t="shared" si="4"/>
        <v>0</v>
      </c>
    </row>
    <row r="66" spans="1:13" s="5" customFormat="1" ht="15.75">
      <c r="A66" s="15" t="s">
        <v>71</v>
      </c>
      <c r="B66" s="16" t="s">
        <v>79</v>
      </c>
      <c r="C66" s="35">
        <v>5876253</v>
      </c>
      <c r="D66" s="35">
        <v>42867773</v>
      </c>
      <c r="E66" s="35">
        <f>F66-25726478</f>
        <v>4874673</v>
      </c>
      <c r="F66" s="35">
        <v>30601151</v>
      </c>
      <c r="G66" s="37">
        <f t="shared" si="6"/>
        <v>0.04570675543376373</v>
      </c>
      <c r="H66" s="35">
        <f t="shared" si="2"/>
        <v>12266622</v>
      </c>
      <c r="I66" s="35">
        <f>J66-19342408</f>
        <v>11258743</v>
      </c>
      <c r="J66" s="35">
        <v>30601151</v>
      </c>
      <c r="K66" s="37">
        <f t="shared" si="7"/>
        <v>0.04597722212701313</v>
      </c>
      <c r="L66" s="38">
        <f t="shared" si="3"/>
        <v>12266622</v>
      </c>
      <c r="M66" s="38">
        <f t="shared" si="4"/>
        <v>0</v>
      </c>
    </row>
    <row r="67" spans="1:13" s="5" customFormat="1" ht="15.75">
      <c r="A67" s="26" t="s">
        <v>81</v>
      </c>
      <c r="B67" s="18" t="s">
        <v>80</v>
      </c>
      <c r="C67" s="32">
        <f>SUM(C68:C75)</f>
        <v>587756519</v>
      </c>
      <c r="D67" s="32">
        <f>SUM(D68:D75)</f>
        <v>519974479</v>
      </c>
      <c r="E67" s="32">
        <f>SUM(E68:E75)</f>
        <v>37848569</v>
      </c>
      <c r="F67" s="32">
        <f>SUM(F68:F75)</f>
        <v>179439462</v>
      </c>
      <c r="G67" s="33">
        <f t="shared" si="6"/>
        <v>0.26801591890449283</v>
      </c>
      <c r="H67" s="32">
        <f>D67-F67</f>
        <v>340535017</v>
      </c>
      <c r="I67" s="32">
        <f>SUM(I68:I75)</f>
        <v>53264169</v>
      </c>
      <c r="J67" s="32">
        <f>SUM(J68:J75)</f>
        <v>179439462</v>
      </c>
      <c r="K67" s="33">
        <f t="shared" si="7"/>
        <v>0.2696018853253504</v>
      </c>
      <c r="L67" s="34">
        <f>D67-J67</f>
        <v>340535017</v>
      </c>
      <c r="M67" s="34">
        <f>SUM(M68:M75)</f>
        <v>0</v>
      </c>
    </row>
    <row r="68" spans="1:13" s="5" customFormat="1" ht="15.75">
      <c r="A68" s="15" t="s">
        <v>28</v>
      </c>
      <c r="B68" s="16" t="s">
        <v>33</v>
      </c>
      <c r="C68" s="35">
        <v>60536271</v>
      </c>
      <c r="D68" s="35">
        <v>57966195</v>
      </c>
      <c r="E68" s="35">
        <f>F68-37788714</f>
        <v>8520488</v>
      </c>
      <c r="F68" s="35">
        <v>46309202</v>
      </c>
      <c r="G68" s="37">
        <f t="shared" si="6"/>
        <v>0.06916875022598863</v>
      </c>
      <c r="H68" s="35">
        <f t="shared" si="2"/>
        <v>11656993</v>
      </c>
      <c r="I68" s="35">
        <f>J68-36304911</f>
        <v>10004291</v>
      </c>
      <c r="J68" s="35">
        <v>46309202</v>
      </c>
      <c r="K68" s="37">
        <f t="shared" si="7"/>
        <v>0.06957805171703249</v>
      </c>
      <c r="L68" s="38">
        <f t="shared" si="3"/>
        <v>11656993</v>
      </c>
      <c r="M68" s="38">
        <f t="shared" si="4"/>
        <v>0</v>
      </c>
    </row>
    <row r="69" spans="1:13" s="5" customFormat="1" ht="15.75">
      <c r="A69" s="15" t="s">
        <v>64</v>
      </c>
      <c r="B69" s="16" t="s">
        <v>72</v>
      </c>
      <c r="C69" s="35">
        <v>109221603</v>
      </c>
      <c r="D69" s="35">
        <v>110936345</v>
      </c>
      <c r="E69" s="35">
        <f>F69-40772078</f>
        <v>19338651</v>
      </c>
      <c r="F69" s="35">
        <v>60110729</v>
      </c>
      <c r="G69" s="37">
        <f t="shared" si="6"/>
        <v>0.08978310617624315</v>
      </c>
      <c r="H69" s="35">
        <f t="shared" si="2"/>
        <v>50825616</v>
      </c>
      <c r="I69" s="35">
        <f>J69-31840727</f>
        <v>28270002</v>
      </c>
      <c r="J69" s="35">
        <v>60110729</v>
      </c>
      <c r="K69" s="37">
        <f t="shared" si="7"/>
        <v>0.09031439175113673</v>
      </c>
      <c r="L69" s="38">
        <f t="shared" si="3"/>
        <v>50825616</v>
      </c>
      <c r="M69" s="38">
        <f t="shared" si="4"/>
        <v>0</v>
      </c>
    </row>
    <row r="70" spans="1:13" s="5" customFormat="1" ht="15.75">
      <c r="A70" s="15" t="s">
        <v>52</v>
      </c>
      <c r="B70" s="16" t="s">
        <v>59</v>
      </c>
      <c r="C70" s="35">
        <v>3001033</v>
      </c>
      <c r="D70" s="35">
        <v>3001033</v>
      </c>
      <c r="E70" s="35">
        <f>F70-0</f>
        <v>0</v>
      </c>
      <c r="F70" s="35">
        <v>0</v>
      </c>
      <c r="G70" s="37">
        <f t="shared" si="6"/>
        <v>0</v>
      </c>
      <c r="H70" s="35">
        <f t="shared" si="2"/>
        <v>3001033</v>
      </c>
      <c r="I70" s="35">
        <f aca="true" t="shared" si="8" ref="I70:I75">J70-0</f>
        <v>0</v>
      </c>
      <c r="J70" s="35">
        <v>0</v>
      </c>
      <c r="K70" s="37">
        <f t="shared" si="7"/>
        <v>0</v>
      </c>
      <c r="L70" s="38">
        <f t="shared" si="3"/>
        <v>3001033</v>
      </c>
      <c r="M70" s="38">
        <f t="shared" si="4"/>
        <v>0</v>
      </c>
    </row>
    <row r="71" spans="1:13" s="5" customFormat="1" ht="15.75">
      <c r="A71" s="15" t="s">
        <v>131</v>
      </c>
      <c r="B71" s="16" t="s">
        <v>132</v>
      </c>
      <c r="C71" s="35">
        <v>5000</v>
      </c>
      <c r="D71" s="35">
        <v>5000</v>
      </c>
      <c r="E71" s="35">
        <f>F71-0</f>
        <v>0</v>
      </c>
      <c r="F71" s="35">
        <v>0</v>
      </c>
      <c r="G71" s="37">
        <f t="shared" si="6"/>
        <v>0</v>
      </c>
      <c r="H71" s="35">
        <f>D71-F71</f>
        <v>5000</v>
      </c>
      <c r="I71" s="35">
        <f t="shared" si="8"/>
        <v>0</v>
      </c>
      <c r="J71" s="35">
        <v>0</v>
      </c>
      <c r="K71" s="37">
        <f t="shared" si="7"/>
        <v>0</v>
      </c>
      <c r="L71" s="38">
        <f t="shared" si="3"/>
        <v>5000</v>
      </c>
      <c r="M71" s="38">
        <f t="shared" si="4"/>
        <v>0</v>
      </c>
    </row>
    <row r="72" spans="1:13" s="5" customFormat="1" ht="15.75">
      <c r="A72" s="15" t="s">
        <v>82</v>
      </c>
      <c r="B72" s="16" t="s">
        <v>84</v>
      </c>
      <c r="C72" s="35">
        <v>22716759</v>
      </c>
      <c r="D72" s="35">
        <v>26957940</v>
      </c>
      <c r="E72" s="35">
        <f>F72-3038590</f>
        <v>822524</v>
      </c>
      <c r="F72" s="35">
        <v>3861114</v>
      </c>
      <c r="G72" s="37">
        <f t="shared" si="6"/>
        <v>0.005767070437967553</v>
      </c>
      <c r="H72" s="35">
        <f t="shared" si="2"/>
        <v>23096826</v>
      </c>
      <c r="I72" s="35">
        <f>J72-2792332</f>
        <v>1068782</v>
      </c>
      <c r="J72" s="35">
        <v>3861114</v>
      </c>
      <c r="K72" s="37">
        <f t="shared" si="7"/>
        <v>0.005801196694716489</v>
      </c>
      <c r="L72" s="38">
        <f t="shared" si="3"/>
        <v>23096826</v>
      </c>
      <c r="M72" s="38">
        <f t="shared" si="4"/>
        <v>0</v>
      </c>
    </row>
    <row r="73" spans="1:13" s="5" customFormat="1" ht="15.75">
      <c r="A73" s="15" t="s">
        <v>83</v>
      </c>
      <c r="B73" s="16" t="s">
        <v>85</v>
      </c>
      <c r="C73" s="35">
        <v>336388354</v>
      </c>
      <c r="D73" s="35">
        <v>275697458</v>
      </c>
      <c r="E73" s="35">
        <f>F73-59719096</f>
        <v>9160208</v>
      </c>
      <c r="F73" s="35">
        <v>68879304</v>
      </c>
      <c r="G73" s="37">
        <f t="shared" si="6"/>
        <v>0.10288010089476254</v>
      </c>
      <c r="H73" s="35">
        <f t="shared" si="2"/>
        <v>206818154</v>
      </c>
      <c r="I73" s="35">
        <f>J73-54964908</f>
        <v>13914396</v>
      </c>
      <c r="J73" s="35">
        <v>68879304</v>
      </c>
      <c r="K73" s="37">
        <f t="shared" si="7"/>
        <v>0.10348888706709312</v>
      </c>
      <c r="L73" s="38">
        <f t="shared" si="3"/>
        <v>206818154</v>
      </c>
      <c r="M73" s="38">
        <f t="shared" si="4"/>
        <v>0</v>
      </c>
    </row>
    <row r="74" spans="1:13" s="5" customFormat="1" ht="15.75">
      <c r="A74" s="15" t="s">
        <v>68</v>
      </c>
      <c r="B74" s="16" t="s">
        <v>76</v>
      </c>
      <c r="C74" s="35">
        <v>54442499</v>
      </c>
      <c r="D74" s="35">
        <v>43965508</v>
      </c>
      <c r="E74" s="35">
        <f>F74-272415</f>
        <v>6698</v>
      </c>
      <c r="F74" s="35">
        <v>279113</v>
      </c>
      <c r="G74" s="37">
        <f t="shared" si="6"/>
        <v>0.0004168911695309793</v>
      </c>
      <c r="H74" s="35">
        <f>D74-F74</f>
        <v>43686395</v>
      </c>
      <c r="I74" s="35">
        <f>J74-272415</f>
        <v>6698</v>
      </c>
      <c r="J74" s="35">
        <v>279113</v>
      </c>
      <c r="K74" s="37">
        <f t="shared" si="7"/>
        <v>0.0004193580953715439</v>
      </c>
      <c r="L74" s="38">
        <f t="shared" si="3"/>
        <v>43686395</v>
      </c>
      <c r="M74" s="38">
        <f t="shared" si="4"/>
        <v>0</v>
      </c>
    </row>
    <row r="75" spans="1:13" s="5" customFormat="1" ht="15.75">
      <c r="A75" s="15" t="s">
        <v>53</v>
      </c>
      <c r="B75" s="16" t="s">
        <v>60</v>
      </c>
      <c r="C75" s="35">
        <v>1445000</v>
      </c>
      <c r="D75" s="35">
        <v>1445000</v>
      </c>
      <c r="E75" s="35">
        <f>F75-0</f>
        <v>0</v>
      </c>
      <c r="F75" s="35">
        <v>0</v>
      </c>
      <c r="G75" s="37">
        <f t="shared" si="6"/>
        <v>0</v>
      </c>
      <c r="H75" s="35">
        <f t="shared" si="2"/>
        <v>1445000</v>
      </c>
      <c r="I75" s="35">
        <f t="shared" si="8"/>
        <v>0</v>
      </c>
      <c r="J75" s="35">
        <v>0</v>
      </c>
      <c r="K75" s="37">
        <f t="shared" si="7"/>
        <v>0</v>
      </c>
      <c r="L75" s="38">
        <f t="shared" si="3"/>
        <v>1445000</v>
      </c>
      <c r="M75" s="38">
        <f t="shared" si="4"/>
        <v>0</v>
      </c>
    </row>
    <row r="76" spans="1:13" s="5" customFormat="1" ht="15.75">
      <c r="A76" s="26" t="s">
        <v>87</v>
      </c>
      <c r="B76" s="18" t="s">
        <v>86</v>
      </c>
      <c r="C76" s="32">
        <f>SUM(C77:C79)</f>
        <v>22627160924</v>
      </c>
      <c r="D76" s="32">
        <f>SUM(D77:D79)</f>
        <v>24491080410</v>
      </c>
      <c r="E76" s="32">
        <f>SUM(E77:E79)</f>
        <v>4445691173</v>
      </c>
      <c r="F76" s="32">
        <f>SUM(F77:F79)</f>
        <v>21506489690</v>
      </c>
      <c r="G76" s="33">
        <f t="shared" si="6"/>
        <v>32.12270886476104</v>
      </c>
      <c r="H76" s="32">
        <f t="shared" si="2"/>
        <v>2984590720</v>
      </c>
      <c r="I76" s="32">
        <f>SUM(I77:I79)</f>
        <v>4494618631</v>
      </c>
      <c r="J76" s="32">
        <f>SUM(J77:J79)</f>
        <v>21476390519</v>
      </c>
      <c r="K76" s="33">
        <f t="shared" si="7"/>
        <v>32.267569849857665</v>
      </c>
      <c r="L76" s="34">
        <f t="shared" si="3"/>
        <v>3014689891</v>
      </c>
      <c r="M76" s="34">
        <f>SUM(M77:M79)</f>
        <v>30099171</v>
      </c>
    </row>
    <row r="77" spans="1:13" s="5" customFormat="1" ht="15.75">
      <c r="A77" s="15" t="s">
        <v>28</v>
      </c>
      <c r="B77" s="16" t="s">
        <v>33</v>
      </c>
      <c r="C77" s="35">
        <v>2831630799</v>
      </c>
      <c r="D77" s="35">
        <v>2424249959</v>
      </c>
      <c r="E77" s="35">
        <f>F77-2096424449</f>
        <v>325463615</v>
      </c>
      <c r="F77" s="35">
        <v>2421888064</v>
      </c>
      <c r="G77" s="37">
        <f t="shared" si="6"/>
        <v>3.617401366020498</v>
      </c>
      <c r="H77" s="35">
        <f t="shared" si="2"/>
        <v>2361895</v>
      </c>
      <c r="I77" s="35">
        <f>J77-2057998032</f>
        <v>333859461</v>
      </c>
      <c r="J77" s="35">
        <v>2391857493</v>
      </c>
      <c r="K77" s="37">
        <f t="shared" si="7"/>
        <v>3.593687154179977</v>
      </c>
      <c r="L77" s="38">
        <f t="shared" si="3"/>
        <v>32392466</v>
      </c>
      <c r="M77" s="38">
        <f t="shared" si="4"/>
        <v>30030571</v>
      </c>
    </row>
    <row r="78" spans="1:13" s="5" customFormat="1" ht="15.75">
      <c r="A78" s="15" t="s">
        <v>49</v>
      </c>
      <c r="B78" s="16" t="s">
        <v>56</v>
      </c>
      <c r="C78" s="35">
        <v>700000</v>
      </c>
      <c r="D78" s="35">
        <v>68600</v>
      </c>
      <c r="E78" s="35">
        <f>F78-68600</f>
        <v>0</v>
      </c>
      <c r="F78" s="35">
        <v>68600</v>
      </c>
      <c r="G78" s="37">
        <f t="shared" si="6"/>
        <v>0.00010246292444216204</v>
      </c>
      <c r="H78" s="35">
        <f t="shared" si="2"/>
        <v>0</v>
      </c>
      <c r="I78" s="35">
        <f>J78-0</f>
        <v>0</v>
      </c>
      <c r="J78" s="35">
        <v>0</v>
      </c>
      <c r="K78" s="37">
        <f t="shared" si="7"/>
        <v>0</v>
      </c>
      <c r="L78" s="38">
        <f t="shared" si="3"/>
        <v>68600</v>
      </c>
      <c r="M78" s="38">
        <f t="shared" si="4"/>
        <v>68600</v>
      </c>
    </row>
    <row r="79" spans="1:13" s="5" customFormat="1" ht="15.75">
      <c r="A79" s="15" t="s">
        <v>88</v>
      </c>
      <c r="B79" s="16" t="s">
        <v>89</v>
      </c>
      <c r="C79" s="35">
        <v>19794830125</v>
      </c>
      <c r="D79" s="35">
        <v>22066761851</v>
      </c>
      <c r="E79" s="35">
        <f>F79-14964305468</f>
        <v>4120227558</v>
      </c>
      <c r="F79" s="35">
        <v>19084533026</v>
      </c>
      <c r="G79" s="37">
        <f t="shared" si="6"/>
        <v>28.5052050358161</v>
      </c>
      <c r="H79" s="35">
        <f t="shared" si="2"/>
        <v>2982228825</v>
      </c>
      <c r="I79" s="35">
        <f>J79-14923773856</f>
        <v>4160759170</v>
      </c>
      <c r="J79" s="35">
        <v>19084533026</v>
      </c>
      <c r="K79" s="37">
        <f t="shared" si="7"/>
        <v>28.673882695677687</v>
      </c>
      <c r="L79" s="38">
        <f t="shared" si="3"/>
        <v>2982228825</v>
      </c>
      <c r="M79" s="38">
        <f t="shared" si="4"/>
        <v>0</v>
      </c>
    </row>
    <row r="80" spans="1:13" s="5" customFormat="1" ht="15.75">
      <c r="A80" s="26" t="s">
        <v>90</v>
      </c>
      <c r="B80" s="18" t="s">
        <v>91</v>
      </c>
      <c r="C80" s="32">
        <f>SUM(C81:C90)</f>
        <v>6212062031</v>
      </c>
      <c r="D80" s="32">
        <f>SUM(D81:D90)</f>
        <v>7056524260</v>
      </c>
      <c r="E80" s="32">
        <f>SUM(E81:E90)</f>
        <v>1527459411</v>
      </c>
      <c r="F80" s="32">
        <f>SUM(F81:F90)</f>
        <v>5529947790</v>
      </c>
      <c r="G80" s="33">
        <f aca="true" t="shared" si="9" ref="G80:G111">(F80/$F$235)*100</f>
        <v>8.25968837574156</v>
      </c>
      <c r="H80" s="32">
        <f t="shared" si="2"/>
        <v>1526576470</v>
      </c>
      <c r="I80" s="32">
        <f>SUM(I81:I90)</f>
        <v>2024564780</v>
      </c>
      <c r="J80" s="32">
        <f>SUM(J81:J90)</f>
        <v>5503434394</v>
      </c>
      <c r="K80" s="33">
        <f aca="true" t="shared" si="10" ref="K80:K111">(J80/$J$235)*100</f>
        <v>8.268729028995736</v>
      </c>
      <c r="L80" s="34">
        <f t="shared" si="3"/>
        <v>1553089866</v>
      </c>
      <c r="M80" s="34">
        <f>SUM(M81:M90)</f>
        <v>26513396</v>
      </c>
    </row>
    <row r="81" spans="1:13" s="5" customFormat="1" ht="15.75">
      <c r="A81" s="15" t="s">
        <v>28</v>
      </c>
      <c r="B81" s="16" t="s">
        <v>33</v>
      </c>
      <c r="C81" s="35">
        <v>1069288678</v>
      </c>
      <c r="D81" s="35">
        <v>1195877874</v>
      </c>
      <c r="E81" s="35">
        <f>F81-675018951</f>
        <v>112234784</v>
      </c>
      <c r="F81" s="35">
        <v>787253735</v>
      </c>
      <c r="G81" s="37">
        <f t="shared" si="9"/>
        <v>1.1758647225381176</v>
      </c>
      <c r="H81" s="35">
        <f t="shared" si="2"/>
        <v>408624139</v>
      </c>
      <c r="I81" s="35">
        <f>J81-616816741</f>
        <v>170422204</v>
      </c>
      <c r="J81" s="35">
        <v>787238945</v>
      </c>
      <c r="K81" s="37">
        <f t="shared" si="10"/>
        <v>1.1828006025427107</v>
      </c>
      <c r="L81" s="38">
        <f t="shared" si="3"/>
        <v>408638929</v>
      </c>
      <c r="M81" s="38">
        <f t="shared" si="4"/>
        <v>14790</v>
      </c>
    </row>
    <row r="82" spans="1:13" s="5" customFormat="1" ht="15.75">
      <c r="A82" s="15" t="s">
        <v>29</v>
      </c>
      <c r="B82" s="16" t="s">
        <v>34</v>
      </c>
      <c r="C82" s="35">
        <v>12099460</v>
      </c>
      <c r="D82" s="35">
        <v>9771462</v>
      </c>
      <c r="E82" s="35">
        <f>F82-6645471</f>
        <v>1961358</v>
      </c>
      <c r="F82" s="35">
        <v>8606829</v>
      </c>
      <c r="G82" s="37">
        <f t="shared" si="9"/>
        <v>0.012855406261131328</v>
      </c>
      <c r="H82" s="35">
        <f t="shared" si="2"/>
        <v>1164633</v>
      </c>
      <c r="I82" s="35">
        <f>J82-5648009</f>
        <v>2958820</v>
      </c>
      <c r="J82" s="35">
        <v>8606829</v>
      </c>
      <c r="K82" s="37">
        <f t="shared" si="10"/>
        <v>0.012931477274897872</v>
      </c>
      <c r="L82" s="38">
        <f t="shared" si="3"/>
        <v>1164633</v>
      </c>
      <c r="M82" s="38">
        <f t="shared" si="4"/>
        <v>0</v>
      </c>
    </row>
    <row r="83" spans="1:13" s="5" customFormat="1" ht="15.75">
      <c r="A83" s="15" t="s">
        <v>65</v>
      </c>
      <c r="B83" s="16" t="s">
        <v>73</v>
      </c>
      <c r="C83" s="35">
        <v>206910176</v>
      </c>
      <c r="D83" s="35">
        <v>220991142</v>
      </c>
      <c r="E83" s="35">
        <f>F83-119319597</f>
        <v>25582237</v>
      </c>
      <c r="F83" s="35">
        <v>144901834</v>
      </c>
      <c r="G83" s="37">
        <f t="shared" si="9"/>
        <v>0.21642952869785287</v>
      </c>
      <c r="H83" s="35">
        <f t="shared" si="2"/>
        <v>76089308</v>
      </c>
      <c r="I83" s="35">
        <f>J83-110979299</f>
        <v>33922535</v>
      </c>
      <c r="J83" s="35">
        <v>144901834</v>
      </c>
      <c r="K83" s="37">
        <f t="shared" si="10"/>
        <v>0.21771023607672743</v>
      </c>
      <c r="L83" s="38">
        <f t="shared" si="3"/>
        <v>76089308</v>
      </c>
      <c r="M83" s="38">
        <f aca="true" t="shared" si="11" ref="M83:M122">F83-J83</f>
        <v>0</v>
      </c>
    </row>
    <row r="84" spans="1:13" s="5" customFormat="1" ht="15.75">
      <c r="A84" s="15" t="s">
        <v>83</v>
      </c>
      <c r="B84" s="16" t="s">
        <v>85</v>
      </c>
      <c r="C84" s="35">
        <v>143105</v>
      </c>
      <c r="D84" s="35">
        <v>143105</v>
      </c>
      <c r="E84" s="35">
        <f>F84-0</f>
        <v>0</v>
      </c>
      <c r="F84" s="35">
        <v>0</v>
      </c>
      <c r="G84" s="37">
        <f t="shared" si="9"/>
        <v>0</v>
      </c>
      <c r="H84" s="35">
        <f t="shared" si="2"/>
        <v>143105</v>
      </c>
      <c r="I84" s="35">
        <f>J84-0</f>
        <v>0</v>
      </c>
      <c r="J84" s="35">
        <v>0</v>
      </c>
      <c r="K84" s="37">
        <f t="shared" si="10"/>
        <v>0</v>
      </c>
      <c r="L84" s="38">
        <f t="shared" si="3"/>
        <v>143105</v>
      </c>
      <c r="M84" s="38">
        <f t="shared" si="11"/>
        <v>0</v>
      </c>
    </row>
    <row r="85" spans="1:13" s="5" customFormat="1" ht="15.75">
      <c r="A85" s="15" t="s">
        <v>92</v>
      </c>
      <c r="B85" s="16" t="s">
        <v>98</v>
      </c>
      <c r="C85" s="35">
        <v>642992060</v>
      </c>
      <c r="D85" s="35">
        <v>321400380</v>
      </c>
      <c r="E85" s="35">
        <f>F85-46488584</f>
        <v>105844725</v>
      </c>
      <c r="F85" s="35">
        <v>152333309</v>
      </c>
      <c r="G85" s="37">
        <f t="shared" si="9"/>
        <v>0.22752939256693183</v>
      </c>
      <c r="H85" s="35">
        <f t="shared" si="2"/>
        <v>169067071</v>
      </c>
      <c r="I85" s="35">
        <f>J85-46406436</f>
        <v>105909818</v>
      </c>
      <c r="J85" s="35">
        <v>152316254</v>
      </c>
      <c r="K85" s="37">
        <f t="shared" si="10"/>
        <v>0.22885015807779752</v>
      </c>
      <c r="L85" s="38">
        <f t="shared" si="3"/>
        <v>169084126</v>
      </c>
      <c r="M85" s="38">
        <f t="shared" si="11"/>
        <v>17055</v>
      </c>
    </row>
    <row r="86" spans="1:13" s="5" customFormat="1" ht="15.75">
      <c r="A86" s="15" t="s">
        <v>67</v>
      </c>
      <c r="B86" s="16" t="s">
        <v>75</v>
      </c>
      <c r="C86" s="35">
        <v>3910514046</v>
      </c>
      <c r="D86" s="35">
        <v>4926327485</v>
      </c>
      <c r="E86" s="35">
        <f>F86-3004355406</f>
        <v>1235992098</v>
      </c>
      <c r="F86" s="35">
        <v>4240347504</v>
      </c>
      <c r="G86" s="37">
        <f t="shared" si="9"/>
        <v>6.333504459342018</v>
      </c>
      <c r="H86" s="35">
        <f t="shared" si="2"/>
        <v>685979981</v>
      </c>
      <c r="I86" s="35">
        <f>J86-2582294803</f>
        <v>1642876785</v>
      </c>
      <c r="J86" s="35">
        <v>4225171588</v>
      </c>
      <c r="K86" s="37">
        <f t="shared" si="10"/>
        <v>6.348181237569161</v>
      </c>
      <c r="L86" s="38">
        <f t="shared" si="3"/>
        <v>701155897</v>
      </c>
      <c r="M86" s="38">
        <f t="shared" si="11"/>
        <v>15175916</v>
      </c>
    </row>
    <row r="87" spans="1:13" s="5" customFormat="1" ht="15.75">
      <c r="A87" s="15" t="s">
        <v>93</v>
      </c>
      <c r="B87" s="16" t="s">
        <v>99</v>
      </c>
      <c r="C87" s="35">
        <v>321378591</v>
      </c>
      <c r="D87" s="35">
        <v>294891489</v>
      </c>
      <c r="E87" s="35">
        <f>F87-133383809</f>
        <v>-1114229</v>
      </c>
      <c r="F87" s="35">
        <v>132269580</v>
      </c>
      <c r="G87" s="37">
        <f t="shared" si="9"/>
        <v>0.1975616323839141</v>
      </c>
      <c r="H87" s="35">
        <f t="shared" si="2"/>
        <v>162621909</v>
      </c>
      <c r="I87" s="35">
        <f>J87-102755094</f>
        <v>20614752</v>
      </c>
      <c r="J87" s="35">
        <v>123369846</v>
      </c>
      <c r="K87" s="37">
        <f t="shared" si="10"/>
        <v>0.18535913284168307</v>
      </c>
      <c r="L87" s="38">
        <f t="shared" si="3"/>
        <v>171521643</v>
      </c>
      <c r="M87" s="38">
        <f t="shared" si="11"/>
        <v>8899734</v>
      </c>
    </row>
    <row r="88" spans="1:13" s="5" customFormat="1" ht="15.75">
      <c r="A88" s="15" t="s">
        <v>94</v>
      </c>
      <c r="B88" s="16" t="s">
        <v>100</v>
      </c>
      <c r="C88" s="35">
        <v>20775162</v>
      </c>
      <c r="D88" s="35">
        <v>21897843</v>
      </c>
      <c r="E88" s="35">
        <f>F88-5444193</f>
        <v>7418187</v>
      </c>
      <c r="F88" s="35">
        <v>12862380</v>
      </c>
      <c r="G88" s="37">
        <f t="shared" si="9"/>
        <v>0.019211619097469042</v>
      </c>
      <c r="H88" s="35">
        <f t="shared" si="2"/>
        <v>9035463</v>
      </c>
      <c r="I88" s="35">
        <f>J88-4024950</f>
        <v>8734719</v>
      </c>
      <c r="J88" s="35">
        <v>12759669</v>
      </c>
      <c r="K88" s="37">
        <f t="shared" si="10"/>
        <v>0.019170982682323402</v>
      </c>
      <c r="L88" s="38">
        <f t="shared" si="3"/>
        <v>9138174</v>
      </c>
      <c r="M88" s="38">
        <f t="shared" si="11"/>
        <v>102711</v>
      </c>
    </row>
    <row r="89" spans="1:13" s="5" customFormat="1" ht="15.75">
      <c r="A89" s="15" t="s">
        <v>95</v>
      </c>
      <c r="B89" s="16" t="s">
        <v>101</v>
      </c>
      <c r="C89" s="35">
        <v>27860753</v>
      </c>
      <c r="D89" s="35">
        <v>65123480</v>
      </c>
      <c r="E89" s="35">
        <f>F89-11805368</f>
        <v>39540251</v>
      </c>
      <c r="F89" s="35">
        <v>51345619</v>
      </c>
      <c r="G89" s="37">
        <f t="shared" si="9"/>
        <v>0.0766912868809481</v>
      </c>
      <c r="H89" s="35">
        <f t="shared" si="2"/>
        <v>13777861</v>
      </c>
      <c r="I89" s="35">
        <f>J89-9917282</f>
        <v>39125147</v>
      </c>
      <c r="J89" s="35">
        <v>49042429</v>
      </c>
      <c r="K89" s="37">
        <f t="shared" si="10"/>
        <v>0.07368463531915091</v>
      </c>
      <c r="L89" s="38">
        <f t="shared" si="3"/>
        <v>16081051</v>
      </c>
      <c r="M89" s="38">
        <f t="shared" si="11"/>
        <v>2303190</v>
      </c>
    </row>
    <row r="90" spans="1:13" s="5" customFormat="1" ht="15.75">
      <c r="A90" s="15" t="s">
        <v>97</v>
      </c>
      <c r="B90" s="16" t="s">
        <v>241</v>
      </c>
      <c r="C90" s="35">
        <v>100000</v>
      </c>
      <c r="D90" s="35">
        <v>100000</v>
      </c>
      <c r="E90" s="35">
        <f>F90-27000</f>
        <v>0</v>
      </c>
      <c r="F90" s="35">
        <v>27000</v>
      </c>
      <c r="G90" s="37">
        <f t="shared" si="9"/>
        <v>4.0327973176944244E-05</v>
      </c>
      <c r="H90" s="35">
        <f t="shared" si="2"/>
        <v>73000</v>
      </c>
      <c r="I90" s="35">
        <f>J90-27000</f>
        <v>0</v>
      </c>
      <c r="J90" s="35">
        <v>27000</v>
      </c>
      <c r="K90" s="37">
        <f t="shared" si="10"/>
        <v>4.056661128299895E-05</v>
      </c>
      <c r="L90" s="38">
        <f t="shared" si="3"/>
        <v>73000</v>
      </c>
      <c r="M90" s="38">
        <f t="shared" si="11"/>
        <v>0</v>
      </c>
    </row>
    <row r="91" spans="1:13" s="5" customFormat="1" ht="15.75">
      <c r="A91" s="26" t="s">
        <v>104</v>
      </c>
      <c r="B91" s="18" t="s">
        <v>103</v>
      </c>
      <c r="C91" s="32">
        <f>SUM(C92:C95)</f>
        <v>23630612</v>
      </c>
      <c r="D91" s="32">
        <f>SUM(D92:D95)</f>
        <v>43419449</v>
      </c>
      <c r="E91" s="32">
        <f>SUM(E92:E95)</f>
        <v>4308815</v>
      </c>
      <c r="F91" s="32">
        <f>SUM(F92:F95)</f>
        <v>25286045</v>
      </c>
      <c r="G91" s="33">
        <f t="shared" si="9"/>
        <v>0.03776796090781501</v>
      </c>
      <c r="H91" s="32">
        <f t="shared" si="2"/>
        <v>18133404</v>
      </c>
      <c r="I91" s="32">
        <f>SUM(I92:I95)</f>
        <v>4812139</v>
      </c>
      <c r="J91" s="32">
        <f>SUM(J92:J95)</f>
        <v>25286045</v>
      </c>
      <c r="K91" s="33">
        <f t="shared" si="10"/>
        <v>0.037991450311089595</v>
      </c>
      <c r="L91" s="34">
        <f t="shared" si="3"/>
        <v>18133404</v>
      </c>
      <c r="M91" s="34">
        <f>SUM(M92:M95)</f>
        <v>0</v>
      </c>
    </row>
    <row r="92" spans="1:13" s="5" customFormat="1" ht="15.75">
      <c r="A92" s="15" t="s">
        <v>28</v>
      </c>
      <c r="B92" s="16" t="s">
        <v>33</v>
      </c>
      <c r="C92" s="35">
        <v>13518179</v>
      </c>
      <c r="D92" s="35">
        <v>27080719</v>
      </c>
      <c r="E92" s="35">
        <f>F92-18402365</f>
        <v>5064821</v>
      </c>
      <c r="F92" s="35">
        <v>23467186</v>
      </c>
      <c r="G92" s="37">
        <f t="shared" si="9"/>
        <v>0.03505126102023561</v>
      </c>
      <c r="H92" s="35">
        <f t="shared" si="2"/>
        <v>3613533</v>
      </c>
      <c r="I92" s="35">
        <f>J92-18108396</f>
        <v>5358790</v>
      </c>
      <c r="J92" s="35">
        <v>23467186</v>
      </c>
      <c r="K92" s="37">
        <f t="shared" si="10"/>
        <v>0.03525867453214203</v>
      </c>
      <c r="L92" s="38">
        <f t="shared" si="3"/>
        <v>3613533</v>
      </c>
      <c r="M92" s="38">
        <f t="shared" si="11"/>
        <v>0</v>
      </c>
    </row>
    <row r="93" spans="1:13" s="5" customFormat="1" ht="15.75">
      <c r="A93" s="15" t="s">
        <v>242</v>
      </c>
      <c r="B93" s="16" t="s">
        <v>243</v>
      </c>
      <c r="C93" s="35">
        <v>505000</v>
      </c>
      <c r="D93" s="35">
        <v>452500</v>
      </c>
      <c r="E93" s="35">
        <f>F93-1419</f>
        <v>0</v>
      </c>
      <c r="F93" s="35">
        <v>1419</v>
      </c>
      <c r="G93" s="37">
        <f t="shared" si="9"/>
        <v>2.1194590347438474E-06</v>
      </c>
      <c r="H93" s="35">
        <f>D93-F93</f>
        <v>451081</v>
      </c>
      <c r="I93" s="35">
        <f>J93-1419</f>
        <v>0</v>
      </c>
      <c r="J93" s="35">
        <v>1419</v>
      </c>
      <c r="K93" s="37">
        <f t="shared" si="10"/>
        <v>2.132000792984278E-06</v>
      </c>
      <c r="L93" s="38">
        <f>D93-J93</f>
        <v>451081</v>
      </c>
      <c r="M93" s="38">
        <f t="shared" si="11"/>
        <v>0</v>
      </c>
    </row>
    <row r="94" spans="1:13" s="5" customFormat="1" ht="15.75">
      <c r="A94" s="15" t="s">
        <v>105</v>
      </c>
      <c r="B94" s="16" t="s">
        <v>107</v>
      </c>
      <c r="C94" s="35">
        <v>8502578</v>
      </c>
      <c r="D94" s="35">
        <v>13300838</v>
      </c>
      <c r="E94" s="35">
        <f>F94-2572714</f>
        <v>-756006</v>
      </c>
      <c r="F94" s="35">
        <v>1816708</v>
      </c>
      <c r="G94" s="37">
        <f t="shared" si="9"/>
        <v>0.0027134870923829642</v>
      </c>
      <c r="H94" s="35">
        <f t="shared" si="2"/>
        <v>11484130</v>
      </c>
      <c r="I94" s="35">
        <f>J94-2363359</f>
        <v>-546651</v>
      </c>
      <c r="J94" s="35">
        <v>1816708</v>
      </c>
      <c r="K94" s="37">
        <f t="shared" si="10"/>
        <v>0.002729543972248683</v>
      </c>
      <c r="L94" s="38">
        <f t="shared" si="3"/>
        <v>11484130</v>
      </c>
      <c r="M94" s="38">
        <f t="shared" si="11"/>
        <v>0</v>
      </c>
    </row>
    <row r="95" spans="1:13" s="5" customFormat="1" ht="15.75">
      <c r="A95" s="15" t="s">
        <v>106</v>
      </c>
      <c r="B95" s="16" t="s">
        <v>108</v>
      </c>
      <c r="C95" s="35">
        <v>1104855</v>
      </c>
      <c r="D95" s="35">
        <v>2585392</v>
      </c>
      <c r="E95" s="35">
        <f>F95-732</f>
        <v>0</v>
      </c>
      <c r="F95" s="35">
        <v>732</v>
      </c>
      <c r="G95" s="37">
        <f t="shared" si="9"/>
        <v>1.0933361616860441E-06</v>
      </c>
      <c r="H95" s="35">
        <f t="shared" si="2"/>
        <v>2584660</v>
      </c>
      <c r="I95" s="35">
        <f>J95-732</f>
        <v>0</v>
      </c>
      <c r="J95" s="35">
        <v>732</v>
      </c>
      <c r="K95" s="37">
        <f t="shared" si="10"/>
        <v>1.099805905894638E-06</v>
      </c>
      <c r="L95" s="38">
        <f t="shared" si="3"/>
        <v>2584660</v>
      </c>
      <c r="M95" s="38">
        <f t="shared" si="11"/>
        <v>0</v>
      </c>
    </row>
    <row r="96" spans="1:13" s="5" customFormat="1" ht="15.75">
      <c r="A96" s="26" t="s">
        <v>109</v>
      </c>
      <c r="B96" s="18" t="s">
        <v>110</v>
      </c>
      <c r="C96" s="32">
        <f>SUM(C97:C110)</f>
        <v>7061336184</v>
      </c>
      <c r="D96" s="32">
        <f>SUM(D97:D110)</f>
        <v>7339961380</v>
      </c>
      <c r="E96" s="32">
        <f>SUM(E97:E110)</f>
        <v>2007828272</v>
      </c>
      <c r="F96" s="32">
        <f>SUM(F97:F110)</f>
        <v>6552762627</v>
      </c>
      <c r="G96" s="33">
        <f t="shared" si="9"/>
        <v>9.787393905797732</v>
      </c>
      <c r="H96" s="32">
        <f t="shared" si="2"/>
        <v>787198753</v>
      </c>
      <c r="I96" s="32">
        <f>SUM(I97:I110)</f>
        <v>2257427773</v>
      </c>
      <c r="J96" s="32">
        <f>SUM(J97:J110)</f>
        <v>6547464006</v>
      </c>
      <c r="K96" s="33">
        <f t="shared" si="10"/>
        <v>9.837349156327003</v>
      </c>
      <c r="L96" s="34">
        <f t="shared" si="3"/>
        <v>792497374</v>
      </c>
      <c r="M96" s="34">
        <f>SUM(M97:M110)</f>
        <v>5298621</v>
      </c>
    </row>
    <row r="97" spans="1:13" s="5" customFormat="1" ht="15.75">
      <c r="A97" s="15" t="s">
        <v>28</v>
      </c>
      <c r="B97" s="16" t="s">
        <v>33</v>
      </c>
      <c r="C97" s="35">
        <v>2359971090</v>
      </c>
      <c r="D97" s="35">
        <v>2501785908</v>
      </c>
      <c r="E97" s="35">
        <f>F97-1689248327</f>
        <v>437689135</v>
      </c>
      <c r="F97" s="35">
        <v>2126937462</v>
      </c>
      <c r="G97" s="37">
        <f t="shared" si="9"/>
        <v>3.1768547006138474</v>
      </c>
      <c r="H97" s="35">
        <f t="shared" si="2"/>
        <v>374848446</v>
      </c>
      <c r="I97" s="35">
        <f>J97-1554529277</f>
        <v>572362389</v>
      </c>
      <c r="J97" s="35">
        <v>2126891666</v>
      </c>
      <c r="K97" s="37">
        <f t="shared" si="10"/>
        <v>3.1955847205804453</v>
      </c>
      <c r="L97" s="38">
        <f t="shared" si="3"/>
        <v>374894242</v>
      </c>
      <c r="M97" s="38">
        <f t="shared" si="11"/>
        <v>45796</v>
      </c>
    </row>
    <row r="98" spans="1:13" s="5" customFormat="1" ht="15.75">
      <c r="A98" s="15" t="s">
        <v>29</v>
      </c>
      <c r="B98" s="16" t="s">
        <v>34</v>
      </c>
      <c r="C98" s="35">
        <v>1345000</v>
      </c>
      <c r="D98" s="35">
        <v>0</v>
      </c>
      <c r="E98" s="35">
        <f>F98-0</f>
        <v>0</v>
      </c>
      <c r="F98" s="35">
        <v>0</v>
      </c>
      <c r="G98" s="37">
        <f t="shared" si="9"/>
        <v>0</v>
      </c>
      <c r="H98" s="35">
        <f t="shared" si="2"/>
        <v>0</v>
      </c>
      <c r="I98" s="35">
        <f>J98-0</f>
        <v>0</v>
      </c>
      <c r="J98" s="35">
        <v>0</v>
      </c>
      <c r="K98" s="37">
        <f t="shared" si="10"/>
        <v>0</v>
      </c>
      <c r="L98" s="38">
        <f t="shared" si="3"/>
        <v>0</v>
      </c>
      <c r="M98" s="38">
        <f t="shared" si="11"/>
        <v>0</v>
      </c>
    </row>
    <row r="99" spans="1:13" s="5" customFormat="1" ht="15.75">
      <c r="A99" s="15" t="s">
        <v>82</v>
      </c>
      <c r="B99" s="16" t="s">
        <v>84</v>
      </c>
      <c r="C99" s="35">
        <v>220851012</v>
      </c>
      <c r="D99" s="35">
        <v>207347540</v>
      </c>
      <c r="E99" s="35">
        <f>F99-89915930</f>
        <v>66335972</v>
      </c>
      <c r="F99" s="35">
        <v>156251902</v>
      </c>
      <c r="G99" s="37">
        <f t="shared" si="9"/>
        <v>0.23338231528527856</v>
      </c>
      <c r="H99" s="35">
        <f t="shared" si="2"/>
        <v>51095638</v>
      </c>
      <c r="I99" s="35">
        <f>J99-71575775</f>
        <v>84676127</v>
      </c>
      <c r="J99" s="35">
        <v>156251902</v>
      </c>
      <c r="K99" s="37">
        <f t="shared" si="10"/>
        <v>0.2347633396541943</v>
      </c>
      <c r="L99" s="38">
        <f t="shared" si="3"/>
        <v>51095638</v>
      </c>
      <c r="M99" s="38">
        <f t="shared" si="11"/>
        <v>0</v>
      </c>
    </row>
    <row r="100" spans="1:13" s="5" customFormat="1" ht="15.75">
      <c r="A100" s="15" t="s">
        <v>67</v>
      </c>
      <c r="B100" s="16" t="s">
        <v>75</v>
      </c>
      <c r="C100" s="35">
        <v>98100000</v>
      </c>
      <c r="D100" s="35">
        <v>61657862</v>
      </c>
      <c r="E100" s="35">
        <f>F100-45691233</f>
        <v>9386031</v>
      </c>
      <c r="F100" s="35">
        <v>55077264</v>
      </c>
      <c r="G100" s="37">
        <f t="shared" si="9"/>
        <v>0.08226497871301766</v>
      </c>
      <c r="H100" s="35">
        <f t="shared" si="2"/>
        <v>6580598</v>
      </c>
      <c r="I100" s="35">
        <f>J100-31771748</f>
        <v>19038327</v>
      </c>
      <c r="J100" s="35">
        <v>50810075</v>
      </c>
      <c r="K100" s="37">
        <f t="shared" si="10"/>
        <v>0.07634046525129713</v>
      </c>
      <c r="L100" s="38">
        <f t="shared" si="3"/>
        <v>10847787</v>
      </c>
      <c r="M100" s="38">
        <f t="shared" si="11"/>
        <v>4267189</v>
      </c>
    </row>
    <row r="101" spans="1:13" s="5" customFormat="1" ht="15.75">
      <c r="A101" s="15" t="s">
        <v>68</v>
      </c>
      <c r="B101" s="16" t="s">
        <v>76</v>
      </c>
      <c r="C101" s="35">
        <v>302501826</v>
      </c>
      <c r="D101" s="35">
        <v>307708515</v>
      </c>
      <c r="E101" s="35">
        <f>F101-246940391</f>
        <v>19180593</v>
      </c>
      <c r="F101" s="35">
        <v>266120984</v>
      </c>
      <c r="G101" s="37">
        <f t="shared" si="9"/>
        <v>0.39748592239162994</v>
      </c>
      <c r="H101" s="35">
        <f t="shared" si="2"/>
        <v>41587531</v>
      </c>
      <c r="I101" s="35">
        <f>J101-207351810</f>
        <v>58769174</v>
      </c>
      <c r="J101" s="35">
        <v>266120984</v>
      </c>
      <c r="K101" s="37">
        <f t="shared" si="10"/>
        <v>0.39983801896952526</v>
      </c>
      <c r="L101" s="38">
        <f t="shared" si="3"/>
        <v>41587531</v>
      </c>
      <c r="M101" s="38">
        <f t="shared" si="11"/>
        <v>0</v>
      </c>
    </row>
    <row r="102" spans="1:13" s="5" customFormat="1" ht="15.75">
      <c r="A102" s="15" t="s">
        <v>111</v>
      </c>
      <c r="B102" s="16" t="s">
        <v>118</v>
      </c>
      <c r="C102" s="35">
        <v>719024581</v>
      </c>
      <c r="D102" s="35">
        <v>735415917</v>
      </c>
      <c r="E102" s="35">
        <f>F102-537614600</f>
        <v>196918757</v>
      </c>
      <c r="F102" s="35">
        <v>734533357</v>
      </c>
      <c r="G102" s="37">
        <f t="shared" si="9"/>
        <v>1.097120056246919</v>
      </c>
      <c r="H102" s="35">
        <f t="shared" si="2"/>
        <v>882560</v>
      </c>
      <c r="I102" s="35">
        <f>J102-537614600</f>
        <v>196918757</v>
      </c>
      <c r="J102" s="35">
        <v>734533357</v>
      </c>
      <c r="K102" s="37">
        <f t="shared" si="10"/>
        <v>1.1036121914005663</v>
      </c>
      <c r="L102" s="38">
        <f t="shared" si="3"/>
        <v>882560</v>
      </c>
      <c r="M102" s="38">
        <f t="shared" si="11"/>
        <v>0</v>
      </c>
    </row>
    <row r="103" spans="1:13" s="5" customFormat="1" ht="15.75">
      <c r="A103" s="15" t="s">
        <v>112</v>
      </c>
      <c r="B103" s="16" t="s">
        <v>119</v>
      </c>
      <c r="C103" s="35">
        <v>2482460129</v>
      </c>
      <c r="D103" s="35">
        <v>2631731730</v>
      </c>
      <c r="E103" s="35">
        <f>F103-1598742818</f>
        <v>895452387</v>
      </c>
      <c r="F103" s="35">
        <v>2494195205</v>
      </c>
      <c r="G103" s="37">
        <f t="shared" si="9"/>
        <v>3.7254013824186285</v>
      </c>
      <c r="H103" s="35">
        <f t="shared" si="2"/>
        <v>137536525</v>
      </c>
      <c r="I103" s="35">
        <f>J103-1595246863</f>
        <v>898948342</v>
      </c>
      <c r="J103" s="35">
        <v>2494195205</v>
      </c>
      <c r="K103" s="37">
        <f t="shared" si="10"/>
        <v>3.7474461979686984</v>
      </c>
      <c r="L103" s="38">
        <f t="shared" si="3"/>
        <v>137536525</v>
      </c>
      <c r="M103" s="38">
        <f t="shared" si="11"/>
        <v>0</v>
      </c>
    </row>
    <row r="104" spans="1:13" s="5" customFormat="1" ht="15.75">
      <c r="A104" s="15" t="s">
        <v>113</v>
      </c>
      <c r="B104" s="16" t="s">
        <v>120</v>
      </c>
      <c r="C104" s="35">
        <v>111637438</v>
      </c>
      <c r="D104" s="35">
        <v>263950530</v>
      </c>
      <c r="E104" s="35">
        <f>F104-10941200</f>
        <v>229461214</v>
      </c>
      <c r="F104" s="35">
        <v>240402414</v>
      </c>
      <c r="G104" s="37">
        <f t="shared" si="9"/>
        <v>0.3590719297579499</v>
      </c>
      <c r="H104" s="35">
        <f t="shared" si="2"/>
        <v>23548116</v>
      </c>
      <c r="I104" s="35">
        <f>J104-8594116</f>
        <v>231808298</v>
      </c>
      <c r="J104" s="35">
        <v>240402414</v>
      </c>
      <c r="K104" s="37">
        <f t="shared" si="10"/>
        <v>0.3611967140826883</v>
      </c>
      <c r="L104" s="38">
        <f t="shared" si="3"/>
        <v>23548116</v>
      </c>
      <c r="M104" s="38">
        <f t="shared" si="11"/>
        <v>0</v>
      </c>
    </row>
    <row r="105" spans="1:13" s="5" customFormat="1" ht="15.75">
      <c r="A105" s="15" t="s">
        <v>114</v>
      </c>
      <c r="B105" s="16" t="s">
        <v>121</v>
      </c>
      <c r="C105" s="35">
        <v>481624146</v>
      </c>
      <c r="D105" s="35">
        <v>279977875</v>
      </c>
      <c r="E105" s="35">
        <f>F105-162721033</f>
        <v>50824619</v>
      </c>
      <c r="F105" s="35">
        <v>213545652</v>
      </c>
      <c r="G105" s="37">
        <f t="shared" si="9"/>
        <v>0.3189579009595952</v>
      </c>
      <c r="H105" s="35">
        <f t="shared" si="2"/>
        <v>66432223</v>
      </c>
      <c r="I105" s="35">
        <f>J105-137633073</f>
        <v>74926943</v>
      </c>
      <c r="J105" s="35">
        <v>212560016</v>
      </c>
      <c r="K105" s="37">
        <f t="shared" si="10"/>
        <v>0.3193644275325939</v>
      </c>
      <c r="L105" s="38">
        <f t="shared" si="3"/>
        <v>67417859</v>
      </c>
      <c r="M105" s="38">
        <f t="shared" si="11"/>
        <v>985636</v>
      </c>
    </row>
    <row r="106" spans="1:13" s="5" customFormat="1" ht="15.75">
      <c r="A106" s="15" t="s">
        <v>115</v>
      </c>
      <c r="B106" s="16" t="s">
        <v>122</v>
      </c>
      <c r="C106" s="35">
        <v>18942900</v>
      </c>
      <c r="D106" s="35">
        <v>24183565</v>
      </c>
      <c r="E106" s="35">
        <f>F106-12207532</f>
        <v>11922642</v>
      </c>
      <c r="F106" s="35">
        <v>24130174</v>
      </c>
      <c r="G106" s="37">
        <f t="shared" si="9"/>
        <v>0.03604151888248139</v>
      </c>
      <c r="H106" s="35">
        <f t="shared" si="2"/>
        <v>53391</v>
      </c>
      <c r="I106" s="35">
        <f>J106-10044301</f>
        <v>14085873</v>
      </c>
      <c r="J106" s="35">
        <v>24130174</v>
      </c>
      <c r="K106" s="37">
        <f t="shared" si="10"/>
        <v>0.03625479217959733</v>
      </c>
      <c r="L106" s="38">
        <f t="shared" si="3"/>
        <v>53391</v>
      </c>
      <c r="M106" s="38">
        <f t="shared" si="11"/>
        <v>0</v>
      </c>
    </row>
    <row r="107" spans="1:13" s="5" customFormat="1" ht="15.75">
      <c r="A107" s="15" t="s">
        <v>116</v>
      </c>
      <c r="B107" s="16" t="s">
        <v>123</v>
      </c>
      <c r="C107" s="35">
        <v>63151105</v>
      </c>
      <c r="D107" s="35">
        <v>27890439</v>
      </c>
      <c r="E107" s="35">
        <f>F107-21456231</f>
        <v>-5977769</v>
      </c>
      <c r="F107" s="35">
        <v>15478462</v>
      </c>
      <c r="G107" s="37">
        <f t="shared" si="9"/>
        <v>0.023119074087272252</v>
      </c>
      <c r="H107" s="35">
        <f t="shared" si="2"/>
        <v>12411977</v>
      </c>
      <c r="I107" s="35">
        <f>J107-8587233</f>
        <v>6891229</v>
      </c>
      <c r="J107" s="35">
        <v>15478462</v>
      </c>
      <c r="K107" s="37">
        <f t="shared" si="10"/>
        <v>0.02325587967454335</v>
      </c>
      <c r="L107" s="38">
        <f t="shared" si="3"/>
        <v>12411977</v>
      </c>
      <c r="M107" s="38">
        <f t="shared" si="11"/>
        <v>0</v>
      </c>
    </row>
    <row r="108" spans="1:13" s="5" customFormat="1" ht="15.75">
      <c r="A108" s="15" t="s">
        <v>251</v>
      </c>
      <c r="B108" s="16" t="s">
        <v>252</v>
      </c>
      <c r="C108" s="35">
        <v>9855000</v>
      </c>
      <c r="D108" s="35">
        <v>0</v>
      </c>
      <c r="E108" s="35">
        <f>F108-0</f>
        <v>0</v>
      </c>
      <c r="F108" s="35">
        <v>0</v>
      </c>
      <c r="G108" s="37">
        <f t="shared" si="9"/>
        <v>0</v>
      </c>
      <c r="H108" s="35">
        <f t="shared" si="2"/>
        <v>0</v>
      </c>
      <c r="I108" s="35">
        <f>J108-0</f>
        <v>0</v>
      </c>
      <c r="J108" s="35">
        <v>0</v>
      </c>
      <c r="K108" s="37">
        <f t="shared" si="10"/>
        <v>0</v>
      </c>
      <c r="L108" s="38">
        <f t="shared" si="3"/>
        <v>0</v>
      </c>
      <c r="M108" s="38">
        <f t="shared" si="11"/>
        <v>0</v>
      </c>
    </row>
    <row r="109" spans="1:13" s="5" customFormat="1" ht="15.75">
      <c r="A109" s="15" t="s">
        <v>117</v>
      </c>
      <c r="B109" s="16" t="s">
        <v>124</v>
      </c>
      <c r="C109" s="35">
        <v>11095000</v>
      </c>
      <c r="D109" s="35">
        <v>114507798</v>
      </c>
      <c r="E109" s="35">
        <f>F109-29245366</f>
        <v>75337371</v>
      </c>
      <c r="F109" s="35">
        <v>104582737</v>
      </c>
      <c r="G109" s="37">
        <f t="shared" si="9"/>
        <v>0.15620777083360796</v>
      </c>
      <c r="H109" s="35">
        <f t="shared" si="2"/>
        <v>9925061</v>
      </c>
      <c r="I109" s="35">
        <f>J109-26877813</f>
        <v>77704924</v>
      </c>
      <c r="J109" s="35">
        <v>104582737</v>
      </c>
      <c r="K109" s="37">
        <f t="shared" si="10"/>
        <v>0.15713211995522636</v>
      </c>
      <c r="L109" s="38">
        <f t="shared" si="3"/>
        <v>9925061</v>
      </c>
      <c r="M109" s="38">
        <f t="shared" si="11"/>
        <v>0</v>
      </c>
    </row>
    <row r="110" spans="1:13" s="5" customFormat="1" ht="15.75">
      <c r="A110" s="15" t="s">
        <v>97</v>
      </c>
      <c r="B110" s="16" t="s">
        <v>241</v>
      </c>
      <c r="C110" s="35">
        <v>180776957</v>
      </c>
      <c r="D110" s="35">
        <v>183803701</v>
      </c>
      <c r="E110" s="35">
        <f>F110-100209694</f>
        <v>21297320</v>
      </c>
      <c r="F110" s="35">
        <v>121507014</v>
      </c>
      <c r="G110" s="37">
        <f t="shared" si="9"/>
        <v>0.1814863556075033</v>
      </c>
      <c r="H110" s="35">
        <f>D110-F110</f>
        <v>62296687</v>
      </c>
      <c r="I110" s="35">
        <f>J110-100209624</f>
        <v>21297390</v>
      </c>
      <c r="J110" s="35">
        <v>121507014</v>
      </c>
      <c r="K110" s="37">
        <f t="shared" si="10"/>
        <v>0.18256028907762634</v>
      </c>
      <c r="L110" s="38">
        <f>D110-J110</f>
        <v>62296687</v>
      </c>
      <c r="M110" s="38">
        <f t="shared" si="11"/>
        <v>0</v>
      </c>
    </row>
    <row r="111" spans="1:13" s="5" customFormat="1" ht="15.75">
      <c r="A111" s="26" t="s">
        <v>125</v>
      </c>
      <c r="B111" s="18" t="s">
        <v>126</v>
      </c>
      <c r="C111" s="32">
        <f>SUM(C112:C115)</f>
        <v>247516580</v>
      </c>
      <c r="D111" s="32">
        <f>SUM(D112:D115)</f>
        <v>272766144</v>
      </c>
      <c r="E111" s="32">
        <f>SUM(E112:E115)</f>
        <v>29982089</v>
      </c>
      <c r="F111" s="32">
        <f>SUM(F112:F115)</f>
        <v>107393810</v>
      </c>
      <c r="G111" s="33">
        <f t="shared" si="9"/>
        <v>0.16040646996480915</v>
      </c>
      <c r="H111" s="32">
        <f t="shared" si="2"/>
        <v>165372334</v>
      </c>
      <c r="I111" s="32">
        <f>SUM(I112:I115)</f>
        <v>34858862</v>
      </c>
      <c r="J111" s="32">
        <f>SUM(J112:J115)</f>
        <v>107393810</v>
      </c>
      <c r="K111" s="33">
        <f t="shared" si="10"/>
        <v>0.16135566461000908</v>
      </c>
      <c r="L111" s="34">
        <f t="shared" si="3"/>
        <v>165372334</v>
      </c>
      <c r="M111" s="34">
        <f>SUM(M112:M115)</f>
        <v>0</v>
      </c>
    </row>
    <row r="112" spans="1:13" s="5" customFormat="1" ht="15.75">
      <c r="A112" s="15" t="s">
        <v>28</v>
      </c>
      <c r="B112" s="16" t="s">
        <v>33</v>
      </c>
      <c r="C112" s="35">
        <v>129295822</v>
      </c>
      <c r="D112" s="35">
        <v>130581904</v>
      </c>
      <c r="E112" s="35">
        <f>F112-72246530</f>
        <v>19879110</v>
      </c>
      <c r="F112" s="35">
        <v>92125640</v>
      </c>
      <c r="G112" s="37">
        <f aca="true" t="shared" si="12" ref="G112:G122">(F112/$F$235)*100</f>
        <v>0.13760149403069713</v>
      </c>
      <c r="H112" s="35">
        <f t="shared" si="2"/>
        <v>38456264</v>
      </c>
      <c r="I112" s="35">
        <f>J112-69355717</f>
        <v>22769923</v>
      </c>
      <c r="J112" s="35">
        <v>92125640</v>
      </c>
      <c r="K112" s="37">
        <f aca="true" t="shared" si="13" ref="K112:K122">(J112/$J$235)*100</f>
        <v>0.13841574174361107</v>
      </c>
      <c r="L112" s="38">
        <f t="shared" si="3"/>
        <v>38456264</v>
      </c>
      <c r="M112" s="38">
        <f t="shared" si="11"/>
        <v>0</v>
      </c>
    </row>
    <row r="113" spans="1:13" s="5" customFormat="1" ht="15.75">
      <c r="A113" s="15" t="s">
        <v>127</v>
      </c>
      <c r="B113" s="16" t="s">
        <v>128</v>
      </c>
      <c r="C113" s="35">
        <v>865000</v>
      </c>
      <c r="D113" s="35">
        <v>865000</v>
      </c>
      <c r="E113" s="35">
        <f>F113-2333</f>
        <v>-88</v>
      </c>
      <c r="F113" s="35">
        <v>2245</v>
      </c>
      <c r="G113" s="37">
        <f t="shared" si="12"/>
        <v>3.353196288231105E-06</v>
      </c>
      <c r="H113" s="35">
        <f t="shared" si="2"/>
        <v>862755</v>
      </c>
      <c r="I113" s="35">
        <f>J113-2245</f>
        <v>0</v>
      </c>
      <c r="J113" s="35">
        <v>2245</v>
      </c>
      <c r="K113" s="37">
        <f t="shared" si="13"/>
        <v>3.3730386048271344E-06</v>
      </c>
      <c r="L113" s="38">
        <f t="shared" si="3"/>
        <v>862755</v>
      </c>
      <c r="M113" s="38">
        <f t="shared" si="11"/>
        <v>0</v>
      </c>
    </row>
    <row r="114" spans="1:13" s="5" customFormat="1" ht="15.75">
      <c r="A114" s="15" t="s">
        <v>117</v>
      </c>
      <c r="B114" s="16" t="s">
        <v>124</v>
      </c>
      <c r="C114" s="35">
        <v>100921832</v>
      </c>
      <c r="D114" s="35">
        <v>133203240</v>
      </c>
      <c r="E114" s="35">
        <f>F114-3821228</f>
        <v>9517987</v>
      </c>
      <c r="F114" s="35">
        <v>13339215</v>
      </c>
      <c r="G114" s="37">
        <f t="shared" si="12"/>
        <v>0.019923833508203422</v>
      </c>
      <c r="H114" s="35">
        <f t="shared" si="2"/>
        <v>119864025</v>
      </c>
      <c r="I114" s="35">
        <f>J114-2232452</f>
        <v>11106763</v>
      </c>
      <c r="J114" s="35">
        <v>13339215</v>
      </c>
      <c r="K114" s="37">
        <f t="shared" si="13"/>
        <v>0.020041731471309214</v>
      </c>
      <c r="L114" s="38">
        <f>D114-J114</f>
        <v>119864025</v>
      </c>
      <c r="M114" s="38">
        <f t="shared" si="11"/>
        <v>0</v>
      </c>
    </row>
    <row r="115" spans="1:13" s="5" customFormat="1" ht="15.75">
      <c r="A115" s="15" t="s">
        <v>185</v>
      </c>
      <c r="B115" s="16" t="s">
        <v>186</v>
      </c>
      <c r="C115" s="35">
        <v>16433926</v>
      </c>
      <c r="D115" s="35">
        <v>8116000</v>
      </c>
      <c r="E115" s="35">
        <f>F115-1341630</f>
        <v>585080</v>
      </c>
      <c r="F115" s="35">
        <v>1926710</v>
      </c>
      <c r="G115" s="37">
        <f t="shared" si="12"/>
        <v>0.0028777892296203795</v>
      </c>
      <c r="H115" s="35">
        <f t="shared" si="2"/>
        <v>6189290</v>
      </c>
      <c r="I115" s="35">
        <f>J115-944534</f>
        <v>982176</v>
      </c>
      <c r="J115" s="35">
        <v>1926710</v>
      </c>
      <c r="K115" s="37">
        <f t="shared" si="13"/>
        <v>0.002894818356483959</v>
      </c>
      <c r="L115" s="38">
        <f t="shared" si="3"/>
        <v>6189290</v>
      </c>
      <c r="M115" s="38">
        <f t="shared" si="11"/>
        <v>0</v>
      </c>
    </row>
    <row r="116" spans="1:13" s="5" customFormat="1" ht="15.75">
      <c r="A116" s="26" t="s">
        <v>129</v>
      </c>
      <c r="B116" s="18" t="s">
        <v>130</v>
      </c>
      <c r="C116" s="32">
        <f>SUM(C117:C122)</f>
        <v>48507745</v>
      </c>
      <c r="D116" s="32">
        <f>SUM(D117:D122)</f>
        <v>114956161</v>
      </c>
      <c r="E116" s="32">
        <f>SUM(E117:E122)</f>
        <v>22637127</v>
      </c>
      <c r="F116" s="32">
        <f>SUM(F117:F122)</f>
        <v>91833724</v>
      </c>
      <c r="G116" s="33">
        <f t="shared" si="12"/>
        <v>0.13716547993373707</v>
      </c>
      <c r="H116" s="32">
        <f t="shared" si="2"/>
        <v>23122437</v>
      </c>
      <c r="I116" s="32">
        <f>SUM(I117:I122)</f>
        <v>24074696</v>
      </c>
      <c r="J116" s="32">
        <f>SUM(J117:J122)</f>
        <v>91833724</v>
      </c>
      <c r="K116" s="33">
        <f t="shared" si="13"/>
        <v>0.13797714756215596</v>
      </c>
      <c r="L116" s="34">
        <f t="shared" si="3"/>
        <v>23122437</v>
      </c>
      <c r="M116" s="34">
        <f>SUM(M117:M122)</f>
        <v>0</v>
      </c>
    </row>
    <row r="117" spans="1:13" s="5" customFormat="1" ht="15.75">
      <c r="A117" s="15" t="s">
        <v>28</v>
      </c>
      <c r="B117" s="16" t="s">
        <v>33</v>
      </c>
      <c r="C117" s="35">
        <v>21451400</v>
      </c>
      <c r="D117" s="35">
        <v>40291429</v>
      </c>
      <c r="E117" s="35">
        <f>F117-26378420</f>
        <v>7502219</v>
      </c>
      <c r="F117" s="35">
        <v>33880639</v>
      </c>
      <c r="G117" s="37">
        <f t="shared" si="12"/>
        <v>0.050605092622582636</v>
      </c>
      <c r="H117" s="35">
        <f t="shared" si="2"/>
        <v>6410790</v>
      </c>
      <c r="I117" s="35">
        <f>J117-25622918</f>
        <v>8257721</v>
      </c>
      <c r="J117" s="35">
        <v>33880639</v>
      </c>
      <c r="K117" s="37">
        <f t="shared" si="13"/>
        <v>0.05090454490120793</v>
      </c>
      <c r="L117" s="38">
        <f t="shared" si="3"/>
        <v>6410790</v>
      </c>
      <c r="M117" s="38">
        <f t="shared" si="11"/>
        <v>0</v>
      </c>
    </row>
    <row r="118" spans="1:13" s="5" customFormat="1" ht="15.75">
      <c r="A118" s="15" t="s">
        <v>49</v>
      </c>
      <c r="B118" s="16" t="s">
        <v>56</v>
      </c>
      <c r="C118" s="35">
        <v>12764827</v>
      </c>
      <c r="D118" s="35">
        <v>58373214</v>
      </c>
      <c r="E118" s="35">
        <f>F118-41636662</f>
        <v>13889418</v>
      </c>
      <c r="F118" s="35">
        <v>55526080</v>
      </c>
      <c r="G118" s="37">
        <f t="shared" si="12"/>
        <v>0.08293534314299483</v>
      </c>
      <c r="H118" s="35">
        <f t="shared" si="2"/>
        <v>2847134</v>
      </c>
      <c r="I118" s="35">
        <f>J118-40954595</f>
        <v>14571485</v>
      </c>
      <c r="J118" s="35">
        <v>55526080</v>
      </c>
      <c r="K118" s="37">
        <f t="shared" si="13"/>
        <v>0.08342610753439637</v>
      </c>
      <c r="L118" s="38">
        <f>D118-J118</f>
        <v>2847134</v>
      </c>
      <c r="M118" s="38">
        <f t="shared" si="11"/>
        <v>0</v>
      </c>
    </row>
    <row r="119" spans="1:13" s="5" customFormat="1" ht="15.75">
      <c r="A119" s="15" t="s">
        <v>52</v>
      </c>
      <c r="B119" s="16" t="s">
        <v>59</v>
      </c>
      <c r="C119" s="35">
        <v>190000</v>
      </c>
      <c r="D119" s="35">
        <v>190000</v>
      </c>
      <c r="E119" s="35">
        <f>F119-19195</f>
        <v>0</v>
      </c>
      <c r="F119" s="35">
        <v>19195</v>
      </c>
      <c r="G119" s="37">
        <f t="shared" si="12"/>
        <v>2.8670201671534993E-05</v>
      </c>
      <c r="H119" s="35">
        <f>D119-F119</f>
        <v>170805</v>
      </c>
      <c r="I119" s="35">
        <f>J119-19195</f>
        <v>0</v>
      </c>
      <c r="J119" s="35">
        <v>19195</v>
      </c>
      <c r="K119" s="37">
        <f t="shared" si="13"/>
        <v>2.8839855688043137E-05</v>
      </c>
      <c r="L119" s="38">
        <f>D119-J119</f>
        <v>170805</v>
      </c>
      <c r="M119" s="38">
        <f t="shared" si="11"/>
        <v>0</v>
      </c>
    </row>
    <row r="120" spans="1:13" s="5" customFormat="1" ht="15.75">
      <c r="A120" s="15" t="s">
        <v>131</v>
      </c>
      <c r="B120" s="16" t="s">
        <v>132</v>
      </c>
      <c r="C120" s="35">
        <v>110000</v>
      </c>
      <c r="D120" s="35">
        <v>110000</v>
      </c>
      <c r="E120" s="35">
        <f>F120-0</f>
        <v>0</v>
      </c>
      <c r="F120" s="35">
        <v>0</v>
      </c>
      <c r="G120" s="37">
        <f t="shared" si="12"/>
        <v>0</v>
      </c>
      <c r="H120" s="35">
        <f>D120-F120</f>
        <v>110000</v>
      </c>
      <c r="I120" s="35">
        <f>J120-0</f>
        <v>0</v>
      </c>
      <c r="J120" s="35">
        <v>0</v>
      </c>
      <c r="K120" s="37">
        <f t="shared" si="13"/>
        <v>0</v>
      </c>
      <c r="L120" s="38">
        <f>D120-J120</f>
        <v>110000</v>
      </c>
      <c r="M120" s="38">
        <f t="shared" si="11"/>
        <v>0</v>
      </c>
    </row>
    <row r="121" spans="1:13" s="5" customFormat="1" ht="15.75">
      <c r="A121" s="15" t="s">
        <v>251</v>
      </c>
      <c r="B121" s="16" t="s">
        <v>252</v>
      </c>
      <c r="C121" s="35">
        <v>5000</v>
      </c>
      <c r="D121" s="35">
        <v>5000</v>
      </c>
      <c r="E121" s="35">
        <f>F121-0</f>
        <v>0</v>
      </c>
      <c r="F121" s="35">
        <v>0</v>
      </c>
      <c r="G121" s="37">
        <f t="shared" si="12"/>
        <v>0</v>
      </c>
      <c r="H121" s="35">
        <f>D121-F121</f>
        <v>5000</v>
      </c>
      <c r="I121" s="35">
        <f>J121-0</f>
        <v>0</v>
      </c>
      <c r="J121" s="35">
        <v>0</v>
      </c>
      <c r="K121" s="37">
        <f t="shared" si="13"/>
        <v>0</v>
      </c>
      <c r="L121" s="38">
        <f>D121-J121</f>
        <v>5000</v>
      </c>
      <c r="M121" s="38">
        <f t="shared" si="11"/>
        <v>0</v>
      </c>
    </row>
    <row r="122" spans="1:13" s="5" customFormat="1" ht="15.75">
      <c r="A122" s="39" t="s">
        <v>53</v>
      </c>
      <c r="B122" s="40" t="s">
        <v>60</v>
      </c>
      <c r="C122" s="41">
        <v>13986518</v>
      </c>
      <c r="D122" s="41">
        <v>15986518</v>
      </c>
      <c r="E122" s="41">
        <f>F122-1162320</f>
        <v>1245490</v>
      </c>
      <c r="F122" s="41">
        <v>2407810</v>
      </c>
      <c r="G122" s="42">
        <f t="shared" si="12"/>
        <v>0.003596373966488079</v>
      </c>
      <c r="H122" s="41">
        <f t="shared" si="2"/>
        <v>13578708</v>
      </c>
      <c r="I122" s="41">
        <f>J122-1162320</f>
        <v>1245490</v>
      </c>
      <c r="J122" s="41">
        <v>2407810</v>
      </c>
      <c r="K122" s="42">
        <f t="shared" si="13"/>
        <v>0.0036176552708636184</v>
      </c>
      <c r="L122" s="43">
        <f t="shared" si="3"/>
        <v>13578708</v>
      </c>
      <c r="M122" s="43">
        <f t="shared" si="11"/>
        <v>0</v>
      </c>
    </row>
    <row r="123" spans="1:13" s="5" customFormat="1" ht="15.75">
      <c r="A123" s="44"/>
      <c r="B123" s="23"/>
      <c r="C123" s="45"/>
      <c r="D123" s="45"/>
      <c r="E123" s="45"/>
      <c r="F123" s="45"/>
      <c r="G123" s="46"/>
      <c r="H123" s="45"/>
      <c r="I123" s="45"/>
      <c r="J123" s="45"/>
      <c r="K123" s="46"/>
      <c r="L123" s="57"/>
      <c r="M123" s="47" t="s">
        <v>228</v>
      </c>
    </row>
    <row r="124" spans="1:13" s="5" customFormat="1" ht="15.75">
      <c r="A124" s="44"/>
      <c r="B124" s="23"/>
      <c r="C124" s="45"/>
      <c r="D124" s="45"/>
      <c r="E124" s="45"/>
      <c r="F124" s="45"/>
      <c r="G124" s="46"/>
      <c r="H124" s="45"/>
      <c r="I124" s="45"/>
      <c r="J124" s="45"/>
      <c r="K124" s="46"/>
      <c r="L124" s="45"/>
      <c r="M124" s="84"/>
    </row>
    <row r="125" spans="1:13" s="5" customFormat="1" ht="15.75">
      <c r="A125" s="44"/>
      <c r="B125" s="23"/>
      <c r="C125" s="45"/>
      <c r="D125" s="45"/>
      <c r="E125" s="45"/>
      <c r="F125" s="45"/>
      <c r="G125" s="46"/>
      <c r="H125" s="45"/>
      <c r="I125" s="45"/>
      <c r="J125" s="45"/>
      <c r="K125" s="46"/>
      <c r="L125" s="45"/>
      <c r="M125" s="84"/>
    </row>
    <row r="126" spans="1:13" s="5" customFormat="1" ht="15.75">
      <c r="A126" s="44"/>
      <c r="B126" s="23"/>
      <c r="C126" s="45"/>
      <c r="D126" s="45"/>
      <c r="E126" s="45"/>
      <c r="F126" s="45"/>
      <c r="G126" s="46"/>
      <c r="H126" s="45"/>
      <c r="I126" s="45"/>
      <c r="J126" s="45"/>
      <c r="K126" s="46"/>
      <c r="L126" s="45"/>
      <c r="M126" s="84"/>
    </row>
    <row r="127" spans="1:13" s="5" customFormat="1" ht="15.75">
      <c r="A127" s="44"/>
      <c r="B127" s="23"/>
      <c r="C127" s="45"/>
      <c r="D127" s="45"/>
      <c r="E127" s="45"/>
      <c r="F127" s="45"/>
      <c r="G127" s="46"/>
      <c r="H127" s="45"/>
      <c r="I127" s="45"/>
      <c r="J127" s="45"/>
      <c r="K127" s="46"/>
      <c r="L127" s="45"/>
      <c r="M127" s="84"/>
    </row>
    <row r="128" spans="1:13" s="5" customFormat="1" ht="15.75">
      <c r="A128" s="44"/>
      <c r="B128" s="23"/>
      <c r="C128" s="45"/>
      <c r="D128" s="45"/>
      <c r="E128" s="45"/>
      <c r="F128" s="45"/>
      <c r="G128" s="46"/>
      <c r="H128" s="45"/>
      <c r="I128" s="45"/>
      <c r="J128" s="45"/>
      <c r="K128" s="46"/>
      <c r="L128" s="57"/>
      <c r="M128" s="17" t="s">
        <v>157</v>
      </c>
    </row>
    <row r="129" spans="1:13" s="5" customFormat="1" ht="15.75">
      <c r="A129" s="87" t="s">
        <v>14</v>
      </c>
      <c r="B129" s="87"/>
      <c r="C129" s="87"/>
      <c r="D129" s="87"/>
      <c r="E129" s="87"/>
      <c r="F129" s="87"/>
      <c r="G129" s="87"/>
      <c r="H129" s="87"/>
      <c r="I129" s="87"/>
      <c r="J129" s="87"/>
      <c r="K129" s="87"/>
      <c r="L129" s="87"/>
      <c r="M129" s="87"/>
    </row>
    <row r="130" spans="1:13" s="5" customFormat="1" ht="15.75">
      <c r="A130" s="87" t="s">
        <v>0</v>
      </c>
      <c r="B130" s="87"/>
      <c r="C130" s="87"/>
      <c r="D130" s="87"/>
      <c r="E130" s="87"/>
      <c r="F130" s="87"/>
      <c r="G130" s="87"/>
      <c r="H130" s="87"/>
      <c r="I130" s="87"/>
      <c r="J130" s="87"/>
      <c r="K130" s="87"/>
      <c r="L130" s="87"/>
      <c r="M130" s="87"/>
    </row>
    <row r="131" spans="1:13" s="5" customFormat="1" ht="15.75">
      <c r="A131" s="94" t="s">
        <v>1</v>
      </c>
      <c r="B131" s="94"/>
      <c r="C131" s="94"/>
      <c r="D131" s="94"/>
      <c r="E131" s="94"/>
      <c r="F131" s="94"/>
      <c r="G131" s="94"/>
      <c r="H131" s="94"/>
      <c r="I131" s="94"/>
      <c r="J131" s="94"/>
      <c r="K131" s="94"/>
      <c r="L131" s="94"/>
      <c r="M131" s="94"/>
    </row>
    <row r="132" spans="1:13" s="5" customFormat="1" ht="15.75">
      <c r="A132" s="87" t="s">
        <v>2</v>
      </c>
      <c r="B132" s="87"/>
      <c r="C132" s="87"/>
      <c r="D132" s="87"/>
      <c r="E132" s="87"/>
      <c r="F132" s="87"/>
      <c r="G132" s="87"/>
      <c r="H132" s="87"/>
      <c r="I132" s="87"/>
      <c r="J132" s="87"/>
      <c r="K132" s="87"/>
      <c r="L132" s="87"/>
      <c r="M132" s="87"/>
    </row>
    <row r="133" spans="1:13" s="5" customFormat="1" ht="15.75">
      <c r="A133" s="87" t="str">
        <f>A9</f>
        <v>JANEIRO A DEZEMBRO 2019/BIMESTRE NOVEMBRO-DEZEMBRO</v>
      </c>
      <c r="B133" s="87"/>
      <c r="C133" s="87"/>
      <c r="D133" s="87"/>
      <c r="E133" s="87"/>
      <c r="F133" s="87"/>
      <c r="G133" s="87"/>
      <c r="H133" s="87"/>
      <c r="I133" s="87"/>
      <c r="J133" s="87"/>
      <c r="K133" s="87"/>
      <c r="L133" s="87"/>
      <c r="M133" s="87"/>
    </row>
    <row r="134" spans="1:13" s="5" customFormat="1" ht="15.75">
      <c r="A134" s="44"/>
      <c r="B134" s="23"/>
      <c r="C134" s="45"/>
      <c r="D134" s="45"/>
      <c r="E134" s="45"/>
      <c r="F134" s="45"/>
      <c r="G134" s="46"/>
      <c r="H134" s="45"/>
      <c r="I134" s="45"/>
      <c r="J134" s="45"/>
      <c r="K134" s="46"/>
      <c r="L134" s="45"/>
      <c r="M134" s="84"/>
    </row>
    <row r="135" spans="1:13" s="5" customFormat="1" ht="15.75">
      <c r="A135" s="15"/>
      <c r="B135" s="15"/>
      <c r="C135" s="15"/>
      <c r="D135" s="15"/>
      <c r="E135" s="15"/>
      <c r="F135" s="15"/>
      <c r="G135" s="15"/>
      <c r="H135" s="15"/>
      <c r="I135" s="15"/>
      <c r="J135" s="15"/>
      <c r="K135" s="15"/>
      <c r="L135" s="57"/>
      <c r="M135" s="17" t="str">
        <f>M11</f>
        <v>Emissão: 24/01/2020</v>
      </c>
    </row>
    <row r="136" spans="1:13" s="5" customFormat="1" ht="15.75">
      <c r="A136" s="22" t="s">
        <v>240</v>
      </c>
      <c r="B136" s="20"/>
      <c r="C136" s="23"/>
      <c r="D136" s="20"/>
      <c r="E136" s="20"/>
      <c r="F136" s="24"/>
      <c r="G136" s="24"/>
      <c r="H136" s="24"/>
      <c r="I136" s="20"/>
      <c r="J136" s="20"/>
      <c r="K136" s="17"/>
      <c r="L136" s="57"/>
      <c r="M136" s="25">
        <v>1</v>
      </c>
    </row>
    <row r="137" spans="1:13" s="5" customFormat="1" ht="15.75">
      <c r="A137" s="88" t="s">
        <v>23</v>
      </c>
      <c r="B137" s="91" t="s">
        <v>6</v>
      </c>
      <c r="C137" s="8" t="s">
        <v>3</v>
      </c>
      <c r="D137" s="8" t="s">
        <v>3</v>
      </c>
      <c r="E137" s="95" t="s">
        <v>4</v>
      </c>
      <c r="F137" s="96"/>
      <c r="G137" s="97"/>
      <c r="H137" s="8" t="s">
        <v>18</v>
      </c>
      <c r="I137" s="95" t="s">
        <v>5</v>
      </c>
      <c r="J137" s="96"/>
      <c r="K137" s="97"/>
      <c r="L137" s="9" t="s">
        <v>18</v>
      </c>
      <c r="M137" s="98" t="s">
        <v>275</v>
      </c>
    </row>
    <row r="138" spans="1:13" s="5" customFormat="1" ht="15.75">
      <c r="A138" s="89"/>
      <c r="B138" s="92"/>
      <c r="C138" s="10" t="s">
        <v>7</v>
      </c>
      <c r="D138" s="10" t="s">
        <v>8</v>
      </c>
      <c r="E138" s="10" t="s">
        <v>9</v>
      </c>
      <c r="F138" s="10" t="s">
        <v>10</v>
      </c>
      <c r="G138" s="10" t="s">
        <v>11</v>
      </c>
      <c r="H138" s="11"/>
      <c r="I138" s="10" t="s">
        <v>9</v>
      </c>
      <c r="J138" s="10" t="s">
        <v>10</v>
      </c>
      <c r="K138" s="10" t="s">
        <v>11</v>
      </c>
      <c r="L138" s="12"/>
      <c r="M138" s="99"/>
    </row>
    <row r="139" spans="1:13" s="5" customFormat="1" ht="45.75" customHeight="1">
      <c r="A139" s="90"/>
      <c r="B139" s="93"/>
      <c r="C139" s="13"/>
      <c r="D139" s="14" t="s">
        <v>12</v>
      </c>
      <c r="E139" s="14"/>
      <c r="F139" s="14" t="s">
        <v>13</v>
      </c>
      <c r="G139" s="14" t="s">
        <v>17</v>
      </c>
      <c r="H139" s="14" t="s">
        <v>19</v>
      </c>
      <c r="I139" s="14"/>
      <c r="J139" s="14" t="s">
        <v>20</v>
      </c>
      <c r="K139" s="14" t="s">
        <v>21</v>
      </c>
      <c r="L139" s="85" t="s">
        <v>22</v>
      </c>
      <c r="M139" s="100"/>
    </row>
    <row r="140" spans="1:13" s="5" customFormat="1" ht="15.75">
      <c r="A140" s="26" t="s">
        <v>133</v>
      </c>
      <c r="B140" s="18" t="s">
        <v>134</v>
      </c>
      <c r="C140" s="32">
        <f>SUM(C141:C143)</f>
        <v>207512500</v>
      </c>
      <c r="D140" s="32">
        <f>SUM(D141:D143)</f>
        <v>302348371</v>
      </c>
      <c r="E140" s="32">
        <f>SUM(E141:E142)</f>
        <v>6734547</v>
      </c>
      <c r="F140" s="32">
        <f>SUM(F141:F142)</f>
        <v>41785982</v>
      </c>
      <c r="G140" s="33">
        <f aca="true" t="shared" si="14" ref="G140:G148">(F140/$F$235)*100</f>
        <v>0.062412739306232416</v>
      </c>
      <c r="H140" s="32">
        <f aca="true" t="shared" si="15" ref="H140:H154">D140-F140</f>
        <v>260562389</v>
      </c>
      <c r="I140" s="32">
        <f>SUM(I141:I142)</f>
        <v>11718790</v>
      </c>
      <c r="J140" s="32">
        <f>SUM(J141:J142)</f>
        <v>39830272</v>
      </c>
      <c r="K140" s="33">
        <f aca="true" t="shared" si="16" ref="K140:K148">(J140/$J$235)*100</f>
        <v>0.05984367264889322</v>
      </c>
      <c r="L140" s="34">
        <f aca="true" t="shared" si="17" ref="L140:L148">D140-J140</f>
        <v>262518099</v>
      </c>
      <c r="M140" s="34">
        <f>SUM(M141:M143)</f>
        <v>1955710</v>
      </c>
    </row>
    <row r="141" spans="1:13" s="5" customFormat="1" ht="15.75">
      <c r="A141" s="15" t="s">
        <v>28</v>
      </c>
      <c r="B141" s="16" t="s">
        <v>33</v>
      </c>
      <c r="C141" s="35">
        <v>29300068</v>
      </c>
      <c r="D141" s="35">
        <v>31377294</v>
      </c>
      <c r="E141" s="35">
        <f>F141-23137309</f>
        <v>6560821</v>
      </c>
      <c r="F141" s="35">
        <v>29698130</v>
      </c>
      <c r="G141" s="37">
        <f t="shared" si="14"/>
        <v>0.04435797740908901</v>
      </c>
      <c r="H141" s="35">
        <f t="shared" si="15"/>
        <v>1679164</v>
      </c>
      <c r="I141" s="35">
        <f>J141-22262817</f>
        <v>7435313</v>
      </c>
      <c r="J141" s="35">
        <v>29698130</v>
      </c>
      <c r="K141" s="37">
        <f t="shared" si="16"/>
        <v>0.04462046279785072</v>
      </c>
      <c r="L141" s="38">
        <f t="shared" si="17"/>
        <v>1679164</v>
      </c>
      <c r="M141" s="38">
        <f aca="true" t="shared" si="18" ref="M141:M204">F141-J141</f>
        <v>0</v>
      </c>
    </row>
    <row r="142" spans="1:13" s="5" customFormat="1" ht="15.75">
      <c r="A142" s="15" t="s">
        <v>135</v>
      </c>
      <c r="B142" s="16" t="s">
        <v>136</v>
      </c>
      <c r="C142" s="35">
        <v>177652432</v>
      </c>
      <c r="D142" s="35">
        <v>270412077</v>
      </c>
      <c r="E142" s="35">
        <f>F142-11914126</f>
        <v>173726</v>
      </c>
      <c r="F142" s="81">
        <v>12087852</v>
      </c>
      <c r="G142" s="37">
        <f t="shared" si="14"/>
        <v>0.018054761897143404</v>
      </c>
      <c r="H142" s="35">
        <f t="shared" si="15"/>
        <v>258324225</v>
      </c>
      <c r="I142" s="35">
        <f>J142-5848665</f>
        <v>4283477</v>
      </c>
      <c r="J142" s="35">
        <v>10132142</v>
      </c>
      <c r="K142" s="37">
        <f t="shared" si="16"/>
        <v>0.0152232098510425</v>
      </c>
      <c r="L142" s="38">
        <f t="shared" si="17"/>
        <v>260279935</v>
      </c>
      <c r="M142" s="38">
        <f t="shared" si="18"/>
        <v>1955710</v>
      </c>
    </row>
    <row r="143" spans="1:13" s="5" customFormat="1" ht="15.75">
      <c r="A143" s="15" t="s">
        <v>266</v>
      </c>
      <c r="B143" s="16" t="s">
        <v>267</v>
      </c>
      <c r="C143" s="35">
        <v>560000</v>
      </c>
      <c r="D143" s="35">
        <v>559000</v>
      </c>
      <c r="E143" s="35">
        <f>F143-0</f>
        <v>0</v>
      </c>
      <c r="F143" s="35">
        <v>0</v>
      </c>
      <c r="G143" s="37">
        <f t="shared" si="14"/>
        <v>0</v>
      </c>
      <c r="H143" s="35">
        <f t="shared" si="15"/>
        <v>559000</v>
      </c>
      <c r="I143" s="35">
        <f>J143-0</f>
        <v>0</v>
      </c>
      <c r="J143" s="35">
        <v>0</v>
      </c>
      <c r="K143" s="37">
        <f t="shared" si="16"/>
        <v>0</v>
      </c>
      <c r="L143" s="38">
        <f t="shared" si="17"/>
        <v>559000</v>
      </c>
      <c r="M143" s="38">
        <f t="shared" si="18"/>
        <v>0</v>
      </c>
    </row>
    <row r="144" spans="1:13" s="5" customFormat="1" ht="15.75">
      <c r="A144" s="26" t="s">
        <v>138</v>
      </c>
      <c r="B144" s="18" t="s">
        <v>137</v>
      </c>
      <c r="C144" s="32">
        <f>SUM(C145:C148)</f>
        <v>439534631</v>
      </c>
      <c r="D144" s="32">
        <f>SUM(D145:D148)</f>
        <v>332051816</v>
      </c>
      <c r="E144" s="32">
        <f>SUM(E145:E148)</f>
        <v>4646878</v>
      </c>
      <c r="F144" s="32">
        <f>SUM(F145:F148)</f>
        <v>90120553</v>
      </c>
      <c r="G144" s="33">
        <f t="shared" si="14"/>
        <v>0.1346066386694586</v>
      </c>
      <c r="H144" s="32">
        <f t="shared" si="15"/>
        <v>241931263</v>
      </c>
      <c r="I144" s="32">
        <f>SUM(I145:I148)</f>
        <v>31491769</v>
      </c>
      <c r="J144" s="32">
        <f>SUM(J145:J148)</f>
        <v>90120553</v>
      </c>
      <c r="K144" s="33">
        <f t="shared" si="16"/>
        <v>0.1354031645244409</v>
      </c>
      <c r="L144" s="34">
        <f t="shared" si="17"/>
        <v>241931263</v>
      </c>
      <c r="M144" s="34">
        <f>SUM(M145:M148)</f>
        <v>0</v>
      </c>
    </row>
    <row r="145" spans="1:13" s="5" customFormat="1" ht="15.75">
      <c r="A145" s="15" t="s">
        <v>28</v>
      </c>
      <c r="B145" s="16" t="s">
        <v>33</v>
      </c>
      <c r="C145" s="35">
        <v>61028043</v>
      </c>
      <c r="D145" s="35">
        <v>62595341</v>
      </c>
      <c r="E145" s="35">
        <f>F145-49435285</f>
        <v>8493122</v>
      </c>
      <c r="F145" s="35">
        <v>57928407</v>
      </c>
      <c r="G145" s="37">
        <f t="shared" si="14"/>
        <v>0.08652352754367072</v>
      </c>
      <c r="H145" s="35">
        <f t="shared" si="15"/>
        <v>4666934</v>
      </c>
      <c r="I145" s="35">
        <f>J145-49297332</f>
        <v>8631075</v>
      </c>
      <c r="J145" s="35">
        <v>57928407</v>
      </c>
      <c r="K145" s="37">
        <f t="shared" si="16"/>
        <v>0.08703552477823537</v>
      </c>
      <c r="L145" s="38">
        <f t="shared" si="17"/>
        <v>4666934</v>
      </c>
      <c r="M145" s="38">
        <f t="shared" si="18"/>
        <v>0</v>
      </c>
    </row>
    <row r="146" spans="1:13" s="5" customFormat="1" ht="15.75">
      <c r="A146" s="15" t="s">
        <v>67</v>
      </c>
      <c r="B146" s="16" t="s">
        <v>75</v>
      </c>
      <c r="C146" s="35">
        <v>1628705</v>
      </c>
      <c r="D146" s="35">
        <v>1628705</v>
      </c>
      <c r="E146" s="35">
        <f>F146-0</f>
        <v>0</v>
      </c>
      <c r="F146" s="35">
        <v>0</v>
      </c>
      <c r="G146" s="37">
        <f t="shared" si="14"/>
        <v>0</v>
      </c>
      <c r="H146" s="35">
        <f t="shared" si="15"/>
        <v>1628705</v>
      </c>
      <c r="I146" s="35">
        <f>J146-0</f>
        <v>0</v>
      </c>
      <c r="J146" s="35">
        <v>0</v>
      </c>
      <c r="K146" s="37">
        <f t="shared" si="16"/>
        <v>0</v>
      </c>
      <c r="L146" s="38">
        <f t="shared" si="17"/>
        <v>1628705</v>
      </c>
      <c r="M146" s="38">
        <f t="shared" si="18"/>
        <v>0</v>
      </c>
    </row>
    <row r="147" spans="1:13" s="5" customFormat="1" ht="15.75">
      <c r="A147" s="15" t="s">
        <v>135</v>
      </c>
      <c r="B147" s="16" t="s">
        <v>136</v>
      </c>
      <c r="C147" s="35">
        <v>78468902</v>
      </c>
      <c r="D147" s="35">
        <v>95585215</v>
      </c>
      <c r="E147" s="35">
        <f>F147-29904403</f>
        <v>-4623524</v>
      </c>
      <c r="F147" s="35">
        <v>25280879</v>
      </c>
      <c r="G147" s="37">
        <f t="shared" si="14"/>
        <v>0.037760244822280485</v>
      </c>
      <c r="H147" s="35">
        <f t="shared" si="15"/>
        <v>70304336</v>
      </c>
      <c r="I147" s="35">
        <f>J147-7752867</f>
        <v>17528012</v>
      </c>
      <c r="J147" s="35">
        <v>25280879</v>
      </c>
      <c r="K147" s="37">
        <f t="shared" si="16"/>
        <v>0.03798368856613078</v>
      </c>
      <c r="L147" s="38">
        <f t="shared" si="17"/>
        <v>70304336</v>
      </c>
      <c r="M147" s="38">
        <f t="shared" si="18"/>
        <v>0</v>
      </c>
    </row>
    <row r="148" spans="1:13" s="5" customFormat="1" ht="15.75">
      <c r="A148" s="15" t="s">
        <v>139</v>
      </c>
      <c r="B148" s="16" t="s">
        <v>140</v>
      </c>
      <c r="C148" s="35">
        <v>298408981</v>
      </c>
      <c r="D148" s="35">
        <v>172242555</v>
      </c>
      <c r="E148" s="35">
        <f>F148-6133987</f>
        <v>777280</v>
      </c>
      <c r="F148" s="35">
        <v>6911267</v>
      </c>
      <c r="G148" s="37">
        <f t="shared" si="14"/>
        <v>0.010322866303507405</v>
      </c>
      <c r="H148" s="35">
        <f t="shared" si="15"/>
        <v>165331288</v>
      </c>
      <c r="I148" s="35">
        <f>J148-1578585</f>
        <v>5332682</v>
      </c>
      <c r="J148" s="35">
        <v>6911267</v>
      </c>
      <c r="K148" s="37">
        <f t="shared" si="16"/>
        <v>0.010383951180074751</v>
      </c>
      <c r="L148" s="38">
        <f t="shared" si="17"/>
        <v>165331288</v>
      </c>
      <c r="M148" s="38">
        <f t="shared" si="18"/>
        <v>0</v>
      </c>
    </row>
    <row r="149" spans="1:13" s="5" customFormat="1" ht="15.75">
      <c r="A149" s="26" t="s">
        <v>141</v>
      </c>
      <c r="B149" s="18" t="s">
        <v>142</v>
      </c>
      <c r="C149" s="32">
        <f>SUM(C150:C151)</f>
        <v>689850565</v>
      </c>
      <c r="D149" s="32">
        <f>SUM(D150:D151)</f>
        <v>803553904</v>
      </c>
      <c r="E149" s="32">
        <f>SUM(E150:E151)</f>
        <v>20538170</v>
      </c>
      <c r="F149" s="32">
        <f>SUM(F150:F151)</f>
        <v>101688076</v>
      </c>
      <c r="G149" s="33">
        <f aca="true" t="shared" si="19" ref="G149:G171">(F149/$F$235)*100</f>
        <v>0.1518842222719655</v>
      </c>
      <c r="H149" s="32">
        <f t="shared" si="15"/>
        <v>701865828</v>
      </c>
      <c r="I149" s="32">
        <f>SUM(I150:I151)</f>
        <v>36463462</v>
      </c>
      <c r="J149" s="32">
        <f>SUM(J150:J151)</f>
        <v>101633415</v>
      </c>
      <c r="K149" s="33">
        <f aca="true" t="shared" si="20" ref="K149:K171">(J149/$J$235)*100</f>
        <v>0.1527008607284709</v>
      </c>
      <c r="L149" s="34">
        <f aca="true" t="shared" si="21" ref="L149:L154">D149-J149</f>
        <v>701920489</v>
      </c>
      <c r="M149" s="34">
        <f>SUM(M150:M151)</f>
        <v>54661</v>
      </c>
    </row>
    <row r="150" spans="1:13" s="5" customFormat="1" ht="15.75">
      <c r="A150" s="15" t="s">
        <v>143</v>
      </c>
      <c r="B150" s="16" t="s">
        <v>144</v>
      </c>
      <c r="C150" s="35">
        <v>689840565</v>
      </c>
      <c r="D150" s="35">
        <v>803543904</v>
      </c>
      <c r="E150" s="35">
        <f>F150-81149906</f>
        <v>20538170</v>
      </c>
      <c r="F150" s="35">
        <v>101688076</v>
      </c>
      <c r="G150" s="37">
        <f t="shared" si="19"/>
        <v>0.1518842222719655</v>
      </c>
      <c r="H150" s="35">
        <f t="shared" si="15"/>
        <v>701855828</v>
      </c>
      <c r="I150" s="35">
        <f>J150-65169953</f>
        <v>36463462</v>
      </c>
      <c r="J150" s="35">
        <v>101633415</v>
      </c>
      <c r="K150" s="37">
        <f t="shared" si="20"/>
        <v>0.1527008607284709</v>
      </c>
      <c r="L150" s="38">
        <f t="shared" si="21"/>
        <v>701910489</v>
      </c>
      <c r="M150" s="38">
        <f t="shared" si="18"/>
        <v>54661</v>
      </c>
    </row>
    <row r="151" spans="1:15" s="5" customFormat="1" ht="15.75">
      <c r="A151" s="15" t="s">
        <v>147</v>
      </c>
      <c r="B151" s="16" t="s">
        <v>148</v>
      </c>
      <c r="C151" s="35">
        <v>10000</v>
      </c>
      <c r="D151" s="35">
        <v>10000</v>
      </c>
      <c r="E151" s="35">
        <f>F151-0</f>
        <v>0</v>
      </c>
      <c r="F151" s="35">
        <v>0</v>
      </c>
      <c r="G151" s="37">
        <f t="shared" si="19"/>
        <v>0</v>
      </c>
      <c r="H151" s="35">
        <f t="shared" si="15"/>
        <v>10000</v>
      </c>
      <c r="I151" s="35">
        <f>J151-0</f>
        <v>0</v>
      </c>
      <c r="J151" s="35">
        <v>0</v>
      </c>
      <c r="K151" s="37">
        <f t="shared" si="20"/>
        <v>0</v>
      </c>
      <c r="L151" s="38">
        <f t="shared" si="21"/>
        <v>10000</v>
      </c>
      <c r="M151" s="38">
        <f t="shared" si="18"/>
        <v>0</v>
      </c>
      <c r="O151" s="6"/>
    </row>
    <row r="152" spans="1:15" s="5" customFormat="1" ht="15.75">
      <c r="A152" s="26" t="s">
        <v>149</v>
      </c>
      <c r="B152" s="18" t="s">
        <v>150</v>
      </c>
      <c r="C152" s="32">
        <f>SUM(C153:C160)</f>
        <v>942063546</v>
      </c>
      <c r="D152" s="32">
        <f>SUM(D153:D160)</f>
        <v>1109422807</v>
      </c>
      <c r="E152" s="32">
        <f>SUM(E153:E160)</f>
        <v>56055760</v>
      </c>
      <c r="F152" s="32">
        <f>SUM(F153:F160)</f>
        <v>283556456</v>
      </c>
      <c r="G152" s="33">
        <f t="shared" si="19"/>
        <v>0.423528042656199</v>
      </c>
      <c r="H152" s="32">
        <f t="shared" si="15"/>
        <v>825866351</v>
      </c>
      <c r="I152" s="32">
        <f>SUM(I153:I160)</f>
        <v>81000337</v>
      </c>
      <c r="J152" s="32">
        <f>SUM(J153:J160)</f>
        <v>271646697</v>
      </c>
      <c r="K152" s="33">
        <f t="shared" si="20"/>
        <v>0.40814022087072577</v>
      </c>
      <c r="L152" s="34">
        <f t="shared" si="21"/>
        <v>837776110</v>
      </c>
      <c r="M152" s="34">
        <f>SUM(M153:M160)</f>
        <v>11909759</v>
      </c>
      <c r="O152" s="7"/>
    </row>
    <row r="153" spans="1:13" s="5" customFormat="1" ht="15.75">
      <c r="A153" s="15" t="s">
        <v>28</v>
      </c>
      <c r="B153" s="16" t="s">
        <v>33</v>
      </c>
      <c r="C153" s="35">
        <v>213716659</v>
      </c>
      <c r="D153" s="35">
        <v>247662199</v>
      </c>
      <c r="E153" s="35">
        <f>F153-132534006</f>
        <v>31229277</v>
      </c>
      <c r="F153" s="35">
        <v>163763283</v>
      </c>
      <c r="G153" s="37">
        <f t="shared" si="19"/>
        <v>0.24460152904416035</v>
      </c>
      <c r="H153" s="35">
        <f t="shared" si="15"/>
        <v>83898916</v>
      </c>
      <c r="I153" s="35">
        <f>J153-120667901</f>
        <v>36285621</v>
      </c>
      <c r="J153" s="35">
        <v>156953522</v>
      </c>
      <c r="K153" s="37">
        <f t="shared" si="20"/>
        <v>0.2358175006100601</v>
      </c>
      <c r="L153" s="38">
        <f t="shared" si="21"/>
        <v>90708677</v>
      </c>
      <c r="M153" s="38">
        <f t="shared" si="18"/>
        <v>6809761</v>
      </c>
    </row>
    <row r="154" spans="1:13" s="5" customFormat="1" ht="15.75">
      <c r="A154" s="15" t="s">
        <v>151</v>
      </c>
      <c r="B154" s="16" t="s">
        <v>152</v>
      </c>
      <c r="C154" s="35">
        <v>10000000</v>
      </c>
      <c r="D154" s="35">
        <v>10000000</v>
      </c>
      <c r="E154" s="35">
        <f>F154-0</f>
        <v>0</v>
      </c>
      <c r="F154" s="35">
        <v>0</v>
      </c>
      <c r="G154" s="37">
        <f t="shared" si="19"/>
        <v>0</v>
      </c>
      <c r="H154" s="35">
        <f t="shared" si="15"/>
        <v>10000000</v>
      </c>
      <c r="I154" s="35">
        <f>J154-0</f>
        <v>0</v>
      </c>
      <c r="J154" s="35">
        <v>0</v>
      </c>
      <c r="K154" s="37">
        <f t="shared" si="20"/>
        <v>0</v>
      </c>
      <c r="L154" s="38">
        <f t="shared" si="21"/>
        <v>10000000</v>
      </c>
      <c r="M154" s="38">
        <f t="shared" si="18"/>
        <v>0</v>
      </c>
    </row>
    <row r="155" spans="1:13" s="5" customFormat="1" ht="15.75">
      <c r="A155" s="15" t="s">
        <v>153</v>
      </c>
      <c r="B155" s="16" t="s">
        <v>154</v>
      </c>
      <c r="C155" s="35">
        <v>135220000</v>
      </c>
      <c r="D155" s="35">
        <v>140017647</v>
      </c>
      <c r="E155" s="35">
        <f>F155-18988016</f>
        <v>-4904163</v>
      </c>
      <c r="F155" s="35">
        <v>14083853</v>
      </c>
      <c r="G155" s="37">
        <f t="shared" si="19"/>
        <v>0.021036046148593546</v>
      </c>
      <c r="H155" s="35">
        <f aca="true" t="shared" si="22" ref="H155:H160">D155-F155</f>
        <v>125933794</v>
      </c>
      <c r="I155" s="35">
        <f>J155-7644716</f>
        <v>6152301</v>
      </c>
      <c r="J155" s="35">
        <v>13797017</v>
      </c>
      <c r="K155" s="37">
        <f t="shared" si="20"/>
        <v>0.0207295639075529</v>
      </c>
      <c r="L155" s="38">
        <f aca="true" t="shared" si="23" ref="L155:L160">D155-J155</f>
        <v>126220630</v>
      </c>
      <c r="M155" s="38">
        <f t="shared" si="18"/>
        <v>286836</v>
      </c>
    </row>
    <row r="156" spans="1:13" s="5" customFormat="1" ht="15.75">
      <c r="A156" s="15" t="s">
        <v>30</v>
      </c>
      <c r="B156" s="16" t="s">
        <v>35</v>
      </c>
      <c r="C156" s="35">
        <v>132823234</v>
      </c>
      <c r="D156" s="35">
        <v>136114382</v>
      </c>
      <c r="E156" s="35">
        <f>F156-2459937</f>
        <v>325072</v>
      </c>
      <c r="F156" s="35">
        <v>2785009</v>
      </c>
      <c r="G156" s="37">
        <f t="shared" si="19"/>
        <v>0.004159769194427716</v>
      </c>
      <c r="H156" s="35">
        <f t="shared" si="22"/>
        <v>133329373</v>
      </c>
      <c r="I156" s="35">
        <f>J156-1618376</f>
        <v>921918</v>
      </c>
      <c r="J156" s="35">
        <v>2540294</v>
      </c>
      <c r="K156" s="37">
        <f t="shared" si="20"/>
        <v>0.003816708120093871</v>
      </c>
      <c r="L156" s="38">
        <f t="shared" si="23"/>
        <v>133574088</v>
      </c>
      <c r="M156" s="38">
        <f t="shared" si="18"/>
        <v>244715</v>
      </c>
    </row>
    <row r="157" spans="1:13" s="5" customFormat="1" ht="15.75">
      <c r="A157" s="15" t="s">
        <v>145</v>
      </c>
      <c r="B157" s="16" t="s">
        <v>146</v>
      </c>
      <c r="C157" s="35">
        <v>242002841</v>
      </c>
      <c r="D157" s="35">
        <v>260866829</v>
      </c>
      <c r="E157" s="35">
        <f>F157-18928709</f>
        <v>-3735562</v>
      </c>
      <c r="F157" s="35">
        <v>15193147</v>
      </c>
      <c r="G157" s="37">
        <f t="shared" si="19"/>
        <v>0.022692919432939666</v>
      </c>
      <c r="H157" s="35">
        <f t="shared" si="22"/>
        <v>245673682</v>
      </c>
      <c r="I157" s="35">
        <f>J157-8329165</f>
        <v>2460889</v>
      </c>
      <c r="J157" s="35">
        <v>10790054</v>
      </c>
      <c r="K157" s="37">
        <f t="shared" si="20"/>
        <v>0.016211700975576587</v>
      </c>
      <c r="L157" s="38">
        <f t="shared" si="23"/>
        <v>250076775</v>
      </c>
      <c r="M157" s="38">
        <f t="shared" si="18"/>
        <v>4403093</v>
      </c>
    </row>
    <row r="158" spans="1:13" s="5" customFormat="1" ht="15.75">
      <c r="A158" s="48" t="s">
        <v>147</v>
      </c>
      <c r="B158" s="49" t="s">
        <v>148</v>
      </c>
      <c r="C158" s="35">
        <v>207295812</v>
      </c>
      <c r="D158" s="35">
        <v>313756750</v>
      </c>
      <c r="E158" s="35">
        <f>F158-54248167</f>
        <v>33069369</v>
      </c>
      <c r="F158" s="35">
        <v>87317536</v>
      </c>
      <c r="G158" s="37">
        <f t="shared" si="19"/>
        <v>0.13041997221055052</v>
      </c>
      <c r="H158" s="35">
        <f t="shared" si="22"/>
        <v>226439214</v>
      </c>
      <c r="I158" s="35">
        <f>J158-52114480</f>
        <v>35037702</v>
      </c>
      <c r="J158" s="35">
        <v>87152182</v>
      </c>
      <c r="K158" s="37">
        <f t="shared" si="20"/>
        <v>0.13094328480219175</v>
      </c>
      <c r="L158" s="38">
        <f t="shared" si="23"/>
        <v>226604568</v>
      </c>
      <c r="M158" s="38">
        <f t="shared" si="18"/>
        <v>165354</v>
      </c>
    </row>
    <row r="159" spans="1:13" s="5" customFormat="1" ht="15.75">
      <c r="A159" s="48" t="s">
        <v>160</v>
      </c>
      <c r="B159" s="16" t="s">
        <v>161</v>
      </c>
      <c r="C159" s="50">
        <v>5000</v>
      </c>
      <c r="D159" s="35">
        <v>5000</v>
      </c>
      <c r="E159" s="35">
        <f>F159-0</f>
        <v>0</v>
      </c>
      <c r="F159" s="35">
        <v>0</v>
      </c>
      <c r="G159" s="37">
        <f t="shared" si="19"/>
        <v>0</v>
      </c>
      <c r="H159" s="35">
        <f t="shared" si="22"/>
        <v>5000</v>
      </c>
      <c r="I159" s="35">
        <f>J159-0</f>
        <v>0</v>
      </c>
      <c r="J159" s="35">
        <v>0</v>
      </c>
      <c r="K159" s="37">
        <f t="shared" si="20"/>
        <v>0</v>
      </c>
      <c r="L159" s="38">
        <f t="shared" si="23"/>
        <v>5000</v>
      </c>
      <c r="M159" s="38">
        <f t="shared" si="18"/>
        <v>0</v>
      </c>
    </row>
    <row r="160" spans="1:13" s="5" customFormat="1" ht="15.75">
      <c r="A160" s="48" t="s">
        <v>97</v>
      </c>
      <c r="B160" s="16" t="s">
        <v>237</v>
      </c>
      <c r="C160" s="50">
        <v>1000000</v>
      </c>
      <c r="D160" s="35">
        <v>1000000</v>
      </c>
      <c r="E160" s="35">
        <f>F160-341861</f>
        <v>71767</v>
      </c>
      <c r="F160" s="35">
        <v>413628</v>
      </c>
      <c r="G160" s="37">
        <f t="shared" si="19"/>
        <v>0.0006178066255271517</v>
      </c>
      <c r="H160" s="35">
        <f t="shared" si="22"/>
        <v>586372</v>
      </c>
      <c r="I160" s="35">
        <f>J160-271722</f>
        <v>141906</v>
      </c>
      <c r="J160" s="35">
        <v>413628</v>
      </c>
      <c r="K160" s="37">
        <f t="shared" si="20"/>
        <v>0.0006214624552505291</v>
      </c>
      <c r="L160" s="38">
        <f t="shared" si="23"/>
        <v>586372</v>
      </c>
      <c r="M160" s="38">
        <f t="shared" si="18"/>
        <v>0</v>
      </c>
    </row>
    <row r="161" spans="1:13" ht="15.75">
      <c r="A161" s="26" t="s">
        <v>158</v>
      </c>
      <c r="B161" s="18" t="s">
        <v>159</v>
      </c>
      <c r="C161" s="32">
        <f>SUM(C162:C168)</f>
        <v>436347721</v>
      </c>
      <c r="D161" s="32">
        <f>SUM(D162:D168)</f>
        <v>439292669</v>
      </c>
      <c r="E161" s="32">
        <f>SUM(E162:E168)</f>
        <v>115454929</v>
      </c>
      <c r="F161" s="32">
        <f>SUM(F162:F168)</f>
        <v>310451533</v>
      </c>
      <c r="G161" s="33">
        <f t="shared" si="19"/>
        <v>0.463699299835749</v>
      </c>
      <c r="H161" s="32">
        <f>D161-F161</f>
        <v>128841136</v>
      </c>
      <c r="I161" s="32">
        <f>SUM(I162:I168)</f>
        <v>117165809</v>
      </c>
      <c r="J161" s="32">
        <f>SUM(J162:J168)</f>
        <v>310451533</v>
      </c>
      <c r="K161" s="33">
        <f t="shared" si="20"/>
        <v>0.46644320968230074</v>
      </c>
      <c r="L161" s="34">
        <f>D161-J161</f>
        <v>128841136</v>
      </c>
      <c r="M161" s="34">
        <f>SUM(M162:M168)</f>
        <v>0</v>
      </c>
    </row>
    <row r="162" spans="1:13" ht="15.75">
      <c r="A162" s="15" t="s">
        <v>28</v>
      </c>
      <c r="B162" s="16" t="s">
        <v>33</v>
      </c>
      <c r="C162" s="35">
        <v>99193180</v>
      </c>
      <c r="D162" s="35">
        <v>89341900</v>
      </c>
      <c r="E162" s="35">
        <f>F162-50526619</f>
        <v>21032136</v>
      </c>
      <c r="F162" s="35">
        <v>71558755</v>
      </c>
      <c r="G162" s="37">
        <f t="shared" si="19"/>
        <v>0.10688220563761204</v>
      </c>
      <c r="H162" s="35">
        <f aca="true" t="shared" si="24" ref="H162:H225">D162-F162</f>
        <v>17783145</v>
      </c>
      <c r="I162" s="35">
        <f>J162-49532900</f>
        <v>22025855</v>
      </c>
      <c r="J162" s="35">
        <v>71558755</v>
      </c>
      <c r="K162" s="37">
        <f t="shared" si="20"/>
        <v>0.1075146739992725</v>
      </c>
      <c r="L162" s="38">
        <f>D162-J162</f>
        <v>17783145</v>
      </c>
      <c r="M162" s="38">
        <f t="shared" si="18"/>
        <v>0</v>
      </c>
    </row>
    <row r="163" spans="1:13" ht="15.75">
      <c r="A163" s="15" t="s">
        <v>50</v>
      </c>
      <c r="B163" s="16" t="s">
        <v>57</v>
      </c>
      <c r="C163" s="35">
        <v>15561207</v>
      </c>
      <c r="D163" s="35">
        <v>21221207</v>
      </c>
      <c r="E163" s="35">
        <f>F163-5837027</f>
        <v>1778527</v>
      </c>
      <c r="F163" s="35">
        <v>7615554</v>
      </c>
      <c r="G163" s="37">
        <f t="shared" si="19"/>
        <v>0.011374809534798906</v>
      </c>
      <c r="H163" s="35">
        <f t="shared" si="24"/>
        <v>13605653</v>
      </c>
      <c r="I163" s="35">
        <f>J163-5446887</f>
        <v>2168667</v>
      </c>
      <c r="J163" s="35">
        <v>7615554</v>
      </c>
      <c r="K163" s="37">
        <f t="shared" si="20"/>
        <v>0.011442119215655102</v>
      </c>
      <c r="L163" s="38">
        <f>D163-J163</f>
        <v>13605653</v>
      </c>
      <c r="M163" s="38">
        <f t="shared" si="18"/>
        <v>0</v>
      </c>
    </row>
    <row r="164" spans="1:13" ht="15.75">
      <c r="A164" s="15" t="s">
        <v>114</v>
      </c>
      <c r="B164" s="16" t="s">
        <v>121</v>
      </c>
      <c r="C164" s="35">
        <v>103000000</v>
      </c>
      <c r="D164" s="35">
        <v>90155580</v>
      </c>
      <c r="E164" s="35">
        <f>F164-59976542</f>
        <v>8080480</v>
      </c>
      <c r="F164" s="35">
        <v>68057022</v>
      </c>
      <c r="G164" s="37">
        <f t="shared" si="19"/>
        <v>0.10165191695254462</v>
      </c>
      <c r="H164" s="35">
        <f t="shared" si="24"/>
        <v>22098558</v>
      </c>
      <c r="I164" s="35">
        <f>J164-59699531</f>
        <v>8357491</v>
      </c>
      <c r="J164" s="35">
        <v>68057022</v>
      </c>
      <c r="K164" s="37">
        <f t="shared" si="20"/>
        <v>0.10225343542787065</v>
      </c>
      <c r="L164" s="38">
        <f>D164-J164</f>
        <v>22098558</v>
      </c>
      <c r="M164" s="38">
        <f t="shared" si="18"/>
        <v>0</v>
      </c>
    </row>
    <row r="165" spans="1:13" ht="15.75">
      <c r="A165" s="15" t="s">
        <v>116</v>
      </c>
      <c r="B165" s="16" t="s">
        <v>123</v>
      </c>
      <c r="C165" s="35">
        <v>5000</v>
      </c>
      <c r="D165" s="35">
        <v>5000</v>
      </c>
      <c r="E165" s="35">
        <f>F165-0</f>
        <v>0</v>
      </c>
      <c r="F165" s="35">
        <v>0</v>
      </c>
      <c r="G165" s="37">
        <f t="shared" si="19"/>
        <v>0</v>
      </c>
      <c r="H165" s="35">
        <f t="shared" si="24"/>
        <v>5000</v>
      </c>
      <c r="I165" s="35">
        <f>J165-0</f>
        <v>0</v>
      </c>
      <c r="J165" s="35">
        <v>0</v>
      </c>
      <c r="K165" s="37">
        <f t="shared" si="20"/>
        <v>0</v>
      </c>
      <c r="L165" s="38">
        <f aca="true" t="shared" si="25" ref="L165:L223">D165-J165</f>
        <v>5000</v>
      </c>
      <c r="M165" s="38">
        <f t="shared" si="18"/>
        <v>0</v>
      </c>
    </row>
    <row r="166" spans="1:13" ht="15.75">
      <c r="A166" s="15" t="s">
        <v>96</v>
      </c>
      <c r="B166" s="16" t="s">
        <v>102</v>
      </c>
      <c r="C166" s="35">
        <v>187476725</v>
      </c>
      <c r="D166" s="35">
        <v>206880320</v>
      </c>
      <c r="E166" s="35">
        <f>F166-65015484</f>
        <v>77259923</v>
      </c>
      <c r="F166" s="35">
        <v>142275407</v>
      </c>
      <c r="G166" s="37">
        <f t="shared" si="19"/>
        <v>0.2125066221198084</v>
      </c>
      <c r="H166" s="35">
        <f t="shared" si="24"/>
        <v>64604913</v>
      </c>
      <c r="I166" s="35">
        <f>J166-64965484</f>
        <v>77309923</v>
      </c>
      <c r="J166" s="35">
        <v>142275407</v>
      </c>
      <c r="K166" s="37">
        <f t="shared" si="20"/>
        <v>0.21376411595923953</v>
      </c>
      <c r="L166" s="38">
        <f t="shared" si="25"/>
        <v>64604913</v>
      </c>
      <c r="M166" s="38">
        <f t="shared" si="18"/>
        <v>0</v>
      </c>
    </row>
    <row r="167" spans="1:13" ht="15.75">
      <c r="A167" s="15" t="s">
        <v>160</v>
      </c>
      <c r="B167" s="16" t="s">
        <v>161</v>
      </c>
      <c r="C167" s="35">
        <v>30282620</v>
      </c>
      <c r="D167" s="35">
        <v>31059673</v>
      </c>
      <c r="E167" s="35">
        <f>F167-13640932</f>
        <v>7303863</v>
      </c>
      <c r="F167" s="35">
        <v>20944795</v>
      </c>
      <c r="G167" s="37">
        <f t="shared" si="19"/>
        <v>0.03128374559098503</v>
      </c>
      <c r="H167" s="35">
        <f t="shared" si="24"/>
        <v>10114878</v>
      </c>
      <c r="I167" s="35">
        <f>J167-13640922</f>
        <v>7303873</v>
      </c>
      <c r="J167" s="35">
        <v>20944795</v>
      </c>
      <c r="K167" s="37">
        <f t="shared" si="20"/>
        <v>0.03146886508026296</v>
      </c>
      <c r="L167" s="38">
        <f t="shared" si="25"/>
        <v>10114878</v>
      </c>
      <c r="M167" s="38">
        <f t="shared" si="18"/>
        <v>0</v>
      </c>
    </row>
    <row r="168" spans="1:13" ht="15.75">
      <c r="A168" s="15" t="s">
        <v>97</v>
      </c>
      <c r="B168" s="16" t="s">
        <v>241</v>
      </c>
      <c r="C168" s="35">
        <v>828989</v>
      </c>
      <c r="D168" s="35">
        <v>628989</v>
      </c>
      <c r="E168" s="35">
        <f>F168-0</f>
        <v>0</v>
      </c>
      <c r="F168" s="35">
        <v>0</v>
      </c>
      <c r="G168" s="37">
        <f t="shared" si="19"/>
        <v>0</v>
      </c>
      <c r="H168" s="35">
        <f t="shared" si="24"/>
        <v>628989</v>
      </c>
      <c r="I168" s="35">
        <f>J168-0</f>
        <v>0</v>
      </c>
      <c r="J168" s="35">
        <v>0</v>
      </c>
      <c r="K168" s="37">
        <f t="shared" si="20"/>
        <v>0</v>
      </c>
      <c r="L168" s="38">
        <f t="shared" si="25"/>
        <v>628989</v>
      </c>
      <c r="M168" s="38">
        <f t="shared" si="18"/>
        <v>0</v>
      </c>
    </row>
    <row r="169" spans="1:13" ht="15.75">
      <c r="A169" s="26" t="s">
        <v>162</v>
      </c>
      <c r="B169" s="18" t="s">
        <v>163</v>
      </c>
      <c r="C169" s="32">
        <f>SUM(C170:C181)</f>
        <v>358667638</v>
      </c>
      <c r="D169" s="32">
        <f>SUM(D170:D181)</f>
        <v>373324797</v>
      </c>
      <c r="E169" s="32">
        <f>SUM(E170:E181)</f>
        <v>62099292</v>
      </c>
      <c r="F169" s="32">
        <f>SUM(F170:F181)</f>
        <v>307120459</v>
      </c>
      <c r="G169" s="33">
        <f t="shared" si="19"/>
        <v>0.45872391232010395</v>
      </c>
      <c r="H169" s="32">
        <f t="shared" si="24"/>
        <v>66204338</v>
      </c>
      <c r="I169" s="32">
        <f>SUM(I170:I181)</f>
        <v>63166275</v>
      </c>
      <c r="J169" s="32">
        <f>SUM(J170:J181)</f>
        <v>306012490</v>
      </c>
      <c r="K169" s="33">
        <f t="shared" si="20"/>
        <v>0.45977369368787413</v>
      </c>
      <c r="L169" s="34">
        <f t="shared" si="25"/>
        <v>67312307</v>
      </c>
      <c r="M169" s="34">
        <f>SUM(M170:M181)</f>
        <v>1107969</v>
      </c>
    </row>
    <row r="170" spans="1:13" ht="15.75">
      <c r="A170" s="15" t="s">
        <v>28</v>
      </c>
      <c r="B170" s="16" t="s">
        <v>33</v>
      </c>
      <c r="C170" s="35">
        <v>333695258</v>
      </c>
      <c r="D170" s="35">
        <v>344047457</v>
      </c>
      <c r="E170" s="35">
        <f>F170-243268715</f>
        <v>57221572</v>
      </c>
      <c r="F170" s="35">
        <v>300490287</v>
      </c>
      <c r="G170" s="37">
        <f t="shared" si="19"/>
        <v>0.4488208975580844</v>
      </c>
      <c r="H170" s="35">
        <f t="shared" si="24"/>
        <v>43557170</v>
      </c>
      <c r="I170" s="35">
        <f>J170-241346240</f>
        <v>59144047</v>
      </c>
      <c r="J170" s="35">
        <v>300490287</v>
      </c>
      <c r="K170" s="37">
        <f t="shared" si="20"/>
        <v>0.45147676544614046</v>
      </c>
      <c r="L170" s="38">
        <f t="shared" si="25"/>
        <v>43557170</v>
      </c>
      <c r="M170" s="38">
        <f t="shared" si="18"/>
        <v>0</v>
      </c>
    </row>
    <row r="171" spans="1:13" ht="15.75">
      <c r="A171" s="15" t="s">
        <v>51</v>
      </c>
      <c r="B171" s="16" t="s">
        <v>58</v>
      </c>
      <c r="C171" s="35">
        <v>60000</v>
      </c>
      <c r="D171" s="35">
        <v>0</v>
      </c>
      <c r="E171" s="35">
        <f>F171-0</f>
        <v>0</v>
      </c>
      <c r="F171" s="35">
        <v>0</v>
      </c>
      <c r="G171" s="37">
        <f t="shared" si="19"/>
        <v>0</v>
      </c>
      <c r="H171" s="35">
        <f t="shared" si="24"/>
        <v>0</v>
      </c>
      <c r="I171" s="35">
        <f>J171-0</f>
        <v>0</v>
      </c>
      <c r="J171" s="35">
        <v>0</v>
      </c>
      <c r="K171" s="37">
        <f t="shared" si="20"/>
        <v>0</v>
      </c>
      <c r="L171" s="38">
        <f t="shared" si="25"/>
        <v>0</v>
      </c>
      <c r="M171" s="38">
        <f t="shared" si="18"/>
        <v>0</v>
      </c>
    </row>
    <row r="172" spans="1:13" ht="15.75">
      <c r="A172" s="15" t="s">
        <v>94</v>
      </c>
      <c r="B172" s="16" t="s">
        <v>100</v>
      </c>
      <c r="C172" s="35">
        <v>2007167</v>
      </c>
      <c r="D172" s="35">
        <v>1995167</v>
      </c>
      <c r="E172" s="35">
        <f>F172-1020564</f>
        <v>81470</v>
      </c>
      <c r="F172" s="35">
        <v>1102034</v>
      </c>
      <c r="G172" s="37">
        <f aca="true" t="shared" si="26" ref="G172:G203">(F172/$F$235)*100</f>
        <v>0.0016460295404474288</v>
      </c>
      <c r="H172" s="35">
        <f t="shared" si="24"/>
        <v>893133</v>
      </c>
      <c r="I172" s="35">
        <f>J172-886371</f>
        <v>215663</v>
      </c>
      <c r="J172" s="35">
        <v>1102034</v>
      </c>
      <c r="K172" s="37">
        <f aca="true" t="shared" si="27" ref="K172:K203">(J172/$J$235)*100</f>
        <v>0.001655769811061054</v>
      </c>
      <c r="L172" s="38">
        <f t="shared" si="25"/>
        <v>893133</v>
      </c>
      <c r="M172" s="38">
        <f t="shared" si="18"/>
        <v>0</v>
      </c>
    </row>
    <row r="173" spans="1:13" ht="15.75">
      <c r="A173" s="15" t="s">
        <v>68</v>
      </c>
      <c r="B173" s="16" t="s">
        <v>76</v>
      </c>
      <c r="C173" s="35">
        <v>280000</v>
      </c>
      <c r="D173" s="35">
        <v>280000</v>
      </c>
      <c r="E173" s="35">
        <f>F173-19140</f>
        <v>2685</v>
      </c>
      <c r="F173" s="35">
        <v>21825</v>
      </c>
      <c r="G173" s="37">
        <f t="shared" si="26"/>
        <v>3.25984449846966E-05</v>
      </c>
      <c r="H173" s="35">
        <f t="shared" si="24"/>
        <v>258175</v>
      </c>
      <c r="I173" s="35">
        <f>J173-19070</f>
        <v>2755</v>
      </c>
      <c r="J173" s="35">
        <v>21825</v>
      </c>
      <c r="K173" s="37">
        <f t="shared" si="27"/>
        <v>3.279134412042415E-05</v>
      </c>
      <c r="L173" s="38">
        <f t="shared" si="25"/>
        <v>258175</v>
      </c>
      <c r="M173" s="38">
        <f t="shared" si="18"/>
        <v>0</v>
      </c>
    </row>
    <row r="174" spans="1:13" ht="15.75">
      <c r="A174" s="15" t="s">
        <v>135</v>
      </c>
      <c r="B174" s="16" t="s">
        <v>136</v>
      </c>
      <c r="C174" s="35">
        <v>60000</v>
      </c>
      <c r="D174" s="35">
        <v>0</v>
      </c>
      <c r="E174" s="35">
        <f>F174-0</f>
        <v>0</v>
      </c>
      <c r="F174" s="35">
        <v>0</v>
      </c>
      <c r="G174" s="37">
        <f t="shared" si="26"/>
        <v>0</v>
      </c>
      <c r="H174" s="35">
        <f t="shared" si="24"/>
        <v>0</v>
      </c>
      <c r="I174" s="35">
        <f>J174-0</f>
        <v>0</v>
      </c>
      <c r="J174" s="35">
        <v>0</v>
      </c>
      <c r="K174" s="37">
        <f t="shared" si="27"/>
        <v>0</v>
      </c>
      <c r="L174" s="38">
        <f t="shared" si="25"/>
        <v>0</v>
      </c>
      <c r="M174" s="38">
        <f t="shared" si="18"/>
        <v>0</v>
      </c>
    </row>
    <row r="175" spans="1:13" ht="15.75">
      <c r="A175" s="15" t="s">
        <v>96</v>
      </c>
      <c r="B175" s="16" t="s">
        <v>102</v>
      </c>
      <c r="C175" s="35">
        <v>5000</v>
      </c>
      <c r="D175" s="35">
        <v>5000</v>
      </c>
      <c r="E175" s="35">
        <f>F175-4529</f>
        <v>0</v>
      </c>
      <c r="F175" s="35">
        <v>4529</v>
      </c>
      <c r="G175" s="37">
        <f t="shared" si="26"/>
        <v>6.764644093273352E-06</v>
      </c>
      <c r="H175" s="35">
        <f t="shared" si="24"/>
        <v>471</v>
      </c>
      <c r="I175" s="35">
        <f>J175-4529</f>
        <v>0</v>
      </c>
      <c r="J175" s="35">
        <v>4529</v>
      </c>
      <c r="K175" s="37">
        <f t="shared" si="27"/>
        <v>6.8046734259519345E-06</v>
      </c>
      <c r="L175" s="38">
        <f t="shared" si="25"/>
        <v>471</v>
      </c>
      <c r="M175" s="38">
        <f t="shared" si="18"/>
        <v>0</v>
      </c>
    </row>
    <row r="176" spans="1:13" ht="15.75">
      <c r="A176" s="15" t="s">
        <v>155</v>
      </c>
      <c r="B176" s="16" t="s">
        <v>156</v>
      </c>
      <c r="C176" s="35">
        <v>322179</v>
      </c>
      <c r="D176" s="35">
        <v>4250990</v>
      </c>
      <c r="E176" s="35">
        <f>F176-256699</f>
        <v>1465942</v>
      </c>
      <c r="F176" s="35">
        <v>1722641</v>
      </c>
      <c r="G176" s="37">
        <f t="shared" si="26"/>
        <v>0.0025729859274631266</v>
      </c>
      <c r="H176" s="35">
        <f t="shared" si="24"/>
        <v>2528349</v>
      </c>
      <c r="I176" s="35">
        <f>J176-149429</f>
        <v>465243</v>
      </c>
      <c r="J176" s="35">
        <v>614672</v>
      </c>
      <c r="K176" s="37">
        <f t="shared" si="27"/>
        <v>0.0009235244477979085</v>
      </c>
      <c r="L176" s="38">
        <f t="shared" si="25"/>
        <v>3636318</v>
      </c>
      <c r="M176" s="38">
        <f t="shared" si="18"/>
        <v>1107969</v>
      </c>
    </row>
    <row r="177" spans="1:13" ht="15.75">
      <c r="A177" s="15" t="s">
        <v>166</v>
      </c>
      <c r="B177" s="16" t="s">
        <v>167</v>
      </c>
      <c r="C177" s="35">
        <v>155632</v>
      </c>
      <c r="D177" s="35">
        <v>6340</v>
      </c>
      <c r="E177" s="35">
        <f>F177-929</f>
        <v>0</v>
      </c>
      <c r="F177" s="35">
        <v>929</v>
      </c>
      <c r="G177" s="37">
        <f t="shared" si="26"/>
        <v>1.3875810030141188E-06</v>
      </c>
      <c r="H177" s="35">
        <f t="shared" si="24"/>
        <v>5411</v>
      </c>
      <c r="I177" s="35">
        <f>J177-929</f>
        <v>0</v>
      </c>
      <c r="J177" s="35">
        <v>929</v>
      </c>
      <c r="K177" s="37">
        <f t="shared" si="27"/>
        <v>1.3957919215520748E-06</v>
      </c>
      <c r="L177" s="38">
        <f t="shared" si="25"/>
        <v>5411</v>
      </c>
      <c r="M177" s="38">
        <f t="shared" si="18"/>
        <v>0</v>
      </c>
    </row>
    <row r="178" spans="1:13" ht="15.75">
      <c r="A178" s="15" t="s">
        <v>168</v>
      </c>
      <c r="B178" s="16" t="s">
        <v>169</v>
      </c>
      <c r="C178" s="35">
        <v>547088</v>
      </c>
      <c r="D178" s="35">
        <v>457229</v>
      </c>
      <c r="E178" s="35">
        <f>F178-2460</f>
        <v>374921</v>
      </c>
      <c r="F178" s="35">
        <v>377381</v>
      </c>
      <c r="G178" s="37">
        <f t="shared" si="26"/>
        <v>0.0005636670683514221</v>
      </c>
      <c r="H178" s="35">
        <f t="shared" si="24"/>
        <v>79848</v>
      </c>
      <c r="I178" s="35">
        <f>J178-2460</f>
        <v>374921</v>
      </c>
      <c r="J178" s="35">
        <v>377381</v>
      </c>
      <c r="K178" s="37">
        <f t="shared" si="27"/>
        <v>0.0005670025308366453</v>
      </c>
      <c r="L178" s="38">
        <f t="shared" si="25"/>
        <v>79848</v>
      </c>
      <c r="M178" s="38">
        <f t="shared" si="18"/>
        <v>0</v>
      </c>
    </row>
    <row r="179" spans="1:13" ht="15.75">
      <c r="A179" s="15" t="s">
        <v>170</v>
      </c>
      <c r="B179" s="16" t="s">
        <v>171</v>
      </c>
      <c r="C179" s="35">
        <v>6701105</v>
      </c>
      <c r="D179" s="35">
        <v>9341105</v>
      </c>
      <c r="E179" s="35">
        <f>F179-730</f>
        <v>2790000</v>
      </c>
      <c r="F179" s="35">
        <v>2790730</v>
      </c>
      <c r="G179" s="37">
        <f t="shared" si="26"/>
        <v>0.00416831424385532</v>
      </c>
      <c r="H179" s="35">
        <f t="shared" si="24"/>
        <v>6550375</v>
      </c>
      <c r="I179" s="35">
        <f>J179-730</f>
        <v>2790000</v>
      </c>
      <c r="J179" s="35">
        <v>2790730</v>
      </c>
      <c r="K179" s="37">
        <f t="shared" si="27"/>
        <v>0.004192979966881617</v>
      </c>
      <c r="L179" s="38">
        <f t="shared" si="25"/>
        <v>6550375</v>
      </c>
      <c r="M179" s="38">
        <f t="shared" si="18"/>
        <v>0</v>
      </c>
    </row>
    <row r="180" spans="1:13" ht="15.75">
      <c r="A180" s="15" t="s">
        <v>172</v>
      </c>
      <c r="B180" s="16" t="s">
        <v>173</v>
      </c>
      <c r="C180" s="35">
        <v>14827870</v>
      </c>
      <c r="D180" s="35">
        <v>12935170</v>
      </c>
      <c r="E180" s="35">
        <f>F180-447401</f>
        <v>162702</v>
      </c>
      <c r="F180" s="35">
        <v>610103</v>
      </c>
      <c r="G180" s="37">
        <f t="shared" si="26"/>
        <v>0.0009112673118212302</v>
      </c>
      <c r="H180" s="35">
        <f t="shared" si="24"/>
        <v>12325067</v>
      </c>
      <c r="I180" s="35">
        <f>J180-436457</f>
        <v>173646</v>
      </c>
      <c r="J180" s="35">
        <v>610103</v>
      </c>
      <c r="K180" s="37">
        <f t="shared" si="27"/>
        <v>0.0009166596756885743</v>
      </c>
      <c r="L180" s="38">
        <f t="shared" si="25"/>
        <v>12325067</v>
      </c>
      <c r="M180" s="38">
        <f t="shared" si="18"/>
        <v>0</v>
      </c>
    </row>
    <row r="181" spans="1:13" ht="15.75">
      <c r="A181" s="15" t="s">
        <v>244</v>
      </c>
      <c r="B181" s="16" t="s">
        <v>245</v>
      </c>
      <c r="C181" s="35">
        <v>6339</v>
      </c>
      <c r="D181" s="35">
        <v>6339</v>
      </c>
      <c r="E181" s="35">
        <f>F181-0</f>
        <v>0</v>
      </c>
      <c r="F181" s="35">
        <v>0</v>
      </c>
      <c r="G181" s="37">
        <f t="shared" si="26"/>
        <v>0</v>
      </c>
      <c r="H181" s="35">
        <f t="shared" si="24"/>
        <v>6339</v>
      </c>
      <c r="I181" s="35">
        <f>J181-0</f>
        <v>0</v>
      </c>
      <c r="J181" s="35">
        <v>0</v>
      </c>
      <c r="K181" s="37">
        <f t="shared" si="27"/>
        <v>0</v>
      </c>
      <c r="L181" s="38">
        <f t="shared" si="25"/>
        <v>6339</v>
      </c>
      <c r="M181" s="38">
        <f t="shared" si="18"/>
        <v>0</v>
      </c>
    </row>
    <row r="182" spans="1:13" ht="15.75">
      <c r="A182" s="26" t="s">
        <v>175</v>
      </c>
      <c r="B182" s="18" t="s">
        <v>174</v>
      </c>
      <c r="C182" s="32">
        <f>SUM(C183:C185)</f>
        <v>27311173</v>
      </c>
      <c r="D182" s="32">
        <f>SUM(D183:D185)</f>
        <v>31893319</v>
      </c>
      <c r="E182" s="32">
        <f>SUM(E183:E185)</f>
        <v>2214044</v>
      </c>
      <c r="F182" s="32">
        <f>SUM(F183:F185)</f>
        <v>9611876</v>
      </c>
      <c r="G182" s="33">
        <f t="shared" si="26"/>
        <v>0.014356573241041266</v>
      </c>
      <c r="H182" s="32">
        <f t="shared" si="24"/>
        <v>22281443</v>
      </c>
      <c r="I182" s="32">
        <f>SUM(I183:I185)</f>
        <v>2378484</v>
      </c>
      <c r="J182" s="32">
        <f>SUM(J183:J185)</f>
        <v>9611876</v>
      </c>
      <c r="K182" s="33">
        <f t="shared" si="27"/>
        <v>0.01444152731082914</v>
      </c>
      <c r="L182" s="34">
        <f t="shared" si="25"/>
        <v>22281443</v>
      </c>
      <c r="M182" s="34">
        <f>SUM(M183:M185)</f>
        <v>0</v>
      </c>
    </row>
    <row r="183" spans="1:13" ht="15.75">
      <c r="A183" s="15" t="s">
        <v>28</v>
      </c>
      <c r="B183" s="16" t="s">
        <v>33</v>
      </c>
      <c r="C183" s="35">
        <v>9694986</v>
      </c>
      <c r="D183" s="35">
        <v>10052256</v>
      </c>
      <c r="E183" s="35">
        <f>F183-7083437</f>
        <v>2250800</v>
      </c>
      <c r="F183" s="35">
        <v>9334237</v>
      </c>
      <c r="G183" s="37">
        <f t="shared" si="26"/>
        <v>0.01394188368012002</v>
      </c>
      <c r="H183" s="35">
        <f t="shared" si="24"/>
        <v>718019</v>
      </c>
      <c r="I183" s="35">
        <f>J183-7069072</f>
        <v>2265165</v>
      </c>
      <c r="J183" s="35">
        <v>9334237</v>
      </c>
      <c r="K183" s="37">
        <f t="shared" si="27"/>
        <v>0.014024383851940232</v>
      </c>
      <c r="L183" s="38">
        <f t="shared" si="25"/>
        <v>718019</v>
      </c>
      <c r="M183" s="38">
        <f t="shared" si="18"/>
        <v>0</v>
      </c>
    </row>
    <row r="184" spans="1:13" ht="15.75">
      <c r="A184" s="15" t="s">
        <v>139</v>
      </c>
      <c r="B184" s="16" t="s">
        <v>140</v>
      </c>
      <c r="C184" s="35">
        <v>1029233</v>
      </c>
      <c r="D184" s="35">
        <v>1029233</v>
      </c>
      <c r="E184" s="35">
        <f>F184-0</f>
        <v>0</v>
      </c>
      <c r="F184" s="35">
        <v>0</v>
      </c>
      <c r="G184" s="37">
        <f t="shared" si="26"/>
        <v>0</v>
      </c>
      <c r="H184" s="35">
        <f t="shared" si="24"/>
        <v>1029233</v>
      </c>
      <c r="I184" s="35">
        <f>J184-0</f>
        <v>0</v>
      </c>
      <c r="J184" s="35">
        <v>0</v>
      </c>
      <c r="K184" s="37">
        <f t="shared" si="27"/>
        <v>0</v>
      </c>
      <c r="L184" s="38">
        <f t="shared" si="25"/>
        <v>1029233</v>
      </c>
      <c r="M184" s="38">
        <f t="shared" si="18"/>
        <v>0</v>
      </c>
    </row>
    <row r="185" spans="1:13" ht="15.75">
      <c r="A185" s="15" t="s">
        <v>176</v>
      </c>
      <c r="B185" s="16" t="s">
        <v>177</v>
      </c>
      <c r="C185" s="35">
        <v>16586954</v>
      </c>
      <c r="D185" s="35">
        <v>20811830</v>
      </c>
      <c r="E185" s="35">
        <f>F185-314395</f>
        <v>-36756</v>
      </c>
      <c r="F185" s="35">
        <v>277639</v>
      </c>
      <c r="G185" s="37">
        <f t="shared" si="26"/>
        <v>0.0004146895609212453</v>
      </c>
      <c r="H185" s="35">
        <f t="shared" si="24"/>
        <v>20534191</v>
      </c>
      <c r="I185" s="35">
        <f>J185-164320</f>
        <v>113319</v>
      </c>
      <c r="J185" s="35">
        <v>277639</v>
      </c>
      <c r="K185" s="37">
        <f t="shared" si="27"/>
        <v>0.0004171434588889091</v>
      </c>
      <c r="L185" s="38">
        <f t="shared" si="25"/>
        <v>20534191</v>
      </c>
      <c r="M185" s="38">
        <f t="shared" si="18"/>
        <v>0</v>
      </c>
    </row>
    <row r="186" spans="1:13" ht="15.75">
      <c r="A186" s="26" t="s">
        <v>178</v>
      </c>
      <c r="B186" s="18" t="s">
        <v>179</v>
      </c>
      <c r="C186" s="32">
        <f>SUM(C187:C197)</f>
        <v>204864839</v>
      </c>
      <c r="D186" s="32">
        <f>SUM(D187:D197)</f>
        <v>199067191</v>
      </c>
      <c r="E186" s="32">
        <f>SUM(E187:E197)</f>
        <v>12511130</v>
      </c>
      <c r="F186" s="32">
        <f>SUM(F187:F197)</f>
        <v>56001442</v>
      </c>
      <c r="G186" s="33">
        <f t="shared" si="26"/>
        <v>0.08364535743874811</v>
      </c>
      <c r="H186" s="32">
        <f t="shared" si="24"/>
        <v>143065749</v>
      </c>
      <c r="I186" s="32">
        <f>SUM(I187:I197)</f>
        <v>13266245</v>
      </c>
      <c r="J186" s="32">
        <f>SUM(J187:J197)</f>
        <v>55072980</v>
      </c>
      <c r="K186" s="33">
        <f t="shared" si="27"/>
        <v>0.08274533969838427</v>
      </c>
      <c r="L186" s="34">
        <f t="shared" si="25"/>
        <v>143994211</v>
      </c>
      <c r="M186" s="34">
        <f>SUM(M187:M197)</f>
        <v>928462</v>
      </c>
    </row>
    <row r="187" spans="1:13" ht="15.75">
      <c r="A187" s="15" t="s">
        <v>28</v>
      </c>
      <c r="B187" s="16" t="s">
        <v>33</v>
      </c>
      <c r="C187" s="35">
        <v>87774442</v>
      </c>
      <c r="D187" s="35">
        <v>80793802</v>
      </c>
      <c r="E187" s="35">
        <f>F187-43044504</f>
        <v>12473732</v>
      </c>
      <c r="F187" s="35">
        <v>55518236</v>
      </c>
      <c r="G187" s="37">
        <f t="shared" si="26"/>
        <v>0.08292362711997261</v>
      </c>
      <c r="H187" s="35">
        <f t="shared" si="24"/>
        <v>25275566</v>
      </c>
      <c r="I187" s="35">
        <f>J187-41571231</f>
        <v>13044743</v>
      </c>
      <c r="J187" s="35">
        <v>54615974</v>
      </c>
      <c r="K187" s="37">
        <f t="shared" si="27"/>
        <v>0.08205870322593989</v>
      </c>
      <c r="L187" s="38">
        <f t="shared" si="25"/>
        <v>26177828</v>
      </c>
      <c r="M187" s="38">
        <f t="shared" si="18"/>
        <v>902262</v>
      </c>
    </row>
    <row r="188" spans="1:13" ht="15.75">
      <c r="A188" s="15" t="s">
        <v>49</v>
      </c>
      <c r="B188" s="16" t="s">
        <v>56</v>
      </c>
      <c r="C188" s="35">
        <v>400000</v>
      </c>
      <c r="D188" s="35">
        <v>400000</v>
      </c>
      <c r="E188" s="35">
        <f>F188-0</f>
        <v>0</v>
      </c>
      <c r="F188" s="35">
        <v>0</v>
      </c>
      <c r="G188" s="37">
        <f t="shared" si="26"/>
        <v>0</v>
      </c>
      <c r="H188" s="35">
        <f t="shared" si="24"/>
        <v>400000</v>
      </c>
      <c r="I188" s="35">
        <f>J188-0</f>
        <v>0</v>
      </c>
      <c r="J188" s="35">
        <v>0</v>
      </c>
      <c r="K188" s="37">
        <f t="shared" si="27"/>
        <v>0</v>
      </c>
      <c r="L188" s="38">
        <f t="shared" si="25"/>
        <v>400000</v>
      </c>
      <c r="M188" s="38">
        <f t="shared" si="18"/>
        <v>0</v>
      </c>
    </row>
    <row r="189" spans="1:13" ht="15.75">
      <c r="A189" s="15" t="s">
        <v>51</v>
      </c>
      <c r="B189" s="16" t="s">
        <v>58</v>
      </c>
      <c r="C189" s="35">
        <v>30000</v>
      </c>
      <c r="D189" s="35">
        <v>30000</v>
      </c>
      <c r="E189" s="35">
        <f>F189-10242</f>
        <v>2450</v>
      </c>
      <c r="F189" s="35">
        <v>12692</v>
      </c>
      <c r="G189" s="37">
        <f t="shared" si="26"/>
        <v>1.895713465043616E-05</v>
      </c>
      <c r="H189" s="35">
        <f t="shared" si="24"/>
        <v>17308</v>
      </c>
      <c r="I189" s="35">
        <f>J189-7084</f>
        <v>5608</v>
      </c>
      <c r="J189" s="35">
        <v>12692</v>
      </c>
      <c r="K189" s="37">
        <f t="shared" si="27"/>
        <v>1.9069312237178614E-05</v>
      </c>
      <c r="L189" s="38">
        <f t="shared" si="25"/>
        <v>17308</v>
      </c>
      <c r="M189" s="38">
        <f t="shared" si="18"/>
        <v>0</v>
      </c>
    </row>
    <row r="190" spans="1:13" ht="15.75">
      <c r="A190" s="15" t="s">
        <v>160</v>
      </c>
      <c r="B190" s="16" t="s">
        <v>161</v>
      </c>
      <c r="C190" s="35">
        <v>5000</v>
      </c>
      <c r="D190" s="35">
        <v>5000</v>
      </c>
      <c r="E190" s="35">
        <f>F190-0</f>
        <v>0</v>
      </c>
      <c r="F190" s="35">
        <v>0</v>
      </c>
      <c r="G190" s="37">
        <f t="shared" si="26"/>
        <v>0</v>
      </c>
      <c r="H190" s="35">
        <f>D190-F190</f>
        <v>5000</v>
      </c>
      <c r="I190" s="35">
        <f>J190-0</f>
        <v>0</v>
      </c>
      <c r="J190" s="35">
        <v>0</v>
      </c>
      <c r="K190" s="37">
        <f t="shared" si="27"/>
        <v>0</v>
      </c>
      <c r="L190" s="38">
        <f>D190-J190</f>
        <v>5000</v>
      </c>
      <c r="M190" s="38">
        <f t="shared" si="18"/>
        <v>0</v>
      </c>
    </row>
    <row r="191" spans="1:13" ht="15.75">
      <c r="A191" s="15" t="s">
        <v>97</v>
      </c>
      <c r="B191" s="16" t="s">
        <v>241</v>
      </c>
      <c r="C191" s="35">
        <v>30000</v>
      </c>
      <c r="D191" s="35">
        <v>32970</v>
      </c>
      <c r="E191" s="35">
        <f>F191-16416</f>
        <v>1592</v>
      </c>
      <c r="F191" s="35">
        <v>18008</v>
      </c>
      <c r="G191" s="37">
        <f t="shared" si="26"/>
        <v>2.689726448038563E-05</v>
      </c>
      <c r="H191" s="35">
        <f>D191-F191</f>
        <v>14962</v>
      </c>
      <c r="I191" s="35">
        <f>J191-16416</f>
        <v>1592</v>
      </c>
      <c r="J191" s="35">
        <v>18008</v>
      </c>
      <c r="K191" s="37">
        <f t="shared" si="27"/>
        <v>2.705642725867574E-05</v>
      </c>
      <c r="L191" s="38">
        <f>D191-J191</f>
        <v>14962</v>
      </c>
      <c r="M191" s="38">
        <f t="shared" si="18"/>
        <v>0</v>
      </c>
    </row>
    <row r="192" spans="1:13" ht="15.75">
      <c r="A192" s="15" t="s">
        <v>180</v>
      </c>
      <c r="B192" s="16" t="s">
        <v>181</v>
      </c>
      <c r="C192" s="35">
        <v>77427167</v>
      </c>
      <c r="D192" s="35">
        <v>78618960</v>
      </c>
      <c r="E192" s="35">
        <f>F192-380464</f>
        <v>29937</v>
      </c>
      <c r="F192" s="35">
        <v>410401</v>
      </c>
      <c r="G192" s="37">
        <f t="shared" si="26"/>
        <v>0.0006129866859181887</v>
      </c>
      <c r="H192" s="35">
        <f>D192-F192</f>
        <v>78208559</v>
      </c>
      <c r="I192" s="35">
        <f>J192-177932</f>
        <v>206269</v>
      </c>
      <c r="J192" s="35">
        <v>384201</v>
      </c>
      <c r="K192" s="37">
        <f t="shared" si="27"/>
        <v>0.000577249356353314</v>
      </c>
      <c r="L192" s="38">
        <f>D192-J192</f>
        <v>78234759</v>
      </c>
      <c r="M192" s="38">
        <f t="shared" si="18"/>
        <v>26200</v>
      </c>
    </row>
    <row r="193" spans="1:13" ht="15.75">
      <c r="A193" s="15" t="s">
        <v>182</v>
      </c>
      <c r="B193" s="16" t="s">
        <v>183</v>
      </c>
      <c r="C193" s="35">
        <v>32200</v>
      </c>
      <c r="D193" s="35">
        <v>32662</v>
      </c>
      <c r="E193" s="35">
        <f>F193-23408</f>
        <v>4137</v>
      </c>
      <c r="F193" s="35">
        <v>27545</v>
      </c>
      <c r="G193" s="37">
        <f t="shared" si="26"/>
        <v>4.114200078366405E-05</v>
      </c>
      <c r="H193" s="35">
        <f>D193-F193</f>
        <v>5117</v>
      </c>
      <c r="I193" s="35">
        <f>J193-19512</f>
        <v>8033</v>
      </c>
      <c r="J193" s="35">
        <v>27545</v>
      </c>
      <c r="K193" s="37">
        <f t="shared" si="27"/>
        <v>4.13854558440817E-05</v>
      </c>
      <c r="L193" s="38">
        <f>D193-J193</f>
        <v>5117</v>
      </c>
      <c r="M193" s="38">
        <f t="shared" si="18"/>
        <v>0</v>
      </c>
    </row>
    <row r="194" spans="1:13" ht="15.75">
      <c r="A194" s="15" t="s">
        <v>184</v>
      </c>
      <c r="B194" s="16" t="s">
        <v>250</v>
      </c>
      <c r="C194" s="35">
        <v>1315000</v>
      </c>
      <c r="D194" s="35">
        <v>1311001</v>
      </c>
      <c r="E194" s="35">
        <f>F194-0</f>
        <v>0</v>
      </c>
      <c r="F194" s="35">
        <v>0</v>
      </c>
      <c r="G194" s="37">
        <f t="shared" si="26"/>
        <v>0</v>
      </c>
      <c r="H194" s="35">
        <f t="shared" si="24"/>
        <v>1311001</v>
      </c>
      <c r="I194" s="35">
        <f>J194-0</f>
        <v>0</v>
      </c>
      <c r="J194" s="35">
        <v>0</v>
      </c>
      <c r="K194" s="37">
        <f t="shared" si="27"/>
        <v>0</v>
      </c>
      <c r="L194" s="38">
        <f t="shared" si="25"/>
        <v>1311001</v>
      </c>
      <c r="M194" s="38">
        <f t="shared" si="18"/>
        <v>0</v>
      </c>
    </row>
    <row r="195" spans="1:13" ht="15.75">
      <c r="A195" s="15" t="s">
        <v>185</v>
      </c>
      <c r="B195" s="16" t="s">
        <v>186</v>
      </c>
      <c r="C195" s="35">
        <v>37803030</v>
      </c>
      <c r="D195" s="35">
        <v>37803030</v>
      </c>
      <c r="E195" s="35">
        <f>F195-0</f>
        <v>0</v>
      </c>
      <c r="F195" s="35">
        <v>0</v>
      </c>
      <c r="G195" s="37">
        <f t="shared" si="26"/>
        <v>0</v>
      </c>
      <c r="H195" s="35">
        <f t="shared" si="24"/>
        <v>37803030</v>
      </c>
      <c r="I195" s="35">
        <f>J195-0</f>
        <v>0</v>
      </c>
      <c r="J195" s="35">
        <v>0</v>
      </c>
      <c r="K195" s="37">
        <f t="shared" si="27"/>
        <v>0</v>
      </c>
      <c r="L195" s="38">
        <f t="shared" si="25"/>
        <v>37803030</v>
      </c>
      <c r="M195" s="38">
        <f t="shared" si="18"/>
        <v>0</v>
      </c>
    </row>
    <row r="196" spans="1:13" ht="15.75">
      <c r="A196" s="15" t="s">
        <v>187</v>
      </c>
      <c r="B196" s="16" t="s">
        <v>188</v>
      </c>
      <c r="C196" s="35">
        <v>28000</v>
      </c>
      <c r="D196" s="35">
        <v>28000</v>
      </c>
      <c r="E196" s="35">
        <f>F196-13512</f>
        <v>-718</v>
      </c>
      <c r="F196" s="35">
        <v>12794</v>
      </c>
      <c r="G196" s="37">
        <f t="shared" si="26"/>
        <v>1.910948477132684E-05</v>
      </c>
      <c r="H196" s="35">
        <f>D196-F196</f>
        <v>15206</v>
      </c>
      <c r="I196" s="35">
        <f>J196-12794</f>
        <v>0</v>
      </c>
      <c r="J196" s="35">
        <v>12794</v>
      </c>
      <c r="K196" s="37">
        <f t="shared" si="27"/>
        <v>1.9222563879803276E-05</v>
      </c>
      <c r="L196" s="38">
        <f>D196-J196</f>
        <v>15206</v>
      </c>
      <c r="M196" s="38">
        <f t="shared" si="18"/>
        <v>0</v>
      </c>
    </row>
    <row r="197" spans="1:13" ht="15.75">
      <c r="A197" s="15" t="s">
        <v>253</v>
      </c>
      <c r="B197" s="16" t="s">
        <v>254</v>
      </c>
      <c r="C197" s="35">
        <v>20000</v>
      </c>
      <c r="D197" s="35">
        <v>11766</v>
      </c>
      <c r="E197" s="35">
        <f>F197-1766</f>
        <v>0</v>
      </c>
      <c r="F197" s="35">
        <v>1766</v>
      </c>
      <c r="G197" s="37">
        <f t="shared" si="26"/>
        <v>2.6377481714993904E-06</v>
      </c>
      <c r="H197" s="35">
        <f t="shared" si="24"/>
        <v>10000</v>
      </c>
      <c r="I197" s="35">
        <f>J197-1766</f>
        <v>0</v>
      </c>
      <c r="J197" s="35">
        <v>1766</v>
      </c>
      <c r="K197" s="37">
        <f t="shared" si="27"/>
        <v>2.6533568713250423E-06</v>
      </c>
      <c r="L197" s="38">
        <f t="shared" si="25"/>
        <v>10000</v>
      </c>
      <c r="M197" s="38">
        <f t="shared" si="18"/>
        <v>0</v>
      </c>
    </row>
    <row r="198" spans="1:13" ht="15.75">
      <c r="A198" s="26" t="s">
        <v>189</v>
      </c>
      <c r="B198" s="18" t="s">
        <v>190</v>
      </c>
      <c r="C198" s="32">
        <f>SUM(C199:C206)</f>
        <v>315908622</v>
      </c>
      <c r="D198" s="32">
        <f>SUM(D199:D206)</f>
        <v>348527790</v>
      </c>
      <c r="E198" s="32">
        <f>SUM(E199:E206)</f>
        <v>44568481</v>
      </c>
      <c r="F198" s="32">
        <f>SUM(F199:F206)</f>
        <v>267020736</v>
      </c>
      <c r="G198" s="33">
        <f t="shared" si="26"/>
        <v>0.39882981774429305</v>
      </c>
      <c r="H198" s="32">
        <f t="shared" si="24"/>
        <v>81507054</v>
      </c>
      <c r="I198" s="32">
        <f>SUM(I199:I206)</f>
        <v>63443888</v>
      </c>
      <c r="J198" s="32">
        <f>SUM(J199:J206)</f>
        <v>265931542</v>
      </c>
      <c r="K198" s="33">
        <f t="shared" si="27"/>
        <v>0.3995533886000929</v>
      </c>
      <c r="L198" s="34">
        <f t="shared" si="25"/>
        <v>82596248</v>
      </c>
      <c r="M198" s="34">
        <f>SUM(M199:M206)</f>
        <v>1089194</v>
      </c>
    </row>
    <row r="199" spans="1:13" ht="15.75">
      <c r="A199" s="15" t="s">
        <v>28</v>
      </c>
      <c r="B199" s="16" t="s">
        <v>33</v>
      </c>
      <c r="C199" s="35">
        <v>94367150</v>
      </c>
      <c r="D199" s="35">
        <v>97852567</v>
      </c>
      <c r="E199" s="35">
        <f>F199-66738907</f>
        <v>10751696</v>
      </c>
      <c r="F199" s="35">
        <v>77490603</v>
      </c>
      <c r="G199" s="37">
        <f t="shared" si="26"/>
        <v>0.11574218367589761</v>
      </c>
      <c r="H199" s="35">
        <f t="shared" si="24"/>
        <v>20361964</v>
      </c>
      <c r="I199" s="35">
        <f>J199-57597467</f>
        <v>18829545</v>
      </c>
      <c r="J199" s="35">
        <v>76427012</v>
      </c>
      <c r="K199" s="37">
        <f t="shared" si="27"/>
        <v>0.11482906990092949</v>
      </c>
      <c r="L199" s="38">
        <f t="shared" si="25"/>
        <v>21425555</v>
      </c>
      <c r="M199" s="38">
        <f t="shared" si="18"/>
        <v>1063591</v>
      </c>
    </row>
    <row r="200" spans="1:13" ht="15.75">
      <c r="A200" s="15" t="s">
        <v>39</v>
      </c>
      <c r="B200" s="16" t="s">
        <v>41</v>
      </c>
      <c r="C200" s="35">
        <v>5000</v>
      </c>
      <c r="D200" s="35">
        <v>5000</v>
      </c>
      <c r="E200" s="35">
        <f>F200-0</f>
        <v>0</v>
      </c>
      <c r="F200" s="35">
        <v>0</v>
      </c>
      <c r="G200" s="37">
        <f t="shared" si="26"/>
        <v>0</v>
      </c>
      <c r="H200" s="35">
        <f t="shared" si="24"/>
        <v>5000</v>
      </c>
      <c r="I200" s="35">
        <f>J200-0</f>
        <v>0</v>
      </c>
      <c r="J200" s="35">
        <v>0</v>
      </c>
      <c r="K200" s="37">
        <f t="shared" si="27"/>
        <v>0</v>
      </c>
      <c r="L200" s="38">
        <f t="shared" si="25"/>
        <v>5000</v>
      </c>
      <c r="M200" s="38">
        <f t="shared" si="18"/>
        <v>0</v>
      </c>
    </row>
    <row r="201" spans="1:13" ht="15.75">
      <c r="A201" s="15" t="s">
        <v>131</v>
      </c>
      <c r="B201" s="16" t="s">
        <v>132</v>
      </c>
      <c r="C201" s="35">
        <v>10781105</v>
      </c>
      <c r="D201" s="35">
        <v>6801105</v>
      </c>
      <c r="E201" s="35">
        <f>F201-5597209</f>
        <v>75938</v>
      </c>
      <c r="F201" s="35">
        <v>5673147</v>
      </c>
      <c r="G201" s="37">
        <f t="shared" si="26"/>
        <v>0.00847357481647636</v>
      </c>
      <c r="H201" s="35">
        <f>D201-F201</f>
        <v>1127958</v>
      </c>
      <c r="I201" s="35">
        <f>J201-5597209</f>
        <v>75938</v>
      </c>
      <c r="J201" s="35">
        <v>5673147</v>
      </c>
      <c r="K201" s="37">
        <f t="shared" si="27"/>
        <v>0.008523716633344875</v>
      </c>
      <c r="L201" s="38">
        <f>D201-J201</f>
        <v>1127958</v>
      </c>
      <c r="M201" s="38">
        <f t="shared" si="18"/>
        <v>0</v>
      </c>
    </row>
    <row r="202" spans="1:13" ht="15.75">
      <c r="A202" s="15" t="s">
        <v>83</v>
      </c>
      <c r="B202" s="16" t="s">
        <v>85</v>
      </c>
      <c r="C202" s="35">
        <v>5500000</v>
      </c>
      <c r="D202" s="35">
        <v>3900000</v>
      </c>
      <c r="E202" s="35">
        <f>F202-829767</f>
        <v>2530317</v>
      </c>
      <c r="F202" s="35">
        <v>3360084</v>
      </c>
      <c r="G202" s="37">
        <f t="shared" si="26"/>
        <v>0.005018717682380724</v>
      </c>
      <c r="H202" s="35">
        <f>D202-F202</f>
        <v>539916</v>
      </c>
      <c r="I202" s="35">
        <f>J202-829767</f>
        <v>2530317</v>
      </c>
      <c r="J202" s="35">
        <v>3360084</v>
      </c>
      <c r="K202" s="37">
        <f t="shared" si="27"/>
        <v>0.0050484156113416384</v>
      </c>
      <c r="L202" s="38">
        <f>D202-J202</f>
        <v>539916</v>
      </c>
      <c r="M202" s="38">
        <f t="shared" si="18"/>
        <v>0</v>
      </c>
    </row>
    <row r="203" spans="1:13" ht="15.75">
      <c r="A203" s="15" t="s">
        <v>53</v>
      </c>
      <c r="B203" s="16" t="s">
        <v>60</v>
      </c>
      <c r="C203" s="35">
        <v>10155000</v>
      </c>
      <c r="D203" s="35">
        <v>11519000</v>
      </c>
      <c r="E203" s="35">
        <f>F203-5402315</f>
        <v>-1457247</v>
      </c>
      <c r="F203" s="35">
        <v>3945068</v>
      </c>
      <c r="G203" s="37">
        <f t="shared" si="26"/>
        <v>0.005892466536489669</v>
      </c>
      <c r="H203" s="35">
        <f t="shared" si="24"/>
        <v>7573932</v>
      </c>
      <c r="I203" s="35">
        <f>J203-3945068</f>
        <v>0</v>
      </c>
      <c r="J203" s="35">
        <v>3945068</v>
      </c>
      <c r="K203" s="37">
        <f t="shared" si="27"/>
        <v>0.0059273348163332625</v>
      </c>
      <c r="L203" s="38">
        <f t="shared" si="25"/>
        <v>7573932</v>
      </c>
      <c r="M203" s="38">
        <f t="shared" si="18"/>
        <v>0</v>
      </c>
    </row>
    <row r="204" spans="1:13" ht="15.75">
      <c r="A204" s="15" t="s">
        <v>191</v>
      </c>
      <c r="B204" s="16" t="s">
        <v>192</v>
      </c>
      <c r="C204" s="35">
        <v>14385679</v>
      </c>
      <c r="D204" s="35">
        <v>13470679</v>
      </c>
      <c r="E204" s="35">
        <f>F204-10329319</f>
        <v>-184189</v>
      </c>
      <c r="F204" s="35">
        <v>10145130</v>
      </c>
      <c r="G204" s="37">
        <f aca="true" t="shared" si="28" ref="G204:G234">(F204/$F$235)*100</f>
        <v>0.015153056685800458</v>
      </c>
      <c r="H204" s="35">
        <f t="shared" si="24"/>
        <v>3325549</v>
      </c>
      <c r="I204" s="35">
        <f>J204-7448329</f>
        <v>2672265</v>
      </c>
      <c r="J204" s="35">
        <v>10120594</v>
      </c>
      <c r="K204" s="37">
        <f aca="true" t="shared" si="29" ref="K204:K234">(J204/$J$235)*100</f>
        <v>0.015205859361150053</v>
      </c>
      <c r="L204" s="38">
        <f t="shared" si="25"/>
        <v>3350085</v>
      </c>
      <c r="M204" s="38">
        <f t="shared" si="18"/>
        <v>24536</v>
      </c>
    </row>
    <row r="205" spans="1:13" ht="15.75">
      <c r="A205" s="15" t="s">
        <v>54</v>
      </c>
      <c r="B205" s="16" t="s">
        <v>61</v>
      </c>
      <c r="C205" s="35">
        <v>135470500</v>
      </c>
      <c r="D205" s="35">
        <v>163353745</v>
      </c>
      <c r="E205" s="35">
        <f>F205-127550180</f>
        <v>29315332</v>
      </c>
      <c r="F205" s="35">
        <v>156865512</v>
      </c>
      <c r="G205" s="37">
        <f t="shared" si="28"/>
        <v>0.2342988207527269</v>
      </c>
      <c r="H205" s="35">
        <f t="shared" si="24"/>
        <v>6488233</v>
      </c>
      <c r="I205" s="35">
        <f>J205-127066586</f>
        <v>29797859</v>
      </c>
      <c r="J205" s="35">
        <v>156864445</v>
      </c>
      <c r="K205" s="37">
        <f t="shared" si="29"/>
        <v>0.23568366534956917</v>
      </c>
      <c r="L205" s="38">
        <f t="shared" si="25"/>
        <v>6489300</v>
      </c>
      <c r="M205" s="38">
        <f>F205-J205</f>
        <v>1067</v>
      </c>
    </row>
    <row r="206" spans="1:13" ht="15.75">
      <c r="A206" s="15" t="s">
        <v>185</v>
      </c>
      <c r="B206" s="16" t="s">
        <v>186</v>
      </c>
      <c r="C206" s="35">
        <v>45244188</v>
      </c>
      <c r="D206" s="35">
        <v>51625694</v>
      </c>
      <c r="E206" s="35">
        <f>F206-6004558</f>
        <v>3536634</v>
      </c>
      <c r="F206" s="35">
        <v>9541192</v>
      </c>
      <c r="G206" s="37">
        <f t="shared" si="28"/>
        <v>0.0142509975945213</v>
      </c>
      <c r="H206" s="35">
        <f t="shared" si="24"/>
        <v>42084502</v>
      </c>
      <c r="I206" s="35">
        <f>J206-3228</f>
        <v>9537964</v>
      </c>
      <c r="J206" s="35">
        <v>9541192</v>
      </c>
      <c r="K206" s="37">
        <f t="shared" si="29"/>
        <v>0.01433532692742442</v>
      </c>
      <c r="L206" s="38">
        <f t="shared" si="25"/>
        <v>42084502</v>
      </c>
      <c r="M206" s="38">
        <f>F206-J206</f>
        <v>0</v>
      </c>
    </row>
    <row r="207" spans="1:13" ht="15.75">
      <c r="A207" s="26" t="s">
        <v>193</v>
      </c>
      <c r="B207" s="18" t="s">
        <v>194</v>
      </c>
      <c r="C207" s="32">
        <f>SUM(C208:C209)</f>
        <v>6570858</v>
      </c>
      <c r="D207" s="32">
        <f>SUM(D208:D209)</f>
        <v>25373112</v>
      </c>
      <c r="E207" s="32">
        <f>SUM(E208:E209)</f>
        <v>12639935</v>
      </c>
      <c r="F207" s="32">
        <f>SUM(F208:F209)</f>
        <v>17771424</v>
      </c>
      <c r="G207" s="33">
        <f t="shared" si="28"/>
        <v>0.026543907792151974</v>
      </c>
      <c r="H207" s="32">
        <f t="shared" si="24"/>
        <v>7601688</v>
      </c>
      <c r="I207" s="32">
        <f>SUM(I208:I209)</f>
        <v>12198348</v>
      </c>
      <c r="J207" s="32">
        <f>SUM(J208:J209)</f>
        <v>17110121</v>
      </c>
      <c r="K207" s="33">
        <f t="shared" si="29"/>
        <v>0.02570739361526212</v>
      </c>
      <c r="L207" s="34">
        <f t="shared" si="25"/>
        <v>8262991</v>
      </c>
      <c r="M207" s="34">
        <f>SUM(M208:M209)</f>
        <v>661303</v>
      </c>
    </row>
    <row r="208" spans="1:13" ht="15.75">
      <c r="A208" s="15" t="s">
        <v>28</v>
      </c>
      <c r="B208" s="16" t="s">
        <v>33</v>
      </c>
      <c r="C208" s="35">
        <v>5570858</v>
      </c>
      <c r="D208" s="35">
        <v>6717904</v>
      </c>
      <c r="E208" s="35">
        <f>F208-4801912</f>
        <v>1745691</v>
      </c>
      <c r="F208" s="35">
        <v>6547603</v>
      </c>
      <c r="G208" s="37">
        <f t="shared" si="28"/>
        <v>0.009779687339158507</v>
      </c>
      <c r="H208" s="35">
        <f t="shared" si="24"/>
        <v>170301</v>
      </c>
      <c r="I208" s="35">
        <f>J208-4639742</f>
        <v>1907861</v>
      </c>
      <c r="J208" s="35">
        <v>6547603</v>
      </c>
      <c r="K208" s="37">
        <f t="shared" si="29"/>
        <v>0.009837557990236953</v>
      </c>
      <c r="L208" s="38">
        <f t="shared" si="25"/>
        <v>170301</v>
      </c>
      <c r="M208" s="38">
        <f>F208-J208</f>
        <v>0</v>
      </c>
    </row>
    <row r="209" spans="1:13" ht="15.75">
      <c r="A209" s="15" t="s">
        <v>164</v>
      </c>
      <c r="B209" s="16" t="s">
        <v>165</v>
      </c>
      <c r="C209" s="35">
        <v>1000000</v>
      </c>
      <c r="D209" s="35">
        <v>18655208</v>
      </c>
      <c r="E209" s="35">
        <f>F209-329577</f>
        <v>10894244</v>
      </c>
      <c r="F209" s="35">
        <v>11223821</v>
      </c>
      <c r="G209" s="37">
        <f t="shared" si="28"/>
        <v>0.016764220452993465</v>
      </c>
      <c r="H209" s="35">
        <f t="shared" si="24"/>
        <v>7431387</v>
      </c>
      <c r="I209" s="35">
        <f>J209-272031</f>
        <v>10290487</v>
      </c>
      <c r="J209" s="35">
        <v>10562518</v>
      </c>
      <c r="K209" s="37">
        <f t="shared" si="29"/>
        <v>0.015869835625025166</v>
      </c>
      <c r="L209" s="38">
        <f t="shared" si="25"/>
        <v>8092690</v>
      </c>
      <c r="M209" s="38">
        <f>F209-J209</f>
        <v>661303</v>
      </c>
    </row>
    <row r="210" spans="1:13" ht="15.75">
      <c r="A210" s="26" t="s">
        <v>195</v>
      </c>
      <c r="B210" s="18" t="s">
        <v>196</v>
      </c>
      <c r="C210" s="32">
        <f>SUM(C211:C219)</f>
        <v>1551694301</v>
      </c>
      <c r="D210" s="32">
        <f>SUM(D211:D219)</f>
        <v>1570792703</v>
      </c>
      <c r="E210" s="32">
        <f>SUM(E211:E219)</f>
        <v>88313277</v>
      </c>
      <c r="F210" s="32">
        <f>SUM(F211:F219)</f>
        <v>781292687</v>
      </c>
      <c r="G210" s="33">
        <f t="shared" si="28"/>
        <v>1.1669611305436554</v>
      </c>
      <c r="H210" s="32">
        <f t="shared" si="24"/>
        <v>789500016</v>
      </c>
      <c r="I210" s="32">
        <f>SUM(I211:I219)</f>
        <v>182637294</v>
      </c>
      <c r="J210" s="32">
        <f>SUM(J211:J219)</f>
        <v>779798460</v>
      </c>
      <c r="K210" s="33">
        <f t="shared" si="29"/>
        <v>1.1716215187370815</v>
      </c>
      <c r="L210" s="34">
        <f t="shared" si="25"/>
        <v>790994243</v>
      </c>
      <c r="M210" s="34">
        <f>SUM(M211:M219)</f>
        <v>1494227</v>
      </c>
    </row>
    <row r="211" spans="1:13" ht="15.75">
      <c r="A211" s="15" t="s">
        <v>28</v>
      </c>
      <c r="B211" s="16" t="s">
        <v>33</v>
      </c>
      <c r="C211" s="35">
        <v>481389904</v>
      </c>
      <c r="D211" s="35">
        <v>402112325</v>
      </c>
      <c r="E211" s="35">
        <f>F211-231977073</f>
        <v>62747837</v>
      </c>
      <c r="F211" s="35">
        <v>294724910</v>
      </c>
      <c r="G211" s="37">
        <f t="shared" si="28"/>
        <v>0.44020956537249284</v>
      </c>
      <c r="H211" s="35">
        <f t="shared" si="24"/>
        <v>107387415</v>
      </c>
      <c r="I211" s="35">
        <f>J211-216910316</f>
        <v>76671262</v>
      </c>
      <c r="J211" s="35">
        <v>293581578</v>
      </c>
      <c r="K211" s="37">
        <f t="shared" si="29"/>
        <v>0.441096657576868</v>
      </c>
      <c r="L211" s="38">
        <f t="shared" si="25"/>
        <v>108530747</v>
      </c>
      <c r="M211" s="38">
        <f aca="true" t="shared" si="30" ref="M211:M233">F211-J211</f>
        <v>1143332</v>
      </c>
    </row>
    <row r="212" spans="1:13" ht="15.75">
      <c r="A212" s="15" t="s">
        <v>131</v>
      </c>
      <c r="B212" s="16" t="s">
        <v>268</v>
      </c>
      <c r="C212" s="35">
        <v>100000</v>
      </c>
      <c r="D212" s="35">
        <v>0</v>
      </c>
      <c r="E212" s="35">
        <f>F212-0</f>
        <v>0</v>
      </c>
      <c r="F212" s="35">
        <v>0</v>
      </c>
      <c r="G212" s="37">
        <f t="shared" si="28"/>
        <v>0</v>
      </c>
      <c r="H212" s="35">
        <f t="shared" si="24"/>
        <v>0</v>
      </c>
      <c r="I212" s="35">
        <f>J212-0</f>
        <v>0</v>
      </c>
      <c r="J212" s="35">
        <v>0</v>
      </c>
      <c r="K212" s="37">
        <f t="shared" si="29"/>
        <v>0</v>
      </c>
      <c r="L212" s="38">
        <f t="shared" si="25"/>
        <v>0</v>
      </c>
      <c r="M212" s="38">
        <f t="shared" si="30"/>
        <v>0</v>
      </c>
    </row>
    <row r="213" spans="1:13" ht="15.75">
      <c r="A213" s="15" t="s">
        <v>135</v>
      </c>
      <c r="B213" s="16" t="s">
        <v>136</v>
      </c>
      <c r="C213" s="35">
        <v>3341553</v>
      </c>
      <c r="D213" s="35">
        <v>1007184</v>
      </c>
      <c r="E213" s="35">
        <f>F213-598984</f>
        <v>-306725</v>
      </c>
      <c r="F213" s="35">
        <v>292259</v>
      </c>
      <c r="G213" s="37">
        <f t="shared" si="28"/>
        <v>0.0004365264115822426</v>
      </c>
      <c r="H213" s="35">
        <f t="shared" si="24"/>
        <v>714925</v>
      </c>
      <c r="I213" s="35">
        <f>J213-0</f>
        <v>292259</v>
      </c>
      <c r="J213" s="35">
        <v>292259</v>
      </c>
      <c r="K213" s="37">
        <f t="shared" si="29"/>
        <v>0.0004391095276651107</v>
      </c>
      <c r="L213" s="38">
        <f t="shared" si="25"/>
        <v>714925</v>
      </c>
      <c r="M213" s="38">
        <f t="shared" si="30"/>
        <v>0</v>
      </c>
    </row>
    <row r="214" spans="1:13" ht="15.75">
      <c r="A214" s="15" t="s">
        <v>151</v>
      </c>
      <c r="B214" s="16" t="s">
        <v>152</v>
      </c>
      <c r="C214" s="35">
        <v>455257899</v>
      </c>
      <c r="D214" s="35">
        <v>455289853</v>
      </c>
      <c r="E214" s="35">
        <f>F214-278692343</f>
        <v>52865160</v>
      </c>
      <c r="F214" s="35">
        <v>331557503</v>
      </c>
      <c r="G214" s="37">
        <f t="shared" si="28"/>
        <v>0.49522378102217085</v>
      </c>
      <c r="H214" s="35">
        <f t="shared" si="24"/>
        <v>123732350</v>
      </c>
      <c r="I214" s="35">
        <f>J214-277941653</f>
        <v>53615850</v>
      </c>
      <c r="J214" s="35">
        <v>331557503</v>
      </c>
      <c r="K214" s="37">
        <f t="shared" si="29"/>
        <v>0.49815423489491695</v>
      </c>
      <c r="L214" s="38">
        <f t="shared" si="25"/>
        <v>123732350</v>
      </c>
      <c r="M214" s="38">
        <f t="shared" si="30"/>
        <v>0</v>
      </c>
    </row>
    <row r="215" spans="1:13" ht="15.75">
      <c r="A215" s="15" t="s">
        <v>70</v>
      </c>
      <c r="B215" s="16" t="s">
        <v>78</v>
      </c>
      <c r="C215" s="35">
        <v>38549709</v>
      </c>
      <c r="D215" s="35">
        <v>38549709</v>
      </c>
      <c r="E215" s="35">
        <f>F215-0</f>
        <v>0</v>
      </c>
      <c r="F215" s="35">
        <v>0</v>
      </c>
      <c r="G215" s="37">
        <f t="shared" si="28"/>
        <v>0</v>
      </c>
      <c r="H215" s="35">
        <f t="shared" si="24"/>
        <v>38549709</v>
      </c>
      <c r="I215" s="35">
        <f>J215-0</f>
        <v>0</v>
      </c>
      <c r="J215" s="35">
        <v>0</v>
      </c>
      <c r="K215" s="37">
        <f t="shared" si="29"/>
        <v>0</v>
      </c>
      <c r="L215" s="38">
        <f t="shared" si="25"/>
        <v>38549709</v>
      </c>
      <c r="M215" s="38">
        <f t="shared" si="30"/>
        <v>0</v>
      </c>
    </row>
    <row r="216" spans="1:13" ht="15.75">
      <c r="A216" s="15" t="s">
        <v>71</v>
      </c>
      <c r="B216" s="16" t="s">
        <v>79</v>
      </c>
      <c r="C216" s="35">
        <v>141185229</v>
      </c>
      <c r="D216" s="35">
        <v>242546625</v>
      </c>
      <c r="E216" s="35">
        <f>F216-136824778</f>
        <v>-37015057</v>
      </c>
      <c r="F216" s="35">
        <v>99809721</v>
      </c>
      <c r="G216" s="37">
        <f t="shared" si="28"/>
        <v>0.14907865745504773</v>
      </c>
      <c r="H216" s="35">
        <f t="shared" si="24"/>
        <v>142736904</v>
      </c>
      <c r="I216" s="35">
        <f>J216-61448380</f>
        <v>38010446</v>
      </c>
      <c r="J216" s="35">
        <v>99458826</v>
      </c>
      <c r="K216" s="37">
        <f t="shared" si="29"/>
        <v>0.14943361233353442</v>
      </c>
      <c r="L216" s="38">
        <f t="shared" si="25"/>
        <v>143087799</v>
      </c>
      <c r="M216" s="38">
        <f t="shared" si="30"/>
        <v>350895</v>
      </c>
    </row>
    <row r="217" spans="1:13" ht="15.75">
      <c r="A217" s="15" t="s">
        <v>197</v>
      </c>
      <c r="B217" s="16" t="s">
        <v>198</v>
      </c>
      <c r="C217" s="35">
        <v>386853990</v>
      </c>
      <c r="D217" s="35">
        <v>386853990</v>
      </c>
      <c r="E217" s="35">
        <f>F217-44307099</f>
        <v>10027509</v>
      </c>
      <c r="F217" s="35">
        <v>54334608</v>
      </c>
      <c r="G217" s="37">
        <f t="shared" si="28"/>
        <v>0.08115572644458445</v>
      </c>
      <c r="H217" s="35">
        <f t="shared" si="24"/>
        <v>332519382</v>
      </c>
      <c r="I217" s="35">
        <f>J217-40420720</f>
        <v>13913888</v>
      </c>
      <c r="J217" s="35">
        <v>54334608</v>
      </c>
      <c r="K217" s="37">
        <f t="shared" si="29"/>
        <v>0.08163596007222684</v>
      </c>
      <c r="L217" s="38">
        <f t="shared" si="25"/>
        <v>332519382</v>
      </c>
      <c r="M217" s="38">
        <f t="shared" si="30"/>
        <v>0</v>
      </c>
    </row>
    <row r="218" spans="1:13" ht="15.75">
      <c r="A218" s="15" t="s">
        <v>199</v>
      </c>
      <c r="B218" s="16" t="s">
        <v>200</v>
      </c>
      <c r="C218" s="35">
        <v>6873935</v>
      </c>
      <c r="D218" s="35">
        <v>6873935</v>
      </c>
      <c r="E218" s="35">
        <f>F218-384725</f>
        <v>0</v>
      </c>
      <c r="F218" s="35">
        <v>384725</v>
      </c>
      <c r="G218" s="37">
        <f t="shared" si="28"/>
        <v>0.0005746362770555509</v>
      </c>
      <c r="H218" s="35">
        <f t="shared" si="24"/>
        <v>6489210</v>
      </c>
      <c r="I218" s="35">
        <f>J218-264774</f>
        <v>119951</v>
      </c>
      <c r="J218" s="35">
        <v>384725</v>
      </c>
      <c r="K218" s="37">
        <f t="shared" si="29"/>
        <v>0.0005780366491056211</v>
      </c>
      <c r="L218" s="38">
        <f t="shared" si="25"/>
        <v>6489210</v>
      </c>
      <c r="M218" s="38">
        <f t="shared" si="30"/>
        <v>0</v>
      </c>
    </row>
    <row r="219" spans="1:13" ht="15.75">
      <c r="A219" s="15" t="s">
        <v>201</v>
      </c>
      <c r="B219" s="16" t="s">
        <v>202</v>
      </c>
      <c r="C219" s="35">
        <v>38142082</v>
      </c>
      <c r="D219" s="35">
        <v>37559082</v>
      </c>
      <c r="E219" s="35">
        <f>F219-194408</f>
        <v>-5447</v>
      </c>
      <c r="F219" s="35">
        <v>188961</v>
      </c>
      <c r="G219" s="37">
        <f t="shared" si="28"/>
        <v>0.0002822375607217986</v>
      </c>
      <c r="H219" s="35">
        <f t="shared" si="24"/>
        <v>37370121</v>
      </c>
      <c r="I219" s="35">
        <f>J219-175323</f>
        <v>13638</v>
      </c>
      <c r="J219" s="35">
        <v>188961</v>
      </c>
      <c r="K219" s="37">
        <f t="shared" si="29"/>
        <v>0.00028390768276469495</v>
      </c>
      <c r="L219" s="38">
        <f t="shared" si="25"/>
        <v>37370121</v>
      </c>
      <c r="M219" s="38">
        <f t="shared" si="30"/>
        <v>0</v>
      </c>
    </row>
    <row r="220" spans="1:13" ht="15.75">
      <c r="A220" s="26" t="s">
        <v>203</v>
      </c>
      <c r="B220" s="18" t="s">
        <v>204</v>
      </c>
      <c r="C220" s="32">
        <f>SUM(C221:C224)</f>
        <v>35377947</v>
      </c>
      <c r="D220" s="32">
        <f>SUM(D221:D224)</f>
        <v>36183964</v>
      </c>
      <c r="E220" s="32">
        <f>SUM(E221:E224)</f>
        <v>3329868</v>
      </c>
      <c r="F220" s="32">
        <f>SUM(F221:F224)</f>
        <v>25668623</v>
      </c>
      <c r="G220" s="33">
        <f t="shared" si="28"/>
        <v>0.03833939036418867</v>
      </c>
      <c r="H220" s="32">
        <f t="shared" si="24"/>
        <v>10515341</v>
      </c>
      <c r="I220" s="32">
        <f>SUM(I221:I224)</f>
        <v>5154996</v>
      </c>
      <c r="J220" s="32">
        <f>SUM(J221:J224)</f>
        <v>25616173</v>
      </c>
      <c r="K220" s="33">
        <f t="shared" si="29"/>
        <v>0.038487456764779736</v>
      </c>
      <c r="L220" s="34">
        <f t="shared" si="25"/>
        <v>10567791</v>
      </c>
      <c r="M220" s="34">
        <f>SUM(M221:M224)</f>
        <v>52450</v>
      </c>
    </row>
    <row r="221" spans="1:13" ht="15.75">
      <c r="A221" s="15" t="s">
        <v>28</v>
      </c>
      <c r="B221" s="16" t="s">
        <v>33</v>
      </c>
      <c r="C221" s="35">
        <v>9570000</v>
      </c>
      <c r="D221" s="35">
        <v>13204581</v>
      </c>
      <c r="E221" s="35">
        <f>F221-9583442</f>
        <v>2343851</v>
      </c>
      <c r="F221" s="35">
        <v>11927293</v>
      </c>
      <c r="G221" s="37">
        <f t="shared" si="28"/>
        <v>0.01781494637694648</v>
      </c>
      <c r="H221" s="35">
        <f t="shared" si="24"/>
        <v>1277288</v>
      </c>
      <c r="I221" s="35">
        <f>J221-9547552</f>
        <v>2379741</v>
      </c>
      <c r="J221" s="35">
        <v>11927293</v>
      </c>
      <c r="K221" s="37">
        <f t="shared" si="29"/>
        <v>0.01792036514034942</v>
      </c>
      <c r="L221" s="38">
        <f t="shared" si="25"/>
        <v>1277288</v>
      </c>
      <c r="M221" s="38">
        <f t="shared" si="30"/>
        <v>0</v>
      </c>
    </row>
    <row r="222" spans="1:13" ht="15.75">
      <c r="A222" s="15" t="s">
        <v>205</v>
      </c>
      <c r="B222" s="16" t="s">
        <v>206</v>
      </c>
      <c r="C222" s="35">
        <v>481105</v>
      </c>
      <c r="D222" s="35">
        <v>481105</v>
      </c>
      <c r="E222" s="35">
        <f>F222-0</f>
        <v>0</v>
      </c>
      <c r="F222" s="35">
        <v>0</v>
      </c>
      <c r="G222" s="37">
        <f t="shared" si="28"/>
        <v>0</v>
      </c>
      <c r="H222" s="35">
        <f t="shared" si="24"/>
        <v>481105</v>
      </c>
      <c r="I222" s="35">
        <f>J222-0</f>
        <v>0</v>
      </c>
      <c r="J222" s="35">
        <v>0</v>
      </c>
      <c r="K222" s="37">
        <f t="shared" si="29"/>
        <v>0</v>
      </c>
      <c r="L222" s="38">
        <f t="shared" si="25"/>
        <v>481105</v>
      </c>
      <c r="M222" s="38">
        <f t="shared" si="30"/>
        <v>0</v>
      </c>
    </row>
    <row r="223" spans="1:13" ht="15.75">
      <c r="A223" s="15" t="s">
        <v>207</v>
      </c>
      <c r="B223" s="16" t="s">
        <v>208</v>
      </c>
      <c r="C223" s="35">
        <v>18693818</v>
      </c>
      <c r="D223" s="35">
        <v>14047260</v>
      </c>
      <c r="E223" s="35">
        <f>F223-8695083</f>
        <v>625325</v>
      </c>
      <c r="F223" s="35">
        <v>9320408</v>
      </c>
      <c r="G223" s="37">
        <f t="shared" si="28"/>
        <v>0.013921228289710244</v>
      </c>
      <c r="H223" s="35">
        <f t="shared" si="24"/>
        <v>4726852</v>
      </c>
      <c r="I223" s="35">
        <f>J223-7426355</f>
        <v>1841603</v>
      </c>
      <c r="J223" s="35">
        <v>9267958</v>
      </c>
      <c r="K223" s="37">
        <f t="shared" si="29"/>
        <v>0.013924801836042977</v>
      </c>
      <c r="L223" s="38">
        <f t="shared" si="25"/>
        <v>4779302</v>
      </c>
      <c r="M223" s="38">
        <f t="shared" si="30"/>
        <v>52450</v>
      </c>
    </row>
    <row r="224" spans="1:13" ht="15.75">
      <c r="A224" s="15" t="s">
        <v>209</v>
      </c>
      <c r="B224" s="16" t="s">
        <v>210</v>
      </c>
      <c r="C224" s="35">
        <v>6633024</v>
      </c>
      <c r="D224" s="35">
        <v>8451018</v>
      </c>
      <c r="E224" s="35">
        <f>F224-4060230</f>
        <v>360692</v>
      </c>
      <c r="F224" s="35">
        <v>4420922</v>
      </c>
      <c r="G224" s="37">
        <f t="shared" si="28"/>
        <v>0.006603215697531952</v>
      </c>
      <c r="H224" s="35">
        <f t="shared" si="24"/>
        <v>4030096</v>
      </c>
      <c r="I224" s="35">
        <f>J224-3487270</f>
        <v>933652</v>
      </c>
      <c r="J224" s="35">
        <v>4420922</v>
      </c>
      <c r="K224" s="37">
        <f t="shared" si="29"/>
        <v>0.006642289788387343</v>
      </c>
      <c r="L224" s="38">
        <f aca="true" t="shared" si="31" ref="L224:L319">D224-J224</f>
        <v>4030096</v>
      </c>
      <c r="M224" s="38">
        <f t="shared" si="30"/>
        <v>0</v>
      </c>
    </row>
    <row r="225" spans="1:13" ht="15.75">
      <c r="A225" s="26" t="s">
        <v>211</v>
      </c>
      <c r="B225" s="18" t="s">
        <v>212</v>
      </c>
      <c r="C225" s="32">
        <f>SUM(C226:C230)</f>
        <v>5326556036</v>
      </c>
      <c r="D225" s="32">
        <f>SUM(D226:D230)</f>
        <v>3940904515</v>
      </c>
      <c r="E225" s="32">
        <f>SUM(E226:E230)</f>
        <v>251361955</v>
      </c>
      <c r="F225" s="32">
        <f>SUM(F226:F230)</f>
        <v>2384536822</v>
      </c>
      <c r="G225" s="33">
        <f t="shared" si="28"/>
        <v>3.561612481372292</v>
      </c>
      <c r="H225" s="32">
        <f t="shared" si="24"/>
        <v>1556367693</v>
      </c>
      <c r="I225" s="32">
        <f>SUM(I226:I230)</f>
        <v>306312240</v>
      </c>
      <c r="J225" s="32">
        <f>SUM(J226:J230)</f>
        <v>2384536822</v>
      </c>
      <c r="K225" s="33">
        <f t="shared" si="29"/>
        <v>3.5826880869656166</v>
      </c>
      <c r="L225" s="34">
        <f t="shared" si="31"/>
        <v>1556367693</v>
      </c>
      <c r="M225" s="34">
        <f>SUM(M226:M230)</f>
        <v>0</v>
      </c>
    </row>
    <row r="226" spans="1:13" ht="15.75">
      <c r="A226" s="15" t="s">
        <v>39</v>
      </c>
      <c r="B226" s="16" t="s">
        <v>41</v>
      </c>
      <c r="C226" s="35">
        <v>3284408595</v>
      </c>
      <c r="D226" s="35">
        <v>1914295090</v>
      </c>
      <c r="E226" s="35">
        <f>F226-379186409</f>
        <v>77046274</v>
      </c>
      <c r="F226" s="35">
        <v>456232683</v>
      </c>
      <c r="G226" s="37">
        <f t="shared" si="28"/>
        <v>0.6814422000914558</v>
      </c>
      <c r="H226" s="35">
        <f aca="true" t="shared" si="32" ref="H226:H312">D226-F226</f>
        <v>1458062407</v>
      </c>
      <c r="I226" s="35">
        <f>J226-367186406</f>
        <v>89046277</v>
      </c>
      <c r="J226" s="35">
        <v>456232683</v>
      </c>
      <c r="K226" s="37">
        <f t="shared" si="29"/>
        <v>0.6854745891059512</v>
      </c>
      <c r="L226" s="38">
        <f t="shared" si="31"/>
        <v>1458062407</v>
      </c>
      <c r="M226" s="38">
        <f t="shared" si="30"/>
        <v>0</v>
      </c>
    </row>
    <row r="227" spans="1:13" ht="15.75">
      <c r="A227" s="15" t="s">
        <v>213</v>
      </c>
      <c r="B227" s="16" t="s">
        <v>214</v>
      </c>
      <c r="C227" s="35">
        <v>13127578</v>
      </c>
      <c r="D227" s="35">
        <v>15360295</v>
      </c>
      <c r="E227" s="35">
        <f>F227-11978383</f>
        <v>1446627</v>
      </c>
      <c r="F227" s="35">
        <v>13425010</v>
      </c>
      <c r="G227" s="37">
        <f t="shared" si="28"/>
        <v>0.02005197937704475</v>
      </c>
      <c r="H227" s="35">
        <f t="shared" si="32"/>
        <v>1935285</v>
      </c>
      <c r="I227" s="35">
        <f>J227-11978383</f>
        <v>1446627</v>
      </c>
      <c r="J227" s="35">
        <v>13425010</v>
      </c>
      <c r="K227" s="37">
        <f t="shared" si="29"/>
        <v>0.020170635634828654</v>
      </c>
      <c r="L227" s="38">
        <f t="shared" si="31"/>
        <v>1935285</v>
      </c>
      <c r="M227" s="38">
        <f t="shared" si="30"/>
        <v>0</v>
      </c>
    </row>
    <row r="228" spans="1:13" ht="15.75">
      <c r="A228" s="15" t="s">
        <v>215</v>
      </c>
      <c r="B228" s="16" t="s">
        <v>216</v>
      </c>
      <c r="C228" s="35">
        <v>800954509</v>
      </c>
      <c r="D228" s="35">
        <v>724140439</v>
      </c>
      <c r="E228" s="35">
        <f>F228-564663001</f>
        <v>97960946</v>
      </c>
      <c r="F228" s="35">
        <v>662623947</v>
      </c>
      <c r="G228" s="37">
        <f t="shared" si="28"/>
        <v>0.9897141022598862</v>
      </c>
      <c r="H228" s="35">
        <f t="shared" si="32"/>
        <v>61516492</v>
      </c>
      <c r="I228" s="35">
        <f>J228-564663001</f>
        <v>97960946</v>
      </c>
      <c r="J228" s="35">
        <v>662623947</v>
      </c>
      <c r="K228" s="37">
        <f t="shared" si="29"/>
        <v>0.995570669805759</v>
      </c>
      <c r="L228" s="38">
        <f t="shared" si="31"/>
        <v>61516492</v>
      </c>
      <c r="M228" s="38">
        <f t="shared" si="30"/>
        <v>0</v>
      </c>
    </row>
    <row r="229" spans="1:13" ht="15.75">
      <c r="A229" s="15" t="s">
        <v>217</v>
      </c>
      <c r="B229" s="16" t="s">
        <v>218</v>
      </c>
      <c r="C229" s="35">
        <v>10000</v>
      </c>
      <c r="D229" s="35">
        <v>10000</v>
      </c>
      <c r="E229" s="35">
        <f>F229-0</f>
        <v>0</v>
      </c>
      <c r="F229" s="35">
        <v>0</v>
      </c>
      <c r="G229" s="37">
        <f t="shared" si="28"/>
        <v>0</v>
      </c>
      <c r="H229" s="35">
        <f t="shared" si="32"/>
        <v>10000</v>
      </c>
      <c r="I229" s="35">
        <f>J229-0</f>
        <v>0</v>
      </c>
      <c r="J229" s="35">
        <v>0</v>
      </c>
      <c r="K229" s="37">
        <f t="shared" si="29"/>
        <v>0</v>
      </c>
      <c r="L229" s="38">
        <f t="shared" si="31"/>
        <v>10000</v>
      </c>
      <c r="M229" s="38">
        <f t="shared" si="30"/>
        <v>0</v>
      </c>
    </row>
    <row r="230" spans="1:13" ht="15.75">
      <c r="A230" s="15" t="s">
        <v>219</v>
      </c>
      <c r="B230" s="16" t="s">
        <v>220</v>
      </c>
      <c r="C230" s="35">
        <v>1228055354</v>
      </c>
      <c r="D230" s="35">
        <v>1287098691</v>
      </c>
      <c r="E230" s="35">
        <f>F230-1177347074</f>
        <v>74908108</v>
      </c>
      <c r="F230" s="35">
        <v>1252255182</v>
      </c>
      <c r="G230" s="37">
        <f t="shared" si="28"/>
        <v>1.8704041996439051</v>
      </c>
      <c r="H230" s="35">
        <f t="shared" si="32"/>
        <v>34843509</v>
      </c>
      <c r="I230" s="35">
        <f>J230-1134396792</f>
        <v>117858390</v>
      </c>
      <c r="J230" s="35">
        <v>1252255182</v>
      </c>
      <c r="K230" s="37">
        <f t="shared" si="29"/>
        <v>1.8814721924190776</v>
      </c>
      <c r="L230" s="38">
        <f t="shared" si="31"/>
        <v>34843509</v>
      </c>
      <c r="M230" s="38">
        <f t="shared" si="30"/>
        <v>0</v>
      </c>
    </row>
    <row r="231" spans="1:13" ht="15.75">
      <c r="A231" s="26" t="s">
        <v>221</v>
      </c>
      <c r="B231" s="18" t="s">
        <v>222</v>
      </c>
      <c r="C231" s="32">
        <f>SUM(C232:C233)</f>
        <v>343800293</v>
      </c>
      <c r="D231" s="32">
        <f>SUM(D232:D233)</f>
        <v>342660293</v>
      </c>
      <c r="E231" s="32">
        <f>SUM(E232:E233)</f>
        <v>0</v>
      </c>
      <c r="F231" s="32">
        <f>SUM(F232:F233)</f>
        <v>0</v>
      </c>
      <c r="G231" s="33">
        <f t="shared" si="28"/>
        <v>0</v>
      </c>
      <c r="H231" s="32">
        <f t="shared" si="32"/>
        <v>342660293</v>
      </c>
      <c r="I231" s="32">
        <f>SUM(I232:I233)</f>
        <v>0</v>
      </c>
      <c r="J231" s="32">
        <f>J232+J233</f>
        <v>0</v>
      </c>
      <c r="K231" s="33">
        <f t="shared" si="29"/>
        <v>0</v>
      </c>
      <c r="L231" s="34">
        <f t="shared" si="31"/>
        <v>342660293</v>
      </c>
      <c r="M231" s="34">
        <f>SUM(M232:M233)</f>
        <v>0</v>
      </c>
    </row>
    <row r="232" spans="1:13" ht="15.75">
      <c r="A232" s="15" t="s">
        <v>246</v>
      </c>
      <c r="B232" s="51" t="s">
        <v>247</v>
      </c>
      <c r="C232" s="35">
        <v>343500293</v>
      </c>
      <c r="D232" s="52">
        <v>342360293</v>
      </c>
      <c r="E232" s="35">
        <f>F232-0</f>
        <v>0</v>
      </c>
      <c r="F232" s="35">
        <v>0</v>
      </c>
      <c r="G232" s="37">
        <f t="shared" si="28"/>
        <v>0</v>
      </c>
      <c r="H232" s="35">
        <f t="shared" si="32"/>
        <v>342360293</v>
      </c>
      <c r="I232" s="35">
        <f>J232-0</f>
        <v>0</v>
      </c>
      <c r="J232" s="35">
        <v>0</v>
      </c>
      <c r="K232" s="37">
        <f t="shared" si="29"/>
        <v>0</v>
      </c>
      <c r="L232" s="38">
        <f t="shared" si="31"/>
        <v>342360293</v>
      </c>
      <c r="M232" s="38">
        <f t="shared" si="30"/>
        <v>0</v>
      </c>
    </row>
    <row r="233" spans="1:13" ht="15.75">
      <c r="A233" s="15" t="s">
        <v>223</v>
      </c>
      <c r="B233" s="16" t="s">
        <v>224</v>
      </c>
      <c r="C233" s="35">
        <v>300000</v>
      </c>
      <c r="D233" s="35">
        <v>300000</v>
      </c>
      <c r="E233" s="35">
        <f>F233-0</f>
        <v>0</v>
      </c>
      <c r="F233" s="35">
        <v>0</v>
      </c>
      <c r="G233" s="37">
        <f t="shared" si="28"/>
        <v>0</v>
      </c>
      <c r="H233" s="35">
        <f t="shared" si="32"/>
        <v>300000</v>
      </c>
      <c r="I233" s="35">
        <f>J233-0</f>
        <v>0</v>
      </c>
      <c r="J233" s="35">
        <v>0</v>
      </c>
      <c r="K233" s="37">
        <f t="shared" si="29"/>
        <v>0</v>
      </c>
      <c r="L233" s="38">
        <f t="shared" si="31"/>
        <v>300000</v>
      </c>
      <c r="M233" s="38">
        <f t="shared" si="30"/>
        <v>0</v>
      </c>
    </row>
    <row r="234" spans="1:13" ht="15.75">
      <c r="A234" s="26"/>
      <c r="B234" s="18" t="s">
        <v>16</v>
      </c>
      <c r="C234" s="32">
        <f>C265</f>
        <v>5507654646</v>
      </c>
      <c r="D234" s="32">
        <f>D265</f>
        <v>7848743040</v>
      </c>
      <c r="E234" s="32">
        <f>E265</f>
        <v>1854854399</v>
      </c>
      <c r="F234" s="32">
        <f>F265</f>
        <v>7509148443</v>
      </c>
      <c r="G234" s="33">
        <f t="shared" si="28"/>
        <v>11.215879147814691</v>
      </c>
      <c r="H234" s="32">
        <f>D234-F234</f>
        <v>339594597</v>
      </c>
      <c r="I234" s="32">
        <f>I265</f>
        <v>2028512888</v>
      </c>
      <c r="J234" s="32">
        <f>J265</f>
        <v>7498165052</v>
      </c>
      <c r="K234" s="33">
        <f t="shared" si="29"/>
        <v>11.265746185194503</v>
      </c>
      <c r="L234" s="34">
        <f t="shared" si="31"/>
        <v>350577988</v>
      </c>
      <c r="M234" s="34">
        <f>M265</f>
        <v>10983391</v>
      </c>
    </row>
    <row r="235" spans="1:13" ht="15.75">
      <c r="A235" s="103" t="s">
        <v>225</v>
      </c>
      <c r="B235" s="104"/>
      <c r="C235" s="53">
        <f aca="true" t="shared" si="33" ref="C235:K235">C16+C234</f>
        <v>80373868770</v>
      </c>
      <c r="D235" s="53">
        <f t="shared" si="33"/>
        <v>86701595195</v>
      </c>
      <c r="E235" s="53">
        <f t="shared" si="33"/>
        <v>14540277002</v>
      </c>
      <c r="F235" s="53">
        <f t="shared" si="33"/>
        <v>66951046316</v>
      </c>
      <c r="G235" s="54">
        <f t="shared" si="33"/>
        <v>100</v>
      </c>
      <c r="H235" s="53">
        <f t="shared" si="33"/>
        <v>19750548879</v>
      </c>
      <c r="I235" s="53">
        <f t="shared" si="33"/>
        <v>16772761139</v>
      </c>
      <c r="J235" s="53">
        <f t="shared" si="33"/>
        <v>66557198509</v>
      </c>
      <c r="K235" s="54">
        <f t="shared" si="33"/>
        <v>100</v>
      </c>
      <c r="L235" s="55">
        <f>L16+L234</f>
        <v>20144396686</v>
      </c>
      <c r="M235" s="55">
        <f>M234+M16</f>
        <v>393847807</v>
      </c>
    </row>
    <row r="236" spans="1:13" ht="15.75">
      <c r="A236" s="56" t="s">
        <v>264</v>
      </c>
      <c r="B236" s="57"/>
      <c r="C236" s="58"/>
      <c r="D236" s="58"/>
      <c r="E236" s="58"/>
      <c r="F236" s="59"/>
      <c r="G236" s="60"/>
      <c r="H236" s="59"/>
      <c r="I236" s="59"/>
      <c r="J236" s="59"/>
      <c r="K236" s="60"/>
      <c r="L236" s="58"/>
      <c r="M236" s="47" t="s">
        <v>226</v>
      </c>
    </row>
    <row r="237" spans="1:13" ht="15.75">
      <c r="A237" s="56" t="s">
        <v>265</v>
      </c>
      <c r="B237" s="57"/>
      <c r="C237" s="58"/>
      <c r="D237" s="58"/>
      <c r="E237" s="58"/>
      <c r="F237" s="59"/>
      <c r="G237" s="60"/>
      <c r="H237" s="59"/>
      <c r="I237" s="59"/>
      <c r="J237" s="59"/>
      <c r="K237" s="60"/>
      <c r="L237" s="59"/>
      <c r="M237" s="82"/>
    </row>
    <row r="238" spans="1:13" ht="15.75">
      <c r="A238" s="56" t="s">
        <v>262</v>
      </c>
      <c r="B238" s="57"/>
      <c r="C238" s="58"/>
      <c r="D238" s="58"/>
      <c r="E238" s="58"/>
      <c r="F238" s="59"/>
      <c r="G238" s="60"/>
      <c r="H238" s="59"/>
      <c r="I238" s="59"/>
      <c r="J238" s="59"/>
      <c r="K238" s="60"/>
      <c r="L238" s="59"/>
      <c r="M238" s="82"/>
    </row>
    <row r="239" spans="1:13" ht="15.75">
      <c r="A239" s="56" t="s">
        <v>263</v>
      </c>
      <c r="B239" s="57"/>
      <c r="C239" s="58"/>
      <c r="D239" s="58"/>
      <c r="E239" s="58"/>
      <c r="F239" s="59"/>
      <c r="G239" s="60"/>
      <c r="H239" s="59"/>
      <c r="I239" s="59"/>
      <c r="J239" s="59"/>
      <c r="K239" s="60"/>
      <c r="L239" s="59"/>
      <c r="M239" s="82"/>
    </row>
    <row r="240" spans="1:13" ht="15.75">
      <c r="A240" s="56"/>
      <c r="B240" s="57"/>
      <c r="C240" s="68"/>
      <c r="D240" s="58"/>
      <c r="E240" s="58"/>
      <c r="F240" s="59"/>
      <c r="G240" s="60"/>
      <c r="H240" s="59"/>
      <c r="I240" s="59"/>
      <c r="J240" s="59"/>
      <c r="K240" s="60"/>
      <c r="L240" s="59"/>
      <c r="M240" s="82"/>
    </row>
    <row r="241" spans="1:13" ht="15">
      <c r="A241" s="56"/>
      <c r="B241" s="57"/>
      <c r="C241" s="68"/>
      <c r="D241" s="68"/>
      <c r="E241" s="68"/>
      <c r="F241" s="68"/>
      <c r="G241" s="68"/>
      <c r="H241" s="68"/>
      <c r="I241" s="68"/>
      <c r="J241" s="68"/>
      <c r="K241" s="68"/>
      <c r="L241" s="68"/>
      <c r="M241" s="82"/>
    </row>
    <row r="242" spans="1:13" ht="15">
      <c r="A242" s="56"/>
      <c r="B242" s="57"/>
      <c r="C242" s="68"/>
      <c r="D242" s="68"/>
      <c r="E242" s="68"/>
      <c r="F242" s="68"/>
      <c r="G242" s="68"/>
      <c r="H242" s="68"/>
      <c r="I242" s="68"/>
      <c r="J242" s="68"/>
      <c r="K242" s="68"/>
      <c r="L242" s="68"/>
      <c r="M242" s="82"/>
    </row>
    <row r="243" spans="1:13" ht="15">
      <c r="A243" s="56"/>
      <c r="B243" s="57"/>
      <c r="C243" s="68"/>
      <c r="D243" s="68"/>
      <c r="E243" s="68"/>
      <c r="F243" s="68"/>
      <c r="G243" s="68"/>
      <c r="H243" s="68"/>
      <c r="I243" s="68"/>
      <c r="J243" s="68"/>
      <c r="K243" s="68"/>
      <c r="L243" s="68"/>
      <c r="M243" s="82"/>
    </row>
    <row r="244" spans="1:13" ht="15">
      <c r="A244" s="56"/>
      <c r="B244" s="57"/>
      <c r="C244" s="68"/>
      <c r="D244" s="68"/>
      <c r="E244" s="68"/>
      <c r="F244" s="68"/>
      <c r="G244" s="68"/>
      <c r="H244" s="68"/>
      <c r="I244" s="68"/>
      <c r="J244" s="68"/>
      <c r="K244" s="68"/>
      <c r="L244" s="68"/>
      <c r="M244" s="68"/>
    </row>
    <row r="245" spans="1:13" ht="15">
      <c r="A245" s="56"/>
      <c r="B245" s="57"/>
      <c r="C245" s="68"/>
      <c r="D245" s="68"/>
      <c r="E245" s="68"/>
      <c r="F245" s="68"/>
      <c r="G245" s="68"/>
      <c r="H245" s="68"/>
      <c r="I245" s="68"/>
      <c r="J245" s="68"/>
      <c r="K245" s="68"/>
      <c r="L245" s="68"/>
      <c r="M245" s="82"/>
    </row>
    <row r="246" spans="1:13" ht="15.75">
      <c r="A246" s="56"/>
      <c r="B246" s="57"/>
      <c r="C246" s="58"/>
      <c r="D246" s="58"/>
      <c r="E246" s="58"/>
      <c r="F246" s="59"/>
      <c r="G246" s="60"/>
      <c r="H246" s="59"/>
      <c r="I246" s="59"/>
      <c r="J246" s="59"/>
      <c r="K246" s="60"/>
      <c r="L246" s="59"/>
      <c r="M246" s="82"/>
    </row>
    <row r="247" spans="1:13" ht="15.75">
      <c r="A247" s="56"/>
      <c r="B247" s="57"/>
      <c r="C247" s="58"/>
      <c r="D247" s="58"/>
      <c r="E247" s="58"/>
      <c r="F247" s="59"/>
      <c r="G247" s="60"/>
      <c r="H247" s="59"/>
      <c r="I247" s="59"/>
      <c r="J247" s="59"/>
      <c r="K247" s="60"/>
      <c r="L247" s="59"/>
      <c r="M247" s="82"/>
    </row>
    <row r="248" spans="1:13" ht="15.75">
      <c r="A248" s="56"/>
      <c r="B248" s="57"/>
      <c r="C248" s="58"/>
      <c r="D248" s="58"/>
      <c r="E248" s="58"/>
      <c r="F248" s="59"/>
      <c r="G248" s="60"/>
      <c r="H248" s="59"/>
      <c r="I248" s="59"/>
      <c r="J248" s="59"/>
      <c r="K248" s="60"/>
      <c r="L248" s="59"/>
      <c r="M248" s="82"/>
    </row>
    <row r="249" spans="1:13" ht="15.75">
      <c r="A249" s="56"/>
      <c r="B249" s="57"/>
      <c r="C249" s="58"/>
      <c r="D249" s="58"/>
      <c r="E249" s="58"/>
      <c r="F249" s="59"/>
      <c r="G249" s="60"/>
      <c r="H249" s="59"/>
      <c r="I249" s="59"/>
      <c r="J249" s="59"/>
      <c r="K249" s="60"/>
      <c r="L249" s="59"/>
      <c r="M249" s="82"/>
    </row>
    <row r="250" spans="1:13" ht="15.75">
      <c r="A250" s="56"/>
      <c r="B250" s="57"/>
      <c r="C250" s="58"/>
      <c r="D250" s="58"/>
      <c r="E250" s="58"/>
      <c r="F250" s="59"/>
      <c r="G250" s="60"/>
      <c r="H250" s="59"/>
      <c r="I250" s="59"/>
      <c r="J250" s="59"/>
      <c r="K250" s="60"/>
      <c r="L250" s="59"/>
      <c r="M250" s="82"/>
    </row>
    <row r="251" spans="1:13" ht="15.75">
      <c r="A251" s="56"/>
      <c r="B251" s="57"/>
      <c r="C251" s="58"/>
      <c r="D251" s="58"/>
      <c r="E251" s="58"/>
      <c r="F251" s="59"/>
      <c r="G251" s="60"/>
      <c r="H251" s="59"/>
      <c r="I251" s="59"/>
      <c r="J251" s="59"/>
      <c r="K251" s="60"/>
      <c r="L251" s="59"/>
      <c r="M251" s="82"/>
    </row>
    <row r="252" spans="1:13" ht="15.75">
      <c r="A252" s="56"/>
      <c r="B252" s="57"/>
      <c r="C252" s="58"/>
      <c r="D252" s="58"/>
      <c r="E252" s="58"/>
      <c r="F252" s="59"/>
      <c r="G252" s="60"/>
      <c r="H252" s="59"/>
      <c r="I252" s="59"/>
      <c r="J252" s="59"/>
      <c r="K252" s="60"/>
      <c r="L252" s="59"/>
      <c r="M252" s="82"/>
    </row>
    <row r="253" spans="1:13" ht="15.75">
      <c r="A253" s="44"/>
      <c r="B253" s="23"/>
      <c r="C253" s="45"/>
      <c r="D253" s="45"/>
      <c r="E253" s="45"/>
      <c r="F253" s="45"/>
      <c r="G253" s="46"/>
      <c r="H253" s="45"/>
      <c r="I253" s="45"/>
      <c r="J253" s="45"/>
      <c r="K253" s="46"/>
      <c r="L253" s="58"/>
      <c r="M253" s="17" t="s">
        <v>157</v>
      </c>
    </row>
    <row r="254" spans="1:13" ht="15.75">
      <c r="A254" s="87" t="s">
        <v>14</v>
      </c>
      <c r="B254" s="87"/>
      <c r="C254" s="87"/>
      <c r="D254" s="87"/>
      <c r="E254" s="87"/>
      <c r="F254" s="87"/>
      <c r="G254" s="87"/>
      <c r="H254" s="87"/>
      <c r="I254" s="87"/>
      <c r="J254" s="87"/>
      <c r="K254" s="87"/>
      <c r="L254" s="87"/>
      <c r="M254" s="87"/>
    </row>
    <row r="255" spans="1:13" ht="15.75">
      <c r="A255" s="87" t="s">
        <v>0</v>
      </c>
      <c r="B255" s="87"/>
      <c r="C255" s="87"/>
      <c r="D255" s="87"/>
      <c r="E255" s="87"/>
      <c r="F255" s="87"/>
      <c r="G255" s="87"/>
      <c r="H255" s="87"/>
      <c r="I255" s="87"/>
      <c r="J255" s="87"/>
      <c r="K255" s="87"/>
      <c r="L255" s="87"/>
      <c r="M255" s="87"/>
    </row>
    <row r="256" spans="1:13" ht="15.75">
      <c r="A256" s="94" t="s">
        <v>1</v>
      </c>
      <c r="B256" s="94"/>
      <c r="C256" s="94"/>
      <c r="D256" s="94"/>
      <c r="E256" s="94"/>
      <c r="F256" s="94"/>
      <c r="G256" s="94"/>
      <c r="H256" s="94"/>
      <c r="I256" s="94"/>
      <c r="J256" s="94"/>
      <c r="K256" s="94"/>
      <c r="L256" s="94"/>
      <c r="M256" s="94"/>
    </row>
    <row r="257" spans="1:13" ht="15.75">
      <c r="A257" s="87" t="s">
        <v>2</v>
      </c>
      <c r="B257" s="87"/>
      <c r="C257" s="87"/>
      <c r="D257" s="87"/>
      <c r="E257" s="87"/>
      <c r="F257" s="87"/>
      <c r="G257" s="87"/>
      <c r="H257" s="87"/>
      <c r="I257" s="87"/>
      <c r="J257" s="87"/>
      <c r="K257" s="87"/>
      <c r="L257" s="87"/>
      <c r="M257" s="87"/>
    </row>
    <row r="258" spans="1:13" ht="15.75">
      <c r="A258" s="87" t="str">
        <f>A133</f>
        <v>JANEIRO A DEZEMBRO 2019/BIMESTRE NOVEMBRO-DEZEMBRO</v>
      </c>
      <c r="B258" s="87"/>
      <c r="C258" s="87"/>
      <c r="D258" s="87"/>
      <c r="E258" s="87"/>
      <c r="F258" s="87"/>
      <c r="G258" s="87"/>
      <c r="H258" s="87"/>
      <c r="I258" s="87"/>
      <c r="J258" s="87"/>
      <c r="K258" s="87"/>
      <c r="L258" s="87"/>
      <c r="M258" s="87"/>
    </row>
    <row r="259" spans="1:13" ht="15.75">
      <c r="A259" s="44"/>
      <c r="B259" s="23"/>
      <c r="C259" s="45"/>
      <c r="D259" s="45"/>
      <c r="E259" s="45"/>
      <c r="F259" s="45"/>
      <c r="G259" s="46"/>
      <c r="H259" s="45"/>
      <c r="I259" s="45"/>
      <c r="J259" s="45"/>
      <c r="K259" s="46"/>
      <c r="L259" s="45"/>
      <c r="M259" s="82"/>
    </row>
    <row r="260" spans="1:13" ht="15.75">
      <c r="A260" s="15"/>
      <c r="B260" s="15"/>
      <c r="C260" s="15"/>
      <c r="D260" s="15"/>
      <c r="E260" s="15"/>
      <c r="F260" s="15"/>
      <c r="G260" s="15"/>
      <c r="H260" s="15"/>
      <c r="I260" s="15"/>
      <c r="J260" s="15"/>
      <c r="K260" s="15"/>
      <c r="L260" s="58"/>
      <c r="M260" s="17" t="str">
        <f>M135</f>
        <v>Emissão: 24/01/2020</v>
      </c>
    </row>
    <row r="261" spans="1:13" ht="15.75">
      <c r="A261" s="22" t="s">
        <v>240</v>
      </c>
      <c r="B261" s="20"/>
      <c r="C261" s="23"/>
      <c r="D261" s="20"/>
      <c r="E261" s="20"/>
      <c r="F261" s="24"/>
      <c r="G261" s="24"/>
      <c r="H261" s="24"/>
      <c r="I261" s="20"/>
      <c r="J261" s="20"/>
      <c r="K261" s="17"/>
      <c r="L261" s="58"/>
      <c r="M261" s="25">
        <v>1</v>
      </c>
    </row>
    <row r="262" spans="1:13" ht="15.75">
      <c r="A262" s="88" t="s">
        <v>23</v>
      </c>
      <c r="B262" s="91" t="s">
        <v>271</v>
      </c>
      <c r="C262" s="8" t="s">
        <v>3</v>
      </c>
      <c r="D262" s="8" t="s">
        <v>3</v>
      </c>
      <c r="E262" s="95" t="s">
        <v>4</v>
      </c>
      <c r="F262" s="96"/>
      <c r="G262" s="97"/>
      <c r="H262" s="8" t="s">
        <v>18</v>
      </c>
      <c r="I262" s="95" t="s">
        <v>5</v>
      </c>
      <c r="J262" s="96"/>
      <c r="K262" s="97"/>
      <c r="L262" s="9" t="s">
        <v>18</v>
      </c>
      <c r="M262" s="98" t="s">
        <v>275</v>
      </c>
    </row>
    <row r="263" spans="1:13" ht="15.75">
      <c r="A263" s="89"/>
      <c r="B263" s="92"/>
      <c r="C263" s="10" t="s">
        <v>7</v>
      </c>
      <c r="D263" s="10" t="s">
        <v>8</v>
      </c>
      <c r="E263" s="10" t="s">
        <v>9</v>
      </c>
      <c r="F263" s="10" t="s">
        <v>10</v>
      </c>
      <c r="G263" s="10" t="s">
        <v>11</v>
      </c>
      <c r="H263" s="11"/>
      <c r="I263" s="10" t="s">
        <v>9</v>
      </c>
      <c r="J263" s="10" t="s">
        <v>10</v>
      </c>
      <c r="K263" s="10" t="s">
        <v>11</v>
      </c>
      <c r="L263" s="12"/>
      <c r="M263" s="99"/>
    </row>
    <row r="264" spans="1:13" ht="45.75" customHeight="1">
      <c r="A264" s="90"/>
      <c r="B264" s="93"/>
      <c r="C264" s="13"/>
      <c r="D264" s="14" t="s">
        <v>12</v>
      </c>
      <c r="E264" s="14"/>
      <c r="F264" s="14" t="s">
        <v>13</v>
      </c>
      <c r="G264" s="14" t="s">
        <v>272</v>
      </c>
      <c r="H264" s="14" t="s">
        <v>19</v>
      </c>
      <c r="I264" s="14"/>
      <c r="J264" s="14" t="s">
        <v>20</v>
      </c>
      <c r="K264" s="14" t="s">
        <v>273</v>
      </c>
      <c r="L264" s="85" t="s">
        <v>22</v>
      </c>
      <c r="M264" s="100"/>
    </row>
    <row r="265" spans="1:13" ht="15.75">
      <c r="A265" s="26"/>
      <c r="B265" s="63" t="s">
        <v>16</v>
      </c>
      <c r="C265" s="71">
        <f>C266+C270+C273+C277+C281+C286+C290+C292+C295+C297+C303+C305+C307+C309+C311+C313+C315+C318+C321+C323+C325+C327+C329+C332</f>
        <v>5507654646</v>
      </c>
      <c r="D265" s="71">
        <f>D266+D270+D273+D277+D281+D286+D290+D292+D295+D297+D303+D305+D307+D309+D311+D313+D315+D318+D321+D323+D325+D327+D329+D332</f>
        <v>7848743040</v>
      </c>
      <c r="E265" s="71">
        <f>E266+E270+E273+E277+E281+E286+E290+E292+E295+E297+E303+E305+E307+E309+E311+E313+E315+E318+E321+E323+E325+E327+E329+E332</f>
        <v>1854854399</v>
      </c>
      <c r="F265" s="71">
        <f>F266+F270+F273+F277+F281+F286+F290+F292+F295+F297+F303+F305+F307+F309+F311+F313+F315+F318+F321+F323+F325+F327+F329+F332</f>
        <v>7509148443</v>
      </c>
      <c r="G265" s="60">
        <f aca="true" t="shared" si="34" ref="G265:G287">(F265/$F$235)*100</f>
        <v>11.215879147814691</v>
      </c>
      <c r="H265" s="71">
        <f>D265-F265</f>
        <v>339594597</v>
      </c>
      <c r="I265" s="71">
        <f>I266+I270+I273+I277+I281+I286+I290+I292+I295+I297+I303+I305+I307+I309+I311+I313+I315+I318+I321+I323+I325+I327+I329+I332</f>
        <v>2028512888</v>
      </c>
      <c r="J265" s="71">
        <f>J266+J270+J273+J277+J281+J286+J290+J292+J295+J297+J303+J305+J307+J309+J311+J313+J315+J318+J321+J323+J325+J327+J329+J332</f>
        <v>7498165052</v>
      </c>
      <c r="K265" s="72">
        <f aca="true" t="shared" si="35" ref="K265:K288">(J265/$J$235)*100</f>
        <v>11.265746185194503</v>
      </c>
      <c r="L265" s="59">
        <f>D265-J265</f>
        <v>350577988</v>
      </c>
      <c r="M265" s="86">
        <f>M266+M270+M273+M277+M281+M286+M290+M292+M295+M297+M303+M305+M307+M309+M311+M313+M315+M318+M321+M323+M325+M327+M329+M332</f>
        <v>10983391</v>
      </c>
    </row>
    <row r="266" spans="1:13" ht="15.75">
      <c r="A266" s="26" t="s">
        <v>25</v>
      </c>
      <c r="B266" s="63" t="s">
        <v>24</v>
      </c>
      <c r="C266" s="32">
        <f>SUM(C267:C269)</f>
        <v>151800000</v>
      </c>
      <c r="D266" s="32">
        <f>SUM(D267:D269)</f>
        <v>142450000</v>
      </c>
      <c r="E266" s="32">
        <f>SUM(E267:E269)</f>
        <v>15873219</v>
      </c>
      <c r="F266" s="32">
        <f>SUM(F267:F269)</f>
        <v>133406035</v>
      </c>
      <c r="G266" s="60">
        <f t="shared" si="34"/>
        <v>0.19925907411564764</v>
      </c>
      <c r="H266" s="32">
        <f t="shared" si="32"/>
        <v>9043965</v>
      </c>
      <c r="I266" s="32">
        <f>SUM(I267:I269)</f>
        <v>29560804</v>
      </c>
      <c r="J266" s="32">
        <f>SUM(J267:J269)</f>
        <v>132544449</v>
      </c>
      <c r="K266" s="33">
        <f t="shared" si="35"/>
        <v>0.19914367186304732</v>
      </c>
      <c r="L266" s="59">
        <f t="shared" si="31"/>
        <v>9905551</v>
      </c>
      <c r="M266" s="34">
        <f>SUM(M267:M269)</f>
        <v>861586</v>
      </c>
    </row>
    <row r="267" spans="1:13" ht="15.75">
      <c r="A267" s="15" t="s">
        <v>26</v>
      </c>
      <c r="B267" s="51" t="s">
        <v>31</v>
      </c>
      <c r="C267" s="35">
        <v>2000000</v>
      </c>
      <c r="D267" s="35">
        <v>500000</v>
      </c>
      <c r="E267" s="35">
        <f>F267-420558</f>
        <v>-1310</v>
      </c>
      <c r="F267" s="35">
        <v>419248</v>
      </c>
      <c r="G267" s="60">
        <f t="shared" si="34"/>
        <v>0.0006262008184625008</v>
      </c>
      <c r="H267" s="32">
        <f t="shared" si="32"/>
        <v>80752</v>
      </c>
      <c r="I267" s="35">
        <f>J267-234408</f>
        <v>109161</v>
      </c>
      <c r="J267" s="35">
        <v>343569</v>
      </c>
      <c r="K267" s="33">
        <f t="shared" si="35"/>
        <v>0.0005162011137736542</v>
      </c>
      <c r="L267" s="45">
        <f t="shared" si="31"/>
        <v>156431</v>
      </c>
      <c r="M267" s="38">
        <f>F267-J267</f>
        <v>75679</v>
      </c>
    </row>
    <row r="268" spans="1:13" ht="15.75">
      <c r="A268" s="15" t="s">
        <v>28</v>
      </c>
      <c r="B268" s="51" t="s">
        <v>33</v>
      </c>
      <c r="C268" s="35">
        <v>149700000</v>
      </c>
      <c r="D268" s="35">
        <v>141850000</v>
      </c>
      <c r="E268" s="35">
        <f>F268-117112258</f>
        <v>15874529</v>
      </c>
      <c r="F268" s="35">
        <v>132986787</v>
      </c>
      <c r="G268" s="60">
        <f t="shared" si="34"/>
        <v>0.1986328732971851</v>
      </c>
      <c r="H268" s="35">
        <f>D268-F268</f>
        <v>8863213</v>
      </c>
      <c r="I268" s="35">
        <f>J268-102749237</f>
        <v>29451643</v>
      </c>
      <c r="J268" s="35">
        <v>132200880</v>
      </c>
      <c r="K268" s="33">
        <f t="shared" si="35"/>
        <v>0.19862747074927367</v>
      </c>
      <c r="L268" s="45">
        <f>D268-J268</f>
        <v>9649120</v>
      </c>
      <c r="M268" s="38">
        <f aca="true" t="shared" si="36" ref="M268:M333">F268-J268</f>
        <v>785907</v>
      </c>
    </row>
    <row r="269" spans="1:13" ht="15.75">
      <c r="A269" s="15" t="s">
        <v>50</v>
      </c>
      <c r="B269" s="51" t="s">
        <v>57</v>
      </c>
      <c r="C269" s="35">
        <v>100000</v>
      </c>
      <c r="D269" s="35">
        <v>100000</v>
      </c>
      <c r="E269" s="35">
        <f>F269-0</f>
        <v>0</v>
      </c>
      <c r="F269" s="35">
        <v>0</v>
      </c>
      <c r="G269" s="46">
        <f t="shared" si="34"/>
        <v>0</v>
      </c>
      <c r="H269" s="35">
        <f t="shared" si="32"/>
        <v>100000</v>
      </c>
      <c r="I269" s="35">
        <f>J269-0</f>
        <v>0</v>
      </c>
      <c r="J269" s="35">
        <v>0</v>
      </c>
      <c r="K269" s="37">
        <f t="shared" si="35"/>
        <v>0</v>
      </c>
      <c r="L269" s="45">
        <f t="shared" si="31"/>
        <v>100000</v>
      </c>
      <c r="M269" s="38">
        <f t="shared" si="36"/>
        <v>0</v>
      </c>
    </row>
    <row r="270" spans="1:13" ht="15.75">
      <c r="A270" s="26" t="s">
        <v>36</v>
      </c>
      <c r="B270" s="63" t="s">
        <v>37</v>
      </c>
      <c r="C270" s="32">
        <f>SUM(C271:C272)</f>
        <v>577800000</v>
      </c>
      <c r="D270" s="32">
        <f>SUM(D271:D272)</f>
        <v>544300000</v>
      </c>
      <c r="E270" s="32">
        <f>SUM(E271:E272)</f>
        <v>115484746</v>
      </c>
      <c r="F270" s="32">
        <f>SUM(F271:F272)</f>
        <v>536616593</v>
      </c>
      <c r="G270" s="60">
        <f t="shared" si="34"/>
        <v>0.8015059099558226</v>
      </c>
      <c r="H270" s="32">
        <f t="shared" si="32"/>
        <v>7683407</v>
      </c>
      <c r="I270" s="32">
        <f>SUM(I271:I272)</f>
        <v>118094327</v>
      </c>
      <c r="J270" s="32">
        <f>SUM(J271:J272)</f>
        <v>536616593</v>
      </c>
      <c r="K270" s="33">
        <f t="shared" si="35"/>
        <v>0.8062487680088241</v>
      </c>
      <c r="L270" s="59">
        <f t="shared" si="31"/>
        <v>7683407</v>
      </c>
      <c r="M270" s="34">
        <f>SUM(M271:M272)</f>
        <v>0</v>
      </c>
    </row>
    <row r="271" spans="1:13" ht="15.75">
      <c r="A271" s="15" t="s">
        <v>38</v>
      </c>
      <c r="B271" s="51" t="s">
        <v>40</v>
      </c>
      <c r="C271" s="35">
        <v>9300000</v>
      </c>
      <c r="D271" s="35">
        <v>7800000</v>
      </c>
      <c r="E271" s="35">
        <f>F271-6905436</f>
        <v>-723025</v>
      </c>
      <c r="F271" s="35">
        <v>6182411</v>
      </c>
      <c r="G271" s="46">
        <f t="shared" si="34"/>
        <v>0.009234226110253521</v>
      </c>
      <c r="H271" s="35">
        <f t="shared" si="32"/>
        <v>1617589</v>
      </c>
      <c r="I271" s="35">
        <f>J271-4295855</f>
        <v>1886556</v>
      </c>
      <c r="J271" s="35">
        <v>6182411</v>
      </c>
      <c r="K271" s="37">
        <f t="shared" si="35"/>
        <v>0.009288869030693954</v>
      </c>
      <c r="L271" s="45">
        <f t="shared" si="31"/>
        <v>1617589</v>
      </c>
      <c r="M271" s="38">
        <f t="shared" si="36"/>
        <v>0</v>
      </c>
    </row>
    <row r="272" spans="1:13" ht="15.75">
      <c r="A272" s="15" t="s">
        <v>28</v>
      </c>
      <c r="B272" s="51" t="s">
        <v>33</v>
      </c>
      <c r="C272" s="35">
        <v>568500000</v>
      </c>
      <c r="D272" s="35">
        <v>536500000</v>
      </c>
      <c r="E272" s="35">
        <f>F272-414226411</f>
        <v>116207771</v>
      </c>
      <c r="F272" s="35">
        <v>530434182</v>
      </c>
      <c r="G272" s="46">
        <f t="shared" si="34"/>
        <v>0.792271683845569</v>
      </c>
      <c r="H272" s="35">
        <f t="shared" si="32"/>
        <v>6065818</v>
      </c>
      <c r="I272" s="35">
        <f>J272-414226411</f>
        <v>116207771</v>
      </c>
      <c r="J272" s="35">
        <v>530434182</v>
      </c>
      <c r="K272" s="37">
        <f t="shared" si="35"/>
        <v>0.7969598989781301</v>
      </c>
      <c r="L272" s="45">
        <f t="shared" si="31"/>
        <v>6065818</v>
      </c>
      <c r="M272" s="38">
        <f t="shared" si="36"/>
        <v>0</v>
      </c>
    </row>
    <row r="273" spans="1:13" ht="15.75">
      <c r="A273" s="26" t="s">
        <v>42</v>
      </c>
      <c r="B273" s="63" t="s">
        <v>43</v>
      </c>
      <c r="C273" s="32">
        <f>SUM(C274:C276)</f>
        <v>387823273</v>
      </c>
      <c r="D273" s="32">
        <f>SUM(D274:D276)</f>
        <v>486568562</v>
      </c>
      <c r="E273" s="32">
        <f>SUM(E274:E276)</f>
        <v>19906653</v>
      </c>
      <c r="F273" s="32">
        <f>SUM(F274:F276)</f>
        <v>476645980</v>
      </c>
      <c r="G273" s="60">
        <f t="shared" si="34"/>
        <v>0.7119320850495668</v>
      </c>
      <c r="H273" s="32">
        <f>D273-F273</f>
        <v>9922582</v>
      </c>
      <c r="I273" s="32">
        <f>SUM(I274+I275+I276)</f>
        <v>86238395</v>
      </c>
      <c r="J273" s="32">
        <f>SUM(J274+J275+J276)</f>
        <v>468140736</v>
      </c>
      <c r="K273" s="33">
        <f t="shared" si="35"/>
        <v>0.7033660467795937</v>
      </c>
      <c r="L273" s="59">
        <f t="shared" si="31"/>
        <v>18427826</v>
      </c>
      <c r="M273" s="34">
        <f>SUM(M274:M276)</f>
        <v>8505244</v>
      </c>
    </row>
    <row r="274" spans="1:13" ht="15.75">
      <c r="A274" s="15" t="s">
        <v>229</v>
      </c>
      <c r="B274" s="51" t="s">
        <v>230</v>
      </c>
      <c r="C274" s="35">
        <v>60000</v>
      </c>
      <c r="D274" s="35">
        <v>60000</v>
      </c>
      <c r="E274" s="35">
        <f>F274-28252</f>
        <v>495</v>
      </c>
      <c r="F274" s="35">
        <v>28747</v>
      </c>
      <c r="G274" s="46">
        <f t="shared" si="34"/>
        <v>4.293734240435616E-05</v>
      </c>
      <c r="H274" s="35">
        <f>D274-F274</f>
        <v>31253</v>
      </c>
      <c r="I274" s="35">
        <f>J274-25028</f>
        <v>3224</v>
      </c>
      <c r="J274" s="35">
        <v>28252</v>
      </c>
      <c r="K274" s="37">
        <f t="shared" si="35"/>
        <v>4.2447700072862455E-05</v>
      </c>
      <c r="L274" s="45">
        <f t="shared" si="31"/>
        <v>31748</v>
      </c>
      <c r="M274" s="38">
        <f t="shared" si="36"/>
        <v>495</v>
      </c>
    </row>
    <row r="275" spans="1:13" ht="15.75">
      <c r="A275" s="15" t="s">
        <v>28</v>
      </c>
      <c r="B275" s="51" t="s">
        <v>33</v>
      </c>
      <c r="C275" s="35">
        <v>387663273</v>
      </c>
      <c r="D275" s="35">
        <v>485408562</v>
      </c>
      <c r="E275" s="35">
        <f>F275-456711075</f>
        <v>19906158</v>
      </c>
      <c r="F275" s="35">
        <v>476617233</v>
      </c>
      <c r="G275" s="46">
        <f t="shared" si="34"/>
        <v>0.7118891477071625</v>
      </c>
      <c r="H275" s="35">
        <f t="shared" si="32"/>
        <v>8791329</v>
      </c>
      <c r="I275" s="35">
        <f>J275-381877313</f>
        <v>86235171</v>
      </c>
      <c r="J275" s="35">
        <v>468112484</v>
      </c>
      <c r="K275" s="37">
        <f t="shared" si="35"/>
        <v>0.7033235990795208</v>
      </c>
      <c r="L275" s="45">
        <f t="shared" si="31"/>
        <v>17296078</v>
      </c>
      <c r="M275" s="38">
        <f t="shared" si="36"/>
        <v>8504749</v>
      </c>
    </row>
    <row r="276" spans="1:13" ht="15.75">
      <c r="A276" s="15" t="s">
        <v>29</v>
      </c>
      <c r="B276" s="51" t="s">
        <v>269</v>
      </c>
      <c r="C276" s="35">
        <v>100000</v>
      </c>
      <c r="D276" s="35">
        <v>1100000</v>
      </c>
      <c r="E276" s="35">
        <f>F276-0</f>
        <v>0</v>
      </c>
      <c r="F276" s="35">
        <v>0</v>
      </c>
      <c r="G276" s="46">
        <f t="shared" si="34"/>
        <v>0</v>
      </c>
      <c r="H276" s="35">
        <f t="shared" si="32"/>
        <v>1100000</v>
      </c>
      <c r="I276" s="35">
        <f>J276-0</f>
        <v>0</v>
      </c>
      <c r="J276" s="35">
        <v>0</v>
      </c>
      <c r="K276" s="37">
        <f t="shared" si="35"/>
        <v>0</v>
      </c>
      <c r="L276" s="45">
        <f t="shared" si="31"/>
        <v>1100000</v>
      </c>
      <c r="M276" s="38">
        <f t="shared" si="36"/>
        <v>0</v>
      </c>
    </row>
    <row r="277" spans="1:13" ht="15.75">
      <c r="A277" s="26" t="s">
        <v>46</v>
      </c>
      <c r="B277" s="63" t="s">
        <v>47</v>
      </c>
      <c r="C277" s="32">
        <f>SUM(C278:C280)</f>
        <v>135464454</v>
      </c>
      <c r="D277" s="32">
        <f>SUM(D278:D280)</f>
        <v>163197492</v>
      </c>
      <c r="E277" s="32">
        <f>SUM(E278:E280)</f>
        <v>23791911</v>
      </c>
      <c r="F277" s="32">
        <f>SUM(F278:F280)</f>
        <v>145296496</v>
      </c>
      <c r="G277" s="60">
        <f t="shared" si="34"/>
        <v>0.2170190071626662</v>
      </c>
      <c r="H277" s="32">
        <f t="shared" si="32"/>
        <v>17900996</v>
      </c>
      <c r="I277" s="32">
        <f>SUM(I278:I280)</f>
        <v>33627432</v>
      </c>
      <c r="J277" s="32">
        <f>SUM(J278:J280)</f>
        <v>144840526</v>
      </c>
      <c r="K277" s="33">
        <f t="shared" si="35"/>
        <v>0.2176181228247075</v>
      </c>
      <c r="L277" s="59">
        <f t="shared" si="31"/>
        <v>18356966</v>
      </c>
      <c r="M277" s="34">
        <f>SUM(M278:M280)</f>
        <v>455970</v>
      </c>
    </row>
    <row r="278" spans="1:13" ht="15.75">
      <c r="A278" s="15" t="s">
        <v>28</v>
      </c>
      <c r="B278" s="51" t="s">
        <v>33</v>
      </c>
      <c r="C278" s="35">
        <v>135464454</v>
      </c>
      <c r="D278" s="35">
        <v>163193252</v>
      </c>
      <c r="E278" s="35">
        <f>F278-121500750</f>
        <v>23794607</v>
      </c>
      <c r="F278" s="35">
        <v>145295357</v>
      </c>
      <c r="G278" s="46">
        <f t="shared" si="34"/>
        <v>0.21701730591964957</v>
      </c>
      <c r="H278" s="35">
        <f t="shared" si="32"/>
        <v>17897895</v>
      </c>
      <c r="I278" s="35">
        <f>J278-111212034</f>
        <v>33627353</v>
      </c>
      <c r="J278" s="35">
        <v>144839387</v>
      </c>
      <c r="K278" s="37">
        <f t="shared" si="35"/>
        <v>0.21761641151469818</v>
      </c>
      <c r="L278" s="45">
        <f t="shared" si="31"/>
        <v>18353865</v>
      </c>
      <c r="M278" s="38">
        <f t="shared" si="36"/>
        <v>455970</v>
      </c>
    </row>
    <row r="279" spans="1:13" ht="15.75">
      <c r="A279" s="15" t="s">
        <v>39</v>
      </c>
      <c r="B279" s="51" t="s">
        <v>41</v>
      </c>
      <c r="C279" s="35">
        <v>0</v>
      </c>
      <c r="D279" s="35">
        <v>3835</v>
      </c>
      <c r="E279" s="35">
        <f>F279-3835</f>
        <v>-2696</v>
      </c>
      <c r="F279" s="35">
        <v>1139</v>
      </c>
      <c r="G279" s="46">
        <f t="shared" si="34"/>
        <v>1.7012430166125741E-06</v>
      </c>
      <c r="H279" s="35">
        <f t="shared" si="32"/>
        <v>2696</v>
      </c>
      <c r="I279" s="35">
        <f>J279-1060</f>
        <v>79</v>
      </c>
      <c r="J279" s="35">
        <v>1139</v>
      </c>
      <c r="K279" s="37">
        <f t="shared" si="35"/>
        <v>1.7113100093087334E-06</v>
      </c>
      <c r="L279" s="45">
        <f t="shared" si="31"/>
        <v>2696</v>
      </c>
      <c r="M279" s="38">
        <f t="shared" si="36"/>
        <v>0</v>
      </c>
    </row>
    <row r="280" spans="1:13" ht="15.75">
      <c r="A280" s="15" t="s">
        <v>53</v>
      </c>
      <c r="B280" s="51" t="s">
        <v>60</v>
      </c>
      <c r="C280" s="35">
        <v>0</v>
      </c>
      <c r="D280" s="35">
        <v>405</v>
      </c>
      <c r="E280" s="35">
        <f>F280-0</f>
        <v>0</v>
      </c>
      <c r="F280" s="35">
        <v>0</v>
      </c>
      <c r="G280" s="46">
        <f t="shared" si="34"/>
        <v>0</v>
      </c>
      <c r="H280" s="35">
        <f t="shared" si="32"/>
        <v>405</v>
      </c>
      <c r="I280" s="35">
        <f>J280-0</f>
        <v>0</v>
      </c>
      <c r="J280" s="35">
        <v>0</v>
      </c>
      <c r="K280" s="37">
        <f t="shared" si="35"/>
        <v>0</v>
      </c>
      <c r="L280" s="45">
        <f t="shared" si="31"/>
        <v>405</v>
      </c>
      <c r="M280" s="38">
        <f t="shared" si="36"/>
        <v>0</v>
      </c>
    </row>
    <row r="281" spans="1:13" ht="15.75">
      <c r="A281" s="26" t="s">
        <v>63</v>
      </c>
      <c r="B281" s="63" t="s">
        <v>62</v>
      </c>
      <c r="C281" s="32">
        <f>SUM(C282:C285)</f>
        <v>1856647143</v>
      </c>
      <c r="D281" s="32">
        <f>SUM(D282:D285)</f>
        <v>2075641411</v>
      </c>
      <c r="E281" s="32">
        <f>SUM(E282:E285)</f>
        <v>389821134</v>
      </c>
      <c r="F281" s="32">
        <f>SUM(F282:F285)</f>
        <v>1853313979</v>
      </c>
      <c r="G281" s="60">
        <f t="shared" si="34"/>
        <v>2.768162830872882</v>
      </c>
      <c r="H281" s="32">
        <f t="shared" si="32"/>
        <v>222327432</v>
      </c>
      <c r="I281" s="32">
        <f>SUM(I282:I285)</f>
        <v>393788101</v>
      </c>
      <c r="J281" s="32">
        <f>SUM(J282:J285)</f>
        <v>1852765369</v>
      </c>
      <c r="K281" s="33">
        <f t="shared" si="35"/>
        <v>2.7837189823268558</v>
      </c>
      <c r="L281" s="59">
        <f t="shared" si="31"/>
        <v>222876042</v>
      </c>
      <c r="M281" s="34">
        <f>SUM(M282:M285)</f>
        <v>548610</v>
      </c>
    </row>
    <row r="282" spans="1:13" ht="15.75">
      <c r="A282" s="15" t="s">
        <v>28</v>
      </c>
      <c r="B282" s="51" t="s">
        <v>33</v>
      </c>
      <c r="C282" s="35">
        <v>1763567363</v>
      </c>
      <c r="D282" s="35">
        <v>1944797619</v>
      </c>
      <c r="E282" s="35">
        <f>F282-1384819116</f>
        <v>358143585</v>
      </c>
      <c r="F282" s="35">
        <v>1742962701</v>
      </c>
      <c r="G282" s="46">
        <f t="shared" si="34"/>
        <v>2.6033390020126776</v>
      </c>
      <c r="H282" s="35">
        <f t="shared" si="32"/>
        <v>201834918</v>
      </c>
      <c r="I282" s="35">
        <f>J282-1380793198</f>
        <v>361620893</v>
      </c>
      <c r="J282" s="35">
        <v>1742414091</v>
      </c>
      <c r="K282" s="37">
        <f t="shared" si="35"/>
        <v>2.6179198193932205</v>
      </c>
      <c r="L282" s="45">
        <f t="shared" si="31"/>
        <v>202383528</v>
      </c>
      <c r="M282" s="38">
        <f t="shared" si="36"/>
        <v>548610</v>
      </c>
    </row>
    <row r="283" spans="1:13" ht="15.75">
      <c r="A283" s="15" t="s">
        <v>49</v>
      </c>
      <c r="B283" s="51" t="s">
        <v>56</v>
      </c>
      <c r="C283" s="35">
        <v>89079780</v>
      </c>
      <c r="D283" s="35">
        <v>96794780</v>
      </c>
      <c r="E283" s="35">
        <f>F283-76315917</f>
        <v>-15</v>
      </c>
      <c r="F283" s="35">
        <v>76315902</v>
      </c>
      <c r="G283" s="46">
        <f t="shared" si="34"/>
        <v>0.11398761662334467</v>
      </c>
      <c r="H283" s="35">
        <f t="shared" si="32"/>
        <v>20478878</v>
      </c>
      <c r="I283" s="35">
        <f>J283-76303747</f>
        <v>12155</v>
      </c>
      <c r="J283" s="35">
        <v>76315902</v>
      </c>
      <c r="K283" s="37">
        <f t="shared" si="35"/>
        <v>0.11466213078316452</v>
      </c>
      <c r="L283" s="45">
        <f t="shared" si="31"/>
        <v>20478878</v>
      </c>
      <c r="M283" s="38">
        <f t="shared" si="36"/>
        <v>0</v>
      </c>
    </row>
    <row r="284" spans="1:13" ht="15.75">
      <c r="A284" s="15" t="s">
        <v>64</v>
      </c>
      <c r="B284" s="51" t="s">
        <v>72</v>
      </c>
      <c r="C284" s="35">
        <v>0</v>
      </c>
      <c r="D284" s="35">
        <v>31692525</v>
      </c>
      <c r="E284" s="35">
        <f>F284-1060</f>
        <v>31691200</v>
      </c>
      <c r="F284" s="35">
        <v>31692260</v>
      </c>
      <c r="G284" s="46">
        <f t="shared" si="34"/>
        <v>0.047336467081360856</v>
      </c>
      <c r="H284" s="35">
        <f t="shared" si="32"/>
        <v>265</v>
      </c>
      <c r="I284" s="35">
        <f>J284-795</f>
        <v>31691465</v>
      </c>
      <c r="J284" s="35">
        <v>31692260</v>
      </c>
      <c r="K284" s="37">
        <f t="shared" si="35"/>
        <v>0.047616577485175414</v>
      </c>
      <c r="L284" s="45">
        <f t="shared" si="31"/>
        <v>265</v>
      </c>
      <c r="M284" s="38">
        <f t="shared" si="36"/>
        <v>0</v>
      </c>
    </row>
    <row r="285" spans="1:13" ht="15.75">
      <c r="A285" s="15" t="s">
        <v>65</v>
      </c>
      <c r="B285" s="51" t="s">
        <v>73</v>
      </c>
      <c r="C285" s="35">
        <v>4000000</v>
      </c>
      <c r="D285" s="35">
        <v>2356487</v>
      </c>
      <c r="E285" s="35">
        <f>F285-2356752</f>
        <v>-13636</v>
      </c>
      <c r="F285" s="35">
        <v>2343116</v>
      </c>
      <c r="G285" s="46">
        <f t="shared" si="34"/>
        <v>0.003499745155498848</v>
      </c>
      <c r="H285" s="35">
        <f t="shared" si="32"/>
        <v>13371</v>
      </c>
      <c r="I285" s="35">
        <f>J285-1879528</f>
        <v>463588</v>
      </c>
      <c r="J285" s="35">
        <v>2343116</v>
      </c>
      <c r="K285" s="37">
        <f t="shared" si="35"/>
        <v>0.0035204546652953836</v>
      </c>
      <c r="L285" s="45">
        <f t="shared" si="31"/>
        <v>13371</v>
      </c>
      <c r="M285" s="38">
        <f t="shared" si="36"/>
        <v>0</v>
      </c>
    </row>
    <row r="286" spans="1:13" ht="15.75">
      <c r="A286" s="26" t="s">
        <v>81</v>
      </c>
      <c r="B286" s="63" t="s">
        <v>80</v>
      </c>
      <c r="C286" s="32">
        <f>SUM(C287:C289)</f>
        <v>7874928</v>
      </c>
      <c r="D286" s="32">
        <f>SUM(D287:D289)</f>
        <v>7908771</v>
      </c>
      <c r="E286" s="32">
        <f>SUM(E287:E289)</f>
        <v>1265241</v>
      </c>
      <c r="F286" s="32">
        <f>SUM(F287:F289)</f>
        <v>6524164</v>
      </c>
      <c r="G286" s="60">
        <f t="shared" si="34"/>
        <v>0.009744678177555012</v>
      </c>
      <c r="H286" s="32">
        <f t="shared" si="32"/>
        <v>1384607</v>
      </c>
      <c r="I286" s="32">
        <f>SUM(I287:I289)</f>
        <v>1550061</v>
      </c>
      <c r="J286" s="32">
        <f>SUM(J287:J289)</f>
        <v>6524164</v>
      </c>
      <c r="K286" s="33">
        <f t="shared" si="35"/>
        <v>0.009802341664242056</v>
      </c>
      <c r="L286" s="59">
        <f t="shared" si="31"/>
        <v>1384607</v>
      </c>
      <c r="M286" s="34">
        <f>SUM(M287:M289)</f>
        <v>0</v>
      </c>
    </row>
    <row r="287" spans="1:13" ht="15.75">
      <c r="A287" s="15" t="s">
        <v>28</v>
      </c>
      <c r="B287" s="51" t="s">
        <v>33</v>
      </c>
      <c r="C287" s="35">
        <v>7124928</v>
      </c>
      <c r="D287" s="35">
        <v>7092303</v>
      </c>
      <c r="E287" s="35">
        <f>F287-4774237</f>
        <v>1308122</v>
      </c>
      <c r="F287" s="35">
        <v>6082359</v>
      </c>
      <c r="G287" s="46">
        <f t="shared" si="34"/>
        <v>0.009084785577946126</v>
      </c>
      <c r="H287" s="35">
        <f t="shared" si="32"/>
        <v>1009944</v>
      </c>
      <c r="I287" s="35">
        <f>J287-4657182</f>
        <v>1425177</v>
      </c>
      <c r="J287" s="35">
        <v>6082359</v>
      </c>
      <c r="K287" s="37">
        <f t="shared" si="35"/>
        <v>0.009138544193950007</v>
      </c>
      <c r="L287" s="45">
        <f t="shared" si="31"/>
        <v>1009944</v>
      </c>
      <c r="M287" s="38">
        <f t="shared" si="36"/>
        <v>0</v>
      </c>
    </row>
    <row r="288" spans="1:13" ht="15.75">
      <c r="A288" s="15" t="s">
        <v>82</v>
      </c>
      <c r="B288" s="51" t="s">
        <v>84</v>
      </c>
      <c r="C288" s="35">
        <v>0</v>
      </c>
      <c r="D288" s="35">
        <v>75000</v>
      </c>
      <c r="E288" s="35">
        <f>F288-58868</f>
        <v>-15392</v>
      </c>
      <c r="F288" s="35">
        <v>43476</v>
      </c>
      <c r="G288" s="46"/>
      <c r="H288" s="35">
        <f t="shared" si="32"/>
        <v>31524</v>
      </c>
      <c r="I288" s="35">
        <f>J288</f>
        <v>43476</v>
      </c>
      <c r="J288" s="35">
        <v>43476</v>
      </c>
      <c r="K288" s="37">
        <f t="shared" si="35"/>
        <v>6.532125896813564E-05</v>
      </c>
      <c r="L288" s="45"/>
      <c r="M288" s="38">
        <f t="shared" si="36"/>
        <v>0</v>
      </c>
    </row>
    <row r="289" spans="1:13" ht="15.75">
      <c r="A289" s="15" t="s">
        <v>83</v>
      </c>
      <c r="B289" s="51" t="s">
        <v>270</v>
      </c>
      <c r="C289" s="35">
        <v>750000</v>
      </c>
      <c r="D289" s="35">
        <v>741468</v>
      </c>
      <c r="E289" s="35">
        <f>F289-425818</f>
        <v>-27489</v>
      </c>
      <c r="F289" s="35">
        <v>398329</v>
      </c>
      <c r="G289" s="46">
        <f aca="true" t="shared" si="37" ref="G289:G296">(F289/$F$235)*100</f>
        <v>0.0005949556010221861</v>
      </c>
      <c r="H289" s="35">
        <f t="shared" si="32"/>
        <v>343139</v>
      </c>
      <c r="I289" s="35">
        <f>J289-316921</f>
        <v>81408</v>
      </c>
      <c r="J289" s="35">
        <v>398329</v>
      </c>
      <c r="K289" s="37">
        <f aca="true" t="shared" si="38" ref="K289:K296">(J289/$J$235)*100</f>
        <v>0.0005984762113239143</v>
      </c>
      <c r="L289" s="45">
        <f t="shared" si="31"/>
        <v>343139</v>
      </c>
      <c r="M289" s="38">
        <f t="shared" si="36"/>
        <v>0</v>
      </c>
    </row>
    <row r="290" spans="1:13" ht="15.75">
      <c r="A290" s="26" t="s">
        <v>87</v>
      </c>
      <c r="B290" s="63" t="s">
        <v>86</v>
      </c>
      <c r="C290" s="32">
        <f>C291</f>
        <v>182083740</v>
      </c>
      <c r="D290" s="32">
        <f>D291</f>
        <v>153689037</v>
      </c>
      <c r="E290" s="32">
        <f>E291</f>
        <v>1184835</v>
      </c>
      <c r="F290" s="32">
        <f>F291</f>
        <v>142397818</v>
      </c>
      <c r="G290" s="60">
        <f t="shared" si="37"/>
        <v>0.2126894586947922</v>
      </c>
      <c r="H290" s="32">
        <f t="shared" si="32"/>
        <v>11291219</v>
      </c>
      <c r="I290" s="32">
        <f>I291</f>
        <v>1454740</v>
      </c>
      <c r="J290" s="32">
        <f>J291</f>
        <v>141818370</v>
      </c>
      <c r="K290" s="33">
        <f t="shared" si="38"/>
        <v>0.2130774329103155</v>
      </c>
      <c r="L290" s="59">
        <f t="shared" si="31"/>
        <v>11870667</v>
      </c>
      <c r="M290" s="34">
        <f>M291</f>
        <v>579448</v>
      </c>
    </row>
    <row r="291" spans="1:13" ht="15.75">
      <c r="A291" s="15" t="s">
        <v>28</v>
      </c>
      <c r="B291" s="51" t="s">
        <v>33</v>
      </c>
      <c r="C291" s="35">
        <v>182083740</v>
      </c>
      <c r="D291" s="35">
        <v>153689037</v>
      </c>
      <c r="E291" s="35">
        <f>F291-141212983</f>
        <v>1184835</v>
      </c>
      <c r="F291" s="35">
        <v>142397818</v>
      </c>
      <c r="G291" s="46">
        <f t="shared" si="37"/>
        <v>0.2126894586947922</v>
      </c>
      <c r="H291" s="35">
        <f t="shared" si="32"/>
        <v>11291219</v>
      </c>
      <c r="I291" s="35">
        <f>J291-140363630</f>
        <v>1454740</v>
      </c>
      <c r="J291" s="35">
        <v>141818370</v>
      </c>
      <c r="K291" s="37">
        <f t="shared" si="38"/>
        <v>0.2130774329103155</v>
      </c>
      <c r="L291" s="45">
        <f t="shared" si="31"/>
        <v>11870667</v>
      </c>
      <c r="M291" s="38">
        <f t="shared" si="36"/>
        <v>579448</v>
      </c>
    </row>
    <row r="292" spans="1:13" ht="15.75">
      <c r="A292" s="26" t="s">
        <v>90</v>
      </c>
      <c r="B292" s="63" t="s">
        <v>91</v>
      </c>
      <c r="C292" s="32">
        <f>SUM(C293:C294)</f>
        <v>814177729</v>
      </c>
      <c r="D292" s="32">
        <f>SUM(D293:D294)</f>
        <v>498069640</v>
      </c>
      <c r="E292" s="32">
        <f>SUM(E293:E294)</f>
        <v>50393260</v>
      </c>
      <c r="F292" s="32">
        <f>SUM(F293:F294)</f>
        <v>478757061</v>
      </c>
      <c r="G292" s="60">
        <f t="shared" si="37"/>
        <v>0.7150852560844689</v>
      </c>
      <c r="H292" s="32">
        <f>D292-F292</f>
        <v>19312579</v>
      </c>
      <c r="I292" s="32">
        <f>SUM(I293:I294)</f>
        <v>92780988</v>
      </c>
      <c r="J292" s="32">
        <f>SUM(J293:J294)</f>
        <v>478757061</v>
      </c>
      <c r="K292" s="33">
        <f t="shared" si="38"/>
        <v>0.7193167256510375</v>
      </c>
      <c r="L292" s="59">
        <f>D292-J292</f>
        <v>19312579</v>
      </c>
      <c r="M292" s="34">
        <f>SUM(M293:M294)</f>
        <v>0</v>
      </c>
    </row>
    <row r="293" spans="1:13" ht="15.75">
      <c r="A293" s="15" t="s">
        <v>28</v>
      </c>
      <c r="B293" s="51" t="s">
        <v>33</v>
      </c>
      <c r="C293" s="35">
        <v>79606189</v>
      </c>
      <c r="D293" s="35">
        <v>69312171</v>
      </c>
      <c r="E293" s="35">
        <f>F293-49837102</f>
        <v>9697801</v>
      </c>
      <c r="F293" s="35">
        <v>59534903</v>
      </c>
      <c r="G293" s="46">
        <f t="shared" si="37"/>
        <v>0.08892303597318435</v>
      </c>
      <c r="H293" s="35">
        <f t="shared" si="32"/>
        <v>9777268</v>
      </c>
      <c r="I293" s="35">
        <f>J293-45714762</f>
        <v>13820141</v>
      </c>
      <c r="J293" s="35">
        <v>59534903</v>
      </c>
      <c r="K293" s="37">
        <f t="shared" si="38"/>
        <v>0.08944923213970547</v>
      </c>
      <c r="L293" s="45">
        <f t="shared" si="31"/>
        <v>9777268</v>
      </c>
      <c r="M293" s="38">
        <f t="shared" si="36"/>
        <v>0</v>
      </c>
    </row>
    <row r="294" spans="1:13" ht="15.75">
      <c r="A294" s="15" t="s">
        <v>67</v>
      </c>
      <c r="B294" s="51" t="s">
        <v>75</v>
      </c>
      <c r="C294" s="35">
        <v>734571540</v>
      </c>
      <c r="D294" s="35">
        <v>428757469</v>
      </c>
      <c r="E294" s="35">
        <f>F294-378526699</f>
        <v>40695459</v>
      </c>
      <c r="F294" s="35">
        <v>419222158</v>
      </c>
      <c r="G294" s="46">
        <f t="shared" si="37"/>
        <v>0.6261622201112845</v>
      </c>
      <c r="H294" s="35">
        <f t="shared" si="32"/>
        <v>9535311</v>
      </c>
      <c r="I294" s="35">
        <f>J294-340261311</f>
        <v>78960847</v>
      </c>
      <c r="J294" s="35">
        <v>419222158</v>
      </c>
      <c r="K294" s="37">
        <f t="shared" si="38"/>
        <v>0.6298674935113321</v>
      </c>
      <c r="L294" s="45">
        <f t="shared" si="31"/>
        <v>9535311</v>
      </c>
      <c r="M294" s="38">
        <f t="shared" si="36"/>
        <v>0</v>
      </c>
    </row>
    <row r="295" spans="1:13" ht="15.75">
      <c r="A295" s="26" t="s">
        <v>104</v>
      </c>
      <c r="B295" s="63" t="s">
        <v>103</v>
      </c>
      <c r="C295" s="32">
        <f>C296</f>
        <v>468705</v>
      </c>
      <c r="D295" s="32">
        <f>D296</f>
        <v>926585</v>
      </c>
      <c r="E295" s="32">
        <f>E296</f>
        <v>167693</v>
      </c>
      <c r="F295" s="32">
        <f>F296</f>
        <v>667636</v>
      </c>
      <c r="G295" s="60">
        <f t="shared" si="37"/>
        <v>0.0009972002481467535</v>
      </c>
      <c r="H295" s="32">
        <f t="shared" si="32"/>
        <v>258949</v>
      </c>
      <c r="I295" s="32">
        <f>I296</f>
        <v>205702</v>
      </c>
      <c r="J295" s="32">
        <f>J296</f>
        <v>667636</v>
      </c>
      <c r="K295" s="33">
        <f t="shared" si="38"/>
        <v>0.0010031011144643067</v>
      </c>
      <c r="L295" s="59">
        <f t="shared" si="31"/>
        <v>258949</v>
      </c>
      <c r="M295" s="34">
        <f>M296</f>
        <v>0</v>
      </c>
    </row>
    <row r="296" spans="1:13" ht="15.75">
      <c r="A296" s="15" t="s">
        <v>28</v>
      </c>
      <c r="B296" s="51" t="s">
        <v>33</v>
      </c>
      <c r="C296" s="35">
        <v>468705</v>
      </c>
      <c r="D296" s="35">
        <v>926585</v>
      </c>
      <c r="E296" s="35">
        <f>F296-499943</f>
        <v>167693</v>
      </c>
      <c r="F296" s="35">
        <v>667636</v>
      </c>
      <c r="G296" s="46">
        <f t="shared" si="37"/>
        <v>0.0009972002481467535</v>
      </c>
      <c r="H296" s="35">
        <f t="shared" si="32"/>
        <v>258949</v>
      </c>
      <c r="I296" s="35">
        <f>J296-461934</f>
        <v>205702</v>
      </c>
      <c r="J296" s="35">
        <v>667636</v>
      </c>
      <c r="K296" s="37">
        <f t="shared" si="38"/>
        <v>0.0010031011144643067</v>
      </c>
      <c r="L296" s="45">
        <f t="shared" si="31"/>
        <v>258949</v>
      </c>
      <c r="M296" s="38">
        <f t="shared" si="36"/>
        <v>0</v>
      </c>
    </row>
    <row r="297" spans="1:13" ht="15.75">
      <c r="A297" s="26" t="s">
        <v>109</v>
      </c>
      <c r="B297" s="63" t="s">
        <v>110</v>
      </c>
      <c r="C297" s="32">
        <f>SUM(C298:C302)</f>
        <v>809326027</v>
      </c>
      <c r="D297" s="32">
        <f>SUM(D298:D302)</f>
        <v>923857004</v>
      </c>
      <c r="E297" s="32">
        <f>SUM(E298:E302)</f>
        <v>196484390</v>
      </c>
      <c r="F297" s="32">
        <f>SUM(F298:F302)</f>
        <v>899872653</v>
      </c>
      <c r="G297" s="60">
        <f aca="true" t="shared" si="39" ref="G297:G332">(F297/$F$235)*100</f>
        <v>1.3440755634388761</v>
      </c>
      <c r="H297" s="32">
        <f t="shared" si="32"/>
        <v>23984351</v>
      </c>
      <c r="I297" s="32">
        <f>SUM(I298:I302)</f>
        <v>203289296</v>
      </c>
      <c r="J297" s="32">
        <f>SUM(J298:J302)</f>
        <v>899872653</v>
      </c>
      <c r="K297" s="33">
        <f aca="true" t="shared" si="40" ref="K297:K332">(J297/$J$235)*100</f>
        <v>1.352029041424148</v>
      </c>
      <c r="L297" s="59">
        <f t="shared" si="31"/>
        <v>23984351</v>
      </c>
      <c r="M297" s="34">
        <f>SUM(M298:M302)</f>
        <v>0</v>
      </c>
    </row>
    <row r="298" spans="1:13" ht="15.75">
      <c r="A298" s="15" t="s">
        <v>28</v>
      </c>
      <c r="B298" s="51" t="s">
        <v>33</v>
      </c>
      <c r="C298" s="35">
        <v>322747834</v>
      </c>
      <c r="D298" s="35">
        <v>370638423</v>
      </c>
      <c r="E298" s="35">
        <f>F298-303937827</f>
        <v>65328122</v>
      </c>
      <c r="F298" s="35">
        <v>369265949</v>
      </c>
      <c r="G298" s="46">
        <f t="shared" si="39"/>
        <v>0.5515461957937356</v>
      </c>
      <c r="H298" s="35">
        <f t="shared" si="32"/>
        <v>1372474</v>
      </c>
      <c r="I298" s="35">
        <f>J298-297132921</f>
        <v>72133028</v>
      </c>
      <c r="J298" s="35">
        <v>369265949</v>
      </c>
      <c r="K298" s="37">
        <f t="shared" si="40"/>
        <v>0.554809933819656</v>
      </c>
      <c r="L298" s="45">
        <f t="shared" si="31"/>
        <v>1372474</v>
      </c>
      <c r="M298" s="38">
        <f t="shared" si="36"/>
        <v>0</v>
      </c>
    </row>
    <row r="299" spans="1:13" ht="15.75">
      <c r="A299" s="15" t="s">
        <v>82</v>
      </c>
      <c r="B299" s="51" t="s">
        <v>84</v>
      </c>
      <c r="C299" s="35">
        <v>30000</v>
      </c>
      <c r="D299" s="35">
        <v>0</v>
      </c>
      <c r="E299" s="35">
        <f>F299-0</f>
        <v>0</v>
      </c>
      <c r="F299" s="35">
        <v>0</v>
      </c>
      <c r="G299" s="46">
        <f t="shared" si="39"/>
        <v>0</v>
      </c>
      <c r="H299" s="35">
        <f>D299-F299</f>
        <v>0</v>
      </c>
      <c r="I299" s="35">
        <f>J299-0</f>
        <v>0</v>
      </c>
      <c r="J299" s="35">
        <v>0</v>
      </c>
      <c r="K299" s="37">
        <f t="shared" si="40"/>
        <v>0</v>
      </c>
      <c r="L299" s="45">
        <f>D299-J299</f>
        <v>0</v>
      </c>
      <c r="M299" s="38">
        <f t="shared" si="36"/>
        <v>0</v>
      </c>
    </row>
    <row r="300" spans="1:13" ht="15.75">
      <c r="A300" s="15" t="s">
        <v>111</v>
      </c>
      <c r="B300" s="51" t="s">
        <v>118</v>
      </c>
      <c r="C300" s="35">
        <v>135953161</v>
      </c>
      <c r="D300" s="35">
        <v>159093680</v>
      </c>
      <c r="E300" s="35">
        <f>F300-109685614</f>
        <v>39475902</v>
      </c>
      <c r="F300" s="35">
        <v>149161516</v>
      </c>
      <c r="G300" s="46">
        <f t="shared" si="39"/>
        <v>0.2227919117140867</v>
      </c>
      <c r="H300" s="35">
        <f>D300-F300</f>
        <v>9932164</v>
      </c>
      <c r="I300" s="35">
        <f>J300-109685614</f>
        <v>39475902</v>
      </c>
      <c r="J300" s="35">
        <v>149161516</v>
      </c>
      <c r="K300" s="37">
        <f t="shared" si="40"/>
        <v>0.22411026807240103</v>
      </c>
      <c r="L300" s="45">
        <f>D300-J300</f>
        <v>9932164</v>
      </c>
      <c r="M300" s="38">
        <f t="shared" si="36"/>
        <v>0</v>
      </c>
    </row>
    <row r="301" spans="1:13" ht="15.75">
      <c r="A301" s="15" t="s">
        <v>112</v>
      </c>
      <c r="B301" s="51" t="s">
        <v>119</v>
      </c>
      <c r="C301" s="35">
        <v>350595032</v>
      </c>
      <c r="D301" s="35">
        <v>394120554</v>
      </c>
      <c r="E301" s="35">
        <f>F301-289764743</f>
        <v>91680366</v>
      </c>
      <c r="F301" s="35">
        <v>381445109</v>
      </c>
      <c r="G301" s="46">
        <f t="shared" si="39"/>
        <v>0.5697373379343917</v>
      </c>
      <c r="H301" s="35">
        <f t="shared" si="32"/>
        <v>12675445</v>
      </c>
      <c r="I301" s="35">
        <f>J301-289764743</f>
        <v>91680366</v>
      </c>
      <c r="J301" s="35">
        <v>381445109</v>
      </c>
      <c r="K301" s="37">
        <f t="shared" si="40"/>
        <v>0.5731087208371912</v>
      </c>
      <c r="L301" s="45">
        <f t="shared" si="31"/>
        <v>12675445</v>
      </c>
      <c r="M301" s="38">
        <f t="shared" si="36"/>
        <v>0</v>
      </c>
    </row>
    <row r="302" spans="1:13" ht="15.75">
      <c r="A302" s="15" t="s">
        <v>114</v>
      </c>
      <c r="B302" s="51" t="s">
        <v>121</v>
      </c>
      <c r="C302" s="35">
        <v>0</v>
      </c>
      <c r="D302" s="35">
        <v>4347</v>
      </c>
      <c r="E302" s="35">
        <f>F302-79</f>
        <v>0</v>
      </c>
      <c r="F302" s="35">
        <v>79</v>
      </c>
      <c r="G302" s="46">
        <f t="shared" si="39"/>
        <v>1.179966622584665E-07</v>
      </c>
      <c r="H302" s="35">
        <f t="shared" si="32"/>
        <v>4268</v>
      </c>
      <c r="I302" s="35">
        <f>J302-79</f>
        <v>0</v>
      </c>
      <c r="J302" s="35">
        <v>79</v>
      </c>
      <c r="K302" s="37">
        <f t="shared" si="40"/>
        <v>1.186948996798858E-07</v>
      </c>
      <c r="L302" s="45">
        <f t="shared" si="31"/>
        <v>4268</v>
      </c>
      <c r="M302" s="38">
        <f t="shared" si="36"/>
        <v>0</v>
      </c>
    </row>
    <row r="303" spans="1:13" ht="15.75">
      <c r="A303" s="26" t="s">
        <v>125</v>
      </c>
      <c r="B303" s="63" t="s">
        <v>126</v>
      </c>
      <c r="C303" s="32">
        <f>C304</f>
        <v>10278020</v>
      </c>
      <c r="D303" s="32">
        <f>D304</f>
        <v>12318739</v>
      </c>
      <c r="E303" s="32">
        <f>E304</f>
        <v>2238040</v>
      </c>
      <c r="F303" s="32">
        <f>F304</f>
        <v>10069069</v>
      </c>
      <c r="G303" s="60">
        <f t="shared" si="39"/>
        <v>0.015039449798103736</v>
      </c>
      <c r="H303" s="32">
        <f t="shared" si="32"/>
        <v>2249670</v>
      </c>
      <c r="I303" s="32">
        <f>I304</f>
        <v>2256577</v>
      </c>
      <c r="J303" s="32">
        <f>J304</f>
        <v>10069069</v>
      </c>
      <c r="K303" s="33">
        <f t="shared" si="40"/>
        <v>0.01512844474461833</v>
      </c>
      <c r="L303" s="59">
        <f>D303-J303</f>
        <v>2249670</v>
      </c>
      <c r="M303" s="34">
        <f>M304</f>
        <v>0</v>
      </c>
    </row>
    <row r="304" spans="1:13" ht="15.75">
      <c r="A304" s="15" t="s">
        <v>28</v>
      </c>
      <c r="B304" s="51" t="s">
        <v>33</v>
      </c>
      <c r="C304" s="35">
        <v>10278020</v>
      </c>
      <c r="D304" s="35">
        <v>12318739</v>
      </c>
      <c r="E304" s="35">
        <f>F304-7831029</f>
        <v>2238040</v>
      </c>
      <c r="F304" s="35">
        <v>10069069</v>
      </c>
      <c r="G304" s="46">
        <f t="shared" si="39"/>
        <v>0.015039449798103736</v>
      </c>
      <c r="H304" s="35">
        <f t="shared" si="32"/>
        <v>2249670</v>
      </c>
      <c r="I304" s="35">
        <f>J304-7812492</f>
        <v>2256577</v>
      </c>
      <c r="J304" s="35">
        <v>10069069</v>
      </c>
      <c r="K304" s="37">
        <f t="shared" si="40"/>
        <v>0.01512844474461833</v>
      </c>
      <c r="L304" s="45">
        <f>D304-J304</f>
        <v>2249670</v>
      </c>
      <c r="M304" s="38">
        <f t="shared" si="36"/>
        <v>0</v>
      </c>
    </row>
    <row r="305" spans="1:13" ht="15.75">
      <c r="A305" s="61" t="s">
        <v>129</v>
      </c>
      <c r="B305" s="63" t="s">
        <v>130</v>
      </c>
      <c r="C305" s="32">
        <f>C306</f>
        <v>1210000</v>
      </c>
      <c r="D305" s="32">
        <f>D306</f>
        <v>1697312</v>
      </c>
      <c r="E305" s="32">
        <f>E306</f>
        <v>391002</v>
      </c>
      <c r="F305" s="32">
        <f>F306</f>
        <v>1643696</v>
      </c>
      <c r="G305" s="60">
        <f t="shared" si="39"/>
        <v>0.0024550714147796504</v>
      </c>
      <c r="H305" s="32">
        <f t="shared" si="32"/>
        <v>53616</v>
      </c>
      <c r="I305" s="32">
        <f>I306</f>
        <v>450805</v>
      </c>
      <c r="J305" s="32">
        <f>J306</f>
        <v>1643696</v>
      </c>
      <c r="K305" s="33">
        <f t="shared" si="40"/>
        <v>0.002469599137015564</v>
      </c>
      <c r="L305" s="59">
        <f t="shared" si="31"/>
        <v>53616</v>
      </c>
      <c r="M305" s="34">
        <f>M306</f>
        <v>0</v>
      </c>
    </row>
    <row r="306" spans="1:13" ht="15.75">
      <c r="A306" s="44" t="s">
        <v>28</v>
      </c>
      <c r="B306" s="51" t="s">
        <v>33</v>
      </c>
      <c r="C306" s="35">
        <v>1210000</v>
      </c>
      <c r="D306" s="35">
        <v>1697312</v>
      </c>
      <c r="E306" s="35">
        <f>F306-1252694</f>
        <v>391002</v>
      </c>
      <c r="F306" s="35">
        <v>1643696</v>
      </c>
      <c r="G306" s="46">
        <f t="shared" si="39"/>
        <v>0.0024550714147796504</v>
      </c>
      <c r="H306" s="35">
        <f t="shared" si="32"/>
        <v>53616</v>
      </c>
      <c r="I306" s="35">
        <f>J306-1192891</f>
        <v>450805</v>
      </c>
      <c r="J306" s="35">
        <v>1643696</v>
      </c>
      <c r="K306" s="37">
        <f t="shared" si="40"/>
        <v>0.002469599137015564</v>
      </c>
      <c r="L306" s="45">
        <f t="shared" si="31"/>
        <v>53616</v>
      </c>
      <c r="M306" s="38">
        <f t="shared" si="36"/>
        <v>0</v>
      </c>
    </row>
    <row r="307" spans="1:13" ht="15.75">
      <c r="A307" s="61" t="s">
        <v>133</v>
      </c>
      <c r="B307" s="63" t="s">
        <v>134</v>
      </c>
      <c r="C307" s="32">
        <f>C308</f>
        <v>505340</v>
      </c>
      <c r="D307" s="32">
        <f>D308</f>
        <v>690688</v>
      </c>
      <c r="E307" s="32">
        <f>E308</f>
        <v>118178</v>
      </c>
      <c r="F307" s="32">
        <f>F308</f>
        <v>608616</v>
      </c>
      <c r="G307" s="60">
        <f t="shared" si="39"/>
        <v>0.0009090462860392259</v>
      </c>
      <c r="H307" s="32">
        <f t="shared" si="32"/>
        <v>82072</v>
      </c>
      <c r="I307" s="32">
        <f>I308</f>
        <v>157229</v>
      </c>
      <c r="J307" s="32">
        <f>J308</f>
        <v>608616</v>
      </c>
      <c r="K307" s="33">
        <f t="shared" si="40"/>
        <v>0.0009144255071338402</v>
      </c>
      <c r="L307" s="59">
        <f t="shared" si="31"/>
        <v>82072</v>
      </c>
      <c r="M307" s="34">
        <f>M308</f>
        <v>0</v>
      </c>
    </row>
    <row r="308" spans="1:13" ht="15.75">
      <c r="A308" s="48" t="s">
        <v>28</v>
      </c>
      <c r="B308" s="23" t="s">
        <v>33</v>
      </c>
      <c r="C308" s="35">
        <v>505340</v>
      </c>
      <c r="D308" s="35">
        <v>690688</v>
      </c>
      <c r="E308" s="35">
        <f>F308-490438</f>
        <v>118178</v>
      </c>
      <c r="F308" s="35">
        <v>608616</v>
      </c>
      <c r="G308" s="46">
        <f t="shared" si="39"/>
        <v>0.0009090462860392259</v>
      </c>
      <c r="H308" s="35">
        <f t="shared" si="32"/>
        <v>82072</v>
      </c>
      <c r="I308" s="35">
        <f>J308-451387</f>
        <v>157229</v>
      </c>
      <c r="J308" s="35">
        <v>608616</v>
      </c>
      <c r="K308" s="37">
        <f t="shared" si="40"/>
        <v>0.0009144255071338402</v>
      </c>
      <c r="L308" s="45">
        <f t="shared" si="31"/>
        <v>82072</v>
      </c>
      <c r="M308" s="38">
        <f t="shared" si="36"/>
        <v>0</v>
      </c>
    </row>
    <row r="309" spans="1:13" ht="15.75">
      <c r="A309" s="64" t="s">
        <v>138</v>
      </c>
      <c r="B309" s="62" t="s">
        <v>137</v>
      </c>
      <c r="C309" s="32">
        <f>C310</f>
        <v>1169519</v>
      </c>
      <c r="D309" s="32">
        <f>D310</f>
        <v>228742043</v>
      </c>
      <c r="E309" s="32">
        <f>E310</f>
        <v>228132687</v>
      </c>
      <c r="F309" s="32">
        <f>F310</f>
        <v>228343686</v>
      </c>
      <c r="G309" s="60">
        <f t="shared" si="39"/>
        <v>0.3410606683012067</v>
      </c>
      <c r="H309" s="32">
        <f t="shared" si="32"/>
        <v>398357</v>
      </c>
      <c r="I309" s="32">
        <f>I310</f>
        <v>228132687</v>
      </c>
      <c r="J309" s="32">
        <f>J310</f>
        <v>228343686</v>
      </c>
      <c r="K309" s="33">
        <f t="shared" si="40"/>
        <v>0.3430788721810803</v>
      </c>
      <c r="L309" s="59">
        <f t="shared" si="31"/>
        <v>398357</v>
      </c>
      <c r="M309" s="34">
        <f>M310</f>
        <v>0</v>
      </c>
    </row>
    <row r="310" spans="1:13" ht="15.75">
      <c r="A310" s="48" t="s">
        <v>28</v>
      </c>
      <c r="B310" s="23" t="s">
        <v>33</v>
      </c>
      <c r="C310" s="35">
        <v>1169519</v>
      </c>
      <c r="D310" s="35">
        <v>228742043</v>
      </c>
      <c r="E310" s="35">
        <f>F310-210999</f>
        <v>228132687</v>
      </c>
      <c r="F310" s="35">
        <v>228343686</v>
      </c>
      <c r="G310" s="46">
        <f t="shared" si="39"/>
        <v>0.3410606683012067</v>
      </c>
      <c r="H310" s="35">
        <f t="shared" si="32"/>
        <v>398357</v>
      </c>
      <c r="I310" s="35">
        <f>J310-210999</f>
        <v>228132687</v>
      </c>
      <c r="J310" s="35">
        <v>228343686</v>
      </c>
      <c r="K310" s="37">
        <f t="shared" si="40"/>
        <v>0.3430788721810803</v>
      </c>
      <c r="L310" s="45">
        <f t="shared" si="31"/>
        <v>398357</v>
      </c>
      <c r="M310" s="38">
        <f t="shared" si="36"/>
        <v>0</v>
      </c>
    </row>
    <row r="311" spans="1:13" ht="15.75">
      <c r="A311" s="26" t="s">
        <v>141</v>
      </c>
      <c r="B311" s="18" t="s">
        <v>142</v>
      </c>
      <c r="C311" s="32">
        <f>C312</f>
        <v>0</v>
      </c>
      <c r="D311" s="32">
        <f>D312</f>
        <v>206</v>
      </c>
      <c r="E311" s="32">
        <f>E312</f>
        <v>0</v>
      </c>
      <c r="F311" s="32">
        <f>F312</f>
        <v>0</v>
      </c>
      <c r="G311" s="60">
        <f>(F311/$F$235)*100</f>
        <v>0</v>
      </c>
      <c r="H311" s="32">
        <f>D311-F311</f>
        <v>206</v>
      </c>
      <c r="I311" s="32">
        <f>I312</f>
        <v>0</v>
      </c>
      <c r="J311" s="32">
        <f>J312</f>
        <v>0</v>
      </c>
      <c r="K311" s="33">
        <f t="shared" si="40"/>
        <v>0</v>
      </c>
      <c r="L311" s="59">
        <f t="shared" si="31"/>
        <v>206</v>
      </c>
      <c r="M311" s="34">
        <f>M312</f>
        <v>0</v>
      </c>
    </row>
    <row r="312" spans="1:13" ht="15.75">
      <c r="A312" s="48" t="s">
        <v>143</v>
      </c>
      <c r="B312" s="23" t="s">
        <v>144</v>
      </c>
      <c r="C312" s="35">
        <v>0</v>
      </c>
      <c r="D312" s="35">
        <v>206</v>
      </c>
      <c r="E312" s="35">
        <f>F312-0</f>
        <v>0</v>
      </c>
      <c r="F312" s="35">
        <v>0</v>
      </c>
      <c r="G312" s="46">
        <f>(F312/$F$235)*100</f>
        <v>0</v>
      </c>
      <c r="H312" s="35">
        <f t="shared" si="32"/>
        <v>206</v>
      </c>
      <c r="I312" s="35">
        <f>J312-0</f>
        <v>0</v>
      </c>
      <c r="J312" s="35">
        <v>0</v>
      </c>
      <c r="K312" s="37">
        <f>(J312/$J$235)*100</f>
        <v>0</v>
      </c>
      <c r="L312" s="45">
        <f t="shared" si="31"/>
        <v>206</v>
      </c>
      <c r="M312" s="38">
        <f t="shared" si="36"/>
        <v>0</v>
      </c>
    </row>
    <row r="313" spans="1:13" ht="15.75">
      <c r="A313" s="64" t="s">
        <v>149</v>
      </c>
      <c r="B313" s="62" t="s">
        <v>150</v>
      </c>
      <c r="C313" s="32">
        <f>C314</f>
        <v>17514059</v>
      </c>
      <c r="D313" s="32">
        <f>D314</f>
        <v>17825059</v>
      </c>
      <c r="E313" s="32">
        <f>E314</f>
        <v>2962816</v>
      </c>
      <c r="F313" s="32">
        <f>F314</f>
        <v>13580614</v>
      </c>
      <c r="G313" s="60">
        <f t="shared" si="39"/>
        <v>0.02028439396734939</v>
      </c>
      <c r="H313" s="32">
        <f aca="true" t="shared" si="41" ref="H313:H320">D313-F313</f>
        <v>4244445</v>
      </c>
      <c r="I313" s="32">
        <f>I314</f>
        <v>3104179</v>
      </c>
      <c r="J313" s="32">
        <f>J314</f>
        <v>13573146</v>
      </c>
      <c r="K313" s="33">
        <f t="shared" si="40"/>
        <v>0.02039320509886637</v>
      </c>
      <c r="L313" s="59">
        <f t="shared" si="31"/>
        <v>4251913</v>
      </c>
      <c r="M313" s="34">
        <f>M314</f>
        <v>7468</v>
      </c>
    </row>
    <row r="314" spans="1:13" ht="15.75">
      <c r="A314" s="48" t="s">
        <v>28</v>
      </c>
      <c r="B314" s="23" t="s">
        <v>33</v>
      </c>
      <c r="C314" s="35">
        <v>17514059</v>
      </c>
      <c r="D314" s="35">
        <v>17825059</v>
      </c>
      <c r="E314" s="35">
        <f>F314-10617798</f>
        <v>2962816</v>
      </c>
      <c r="F314" s="35">
        <v>13580614</v>
      </c>
      <c r="G314" s="46">
        <f t="shared" si="39"/>
        <v>0.02028439396734939</v>
      </c>
      <c r="H314" s="35">
        <f t="shared" si="41"/>
        <v>4244445</v>
      </c>
      <c r="I314" s="35">
        <f>J314-10468967</f>
        <v>3104179</v>
      </c>
      <c r="J314" s="35">
        <v>13573146</v>
      </c>
      <c r="K314" s="37">
        <f t="shared" si="40"/>
        <v>0.02039320509886637</v>
      </c>
      <c r="L314" s="45">
        <f t="shared" si="31"/>
        <v>4251913</v>
      </c>
      <c r="M314" s="38">
        <f t="shared" si="36"/>
        <v>7468</v>
      </c>
    </row>
    <row r="315" spans="1:13" ht="15.75">
      <c r="A315" s="64" t="s">
        <v>158</v>
      </c>
      <c r="B315" s="62" t="s">
        <v>159</v>
      </c>
      <c r="C315" s="32">
        <f>SUM(C316:C317)</f>
        <v>11267144</v>
      </c>
      <c r="D315" s="32">
        <f>SUM(D316:D317)</f>
        <v>12180254</v>
      </c>
      <c r="E315" s="32">
        <f>SUM(E316:E317)</f>
        <v>2194841</v>
      </c>
      <c r="F315" s="32">
        <f>SUM(F316:F317)</f>
        <v>10350528</v>
      </c>
      <c r="G315" s="60">
        <f t="shared" si="39"/>
        <v>0.015459845020415199</v>
      </c>
      <c r="H315" s="32">
        <f t="shared" si="41"/>
        <v>1829726</v>
      </c>
      <c r="I315" s="32">
        <f>SUM(I316:I317)</f>
        <v>2291999</v>
      </c>
      <c r="J315" s="32">
        <f>SUM(J316:J317)</f>
        <v>10350528</v>
      </c>
      <c r="K315" s="33">
        <f t="shared" si="40"/>
        <v>0.01555132762777024</v>
      </c>
      <c r="L315" s="59">
        <f t="shared" si="31"/>
        <v>1829726</v>
      </c>
      <c r="M315" s="34">
        <f>SUM(M316:M317)</f>
        <v>0</v>
      </c>
    </row>
    <row r="316" spans="1:13" ht="15.75">
      <c r="A316" s="48" t="s">
        <v>28</v>
      </c>
      <c r="B316" s="23" t="s">
        <v>33</v>
      </c>
      <c r="C316" s="35">
        <v>11267144</v>
      </c>
      <c r="D316" s="35">
        <v>11810611</v>
      </c>
      <c r="E316" s="35">
        <f>F316-7848005</f>
        <v>2181848</v>
      </c>
      <c r="F316" s="35">
        <v>10029853</v>
      </c>
      <c r="G316" s="60">
        <f t="shared" si="39"/>
        <v>0.014980875657507177</v>
      </c>
      <c r="H316" s="35">
        <f t="shared" si="41"/>
        <v>1780758</v>
      </c>
      <c r="I316" s="35">
        <f>J316-7750847</f>
        <v>2279006</v>
      </c>
      <c r="J316" s="35">
        <v>10029853</v>
      </c>
      <c r="K316" s="37">
        <f t="shared" si="40"/>
        <v>0.015069523995430403</v>
      </c>
      <c r="L316" s="45">
        <f t="shared" si="31"/>
        <v>1780758</v>
      </c>
      <c r="M316" s="38">
        <f t="shared" si="36"/>
        <v>0</v>
      </c>
    </row>
    <row r="317" spans="1:13" ht="15.75">
      <c r="A317" s="48" t="s">
        <v>96</v>
      </c>
      <c r="B317" s="23" t="s">
        <v>102</v>
      </c>
      <c r="C317" s="35">
        <v>0</v>
      </c>
      <c r="D317" s="35">
        <v>369643</v>
      </c>
      <c r="E317" s="35">
        <f>F317-307682</f>
        <v>12993</v>
      </c>
      <c r="F317" s="35">
        <v>320675</v>
      </c>
      <c r="G317" s="60">
        <f t="shared" si="39"/>
        <v>0.00047896936290802214</v>
      </c>
      <c r="H317" s="35">
        <f t="shared" si="41"/>
        <v>48968</v>
      </c>
      <c r="I317" s="35">
        <f>J317-307682</f>
        <v>12993</v>
      </c>
      <c r="J317" s="35">
        <v>320675</v>
      </c>
      <c r="K317" s="37">
        <f t="shared" si="40"/>
        <v>0.00048180363233984026</v>
      </c>
      <c r="L317" s="45">
        <f t="shared" si="31"/>
        <v>48968</v>
      </c>
      <c r="M317" s="38">
        <f t="shared" si="36"/>
        <v>0</v>
      </c>
    </row>
    <row r="318" spans="1:13" ht="15.75">
      <c r="A318" s="64" t="s">
        <v>162</v>
      </c>
      <c r="B318" s="62" t="s">
        <v>163</v>
      </c>
      <c r="C318" s="32">
        <f>SUM(C319:C320)</f>
        <v>5520675</v>
      </c>
      <c r="D318" s="32">
        <f>SUM(D319:D320)</f>
        <v>6216673</v>
      </c>
      <c r="E318" s="32">
        <f>SUM(E319:E320)</f>
        <v>1094608</v>
      </c>
      <c r="F318" s="32">
        <f>SUM(F319:F320)</f>
        <v>5292260</v>
      </c>
      <c r="G318" s="60">
        <f t="shared" si="39"/>
        <v>0.007904671086126481</v>
      </c>
      <c r="H318" s="32">
        <f t="shared" si="41"/>
        <v>924413</v>
      </c>
      <c r="I318" s="32">
        <f>SUM(I319:I320)</f>
        <v>1211986</v>
      </c>
      <c r="J318" s="32">
        <f>SUM(J319:J320)</f>
        <v>5292260</v>
      </c>
      <c r="K318" s="33">
        <f>(J318/$J$235)*100</f>
        <v>0.007951446452909778</v>
      </c>
      <c r="L318" s="59">
        <f>D318-J318</f>
        <v>924413</v>
      </c>
      <c r="M318" s="34">
        <f>SUM(M319:M320)</f>
        <v>0</v>
      </c>
    </row>
    <row r="319" spans="1:13" ht="15.75">
      <c r="A319" s="44" t="s">
        <v>28</v>
      </c>
      <c r="B319" s="16" t="s">
        <v>33</v>
      </c>
      <c r="C319" s="35">
        <v>5520675</v>
      </c>
      <c r="D319" s="35">
        <v>6204673</v>
      </c>
      <c r="E319" s="35">
        <f>F319-4197652</f>
        <v>1093433</v>
      </c>
      <c r="F319" s="35">
        <v>5291085</v>
      </c>
      <c r="G319" s="46">
        <f t="shared" si="39"/>
        <v>0.007902916072478965</v>
      </c>
      <c r="H319" s="35">
        <f t="shared" si="41"/>
        <v>913588</v>
      </c>
      <c r="I319" s="35">
        <f>J319-4080274</f>
        <v>1210811</v>
      </c>
      <c r="J319" s="35">
        <v>5291085</v>
      </c>
      <c r="K319" s="37">
        <f t="shared" si="40"/>
        <v>0.007949681054085425</v>
      </c>
      <c r="L319" s="45">
        <f t="shared" si="31"/>
        <v>913588</v>
      </c>
      <c r="M319" s="38">
        <f t="shared" si="36"/>
        <v>0</v>
      </c>
    </row>
    <row r="320" spans="1:13" ht="15.75">
      <c r="A320" s="44" t="s">
        <v>94</v>
      </c>
      <c r="B320" s="16" t="s">
        <v>100</v>
      </c>
      <c r="C320" s="35">
        <v>0</v>
      </c>
      <c r="D320" s="35">
        <v>12000</v>
      </c>
      <c r="E320" s="35">
        <f>F320</f>
        <v>1175</v>
      </c>
      <c r="F320" s="35">
        <v>1175</v>
      </c>
      <c r="G320" s="46">
        <f t="shared" si="39"/>
        <v>1.7550136475151663E-06</v>
      </c>
      <c r="H320" s="35">
        <f t="shared" si="41"/>
        <v>10825</v>
      </c>
      <c r="I320" s="35">
        <f>J320</f>
        <v>1175</v>
      </c>
      <c r="J320" s="35">
        <v>1175</v>
      </c>
      <c r="K320" s="37">
        <f>(J320/$J$235)*100</f>
        <v>1.7653988243527319E-06</v>
      </c>
      <c r="L320" s="45">
        <f>D320-J320</f>
        <v>10825</v>
      </c>
      <c r="M320" s="38">
        <f>F320-J320</f>
        <v>0</v>
      </c>
    </row>
    <row r="321" spans="1:13" ht="15.75">
      <c r="A321" s="64" t="s">
        <v>175</v>
      </c>
      <c r="B321" s="62" t="s">
        <v>174</v>
      </c>
      <c r="C321" s="32">
        <f>C322</f>
        <v>1894000</v>
      </c>
      <c r="D321" s="32">
        <f>D322</f>
        <v>1536730</v>
      </c>
      <c r="E321" s="32">
        <f>E322</f>
        <v>334816</v>
      </c>
      <c r="F321" s="32">
        <f>F322</f>
        <v>1469284</v>
      </c>
      <c r="G321" s="60">
        <f t="shared" si="39"/>
        <v>0.0021945646570856797</v>
      </c>
      <c r="H321" s="32">
        <f aca="true" t="shared" si="42" ref="H321:H329">D321-F321</f>
        <v>67446</v>
      </c>
      <c r="I321" s="32">
        <f>I322</f>
        <v>336674</v>
      </c>
      <c r="J321" s="32">
        <f>J322</f>
        <v>1469284</v>
      </c>
      <c r="K321" s="33">
        <f t="shared" si="40"/>
        <v>0.0022075508478640675</v>
      </c>
      <c r="L321" s="59">
        <f>D321-J321</f>
        <v>67446</v>
      </c>
      <c r="M321" s="34">
        <f>M322</f>
        <v>0</v>
      </c>
    </row>
    <row r="322" spans="1:13" ht="15.75">
      <c r="A322" s="48" t="s">
        <v>28</v>
      </c>
      <c r="B322" s="23" t="s">
        <v>33</v>
      </c>
      <c r="C322" s="35">
        <v>1894000</v>
      </c>
      <c r="D322" s="35">
        <v>1536730</v>
      </c>
      <c r="E322" s="35">
        <f>F322-1134468</f>
        <v>334816</v>
      </c>
      <c r="F322" s="35">
        <v>1469284</v>
      </c>
      <c r="G322" s="46">
        <f t="shared" si="39"/>
        <v>0.0021945646570856797</v>
      </c>
      <c r="H322" s="35">
        <f t="shared" si="42"/>
        <v>67446</v>
      </c>
      <c r="I322" s="35">
        <f>J322-1132610</f>
        <v>336674</v>
      </c>
      <c r="J322" s="35">
        <v>1469284</v>
      </c>
      <c r="K322" s="37">
        <f t="shared" si="40"/>
        <v>0.0022075508478640675</v>
      </c>
      <c r="L322" s="45">
        <f>D322-J322</f>
        <v>67446</v>
      </c>
      <c r="M322" s="38">
        <f t="shared" si="36"/>
        <v>0</v>
      </c>
    </row>
    <row r="323" spans="1:13" ht="15.75">
      <c r="A323" s="64" t="s">
        <v>178</v>
      </c>
      <c r="B323" s="62" t="s">
        <v>179</v>
      </c>
      <c r="C323" s="32">
        <f>C324</f>
        <v>4036650</v>
      </c>
      <c r="D323" s="32">
        <f>D324</f>
        <v>4138802</v>
      </c>
      <c r="E323" s="32">
        <f>E324</f>
        <v>1086504</v>
      </c>
      <c r="F323" s="32">
        <f>F324</f>
        <v>3254648</v>
      </c>
      <c r="G323" s="60">
        <f t="shared" si="39"/>
        <v>0.00486123545349612</v>
      </c>
      <c r="H323" s="32">
        <f t="shared" si="42"/>
        <v>884154</v>
      </c>
      <c r="I323" s="32">
        <f>I324</f>
        <v>1086505</v>
      </c>
      <c r="J323" s="32">
        <f>J324</f>
        <v>3252795</v>
      </c>
      <c r="K323" s="33">
        <f t="shared" si="40"/>
        <v>0.004887217420306762</v>
      </c>
      <c r="L323" s="59">
        <f>D323-J323</f>
        <v>886007</v>
      </c>
      <c r="M323" s="34">
        <f>M324</f>
        <v>1853</v>
      </c>
    </row>
    <row r="324" spans="1:13" ht="15.75">
      <c r="A324" s="48" t="s">
        <v>28</v>
      </c>
      <c r="B324" s="23" t="s">
        <v>33</v>
      </c>
      <c r="C324" s="35">
        <v>4036650</v>
      </c>
      <c r="D324" s="35">
        <v>4138802</v>
      </c>
      <c r="E324" s="35">
        <f>F324-2168144</f>
        <v>1086504</v>
      </c>
      <c r="F324" s="35">
        <v>3254648</v>
      </c>
      <c r="G324" s="46">
        <f t="shared" si="39"/>
        <v>0.00486123545349612</v>
      </c>
      <c r="H324" s="35">
        <f t="shared" si="42"/>
        <v>884154</v>
      </c>
      <c r="I324" s="35">
        <f>J324-2166290</f>
        <v>1086505</v>
      </c>
      <c r="J324" s="35">
        <v>3252795</v>
      </c>
      <c r="K324" s="37">
        <f t="shared" si="40"/>
        <v>0.004887217420306762</v>
      </c>
      <c r="L324" s="45">
        <f aca="true" t="shared" si="43" ref="L324:L329">D324-J324</f>
        <v>886007</v>
      </c>
      <c r="M324" s="38">
        <f t="shared" si="36"/>
        <v>1853</v>
      </c>
    </row>
    <row r="325" spans="1:13" ht="15.75">
      <c r="A325" s="64" t="s">
        <v>189</v>
      </c>
      <c r="B325" s="62" t="s">
        <v>190</v>
      </c>
      <c r="C325" s="32">
        <f>C326</f>
        <v>4331200</v>
      </c>
      <c r="D325" s="32">
        <f>D326</f>
        <v>4801865</v>
      </c>
      <c r="E325" s="32">
        <f>E326</f>
        <v>1081206</v>
      </c>
      <c r="F325" s="32">
        <f>F326</f>
        <v>4502250</v>
      </c>
      <c r="G325" s="60">
        <f t="shared" si="39"/>
        <v>0.0067246895272554535</v>
      </c>
      <c r="H325" s="32">
        <f t="shared" si="42"/>
        <v>299615</v>
      </c>
      <c r="I325" s="32">
        <f>I326</f>
        <v>1261692</v>
      </c>
      <c r="J325" s="32">
        <f>J326</f>
        <v>4482591</v>
      </c>
      <c r="K325" s="33">
        <f t="shared" si="40"/>
        <v>0.0067349454310247974</v>
      </c>
      <c r="L325" s="59">
        <f t="shared" si="43"/>
        <v>319274</v>
      </c>
      <c r="M325" s="34">
        <f>M326</f>
        <v>19659</v>
      </c>
    </row>
    <row r="326" spans="1:13" ht="15.75">
      <c r="A326" s="48" t="s">
        <v>28</v>
      </c>
      <c r="B326" s="23" t="s">
        <v>33</v>
      </c>
      <c r="C326" s="35">
        <v>4331200</v>
      </c>
      <c r="D326" s="35">
        <v>4801865</v>
      </c>
      <c r="E326" s="35">
        <f>F326-3421044</f>
        <v>1081206</v>
      </c>
      <c r="F326" s="35">
        <v>4502250</v>
      </c>
      <c r="G326" s="46">
        <f t="shared" si="39"/>
        <v>0.0067246895272554535</v>
      </c>
      <c r="H326" s="35">
        <f t="shared" si="42"/>
        <v>299615</v>
      </c>
      <c r="I326" s="35">
        <f>J326-3220899</f>
        <v>1261692</v>
      </c>
      <c r="J326" s="35">
        <v>4482591</v>
      </c>
      <c r="K326" s="37">
        <f t="shared" si="40"/>
        <v>0.0067349454310247974</v>
      </c>
      <c r="L326" s="45">
        <f>D326-J326</f>
        <v>319274</v>
      </c>
      <c r="M326" s="38">
        <f t="shared" si="36"/>
        <v>19659</v>
      </c>
    </row>
    <row r="327" spans="1:13" ht="15.75">
      <c r="A327" s="64" t="s">
        <v>195</v>
      </c>
      <c r="B327" s="62" t="s">
        <v>196</v>
      </c>
      <c r="C327" s="32">
        <f>SUM(C328:C328)</f>
        <v>14685313</v>
      </c>
      <c r="D327" s="32">
        <f>SUM(D328:D328)</f>
        <v>16110460</v>
      </c>
      <c r="E327" s="32">
        <f>SUM(E328:E328)</f>
        <v>2196931</v>
      </c>
      <c r="F327" s="32">
        <f>SUM(F328:F328)</f>
        <v>13973779</v>
      </c>
      <c r="G327" s="60">
        <f t="shared" si="39"/>
        <v>0.020871636470094327</v>
      </c>
      <c r="H327" s="32">
        <f t="shared" si="42"/>
        <v>2136681</v>
      </c>
      <c r="I327" s="32">
        <f>SUM(I328:I328)</f>
        <v>2978872</v>
      </c>
      <c r="J327" s="32">
        <f>SUM(J328:J328)</f>
        <v>13970226</v>
      </c>
      <c r="K327" s="33">
        <f t="shared" si="40"/>
        <v>0.020989804728801673</v>
      </c>
      <c r="L327" s="59">
        <f t="shared" si="43"/>
        <v>2140234</v>
      </c>
      <c r="M327" s="34">
        <f>SUM(M328:M328)</f>
        <v>3553</v>
      </c>
    </row>
    <row r="328" spans="1:13" ht="15.75">
      <c r="A328" s="48" t="s">
        <v>28</v>
      </c>
      <c r="B328" s="23" t="s">
        <v>33</v>
      </c>
      <c r="C328" s="35">
        <v>14685313</v>
      </c>
      <c r="D328" s="35">
        <v>16110460</v>
      </c>
      <c r="E328" s="35">
        <f>F328-11776848</f>
        <v>2196931</v>
      </c>
      <c r="F328" s="35">
        <v>13973779</v>
      </c>
      <c r="G328" s="60">
        <f t="shared" si="39"/>
        <v>0.020871636470094327</v>
      </c>
      <c r="H328" s="35">
        <f t="shared" si="42"/>
        <v>2136681</v>
      </c>
      <c r="I328" s="35">
        <f>J328-10991354</f>
        <v>2978872</v>
      </c>
      <c r="J328" s="35">
        <v>13970226</v>
      </c>
      <c r="K328" s="37">
        <f t="shared" si="40"/>
        <v>0.020989804728801673</v>
      </c>
      <c r="L328" s="45">
        <f t="shared" si="43"/>
        <v>2140234</v>
      </c>
      <c r="M328" s="38">
        <f t="shared" si="36"/>
        <v>3553</v>
      </c>
    </row>
    <row r="329" spans="1:13" ht="15.75">
      <c r="A329" s="64" t="s">
        <v>203</v>
      </c>
      <c r="B329" s="62" t="s">
        <v>204</v>
      </c>
      <c r="C329" s="32">
        <f>SUM(C330:C330)</f>
        <v>827727</v>
      </c>
      <c r="D329" s="32">
        <f>SUM(D330:D330)</f>
        <v>1227727</v>
      </c>
      <c r="E329" s="32">
        <f>SUM(E330:E330)</f>
        <v>251963</v>
      </c>
      <c r="F329" s="32">
        <f>SUM(F330:F330)</f>
        <v>1037245</v>
      </c>
      <c r="G329" s="60">
        <f t="shared" si="39"/>
        <v>0.0015492588347377607</v>
      </c>
      <c r="H329" s="32">
        <f t="shared" si="42"/>
        <v>190482</v>
      </c>
      <c r="I329" s="32">
        <f>SUM(I330:I330)</f>
        <v>251963</v>
      </c>
      <c r="J329" s="32">
        <f>SUM(J330:J330)</f>
        <v>1037245</v>
      </c>
      <c r="K329" s="33">
        <f t="shared" si="40"/>
        <v>0.0015584264711197865</v>
      </c>
      <c r="L329" s="59">
        <f t="shared" si="43"/>
        <v>190482</v>
      </c>
      <c r="M329" s="34">
        <f>SUM(M330:M331)</f>
        <v>0</v>
      </c>
    </row>
    <row r="330" spans="1:13" ht="15.75">
      <c r="A330" s="48" t="s">
        <v>28</v>
      </c>
      <c r="B330" s="23" t="s">
        <v>33</v>
      </c>
      <c r="C330" s="35">
        <v>827727</v>
      </c>
      <c r="D330" s="35">
        <v>1227727</v>
      </c>
      <c r="E330" s="35">
        <f>F330-785282</f>
        <v>251963</v>
      </c>
      <c r="F330" s="35">
        <v>1037245</v>
      </c>
      <c r="G330" s="46">
        <f t="shared" si="39"/>
        <v>0.0015492588347377607</v>
      </c>
      <c r="H330" s="35">
        <f>D330-F330</f>
        <v>190482</v>
      </c>
      <c r="I330" s="35">
        <f>J330-785282</f>
        <v>251963</v>
      </c>
      <c r="J330" s="35">
        <v>1037245</v>
      </c>
      <c r="K330" s="37">
        <f t="shared" si="40"/>
        <v>0.0015584264711197865</v>
      </c>
      <c r="L330" s="45">
        <f>D330-J330</f>
        <v>190482</v>
      </c>
      <c r="M330" s="38">
        <f t="shared" si="36"/>
        <v>0</v>
      </c>
    </row>
    <row r="331" spans="1:13" ht="15.75">
      <c r="A331" s="48" t="s">
        <v>207</v>
      </c>
      <c r="B331" s="23" t="s">
        <v>208</v>
      </c>
      <c r="C331" s="35">
        <v>0</v>
      </c>
      <c r="D331" s="35">
        <v>0</v>
      </c>
      <c r="E331" s="35">
        <f>F331-0</f>
        <v>0</v>
      </c>
      <c r="F331" s="35">
        <v>0</v>
      </c>
      <c r="G331" s="46">
        <f t="shared" si="39"/>
        <v>0</v>
      </c>
      <c r="H331" s="35">
        <f>D331-F331</f>
        <v>0</v>
      </c>
      <c r="I331" s="35">
        <f>J331-0</f>
        <v>0</v>
      </c>
      <c r="J331" s="35">
        <v>0</v>
      </c>
      <c r="K331" s="37">
        <f t="shared" si="40"/>
        <v>0</v>
      </c>
      <c r="L331" s="45">
        <f>D331-J331</f>
        <v>0</v>
      </c>
      <c r="M331" s="38">
        <f t="shared" si="36"/>
        <v>0</v>
      </c>
    </row>
    <row r="332" spans="1:13" ht="15.75">
      <c r="A332" s="64" t="s">
        <v>211</v>
      </c>
      <c r="B332" s="62" t="s">
        <v>212</v>
      </c>
      <c r="C332" s="32">
        <f>C333</f>
        <v>510949000</v>
      </c>
      <c r="D332" s="32">
        <f>D333</f>
        <v>2544647980</v>
      </c>
      <c r="E332" s="32">
        <f>E333</f>
        <v>798397725</v>
      </c>
      <c r="F332" s="32">
        <f>F333</f>
        <v>2541524353</v>
      </c>
      <c r="G332" s="60">
        <f t="shared" si="39"/>
        <v>3.796093553197577</v>
      </c>
      <c r="H332" s="32">
        <f>D332-F332</f>
        <v>3123627</v>
      </c>
      <c r="I332" s="32">
        <f>I333</f>
        <v>824401874</v>
      </c>
      <c r="J332" s="32">
        <f>J333</f>
        <v>2541524353</v>
      </c>
      <c r="K332" s="33">
        <f t="shared" si="40"/>
        <v>3.8185566849787556</v>
      </c>
      <c r="L332" s="59">
        <f>D332-J332</f>
        <v>3123627</v>
      </c>
      <c r="M332" s="34">
        <f>M333</f>
        <v>0</v>
      </c>
    </row>
    <row r="333" spans="1:13" ht="15.75">
      <c r="A333" s="48" t="s">
        <v>39</v>
      </c>
      <c r="B333" s="23" t="s">
        <v>41</v>
      </c>
      <c r="C333" s="35">
        <v>510949000</v>
      </c>
      <c r="D333" s="35">
        <v>2544647980</v>
      </c>
      <c r="E333" s="35">
        <f>F333-1743126628</f>
        <v>798397725</v>
      </c>
      <c r="F333" s="35">
        <v>2541524353</v>
      </c>
      <c r="G333" s="46">
        <f>(F333/$F$235)*100</f>
        <v>3.796093553197577</v>
      </c>
      <c r="H333" s="35">
        <f>D333-F333</f>
        <v>3123627</v>
      </c>
      <c r="I333" s="35">
        <f>J333-1717122479</f>
        <v>824401874</v>
      </c>
      <c r="J333" s="35">
        <v>2541524353</v>
      </c>
      <c r="K333" s="37">
        <f>(J333/$J$235)*100</f>
        <v>3.8185566849787556</v>
      </c>
      <c r="L333" s="45">
        <f>D333-J333</f>
        <v>3123627</v>
      </c>
      <c r="M333" s="38">
        <f t="shared" si="36"/>
        <v>0</v>
      </c>
    </row>
    <row r="334" spans="1:13" ht="15.75">
      <c r="A334" s="73" t="s">
        <v>221</v>
      </c>
      <c r="B334" s="74" t="s">
        <v>222</v>
      </c>
      <c r="C334" s="75">
        <v>0</v>
      </c>
      <c r="D334" s="75">
        <v>0</v>
      </c>
      <c r="E334" s="75">
        <f>F334-0</f>
        <v>0</v>
      </c>
      <c r="F334" s="75">
        <v>0</v>
      </c>
      <c r="G334" s="76">
        <f>(F334/$F$235)*100</f>
        <v>0</v>
      </c>
      <c r="H334" s="75">
        <f>D334-F334</f>
        <v>0</v>
      </c>
      <c r="I334" s="75">
        <f>J334-0</f>
        <v>0</v>
      </c>
      <c r="J334" s="75">
        <v>0</v>
      </c>
      <c r="K334" s="76">
        <f>(J334/$J$235)*100</f>
        <v>0</v>
      </c>
      <c r="L334" s="77">
        <f>D334-J334</f>
        <v>0</v>
      </c>
      <c r="M334" s="77">
        <v>0</v>
      </c>
    </row>
    <row r="335" spans="1:13" ht="15">
      <c r="A335" s="56"/>
      <c r="B335" s="57"/>
      <c r="C335" s="58"/>
      <c r="D335" s="58"/>
      <c r="E335" s="58"/>
      <c r="F335" s="65"/>
      <c r="G335" s="66"/>
      <c r="H335" s="58"/>
      <c r="I335" s="58"/>
      <c r="J335" s="58"/>
      <c r="K335" s="58"/>
      <c r="L335" s="58"/>
      <c r="M335" s="67" t="s">
        <v>227</v>
      </c>
    </row>
    <row r="336" spans="1:13" ht="15">
      <c r="A336" s="56"/>
      <c r="B336" s="57"/>
      <c r="C336" s="58"/>
      <c r="D336" s="58"/>
      <c r="E336" s="58"/>
      <c r="F336" s="58"/>
      <c r="G336" s="58"/>
      <c r="H336" s="58"/>
      <c r="I336" s="68"/>
      <c r="J336" s="58"/>
      <c r="K336" s="58"/>
      <c r="L336" s="58"/>
      <c r="M336" s="82"/>
    </row>
    <row r="337" spans="1:13" ht="15">
      <c r="A337" s="56"/>
      <c r="B337" s="57"/>
      <c r="C337" s="58"/>
      <c r="D337" s="58"/>
      <c r="E337" s="58"/>
      <c r="F337" s="58"/>
      <c r="G337" s="58"/>
      <c r="H337" s="58"/>
      <c r="I337" s="58"/>
      <c r="J337" s="68"/>
      <c r="K337" s="58"/>
      <c r="L337" s="58"/>
      <c r="M337" s="82"/>
    </row>
    <row r="338" spans="1:13" ht="15">
      <c r="A338" s="56"/>
      <c r="B338" s="57"/>
      <c r="C338" s="58"/>
      <c r="D338" s="58"/>
      <c r="E338" s="58"/>
      <c r="F338" s="58"/>
      <c r="G338" s="58"/>
      <c r="H338" s="58"/>
      <c r="I338" s="58"/>
      <c r="J338" s="58"/>
      <c r="K338" s="58"/>
      <c r="L338" s="58"/>
      <c r="M338" s="82"/>
    </row>
    <row r="339" spans="1:13" ht="12.75">
      <c r="A339" s="69"/>
      <c r="B339" s="58"/>
      <c r="C339" s="58"/>
      <c r="D339" s="58"/>
      <c r="E339" s="68"/>
      <c r="F339" s="58"/>
      <c r="G339" s="58"/>
      <c r="H339" s="58"/>
      <c r="I339" s="68"/>
      <c r="J339" s="58"/>
      <c r="K339" s="58"/>
      <c r="L339" s="58"/>
      <c r="M339" s="82"/>
    </row>
    <row r="340" spans="1:13" ht="12.75">
      <c r="A340" s="69"/>
      <c r="B340" s="58"/>
      <c r="C340" s="58"/>
      <c r="D340" s="58"/>
      <c r="E340" s="58"/>
      <c r="F340" s="58"/>
      <c r="G340" s="58"/>
      <c r="H340" s="58"/>
      <c r="I340" s="58"/>
      <c r="J340" s="58"/>
      <c r="K340" s="58"/>
      <c r="L340" s="58"/>
      <c r="M340" s="82"/>
    </row>
    <row r="341" spans="1:13" ht="12.75">
      <c r="A341" s="69"/>
      <c r="B341" s="58"/>
      <c r="C341" s="58"/>
      <c r="D341" s="58"/>
      <c r="E341" s="58"/>
      <c r="F341" s="58"/>
      <c r="G341" s="58"/>
      <c r="H341" s="58"/>
      <c r="I341" s="58"/>
      <c r="J341" s="58"/>
      <c r="K341" s="58"/>
      <c r="L341" s="58"/>
      <c r="M341" s="82"/>
    </row>
    <row r="342" spans="1:13" ht="15">
      <c r="A342" s="101" t="s">
        <v>255</v>
      </c>
      <c r="B342" s="101"/>
      <c r="C342" s="102" t="s">
        <v>257</v>
      </c>
      <c r="D342" s="102"/>
      <c r="E342" s="102"/>
      <c r="F342" s="102"/>
      <c r="G342" s="102"/>
      <c r="H342" s="102"/>
      <c r="I342" s="102" t="s">
        <v>261</v>
      </c>
      <c r="J342" s="102"/>
      <c r="K342" s="102"/>
      <c r="L342" s="102"/>
      <c r="M342" s="82"/>
    </row>
    <row r="343" spans="1:13" ht="15">
      <c r="A343" s="101" t="s">
        <v>256</v>
      </c>
      <c r="B343" s="101"/>
      <c r="C343" s="102" t="s">
        <v>258</v>
      </c>
      <c r="D343" s="102"/>
      <c r="E343" s="102"/>
      <c r="F343" s="102"/>
      <c r="G343" s="102"/>
      <c r="H343" s="102"/>
      <c r="I343" s="102" t="s">
        <v>260</v>
      </c>
      <c r="J343" s="102"/>
      <c r="K343" s="102"/>
      <c r="L343" s="102"/>
      <c r="M343" s="82"/>
    </row>
    <row r="344" spans="1:13" ht="15">
      <c r="A344" s="101" t="s">
        <v>248</v>
      </c>
      <c r="B344" s="101"/>
      <c r="C344" s="102" t="s">
        <v>249</v>
      </c>
      <c r="D344" s="102"/>
      <c r="E344" s="102"/>
      <c r="F344" s="102"/>
      <c r="G344" s="102"/>
      <c r="H344" s="102"/>
      <c r="I344" s="102" t="s">
        <v>259</v>
      </c>
      <c r="J344" s="102"/>
      <c r="K344" s="102"/>
      <c r="L344" s="102"/>
      <c r="M344" s="82"/>
    </row>
    <row r="345" spans="1:13" ht="12.75">
      <c r="A345" s="69"/>
      <c r="B345" s="58"/>
      <c r="C345" s="58"/>
      <c r="D345" s="58"/>
      <c r="E345" s="58"/>
      <c r="F345" s="58"/>
      <c r="G345" s="58"/>
      <c r="H345" s="58"/>
      <c r="I345" s="58"/>
      <c r="J345" s="58"/>
      <c r="K345" s="58"/>
      <c r="L345" s="58"/>
      <c r="M345" s="82"/>
    </row>
    <row r="346" spans="1:13" ht="12.75">
      <c r="A346" s="69"/>
      <c r="B346" s="58"/>
      <c r="C346" s="58"/>
      <c r="D346" s="58"/>
      <c r="E346" s="58"/>
      <c r="F346" s="58"/>
      <c r="G346" s="58"/>
      <c r="H346" s="58"/>
      <c r="I346" s="58"/>
      <c r="J346" s="58"/>
      <c r="K346" s="58"/>
      <c r="L346" s="58"/>
      <c r="M346" s="82"/>
    </row>
    <row r="347" spans="1:13" ht="12.75">
      <c r="A347" s="58"/>
      <c r="B347" s="58"/>
      <c r="C347" s="58"/>
      <c r="D347" s="58"/>
      <c r="E347" s="58"/>
      <c r="F347" s="58"/>
      <c r="G347" s="58"/>
      <c r="H347" s="58"/>
      <c r="I347" s="58"/>
      <c r="J347" s="58"/>
      <c r="K347" s="58"/>
      <c r="L347" s="58"/>
      <c r="M347" s="82"/>
    </row>
    <row r="348" spans="1:13" ht="12.75">
      <c r="A348" s="58"/>
      <c r="B348" s="58"/>
      <c r="C348" s="58"/>
      <c r="D348" s="58"/>
      <c r="E348" s="58"/>
      <c r="F348" s="58"/>
      <c r="G348" s="58"/>
      <c r="H348" s="58"/>
      <c r="I348" s="58"/>
      <c r="J348" s="58"/>
      <c r="K348" s="58"/>
      <c r="L348" s="58"/>
      <c r="M348" s="82"/>
    </row>
    <row r="349" spans="1:13" ht="12.75">
      <c r="A349" s="58"/>
      <c r="B349" s="58"/>
      <c r="C349" s="58"/>
      <c r="D349" s="58"/>
      <c r="E349" s="58"/>
      <c r="F349" s="58"/>
      <c r="G349" s="58"/>
      <c r="H349" s="58"/>
      <c r="I349" s="58"/>
      <c r="J349" s="58"/>
      <c r="K349" s="58"/>
      <c r="L349" s="58"/>
      <c r="M349" s="82"/>
    </row>
    <row r="350" spans="1:13" ht="15">
      <c r="A350" s="70"/>
      <c r="B350" s="57"/>
      <c r="C350" s="57"/>
      <c r="D350" s="57"/>
      <c r="E350" s="57"/>
      <c r="F350" s="57"/>
      <c r="G350" s="57"/>
      <c r="H350" s="57"/>
      <c r="I350" s="57"/>
      <c r="J350" s="57"/>
      <c r="K350" s="57"/>
      <c r="L350" s="57"/>
      <c r="M350" s="82"/>
    </row>
    <row r="351" spans="1:13" ht="12.75">
      <c r="A351" s="69"/>
      <c r="B351" s="58"/>
      <c r="C351" s="58"/>
      <c r="D351" s="58"/>
      <c r="E351" s="58"/>
      <c r="F351" s="58"/>
      <c r="G351" s="58"/>
      <c r="H351" s="58"/>
      <c r="I351" s="58"/>
      <c r="J351" s="58"/>
      <c r="K351" s="58"/>
      <c r="L351" s="58"/>
      <c r="M351" s="82"/>
    </row>
    <row r="352" spans="1:13" ht="12.75">
      <c r="A352" s="69"/>
      <c r="B352" s="58"/>
      <c r="C352" s="58"/>
      <c r="D352" s="58"/>
      <c r="E352" s="58"/>
      <c r="F352" s="58"/>
      <c r="G352" s="58"/>
      <c r="H352" s="58"/>
      <c r="I352" s="58"/>
      <c r="J352" s="58"/>
      <c r="K352" s="58"/>
      <c r="L352" s="58"/>
      <c r="M352" s="82"/>
    </row>
    <row r="353" spans="1:13" ht="12.75">
      <c r="A353" s="69"/>
      <c r="B353" s="58"/>
      <c r="C353" s="58"/>
      <c r="D353" s="58"/>
      <c r="E353" s="58"/>
      <c r="F353" s="58"/>
      <c r="G353" s="58"/>
      <c r="H353" s="58"/>
      <c r="I353" s="58"/>
      <c r="J353" s="58"/>
      <c r="K353" s="58"/>
      <c r="L353" s="58"/>
      <c r="M353" s="82"/>
    </row>
    <row r="354" spans="1:13" ht="12.75">
      <c r="A354" s="69"/>
      <c r="B354" s="58"/>
      <c r="C354" s="58"/>
      <c r="D354" s="58"/>
      <c r="E354" s="58"/>
      <c r="F354" s="58"/>
      <c r="G354" s="58"/>
      <c r="H354" s="58"/>
      <c r="I354" s="58"/>
      <c r="J354" s="58"/>
      <c r="K354" s="58"/>
      <c r="L354" s="58"/>
      <c r="M354" s="82"/>
    </row>
    <row r="355" spans="1:13" ht="12.75">
      <c r="A355" s="69"/>
      <c r="B355" s="58"/>
      <c r="C355" s="58"/>
      <c r="D355" s="58"/>
      <c r="E355" s="58"/>
      <c r="F355" s="58"/>
      <c r="G355" s="58"/>
      <c r="H355" s="58"/>
      <c r="I355" s="58"/>
      <c r="J355" s="58"/>
      <c r="K355" s="58"/>
      <c r="L355" s="58"/>
      <c r="M355" s="82"/>
    </row>
    <row r="356" spans="1:13" ht="12.75">
      <c r="A356" s="69"/>
      <c r="B356" s="58"/>
      <c r="C356" s="58"/>
      <c r="D356" s="58"/>
      <c r="E356" s="58"/>
      <c r="F356" s="58"/>
      <c r="G356" s="58"/>
      <c r="H356" s="58"/>
      <c r="I356" s="58"/>
      <c r="J356" s="58"/>
      <c r="K356" s="58"/>
      <c r="L356" s="58"/>
      <c r="M356" s="82"/>
    </row>
    <row r="357" spans="1:13" ht="12.75">
      <c r="A357" s="69"/>
      <c r="B357" s="58"/>
      <c r="C357" s="58"/>
      <c r="D357" s="58"/>
      <c r="E357" s="58"/>
      <c r="F357" s="58"/>
      <c r="G357" s="58"/>
      <c r="H357" s="58"/>
      <c r="I357" s="58"/>
      <c r="J357" s="58"/>
      <c r="K357" s="58"/>
      <c r="L357" s="58"/>
      <c r="M357" s="82"/>
    </row>
    <row r="358" spans="1:13" ht="12.75">
      <c r="A358" s="69"/>
      <c r="B358" s="58"/>
      <c r="C358" s="58"/>
      <c r="D358" s="58"/>
      <c r="E358" s="58"/>
      <c r="F358" s="58"/>
      <c r="G358" s="58"/>
      <c r="H358" s="58"/>
      <c r="I358" s="58"/>
      <c r="J358" s="58"/>
      <c r="K358" s="58"/>
      <c r="L358" s="58"/>
      <c r="M358" s="82"/>
    </row>
    <row r="359" spans="1:13" ht="12.75">
      <c r="A359" s="69"/>
      <c r="B359" s="58"/>
      <c r="C359" s="58"/>
      <c r="D359" s="58"/>
      <c r="E359" s="58"/>
      <c r="F359" s="58"/>
      <c r="G359" s="58"/>
      <c r="H359" s="58"/>
      <c r="I359" s="58"/>
      <c r="J359" s="58"/>
      <c r="K359" s="58"/>
      <c r="L359" s="58"/>
      <c r="M359" s="82"/>
    </row>
    <row r="360" spans="1:13" ht="12.75">
      <c r="A360" s="69"/>
      <c r="B360" s="58"/>
      <c r="C360" s="58"/>
      <c r="D360" s="58"/>
      <c r="E360" s="58"/>
      <c r="F360" s="58"/>
      <c r="G360" s="58"/>
      <c r="H360" s="58"/>
      <c r="I360" s="58"/>
      <c r="J360" s="58"/>
      <c r="K360" s="58"/>
      <c r="L360" s="58"/>
      <c r="M360" s="82"/>
    </row>
    <row r="361" spans="1:13" ht="12.75">
      <c r="A361" s="69"/>
      <c r="B361" s="58"/>
      <c r="C361" s="58"/>
      <c r="D361" s="58"/>
      <c r="E361" s="58"/>
      <c r="F361" s="58"/>
      <c r="G361" s="58"/>
      <c r="H361" s="58"/>
      <c r="I361" s="58"/>
      <c r="J361" s="58"/>
      <c r="K361" s="58"/>
      <c r="L361" s="58"/>
      <c r="M361" s="82"/>
    </row>
    <row r="362" spans="1:13" ht="12.75">
      <c r="A362" s="69"/>
      <c r="B362" s="58"/>
      <c r="C362" s="58"/>
      <c r="D362" s="58"/>
      <c r="E362" s="58"/>
      <c r="F362" s="58"/>
      <c r="G362" s="58"/>
      <c r="H362" s="58"/>
      <c r="I362" s="58"/>
      <c r="J362" s="58"/>
      <c r="K362" s="58"/>
      <c r="L362" s="58"/>
      <c r="M362" s="82"/>
    </row>
    <row r="363" spans="1:13" ht="12.75">
      <c r="A363" s="69"/>
      <c r="B363" s="58"/>
      <c r="C363" s="58"/>
      <c r="D363" s="58"/>
      <c r="E363" s="58"/>
      <c r="F363" s="58"/>
      <c r="G363" s="58"/>
      <c r="H363" s="58"/>
      <c r="I363" s="58"/>
      <c r="J363" s="58"/>
      <c r="K363" s="58"/>
      <c r="L363" s="58"/>
      <c r="M363" s="82"/>
    </row>
    <row r="364" spans="1:13" ht="12.75">
      <c r="A364" s="69"/>
      <c r="B364" s="58"/>
      <c r="C364" s="58"/>
      <c r="D364" s="58"/>
      <c r="E364" s="58"/>
      <c r="F364" s="58"/>
      <c r="G364" s="58"/>
      <c r="H364" s="58"/>
      <c r="I364" s="58"/>
      <c r="J364" s="58"/>
      <c r="K364" s="58"/>
      <c r="L364" s="58"/>
      <c r="M364" s="82"/>
    </row>
    <row r="365" spans="1:13" ht="12.75">
      <c r="A365" s="69"/>
      <c r="B365" s="58"/>
      <c r="C365" s="58"/>
      <c r="D365" s="58"/>
      <c r="E365" s="58"/>
      <c r="F365" s="58"/>
      <c r="G365" s="58"/>
      <c r="H365" s="58"/>
      <c r="I365" s="58"/>
      <c r="J365" s="58"/>
      <c r="K365" s="58"/>
      <c r="L365" s="58"/>
      <c r="M365" s="82"/>
    </row>
    <row r="366" spans="1:13" ht="12.75">
      <c r="A366" s="69"/>
      <c r="B366" s="58"/>
      <c r="C366" s="58"/>
      <c r="D366" s="58"/>
      <c r="E366" s="58"/>
      <c r="F366" s="58"/>
      <c r="G366" s="58"/>
      <c r="H366" s="58"/>
      <c r="I366" s="58"/>
      <c r="J366" s="58"/>
      <c r="K366" s="58"/>
      <c r="L366" s="58"/>
      <c r="M366" s="82"/>
    </row>
    <row r="367" spans="1:13" ht="12.75">
      <c r="A367" s="69"/>
      <c r="B367" s="58"/>
      <c r="C367" s="58"/>
      <c r="D367" s="58"/>
      <c r="E367" s="58"/>
      <c r="F367" s="58"/>
      <c r="G367" s="58"/>
      <c r="H367" s="58"/>
      <c r="I367" s="58"/>
      <c r="J367" s="58"/>
      <c r="K367" s="58"/>
      <c r="L367" s="58"/>
      <c r="M367" s="82"/>
    </row>
    <row r="368" spans="1:13" ht="12.75">
      <c r="A368" s="69"/>
      <c r="B368" s="58"/>
      <c r="C368" s="58"/>
      <c r="D368" s="58"/>
      <c r="E368" s="58"/>
      <c r="F368" s="58"/>
      <c r="G368" s="58"/>
      <c r="H368" s="58"/>
      <c r="I368" s="58"/>
      <c r="J368" s="58"/>
      <c r="K368" s="58"/>
      <c r="L368" s="58"/>
      <c r="M368" s="82"/>
    </row>
    <row r="369" spans="1:13" ht="12.75">
      <c r="A369" s="69"/>
      <c r="B369" s="58"/>
      <c r="C369" s="58"/>
      <c r="D369" s="58"/>
      <c r="E369" s="58"/>
      <c r="F369" s="58"/>
      <c r="G369" s="58"/>
      <c r="H369" s="58"/>
      <c r="I369" s="58"/>
      <c r="J369" s="58"/>
      <c r="K369" s="58"/>
      <c r="L369" s="58"/>
      <c r="M369" s="82"/>
    </row>
    <row r="370" spans="1:13" ht="12.75">
      <c r="A370" s="69"/>
      <c r="B370" s="58"/>
      <c r="C370" s="58"/>
      <c r="D370" s="58"/>
      <c r="E370" s="58"/>
      <c r="F370" s="58"/>
      <c r="G370" s="58"/>
      <c r="H370" s="58"/>
      <c r="I370" s="58"/>
      <c r="J370" s="58"/>
      <c r="K370" s="58"/>
      <c r="L370" s="58"/>
      <c r="M370" s="82"/>
    </row>
    <row r="371" spans="1:13" ht="12.75">
      <c r="A371" s="69"/>
      <c r="B371" s="58"/>
      <c r="C371" s="58"/>
      <c r="D371" s="58"/>
      <c r="E371" s="58"/>
      <c r="F371" s="58"/>
      <c r="G371" s="58"/>
      <c r="H371" s="58"/>
      <c r="I371" s="58"/>
      <c r="J371" s="58"/>
      <c r="K371" s="58"/>
      <c r="L371" s="58"/>
      <c r="M371" s="82"/>
    </row>
    <row r="372" spans="1:13" ht="12.75">
      <c r="A372" s="69"/>
      <c r="B372" s="58"/>
      <c r="C372" s="58"/>
      <c r="D372" s="58"/>
      <c r="E372" s="58"/>
      <c r="F372" s="58"/>
      <c r="G372" s="58"/>
      <c r="H372" s="58"/>
      <c r="I372" s="58"/>
      <c r="J372" s="58"/>
      <c r="K372" s="58"/>
      <c r="L372" s="58"/>
      <c r="M372" s="82"/>
    </row>
    <row r="373" spans="1:13" ht="12.75">
      <c r="A373" s="69"/>
      <c r="B373" s="58"/>
      <c r="C373" s="58"/>
      <c r="D373" s="58"/>
      <c r="E373" s="58"/>
      <c r="F373" s="58"/>
      <c r="G373" s="58"/>
      <c r="H373" s="58"/>
      <c r="I373" s="58"/>
      <c r="J373" s="58"/>
      <c r="K373" s="58"/>
      <c r="L373" s="58"/>
      <c r="M373" s="82"/>
    </row>
    <row r="374" spans="1:13" ht="12.75">
      <c r="A374" s="69"/>
      <c r="B374" s="58"/>
      <c r="C374" s="58"/>
      <c r="D374" s="58"/>
      <c r="E374" s="58"/>
      <c r="F374" s="58"/>
      <c r="G374" s="58"/>
      <c r="H374" s="58"/>
      <c r="I374" s="58"/>
      <c r="J374" s="58"/>
      <c r="K374" s="58"/>
      <c r="L374" s="58"/>
      <c r="M374" s="82"/>
    </row>
    <row r="375" spans="1:13" ht="12.75">
      <c r="A375" s="69"/>
      <c r="B375" s="58"/>
      <c r="C375" s="58"/>
      <c r="D375" s="58"/>
      <c r="E375" s="58"/>
      <c r="F375" s="58"/>
      <c r="G375" s="58"/>
      <c r="H375" s="58"/>
      <c r="I375" s="58"/>
      <c r="J375" s="58"/>
      <c r="K375" s="58"/>
      <c r="L375" s="58"/>
      <c r="M375" s="82"/>
    </row>
    <row r="376" spans="1:13" ht="12.75">
      <c r="A376" s="69"/>
      <c r="B376" s="58"/>
      <c r="C376" s="58"/>
      <c r="D376" s="58"/>
      <c r="E376" s="58"/>
      <c r="F376" s="58"/>
      <c r="G376" s="58"/>
      <c r="H376" s="58"/>
      <c r="I376" s="58"/>
      <c r="J376" s="58"/>
      <c r="K376" s="58"/>
      <c r="L376" s="58"/>
      <c r="M376" s="82"/>
    </row>
    <row r="377" spans="1:13" ht="12.75">
      <c r="A377" s="69"/>
      <c r="B377" s="58"/>
      <c r="C377" s="58"/>
      <c r="D377" s="58"/>
      <c r="E377" s="58"/>
      <c r="F377" s="58"/>
      <c r="G377" s="58"/>
      <c r="H377" s="58"/>
      <c r="I377" s="58"/>
      <c r="J377" s="58"/>
      <c r="K377" s="58"/>
      <c r="L377" s="58"/>
      <c r="M377" s="82"/>
    </row>
    <row r="378" spans="1:13" ht="12.75">
      <c r="A378" s="69"/>
      <c r="B378" s="58"/>
      <c r="C378" s="58"/>
      <c r="D378" s="58"/>
      <c r="E378" s="58"/>
      <c r="F378" s="58"/>
      <c r="G378" s="58"/>
      <c r="H378" s="58"/>
      <c r="I378" s="58"/>
      <c r="J378" s="58"/>
      <c r="K378" s="58"/>
      <c r="L378" s="58"/>
      <c r="M378" s="82"/>
    </row>
    <row r="379" spans="1:13" ht="12.75">
      <c r="A379" s="69"/>
      <c r="B379" s="58"/>
      <c r="C379" s="58"/>
      <c r="D379" s="58"/>
      <c r="E379" s="58"/>
      <c r="F379" s="58"/>
      <c r="G379" s="58"/>
      <c r="H379" s="58"/>
      <c r="I379" s="58"/>
      <c r="J379" s="58"/>
      <c r="K379" s="58"/>
      <c r="L379" s="58"/>
      <c r="M379" s="82"/>
    </row>
    <row r="380" spans="1:13" ht="12.75">
      <c r="A380" s="69"/>
      <c r="B380" s="58"/>
      <c r="C380" s="58"/>
      <c r="D380" s="58"/>
      <c r="E380" s="58"/>
      <c r="F380" s="58"/>
      <c r="G380" s="58"/>
      <c r="H380" s="58"/>
      <c r="I380" s="58"/>
      <c r="J380" s="58"/>
      <c r="K380" s="58"/>
      <c r="L380" s="58"/>
      <c r="M380" s="82"/>
    </row>
    <row r="381" spans="1:13" ht="12.75">
      <c r="A381" s="69"/>
      <c r="B381" s="58"/>
      <c r="C381" s="58"/>
      <c r="D381" s="58"/>
      <c r="E381" s="58"/>
      <c r="F381" s="58"/>
      <c r="G381" s="58"/>
      <c r="H381" s="58"/>
      <c r="I381" s="58"/>
      <c r="J381" s="58"/>
      <c r="K381" s="58"/>
      <c r="L381" s="58"/>
      <c r="M381" s="82"/>
    </row>
    <row r="382" spans="1:13" ht="12.75">
      <c r="A382" s="69"/>
      <c r="B382" s="58"/>
      <c r="C382" s="58"/>
      <c r="D382" s="58"/>
      <c r="E382" s="58"/>
      <c r="F382" s="58"/>
      <c r="G382" s="58"/>
      <c r="H382" s="58"/>
      <c r="I382" s="58"/>
      <c r="J382" s="58"/>
      <c r="K382" s="58"/>
      <c r="L382" s="58"/>
      <c r="M382" s="82"/>
    </row>
    <row r="383" spans="1:13" ht="12.75">
      <c r="A383" s="69"/>
      <c r="B383" s="58"/>
      <c r="C383" s="58"/>
      <c r="D383" s="58"/>
      <c r="E383" s="58"/>
      <c r="F383" s="58"/>
      <c r="G383" s="58"/>
      <c r="H383" s="58"/>
      <c r="I383" s="58"/>
      <c r="J383" s="58"/>
      <c r="K383" s="58"/>
      <c r="L383" s="58"/>
      <c r="M383" s="82"/>
    </row>
    <row r="384" spans="1:13" ht="12.75">
      <c r="A384" s="69"/>
      <c r="B384" s="58"/>
      <c r="C384" s="58"/>
      <c r="D384" s="58"/>
      <c r="E384" s="58"/>
      <c r="F384" s="58"/>
      <c r="G384" s="58"/>
      <c r="H384" s="58"/>
      <c r="I384" s="58"/>
      <c r="J384" s="58"/>
      <c r="K384" s="58"/>
      <c r="L384" s="58"/>
      <c r="M384" s="82"/>
    </row>
    <row r="385" spans="1:13" ht="12.75">
      <c r="A385" s="69"/>
      <c r="B385" s="58"/>
      <c r="C385" s="58"/>
      <c r="D385" s="58"/>
      <c r="E385" s="58"/>
      <c r="F385" s="58"/>
      <c r="G385" s="58"/>
      <c r="H385" s="58"/>
      <c r="I385" s="58"/>
      <c r="J385" s="58"/>
      <c r="K385" s="58"/>
      <c r="L385" s="58"/>
      <c r="M385" s="82"/>
    </row>
    <row r="386" spans="1:13" ht="12.75">
      <c r="A386" s="69"/>
      <c r="B386" s="58"/>
      <c r="C386" s="58"/>
      <c r="D386" s="58"/>
      <c r="E386" s="58"/>
      <c r="F386" s="58"/>
      <c r="G386" s="58"/>
      <c r="H386" s="58"/>
      <c r="I386" s="58"/>
      <c r="J386" s="58"/>
      <c r="K386" s="58"/>
      <c r="L386" s="58"/>
      <c r="M386" s="82"/>
    </row>
    <row r="387" spans="1:13" ht="12.75">
      <c r="A387" s="69"/>
      <c r="B387" s="58"/>
      <c r="C387" s="58"/>
      <c r="D387" s="58"/>
      <c r="E387" s="58"/>
      <c r="F387" s="58"/>
      <c r="G387" s="58"/>
      <c r="H387" s="58"/>
      <c r="I387" s="58"/>
      <c r="J387" s="58"/>
      <c r="K387" s="58"/>
      <c r="L387" s="58"/>
      <c r="M387" s="82"/>
    </row>
    <row r="388" spans="1:12" ht="12.75">
      <c r="A388" s="69"/>
      <c r="B388" s="58"/>
      <c r="C388" s="58"/>
      <c r="D388" s="58"/>
      <c r="E388" s="58"/>
      <c r="F388" s="58"/>
      <c r="G388" s="58"/>
      <c r="H388" s="58"/>
      <c r="I388" s="58"/>
      <c r="J388" s="58"/>
      <c r="K388" s="58"/>
      <c r="L388" s="58"/>
    </row>
    <row r="389" spans="1:12" ht="12.75">
      <c r="A389" s="69"/>
      <c r="B389" s="58"/>
      <c r="C389" s="58"/>
      <c r="D389" s="58"/>
      <c r="E389" s="58"/>
      <c r="F389" s="58"/>
      <c r="G389" s="58"/>
      <c r="H389" s="58"/>
      <c r="I389" s="58"/>
      <c r="J389" s="58"/>
      <c r="K389" s="58"/>
      <c r="L389" s="58"/>
    </row>
    <row r="390" spans="1:12" ht="12.75">
      <c r="A390" s="69"/>
      <c r="B390" s="58"/>
      <c r="C390" s="58"/>
      <c r="D390" s="58"/>
      <c r="E390" s="58"/>
      <c r="F390" s="58"/>
      <c r="G390" s="58"/>
      <c r="H390" s="58"/>
      <c r="I390" s="58"/>
      <c r="J390" s="58"/>
      <c r="K390" s="58"/>
      <c r="L390" s="58"/>
    </row>
    <row r="391" spans="1:12" ht="12.75">
      <c r="A391" s="69"/>
      <c r="B391" s="58"/>
      <c r="C391" s="58"/>
      <c r="D391" s="58"/>
      <c r="E391" s="58"/>
      <c r="F391" s="58"/>
      <c r="G391" s="58"/>
      <c r="H391" s="58"/>
      <c r="I391" s="58"/>
      <c r="J391" s="58"/>
      <c r="K391" s="58"/>
      <c r="L391" s="58"/>
    </row>
    <row r="392" spans="1:12" ht="12.75">
      <c r="A392" s="69"/>
      <c r="B392" s="58"/>
      <c r="C392" s="58"/>
      <c r="D392" s="58"/>
      <c r="E392" s="58"/>
      <c r="F392" s="58"/>
      <c r="G392" s="58"/>
      <c r="H392" s="58"/>
      <c r="I392" s="58"/>
      <c r="J392" s="58"/>
      <c r="K392" s="58"/>
      <c r="L392" s="58"/>
    </row>
  </sheetData>
  <sheetProtection/>
  <mergeCells count="40">
    <mergeCell ref="A344:B344"/>
    <mergeCell ref="C344:H344"/>
    <mergeCell ref="I344:L344"/>
    <mergeCell ref="A235:B235"/>
    <mergeCell ref="E262:G262"/>
    <mergeCell ref="I262:K262"/>
    <mergeCell ref="A342:B342"/>
    <mergeCell ref="C342:H342"/>
    <mergeCell ref="I342:L342"/>
    <mergeCell ref="A343:B343"/>
    <mergeCell ref="M262:M264"/>
    <mergeCell ref="A262:A264"/>
    <mergeCell ref="B262:B264"/>
    <mergeCell ref="C343:H343"/>
    <mergeCell ref="I343:L343"/>
    <mergeCell ref="A257:M257"/>
    <mergeCell ref="A258:M258"/>
    <mergeCell ref="M13:M15"/>
    <mergeCell ref="M137:M139"/>
    <mergeCell ref="A129:M129"/>
    <mergeCell ref="A130:M130"/>
    <mergeCell ref="A131:M131"/>
    <mergeCell ref="E137:G137"/>
    <mergeCell ref="I137:K137"/>
    <mergeCell ref="I13:K13"/>
    <mergeCell ref="A13:A15"/>
    <mergeCell ref="B13:B15"/>
    <mergeCell ref="A254:M254"/>
    <mergeCell ref="A255:M255"/>
    <mergeCell ref="A256:M256"/>
    <mergeCell ref="A132:M132"/>
    <mergeCell ref="A133:M133"/>
    <mergeCell ref="A137:A139"/>
    <mergeCell ref="B137:B139"/>
    <mergeCell ref="A5:M5"/>
    <mergeCell ref="A6:M6"/>
    <mergeCell ref="A7:M7"/>
    <mergeCell ref="A8:M8"/>
    <mergeCell ref="A9:M9"/>
    <mergeCell ref="E13:G13"/>
  </mergeCells>
  <printOptions horizontalCentered="1"/>
  <pageMargins left="0.2362204724409449" right="0.2362204724409449" top="0" bottom="0" header="0.31496062992125984" footer="0.31496062992125984"/>
  <pageSetup fitToHeight="0" fitToWidth="1" horizontalDpi="600" verticalDpi="600" orientation="portrait" paperSize="9" scale="38" r:id="rId2"/>
  <rowBreaks count="2" manualBreakCount="2">
    <brk id="124" max="12" man="1"/>
    <brk id="249" max="12" man="1"/>
  </rowBreaks>
  <ignoredErrors>
    <ignoredError sqref="F140 H140:J140" formulaRange="1"/>
    <ignoredError sqref="E144:F144 E25:F25 E270:F270 E235 H235:I235 F234 E231:F231 H230 E273:F273 L273:M273 E28:F28 H26:H27 E33:F33 H29:H32 E40 H41:H42 E51:F51 E54:E55 H52:H53 E58 H56:H57 E67:F67 E70:E71 E76:F76 H77 E80:F80 H79 H81:H83 E91:F91 E96:F96 E98 H97 E108 H99:H107 E111:F111 H109:H110 E116:F116 E149:F149 H145 E152:F152 H150 E154 H153 E161:F161 E165 E169:F169 E171 E174 E182:F182 E186:F186 H183 H187 E198:F198 H191:H193 E200 H199 E207:F207 E210:F210 H208:H209 E212 H211 E215 E220:F220 E222 H221 E225:F225 H223:H224 E229 H226:H228 E281:F281 E286:F286 E290:F290 H287 H289 E292:F292 H291 E295:F295 H293:H294 E297:F297 H296 E299 H298 E303:F303 F305 F307 F309 E313:F313 E315:F315 E321:F321 F323 F325 F327 E329:F329 E332:F332 H270:H272 H274:H279 H282:H285 H300:H310 H321:H330 H332:H334 L271:L272 J270 J303 J305 J307 J309 J313 J315 J321 J323 J325 J327 J329 J332 H299:I299 H297:J297 H295:J295 H292:J292 H290:J290 H286:J286 H281:J281 I276 H273:J273 I269:I270 E159 I159 J169 I171 I168:I169 I165 I215 H144:J144 H234:J234 H231:J231 H149:J149 H152:J152 H154:I154 H161:J161 H162:H173 H174:I174 H182:J182 H186:J186 H198:J198 H200:I200 H220:J220 H222:I222 H225:J225 H229:I229 L144:L162 L210:M210 L211:L234 H25:J25 H28:J28 H33:J33 H40:I40 H51:J51 H54:I55 H58:I58 H67:J67 H70:I71 H76:J76 H78:I78 H80:J80 H91:J91 H96:J96 H98:I98 H108:I108 H111:J111 H116:J116 L270:M270 L274:L279 L281:M281 L282:L287 L289:L310 L313:L317 L321:L329 L332:L334 E34 H34:I34 E84 H84:I84 H92:H95 H112:H115 E120:E121 H122 E146 H146:I146 H155:H160 E168 E184 H184:I184 E194:E195 H194:I195 H201:H206 E276 E43:E50 E232:E233 E151 E181 H35:H39 H43:I50 H59:H66 H85:H90 H185 H212:I214 H210:J210 H207:J207 H151:I151 H181:I181 H232:I233 H312:H317 H68:H69 H196:H197 H215:H219 E75 E188:E190 H75:I75 H117:H119 H147:H148 I331:I332 H120:I121 L25:L122 L165:L209 E304:E312 E322:E328 H72:H74 H175:H180 H188:I190 I303:I317 I321:I329 M25:M28 M33 M51 M111:M116 M149:M162 M169 M186:M207 M220:M231 M277 M321:M322 M286:M317 H319 I319 L319 M326 M324 M319 M328:M334" formula="1"/>
    <ignoredError sqref="A320:A334 A17:A122 A140:A234 A266:A287 A289:A319" numberStoredAsText="1"/>
    <ignoredError sqref="G333 G334 G330 G332 G328 G329 G326 G327 G324 G325 G322 G323 G319 G321 G316 G317:G318 G314 G315 G310 G313 G308 G309 G306 G307 G304 G305 G301 G300 G302:G303 G298 G299 G296 G297 G294 G295 G293 G291 G292 G289 G287 G290 G285 G286 G283 G282 G284 G279 G278 G281 G275 G276:G277 G271 G272 G273 G274 G270 G217 G159 G228 G227 G226 G229 G224 G223 G225 G221 G222 G216 G218:G220 G214 G215 G211 G212:G213 G209 G208 G210 G205 G204 G203 G206:G207 G201 G202 G199 G200 G193 G192 G191 G194:G198 G187 G188:G190 G183 G184:G186 G180 G181:G182 G173 G174:G175 G170 G171:G172 G167 G168:G169 G164 G165:G166 G163 G162 G158 G157 G156 G155 G160:G161 G153 G154 G150 G151:G152 G145 G146:G149 G230 G231:G233 G234 G235 G144 K229 K225 K222 K218:K220 K212:K213 K210 K206:K207 K202 K200 K194:K198 K188:K190 K184:K186 K181:K182 K174:K175 K160:K161 K154 K151:K152 K146:K149 K231:K233 K144 K228 K227 K226 K224 K223 K221 K217 K215 K216 K214 K211 K208 K205 K204 K201 K199 K193 K192 K191 K187 K183 K171:K172 K168:K169 K165:K166 K173 K170 K167 K164 K163 K162 K157 K156 K159 K158 K155 K153 K145 K209 K203 K180 K150 K235 G118 G117 G119:G120 G114 G113 G112 G115:G116 G110 G111 G109 G107 G106 G105 G104 G103 G102 G101 G100 G99 G108 G97 G98 G94 G95:G96 G92 G93 G89 G88 G87 G86 G90:G91 G83 G82 G81 G84:G85 G79 G80 G77 G78 G73 G74:G76 G68 G69:G72 G66 G65 G64 G67 G61 G62:G63 G59 G60 G57 G56 G58 G53 G52 G54:G55 G48 G49:G51 G44 G45:G47 G42 G41 G43 G38 G39:G40 G36 G35 G37 G32 G31 G30 G29 G33:G34 G27 G26 G28 G25 K119:K120 K115:K116 K111 K108 K98 K95:K96 K93 K90:K91 K84:K85 K80 K78 K74:K76 K69:K72 K67 K62:K63 K58 K54:K55 K49:K51 K45:K47 K43 K39:K40 K37 K33:K34 K28 K25 K118 K117 K113 K112 K114 K110 K109 K106 K105 K104 K103 K102 K100 K99 K97 K107 K101 K92 K94 K89 K88 K87 K86 K83 K82 K81 K79 K77 K73 K68 K60 K65 K64 K61 K59 K57 K56 K53 K52 K48 K42 K41 K38 K36 K35 K32 K31 K30 K29 K27 K26 K66 K44 K334 K332 K329 K327 K325 K323 K321 K317 K315 K313 K309 K307 K305 K302:K303 K299 K297 K295 K292 K290 K286 K284 K281 K276:K277 K274 K270 K289 K283 K279 K333 K330 K328 K326 K324 K322 K319 K316 K314 K310 K308 K306 K304 K301 K300 K298 K296 K294 K293 K291 K287 K285 K282 K278 K275 K272 K271 G121:G122 K121:K122 G176:G179 K176:K179 G140 K140" evalError="1" formula="1"/>
    <ignoredError sqref="G265:G269 G141:G143 K141:K143 K230 K234 G16:G24 K16:K24 K265:K269 K273 G280 G311:G312 G331 K331" evalError="1"/>
    <ignoredError sqref="G140 K140" evalError="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Dcpacheco</dc:creator>
  <cp:keywords/>
  <dc:description/>
  <cp:lastModifiedBy>Yago Barros Barbosa</cp:lastModifiedBy>
  <cp:lastPrinted>2020-01-15T16:51:02Z</cp:lastPrinted>
  <dcterms:created xsi:type="dcterms:W3CDTF">2005-03-08T15:13:02Z</dcterms:created>
  <dcterms:modified xsi:type="dcterms:W3CDTF">2020-01-30T14:02:20Z</dcterms:modified>
  <cp:category/>
  <cp:version/>
  <cp:contentType/>
  <cp:contentStatus/>
</cp:coreProperties>
</file>