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05" windowWidth="7680" windowHeight="7530" activeTab="0"/>
  </bookViews>
  <sheets>
    <sheet name="Anexo II - 5º BIM" sheetId="1" r:id="rId1"/>
  </sheets>
  <definedNames>
    <definedName name="_xlnm.Print_Area" localSheetId="0">'Anexo II - 5º BIM'!$A$1:$L$440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<sst xmlns="http://schemas.openxmlformats.org/spreadsheetml/2006/main" count="785" uniqueCount="287">
  <si>
    <t>RELATÓRIO RESUMIDO DA EXECUÇÃO ORÇAMENTÁRIA</t>
  </si>
  <si>
    <t>DEMONSTRATIVO DA EXECUÇÃO DAS DESPESAS POR FUNÇÃO/SUBFUNÇÃO</t>
  </si>
  <si>
    <t>ORÇAMENTOS FISCAL E DA SEGURIDADE SOCIAL</t>
  </si>
  <si>
    <t>DOTAÇÃO</t>
  </si>
  <si>
    <t>DESPESAS EMPENHADAS</t>
  </si>
  <si>
    <t>DESPESAS LIQUIDADAS</t>
  </si>
  <si>
    <t>FUNÇÃO/SUBFUNÇÃO</t>
  </si>
  <si>
    <t>INICIAL</t>
  </si>
  <si>
    <t>ATUALIZADA</t>
  </si>
  <si>
    <t>No Bimestre</t>
  </si>
  <si>
    <t>Até o Bimestre</t>
  </si>
  <si>
    <t>%</t>
  </si>
  <si>
    <t>(a)</t>
  </si>
  <si>
    <t>(b)</t>
  </si>
  <si>
    <t>GOVERNO DO ESTADO DO RIO DE JANEIRO</t>
  </si>
  <si>
    <t>DESPESAS (EXCETO INTRA-ORÇAMENTÁRIAS) (I)</t>
  </si>
  <si>
    <t>DESPESAS (INTRA-ORÇAMENTÁRIAS) (II)</t>
  </si>
  <si>
    <t>(b/total b)</t>
  </si>
  <si>
    <t>SALDO</t>
  </si>
  <si>
    <t>(c) = (a - b)</t>
  </si>
  <si>
    <t>(d)</t>
  </si>
  <si>
    <t>(d/total d)</t>
  </si>
  <si>
    <t>(e) = (a - d)</t>
  </si>
  <si>
    <t>COD</t>
  </si>
  <si>
    <t>Legislativa</t>
  </si>
  <si>
    <t>01</t>
  </si>
  <si>
    <t>031</t>
  </si>
  <si>
    <t>032</t>
  </si>
  <si>
    <t>122</t>
  </si>
  <si>
    <t>128</t>
  </si>
  <si>
    <t>542</t>
  </si>
  <si>
    <t>Ação Legislativa</t>
  </si>
  <si>
    <t>Controle Externo</t>
  </si>
  <si>
    <t>Administração Geral</t>
  </si>
  <si>
    <t>Formação de Recursos Humanos</t>
  </si>
  <si>
    <t>Controle Ambiental</t>
  </si>
  <si>
    <t>02</t>
  </si>
  <si>
    <t>Judiciária</t>
  </si>
  <si>
    <t>061</t>
  </si>
  <si>
    <t>123</t>
  </si>
  <si>
    <t>Ação Judiciária</t>
  </si>
  <si>
    <t>Administração Financeira</t>
  </si>
  <si>
    <t>03</t>
  </si>
  <si>
    <t>Essencial à Justiça</t>
  </si>
  <si>
    <t>091</t>
  </si>
  <si>
    <t>Defesa da Ordem Jurídica</t>
  </si>
  <si>
    <t>04</t>
  </si>
  <si>
    <t>Administração</t>
  </si>
  <si>
    <t>121</t>
  </si>
  <si>
    <t>125</t>
  </si>
  <si>
    <t>126</t>
  </si>
  <si>
    <t>127</t>
  </si>
  <si>
    <t>241</t>
  </si>
  <si>
    <t>422</t>
  </si>
  <si>
    <t>694</t>
  </si>
  <si>
    <t>Planejamento e Orçamento</t>
  </si>
  <si>
    <t>Normatização e Fiscalização</t>
  </si>
  <si>
    <t>Tecnologia da Informação</t>
  </si>
  <si>
    <t>Ordenamento Territorial</t>
  </si>
  <si>
    <t>Assistência ao Idoso</t>
  </si>
  <si>
    <t>Direitos Individuais, Coletivos e Difusos</t>
  </si>
  <si>
    <t>Serviços Financeiros</t>
  </si>
  <si>
    <t>Segurança Pública</t>
  </si>
  <si>
    <t>06</t>
  </si>
  <si>
    <t>181</t>
  </si>
  <si>
    <t>182</t>
  </si>
  <si>
    <t>183</t>
  </si>
  <si>
    <t>302</t>
  </si>
  <si>
    <t>306</t>
  </si>
  <si>
    <t>421</t>
  </si>
  <si>
    <t>781</t>
  </si>
  <si>
    <t>782</t>
  </si>
  <si>
    <t>Policiamento</t>
  </si>
  <si>
    <t>Defesa Civil</t>
  </si>
  <si>
    <t>Informação e Inteligência</t>
  </si>
  <si>
    <t>Assistência Hospitalar e Ambulatorial</t>
  </si>
  <si>
    <t>Alimentação e Nutrição</t>
  </si>
  <si>
    <t>Custódia e Reintegração Social</t>
  </si>
  <si>
    <t>Transporte Aéreo</t>
  </si>
  <si>
    <t>Transporte Rodoviário</t>
  </si>
  <si>
    <t>Assistência Social</t>
  </si>
  <si>
    <t>08</t>
  </si>
  <si>
    <t>243</t>
  </si>
  <si>
    <t>244</t>
  </si>
  <si>
    <t>Assistência à Criança e ao Adolescente</t>
  </si>
  <si>
    <t>Assistência Comunitária</t>
  </si>
  <si>
    <t>Previdência Social</t>
  </si>
  <si>
    <t>09</t>
  </si>
  <si>
    <t>272</t>
  </si>
  <si>
    <t>Previdência do Regime Estatutário</t>
  </si>
  <si>
    <t>10</t>
  </si>
  <si>
    <t>Saúde</t>
  </si>
  <si>
    <t>301</t>
  </si>
  <si>
    <t>303</t>
  </si>
  <si>
    <t>304</t>
  </si>
  <si>
    <t>305</t>
  </si>
  <si>
    <t>571</t>
  </si>
  <si>
    <t>573</t>
  </si>
  <si>
    <t>Atenção Básica</t>
  </si>
  <si>
    <t>Suporte Profilático e Terapêutico</t>
  </si>
  <si>
    <t>Vigilância Sanitária</t>
  </si>
  <si>
    <t>Vigilância Epidemiológica</t>
  </si>
  <si>
    <t>Desenvolvimento Científico</t>
  </si>
  <si>
    <t>Trabalho</t>
  </si>
  <si>
    <t>11</t>
  </si>
  <si>
    <t>333</t>
  </si>
  <si>
    <t>334</t>
  </si>
  <si>
    <t>Empregabilidade</t>
  </si>
  <si>
    <t>Fomento ao Trabalho</t>
  </si>
  <si>
    <t>12</t>
  </si>
  <si>
    <t>Educação</t>
  </si>
  <si>
    <t>361</t>
  </si>
  <si>
    <t>362</t>
  </si>
  <si>
    <t>363</t>
  </si>
  <si>
    <t>364</t>
  </si>
  <si>
    <t>366</t>
  </si>
  <si>
    <t>367</t>
  </si>
  <si>
    <t>392</t>
  </si>
  <si>
    <t>Ensino Fundamental</t>
  </si>
  <si>
    <t>Ensino Médio</t>
  </si>
  <si>
    <t>Ensino Profissional</t>
  </si>
  <si>
    <t>Ensino Superior</t>
  </si>
  <si>
    <t>Educação de Jovens e Adultos</t>
  </si>
  <si>
    <t>Educação Especial</t>
  </si>
  <si>
    <t>Difusão Cultural</t>
  </si>
  <si>
    <t>13</t>
  </si>
  <si>
    <t>Cultura</t>
  </si>
  <si>
    <t>391</t>
  </si>
  <si>
    <t>Patrimônio Histór, Artístico e Arqueológico</t>
  </si>
  <si>
    <t>14</t>
  </si>
  <si>
    <t>Direitos da Cidadania</t>
  </si>
  <si>
    <t>242</t>
  </si>
  <si>
    <t>Assistência ao Portador de Deficiência</t>
  </si>
  <si>
    <t>15</t>
  </si>
  <si>
    <t>Urbanismo</t>
  </si>
  <si>
    <t>451</t>
  </si>
  <si>
    <t>Infraestrutura Urbana</t>
  </si>
  <si>
    <t>Habitação</t>
  </si>
  <si>
    <t>16</t>
  </si>
  <si>
    <t>482</t>
  </si>
  <si>
    <t>Habitação Urbana</t>
  </si>
  <si>
    <t>17</t>
  </si>
  <si>
    <t>Saneamento</t>
  </si>
  <si>
    <t>512</t>
  </si>
  <si>
    <t>Saneamento Básico Urbano</t>
  </si>
  <si>
    <t>543</t>
  </si>
  <si>
    <t>Recuperação de Áreas Degradadas</t>
  </si>
  <si>
    <t>544</t>
  </si>
  <si>
    <t>Recursos Hídricos</t>
  </si>
  <si>
    <t>18</t>
  </si>
  <si>
    <t>Gestão Ambiental</t>
  </si>
  <si>
    <t>453</t>
  </si>
  <si>
    <t>Transportes Coletivos Urbanos</t>
  </si>
  <si>
    <t>541</t>
  </si>
  <si>
    <t>Preservação e Conservação Ambiental</t>
  </si>
  <si>
    <t>601</t>
  </si>
  <si>
    <t>Promoção da Produção Vegetal</t>
  </si>
  <si>
    <t>Continuação</t>
  </si>
  <si>
    <t>19</t>
  </si>
  <si>
    <t>Ciência e Tecnologia</t>
  </si>
  <si>
    <t>572</t>
  </si>
  <si>
    <t>Desenvolvimento Tecnológico e Engenharia</t>
  </si>
  <si>
    <t>20</t>
  </si>
  <si>
    <t>Agricultura</t>
  </si>
  <si>
    <t>131</t>
  </si>
  <si>
    <t>Comunicação Social</t>
  </si>
  <si>
    <t>602</t>
  </si>
  <si>
    <t>Promoção da Produção Animal</t>
  </si>
  <si>
    <t>604</t>
  </si>
  <si>
    <t>Defesa Sanitária Animal</t>
  </si>
  <si>
    <t>605</t>
  </si>
  <si>
    <t>Abastecimento</t>
  </si>
  <si>
    <t>606</t>
  </si>
  <si>
    <t>Extensão Rural</t>
  </si>
  <si>
    <t>Organização Agrária</t>
  </si>
  <si>
    <t>21</t>
  </si>
  <si>
    <t>631</t>
  </si>
  <si>
    <t>Reforma Agrária</t>
  </si>
  <si>
    <t>22</t>
  </si>
  <si>
    <t>Indústria</t>
  </si>
  <si>
    <t>661</t>
  </si>
  <si>
    <t>Promoção Industrial</t>
  </si>
  <si>
    <t>663</t>
  </si>
  <si>
    <t>Mineração</t>
  </si>
  <si>
    <t>665</t>
  </si>
  <si>
    <t>695</t>
  </si>
  <si>
    <t>Turismo</t>
  </si>
  <si>
    <t>751</t>
  </si>
  <si>
    <t>Conservação de Energia</t>
  </si>
  <si>
    <t>23</t>
  </si>
  <si>
    <t>Comércio e Serviços</t>
  </si>
  <si>
    <t>691</t>
  </si>
  <si>
    <t>Promoção Comercial</t>
  </si>
  <si>
    <t>24</t>
  </si>
  <si>
    <t>Comunicações</t>
  </si>
  <si>
    <t>26</t>
  </si>
  <si>
    <t>Transporte</t>
  </si>
  <si>
    <t>783</t>
  </si>
  <si>
    <t>Transporte Ferroviário</t>
  </si>
  <si>
    <t>784</t>
  </si>
  <si>
    <t>Transporte Hidroviário</t>
  </si>
  <si>
    <t>785</t>
  </si>
  <si>
    <t>Transportes Especiais</t>
  </si>
  <si>
    <t>27</t>
  </si>
  <si>
    <t>Desporto e Lazer</t>
  </si>
  <si>
    <t>811</t>
  </si>
  <si>
    <t>Desporto de Rendimento</t>
  </si>
  <si>
    <t>812</t>
  </si>
  <si>
    <t>Desporto Comunitário</t>
  </si>
  <si>
    <t>813</t>
  </si>
  <si>
    <t>Lazer</t>
  </si>
  <si>
    <t>28</t>
  </si>
  <si>
    <t>Encargos Especiais</t>
  </si>
  <si>
    <t>841</t>
  </si>
  <si>
    <t>Refinanciamento da Dívida Interna</t>
  </si>
  <si>
    <t>843</t>
  </si>
  <si>
    <t>Serviço da Dívida Interna</t>
  </si>
  <si>
    <t>844</t>
  </si>
  <si>
    <t>Serviço da Dívida Externa</t>
  </si>
  <si>
    <t>846</t>
  </si>
  <si>
    <t>Outros Encargos Especiais</t>
  </si>
  <si>
    <t>99</t>
  </si>
  <si>
    <t>Reserva de Contingência</t>
  </si>
  <si>
    <t>999</t>
  </si>
  <si>
    <t>Reserva de Contingência do RPPS</t>
  </si>
  <si>
    <t>TOTAL (III) = (I) + (II)</t>
  </si>
  <si>
    <t>Continua (2/3)</t>
  </si>
  <si>
    <t>(3/3)</t>
  </si>
  <si>
    <t>Continua (1/3)</t>
  </si>
  <si>
    <t>092</t>
  </si>
  <si>
    <t>Representação Judicial e Extrajudicial</t>
  </si>
  <si>
    <t>Controle Interno</t>
  </si>
  <si>
    <t>124</t>
  </si>
  <si>
    <t>129</t>
  </si>
  <si>
    <t>Administração de Receitas</t>
  </si>
  <si>
    <t>Administração de Concessões</t>
  </si>
  <si>
    <t>130</t>
  </si>
  <si>
    <t>Difusão do Conhecimento Científico e Tecnológico</t>
  </si>
  <si>
    <t>332</t>
  </si>
  <si>
    <t>Relações de Trabalho</t>
  </si>
  <si>
    <t>RREO - Anexo 2 (LRF, Art 52, inciso II, alínea "c")</t>
  </si>
  <si>
    <t>Difusão do Conhecimento Científ e Tecnológ</t>
  </si>
  <si>
    <t>331</t>
  </si>
  <si>
    <t>Proteção e Benefícios ao Trabalhador</t>
  </si>
  <si>
    <t>692</t>
  </si>
  <si>
    <t>Comercialização</t>
  </si>
  <si>
    <t>997</t>
  </si>
  <si>
    <t>Reserva do Regime Próprio de Previdência do Servidor - RPPS</t>
  </si>
  <si>
    <t xml:space="preserve">     Contador - CRC-RJ-097281/O-6</t>
  </si>
  <si>
    <t xml:space="preserve">Contador - CRC-RJ-079208/O-8 </t>
  </si>
  <si>
    <t>Normalização e Qualidade</t>
  </si>
  <si>
    <t>368</t>
  </si>
  <si>
    <t>Educação Básica</t>
  </si>
  <si>
    <t>752</t>
  </si>
  <si>
    <t>Energia Elétrica</t>
  </si>
  <si>
    <t>Renato Ferreira Costa</t>
  </si>
  <si>
    <t>Coordenador - ID: 4.284.985-3</t>
  </si>
  <si>
    <t>Ronald Marcio G. Rodrigues</t>
  </si>
  <si>
    <t>Superintendente - ID: 1.943.584-3</t>
  </si>
  <si>
    <t>FONTE: Siafe-Rio - Secretaria de Estado de Fazenda.</t>
  </si>
  <si>
    <t>Obs.:  1 - Excluídas a Imprensa Oficial, a CEDAE e a AGERIO por não se enquadrarem no conceito de Empresa Dependente.</t>
  </si>
  <si>
    <t>481</t>
  </si>
  <si>
    <t>Habitação Rural</t>
  </si>
  <si>
    <t xml:space="preserve"> Assistência ao Portador de Deficiência</t>
  </si>
  <si>
    <t xml:space="preserve"> Formação de Recursos Humanos</t>
  </si>
  <si>
    <t xml:space="preserve"> Assistência Comunitária</t>
  </si>
  <si>
    <t>FUNÇÃO/SUBFUNÇÃO - INTRA-ORÇAMENTÁRIAS</t>
  </si>
  <si>
    <t>(b/III b)</t>
  </si>
  <si>
    <t>(d/III d)</t>
  </si>
  <si>
    <t xml:space="preserve"> Tecnologia da Informação</t>
  </si>
  <si>
    <t>Patrimônio Histórico, Artístico e Arqueológico</t>
  </si>
  <si>
    <t>608</t>
  </si>
  <si>
    <t>609</t>
  </si>
  <si>
    <t>Promoção da Produção Agropecuária</t>
  </si>
  <si>
    <t>Defesa Agropecuária</t>
  </si>
  <si>
    <t>693</t>
  </si>
  <si>
    <t>Comércio Exterior</t>
  </si>
  <si>
    <t xml:space="preserve">          2 - Imprensa Oficial, CEDAE e AGERIO não constam nos Orçamentos Fiscal e da Seguridade Social no exercício de 2021.</t>
  </si>
  <si>
    <t>753</t>
  </si>
  <si>
    <t>Petróleo</t>
  </si>
  <si>
    <t>25</t>
  </si>
  <si>
    <t>Energia</t>
  </si>
  <si>
    <t>JANEIRO A OUTUBRO 2021/BIMESTRE SETEMBRO - OUTUBRO</t>
  </si>
  <si>
    <t>Emissão: 19/11/2021</t>
  </si>
  <si>
    <t>David Lopes de Souza</t>
  </si>
  <si>
    <t>Substituto Eventual do Subsecretário de Contabilidade Geral - ID: 1.931.457-4</t>
  </si>
  <si>
    <t>Contador - CRC-RJ-064689/O-1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</si>
</sst>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</numFmts>
  <fonts count="51">
    <font>
      <sz val="10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3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4" fontId="2" fillId="0" borderId="0" xfId="63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/>
    </xf>
    <xf numFmtId="172" fontId="4" fillId="34" borderId="0" xfId="0" applyNumberFormat="1" applyFont="1" applyFill="1" applyAlignment="1">
      <alignment/>
    </xf>
    <xf numFmtId="167" fontId="4" fillId="34" borderId="0" xfId="0" applyNumberFormat="1" applyFont="1" applyFill="1" applyAlignment="1">
      <alignment horizontal="right"/>
    </xf>
    <xf numFmtId="49" fontId="4" fillId="34" borderId="0" xfId="0" applyNumberFormat="1" applyFont="1" applyFill="1" applyBorder="1" applyAlignment="1">
      <alignment horizontal="center"/>
    </xf>
    <xf numFmtId="174" fontId="4" fillId="34" borderId="0" xfId="63" applyNumberFormat="1" applyFont="1" applyFill="1" applyBorder="1" applyAlignment="1">
      <alignment/>
    </xf>
    <xf numFmtId="171" fontId="4" fillId="34" borderId="0" xfId="63" applyFont="1" applyFill="1" applyBorder="1" applyAlignment="1">
      <alignment/>
    </xf>
    <xf numFmtId="49" fontId="2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174" fontId="5" fillId="34" borderId="0" xfId="63" applyNumberFormat="1" applyFont="1" applyFill="1" applyBorder="1" applyAlignment="1">
      <alignment/>
    </xf>
    <xf numFmtId="171" fontId="5" fillId="34" borderId="0" xfId="63" applyFont="1" applyFill="1" applyBorder="1" applyAlignment="1">
      <alignment/>
    </xf>
    <xf numFmtId="49" fontId="1" fillId="34" borderId="0" xfId="0" applyNumberFormat="1" applyFont="1" applyFill="1" applyAlignment="1">
      <alignment horizontal="center"/>
    </xf>
    <xf numFmtId="171" fontId="4" fillId="34" borderId="0" xfId="63" applyFont="1" applyFill="1" applyAlignment="1">
      <alignment horizontal="center"/>
    </xf>
    <xf numFmtId="174" fontId="4" fillId="34" borderId="0" xfId="0" applyNumberFormat="1" applyFont="1" applyFill="1" applyBorder="1" applyAlignment="1">
      <alignment/>
    </xf>
    <xf numFmtId="174" fontId="4" fillId="34" borderId="0" xfId="0" applyNumberFormat="1" applyFont="1" applyFill="1" applyAlignment="1">
      <alignment horizontal="right"/>
    </xf>
    <xf numFmtId="49" fontId="2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left"/>
    </xf>
    <xf numFmtId="174" fontId="49" fillId="34" borderId="0" xfId="0" applyNumberFormat="1" applyFont="1" applyFill="1" applyAlignment="1">
      <alignment/>
    </xf>
    <xf numFmtId="174" fontId="4" fillId="34" borderId="0" xfId="0" applyNumberFormat="1" applyFont="1" applyFill="1" applyAlignment="1">
      <alignment/>
    </xf>
    <xf numFmtId="49" fontId="6" fillId="34" borderId="0" xfId="0" applyNumberFormat="1" applyFont="1" applyFill="1" applyAlignment="1">
      <alignment horizontal="center"/>
    </xf>
    <xf numFmtId="0" fontId="6" fillId="34" borderId="11" xfId="0" applyFont="1" applyFill="1" applyBorder="1" applyAlignment="1">
      <alignment/>
    </xf>
    <xf numFmtId="171" fontId="6" fillId="34" borderId="14" xfId="63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171" fontId="6" fillId="34" borderId="14" xfId="63" applyFont="1" applyFill="1" applyBorder="1" applyAlignment="1">
      <alignment/>
    </xf>
    <xf numFmtId="49" fontId="7" fillId="34" borderId="0" xfId="0" applyNumberFormat="1" applyFont="1" applyFill="1" applyAlignment="1">
      <alignment horizontal="center"/>
    </xf>
    <xf numFmtId="0" fontId="7" fillId="34" borderId="14" xfId="0" applyFont="1" applyFill="1" applyBorder="1" applyAlignment="1">
      <alignment/>
    </xf>
    <xf numFmtId="174" fontId="7" fillId="34" borderId="14" xfId="63" applyNumberFormat="1" applyFont="1" applyFill="1" applyBorder="1" applyAlignment="1">
      <alignment/>
    </xf>
    <xf numFmtId="171" fontId="7" fillId="34" borderId="14" xfId="63" applyFont="1" applyFill="1" applyBorder="1" applyAlignment="1">
      <alignment horizontal="center"/>
    </xf>
    <xf numFmtId="171" fontId="7" fillId="34" borderId="14" xfId="63" applyFont="1" applyFill="1" applyBorder="1" applyAlignment="1">
      <alignment/>
    </xf>
    <xf numFmtId="174" fontId="7" fillId="34" borderId="15" xfId="63" applyNumberFormat="1" applyFont="1" applyFill="1" applyBorder="1" applyAlignment="1">
      <alignment/>
    </xf>
    <xf numFmtId="49" fontId="7" fillId="34" borderId="19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171" fontId="7" fillId="34" borderId="17" xfId="63" applyFont="1" applyFill="1" applyBorder="1" applyAlignment="1">
      <alignment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174" fontId="7" fillId="34" borderId="0" xfId="63" applyNumberFormat="1" applyFont="1" applyFill="1" applyBorder="1" applyAlignment="1">
      <alignment/>
    </xf>
    <xf numFmtId="171" fontId="7" fillId="34" borderId="0" xfId="63" applyFont="1" applyFill="1" applyBorder="1" applyAlignment="1">
      <alignment/>
    </xf>
    <xf numFmtId="174" fontId="7" fillId="34" borderId="0" xfId="63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/>
    </xf>
    <xf numFmtId="171" fontId="7" fillId="34" borderId="15" xfId="63" applyFont="1" applyFill="1" applyBorder="1" applyAlignment="1">
      <alignment/>
    </xf>
    <xf numFmtId="49" fontId="7" fillId="34" borderId="13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171" fontId="6" fillId="34" borderId="0" xfId="63" applyFont="1" applyFill="1" applyBorder="1" applyAlignment="1">
      <alignment/>
    </xf>
    <xf numFmtId="0" fontId="6" fillId="34" borderId="15" xfId="0" applyFont="1" applyFill="1" applyBorder="1" applyAlignment="1">
      <alignment/>
    </xf>
    <xf numFmtId="171" fontId="6" fillId="34" borderId="11" xfId="63" applyFont="1" applyFill="1" applyBorder="1" applyAlignment="1">
      <alignment/>
    </xf>
    <xf numFmtId="49" fontId="6" fillId="34" borderId="0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49" fontId="6" fillId="34" borderId="19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171" fontId="6" fillId="34" borderId="17" xfId="63" applyFont="1" applyFill="1" applyBorder="1" applyAlignment="1">
      <alignment/>
    </xf>
    <xf numFmtId="0" fontId="7" fillId="34" borderId="0" xfId="0" applyFont="1" applyFill="1" applyAlignment="1">
      <alignment horizontal="right"/>
    </xf>
    <xf numFmtId="171" fontId="6" fillId="34" borderId="14" xfId="63" applyNumberFormat="1" applyFont="1" applyFill="1" applyBorder="1" applyAlignment="1">
      <alignment/>
    </xf>
    <xf numFmtId="171" fontId="6" fillId="34" borderId="14" xfId="63" applyNumberFormat="1" applyFont="1" applyFill="1" applyBorder="1" applyAlignment="1">
      <alignment horizontal="center"/>
    </xf>
    <xf numFmtId="171" fontId="6" fillId="34" borderId="14" xfId="63" applyNumberFormat="1" applyFont="1" applyFill="1" applyBorder="1" applyAlignment="1">
      <alignment/>
    </xf>
    <xf numFmtId="171" fontId="7" fillId="34" borderId="14" xfId="63" applyNumberFormat="1" applyFont="1" applyFill="1" applyBorder="1" applyAlignment="1">
      <alignment/>
    </xf>
    <xf numFmtId="171" fontId="7" fillId="34" borderId="17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/>
    </xf>
    <xf numFmtId="171" fontId="7" fillId="34" borderId="15" xfId="63" applyNumberFormat="1" applyFont="1" applyFill="1" applyBorder="1" applyAlignment="1">
      <alignment/>
    </xf>
    <xf numFmtId="0" fontId="2" fillId="0" borderId="0" xfId="0" applyFont="1" applyFill="1" applyAlignment="1">
      <alignment/>
    </xf>
    <xf numFmtId="171" fontId="7" fillId="34" borderId="18" xfId="63" applyNumberFormat="1" applyFont="1" applyFill="1" applyBorder="1" applyAlignment="1">
      <alignment/>
    </xf>
    <xf numFmtId="171" fontId="7" fillId="34" borderId="13" xfId="63" applyNumberFormat="1" applyFont="1" applyFill="1" applyBorder="1" applyAlignment="1">
      <alignment/>
    </xf>
    <xf numFmtId="171" fontId="7" fillId="34" borderId="0" xfId="63" applyNumberFormat="1" applyFont="1" applyFill="1" applyBorder="1" applyAlignment="1" applyProtection="1">
      <alignment/>
      <protection locked="0"/>
    </xf>
    <xf numFmtId="171" fontId="6" fillId="34" borderId="11" xfId="63" applyNumberFormat="1" applyFont="1" applyFill="1" applyBorder="1" applyAlignment="1">
      <alignment/>
    </xf>
    <xf numFmtId="171" fontId="6" fillId="34" borderId="0" xfId="63" applyNumberFormat="1" applyFont="1" applyFill="1" applyBorder="1" applyAlignment="1">
      <alignment/>
    </xf>
    <xf numFmtId="171" fontId="7" fillId="34" borderId="0" xfId="63" applyNumberFormat="1" applyFont="1" applyFill="1" applyBorder="1" applyAlignment="1">
      <alignment/>
    </xf>
    <xf numFmtId="171" fontId="6" fillId="34" borderId="17" xfId="63" applyNumberFormat="1" applyFont="1" applyFill="1" applyBorder="1" applyAlignment="1">
      <alignment/>
    </xf>
    <xf numFmtId="171" fontId="6" fillId="34" borderId="18" xfId="63" applyNumberFormat="1" applyFont="1" applyFill="1" applyBorder="1" applyAlignment="1">
      <alignment/>
    </xf>
    <xf numFmtId="171" fontId="6" fillId="34" borderId="20" xfId="63" applyNumberFormat="1" applyFont="1" applyFill="1" applyBorder="1" applyAlignment="1">
      <alignment/>
    </xf>
    <xf numFmtId="171" fontId="6" fillId="34" borderId="21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 horizontal="center"/>
    </xf>
    <xf numFmtId="171" fontId="7" fillId="0" borderId="14" xfId="63" applyNumberFormat="1" applyFont="1" applyFill="1" applyBorder="1" applyAlignment="1">
      <alignment/>
    </xf>
    <xf numFmtId="43" fontId="7" fillId="34" borderId="0" xfId="0" applyNumberFormat="1" applyFont="1" applyFill="1" applyAlignment="1">
      <alignment/>
    </xf>
    <xf numFmtId="43" fontId="3" fillId="34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14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8" fillId="34" borderId="0" xfId="49" applyFont="1" applyFill="1" applyAlignment="1">
      <alignment/>
      <protection/>
    </xf>
    <xf numFmtId="0" fontId="7" fillId="0" borderId="15" xfId="0" applyFont="1" applyFill="1" applyBorder="1" applyAlignment="1">
      <alignment/>
    </xf>
    <xf numFmtId="171" fontId="7" fillId="0" borderId="0" xfId="63" applyFont="1" applyFill="1" applyBorder="1" applyAlignment="1">
      <alignment/>
    </xf>
    <xf numFmtId="171" fontId="7" fillId="0" borderId="14" xfId="63" applyFont="1" applyFill="1" applyBorder="1" applyAlignment="1">
      <alignment/>
    </xf>
    <xf numFmtId="171" fontId="7" fillId="0" borderId="0" xfId="63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1" fontId="6" fillId="0" borderId="0" xfId="63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/>
    </xf>
    <xf numFmtId="49" fontId="6" fillId="34" borderId="22" xfId="0" applyNumberFormat="1" applyFont="1" applyFill="1" applyBorder="1" applyAlignment="1">
      <alignment horizontal="left"/>
    </xf>
    <xf numFmtId="49" fontId="6" fillId="34" borderId="23" xfId="0" applyNumberFormat="1" applyFont="1" applyFill="1" applyBorder="1" applyAlignment="1">
      <alignment horizontal="left"/>
    </xf>
    <xf numFmtId="0" fontId="4" fillId="34" borderId="0" xfId="49" applyFont="1" applyFill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4 2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1047750</xdr:colOff>
      <xdr:row>0</xdr:row>
      <xdr:rowOff>85725</xdr:rowOff>
    </xdr:from>
    <xdr:to>
      <xdr:col>5</xdr:col>
      <xdr:colOff>228600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85725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933450</xdr:colOff>
      <xdr:row>142</xdr:row>
      <xdr:rowOff>66675</xdr:rowOff>
    </xdr:from>
    <xdr:to>
      <xdr:col>5</xdr:col>
      <xdr:colOff>180975</xdr:colOff>
      <xdr:row>145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2735580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287</xdr:row>
      <xdr:rowOff>133350</xdr:rowOff>
    </xdr:from>
    <xdr:to>
      <xdr:col>5</xdr:col>
      <xdr:colOff>171450</xdr:colOff>
      <xdr:row>290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54968775"/>
          <a:ext cx="857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0"/>
  <sheetViews>
    <sheetView tabSelected="1" zoomScale="80" zoomScaleNormal="80" zoomScalePageLayoutView="0" workbookViewId="0" topLeftCell="A370">
      <selection activeCell="M307" sqref="M307:O319"/>
    </sheetView>
  </sheetViews>
  <sheetFormatPr defaultColWidth="9.140625" defaultRowHeight="12.75"/>
  <cols>
    <col min="1" max="1" width="5.8515625" style="1" customWidth="1"/>
    <col min="2" max="2" width="62.28125" style="2" customWidth="1"/>
    <col min="3" max="3" width="21.7109375" style="2" bestFit="1" customWidth="1"/>
    <col min="4" max="4" width="21.7109375" style="2" customWidth="1"/>
    <col min="5" max="5" width="22.8515625" style="2" customWidth="1"/>
    <col min="6" max="6" width="21.7109375" style="2" customWidth="1"/>
    <col min="7" max="7" width="11.140625" style="2" customWidth="1"/>
    <col min="8" max="8" width="23.140625" style="2" customWidth="1"/>
    <col min="9" max="9" width="22.8515625" style="2" customWidth="1"/>
    <col min="10" max="10" width="21.7109375" style="2" customWidth="1"/>
    <col min="11" max="11" width="10.421875" style="2" customWidth="1"/>
    <col min="12" max="12" width="21.28125" style="2" customWidth="1"/>
    <col min="13" max="13" width="9.140625" style="3" customWidth="1"/>
    <col min="14" max="14" width="9.140625" style="2" customWidth="1"/>
    <col min="15" max="15" width="8.421875" style="2" customWidth="1"/>
    <col min="16" max="16384" width="9.140625" style="2" customWidth="1"/>
  </cols>
  <sheetData>
    <row r="1" spans="1:12" ht="15.75">
      <c r="A1" s="2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4.75" customHeight="1">
      <c r="A2" s="2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>
      <c r="A3" s="2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s="5" customFormat="1" ht="15.75">
      <c r="A4" s="116" t="s">
        <v>14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4"/>
    </row>
    <row r="5" spans="1:13" s="5" customFormat="1" ht="15.75">
      <c r="A5" s="116" t="s">
        <v>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4"/>
    </row>
    <row r="6" spans="1:13" s="5" customFormat="1" ht="15.75">
      <c r="A6" s="117" t="s">
        <v>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6"/>
    </row>
    <row r="7" spans="1:13" s="5" customFormat="1" ht="15.75">
      <c r="A7" s="116" t="s">
        <v>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4"/>
    </row>
    <row r="8" spans="1:13" s="5" customFormat="1" ht="15.75">
      <c r="A8" s="116" t="s">
        <v>282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4"/>
    </row>
    <row r="9" spans="1:12" ht="15.75">
      <c r="A9" s="24"/>
      <c r="B9" s="24"/>
      <c r="C9" s="40"/>
      <c r="D9" s="40"/>
      <c r="E9" s="40"/>
      <c r="F9" s="40"/>
      <c r="G9" s="40"/>
      <c r="H9" s="40"/>
      <c r="I9" s="40"/>
      <c r="J9" s="40"/>
      <c r="K9" s="24"/>
      <c r="L9" s="25" t="s">
        <v>283</v>
      </c>
    </row>
    <row r="10" spans="1:13" s="7" customFormat="1" ht="15.75">
      <c r="A10" s="27" t="s">
        <v>240</v>
      </c>
      <c r="B10" s="26"/>
      <c r="C10" s="41"/>
      <c r="D10" s="41"/>
      <c r="E10" s="41"/>
      <c r="F10" s="41"/>
      <c r="G10" s="41"/>
      <c r="H10" s="41"/>
      <c r="I10" s="41"/>
      <c r="J10" s="41"/>
      <c r="K10" s="42"/>
      <c r="L10" s="30">
        <v>1</v>
      </c>
      <c r="M10" s="8"/>
    </row>
    <row r="11" spans="1:13" s="7" customFormat="1" ht="15.75">
      <c r="A11" s="11"/>
      <c r="B11" s="12"/>
      <c r="C11" s="13" t="s">
        <v>3</v>
      </c>
      <c r="D11" s="13" t="s">
        <v>3</v>
      </c>
      <c r="E11" s="118" t="s">
        <v>4</v>
      </c>
      <c r="F11" s="119"/>
      <c r="G11" s="120"/>
      <c r="H11" s="13" t="s">
        <v>18</v>
      </c>
      <c r="I11" s="118" t="s">
        <v>5</v>
      </c>
      <c r="J11" s="119"/>
      <c r="K11" s="119"/>
      <c r="L11" s="14" t="s">
        <v>18</v>
      </c>
      <c r="M11" s="8"/>
    </row>
    <row r="12" spans="1:13" s="7" customFormat="1" ht="15.75">
      <c r="A12" s="15" t="s">
        <v>23</v>
      </c>
      <c r="B12" s="16" t="s">
        <v>6</v>
      </c>
      <c r="C12" s="16" t="s">
        <v>7</v>
      </c>
      <c r="D12" s="16" t="s">
        <v>8</v>
      </c>
      <c r="E12" s="16" t="s">
        <v>9</v>
      </c>
      <c r="F12" s="16" t="s">
        <v>10</v>
      </c>
      <c r="G12" s="16" t="s">
        <v>11</v>
      </c>
      <c r="H12" s="17"/>
      <c r="I12" s="16" t="s">
        <v>9</v>
      </c>
      <c r="J12" s="16" t="s">
        <v>10</v>
      </c>
      <c r="K12" s="16" t="s">
        <v>11</v>
      </c>
      <c r="L12" s="18"/>
      <c r="M12" s="8"/>
    </row>
    <row r="13" spans="1:13" s="7" customFormat="1" ht="15.75">
      <c r="A13" s="19"/>
      <c r="B13" s="20"/>
      <c r="C13" s="20"/>
      <c r="D13" s="21" t="s">
        <v>12</v>
      </c>
      <c r="E13" s="21"/>
      <c r="F13" s="21" t="s">
        <v>13</v>
      </c>
      <c r="G13" s="21" t="s">
        <v>17</v>
      </c>
      <c r="H13" s="22" t="s">
        <v>19</v>
      </c>
      <c r="I13" s="21"/>
      <c r="J13" s="21" t="s">
        <v>20</v>
      </c>
      <c r="K13" s="21" t="s">
        <v>21</v>
      </c>
      <c r="L13" s="23" t="s">
        <v>22</v>
      </c>
      <c r="M13" s="8"/>
    </row>
    <row r="14" spans="1:13" s="7" customFormat="1" ht="15">
      <c r="A14" s="47"/>
      <c r="B14" s="48" t="s">
        <v>15</v>
      </c>
      <c r="C14" s="80">
        <f>C15+C26+C29+C35+C59+C78+C91+C97+C109+C118+C137+C157+C165+C171+C177+C181+C192+C202+C221+C225+C240+C251+C255+C257+C270+C276+C282</f>
        <v>84698661868</v>
      </c>
      <c r="D14" s="80">
        <f>D15+D26+D29+D35+D59+D78+D91+D97+D109+D118+D137+D157+D165+D171+D177+D181+D192+D202+D221+D225+D240+D251+D255+D257+D270+D276+D282</f>
        <v>93328579419.47998</v>
      </c>
      <c r="E14" s="80">
        <f>E15+E26+E29+E35+E59+E78+E91+E97+E109+E118+E137+E157+E165+E171+E177+E181+E192+E202+E221+E225+E240+E251+E255+E257+E270+E276+E282</f>
        <v>12880262195.230005</v>
      </c>
      <c r="F14" s="80">
        <f>F15+F26+F29+F35+F59+F78+F91+F97+F109+F118+F137+F157+F165+F171+F177+F181+F192+F202+F221+F225+F240+F251+F255+F257+F270+F276+F282</f>
        <v>57112149627.05</v>
      </c>
      <c r="G14" s="49">
        <f aca="true" t="shared" si="0" ref="G14:G45">(F14/$F$286)*100</f>
        <v>91.9360479506431</v>
      </c>
      <c r="H14" s="81">
        <f>D14-F14</f>
        <v>36216429792.42998</v>
      </c>
      <c r="I14" s="81">
        <f>I15+I26+I29+I35+I59+I78+I91+I97+I109+I118+I137+I157+I165+I171+I177+I181+I192+I202+I221+I225+I240+I251+I255+I257+I270+I276+I282</f>
        <v>12108321987.700003</v>
      </c>
      <c r="J14" s="81">
        <f>J15+J26+J29+J35+J59+J78+J91+J97+J109+J118+J137+J157+J165+J171+J177+J181+J192+J202+J221+J225+J240+J251+J255+J257+J270+J276+J282</f>
        <v>52502065884.98</v>
      </c>
      <c r="K14" s="49">
        <f aca="true" t="shared" si="1" ref="K14:K45">(J14/$J$286)*100</f>
        <v>91.82687052733762</v>
      </c>
      <c r="L14" s="98">
        <f>D14-J14</f>
        <v>40826513534.49998</v>
      </c>
      <c r="M14" s="8"/>
    </row>
    <row r="15" spans="1:13" s="7" customFormat="1" ht="15">
      <c r="A15" s="47" t="s">
        <v>25</v>
      </c>
      <c r="B15" s="50" t="s">
        <v>24</v>
      </c>
      <c r="C15" s="82">
        <f>SUM(C16:C25)</f>
        <v>1909992784</v>
      </c>
      <c r="D15" s="82">
        <f>SUM(D16:D25)</f>
        <v>2039227769.59</v>
      </c>
      <c r="E15" s="82">
        <f>SUM(E16:E25)</f>
        <v>157189756.6899999</v>
      </c>
      <c r="F15" s="82">
        <f>SUM(F16:F25)</f>
        <v>1367621812.23</v>
      </c>
      <c r="G15" s="49">
        <f t="shared" si="0"/>
        <v>2.201523586987723</v>
      </c>
      <c r="H15" s="82">
        <f>D15-F15</f>
        <v>671605957.3599999</v>
      </c>
      <c r="I15" s="82">
        <f>SUM(I16:I25)</f>
        <v>227357292.3799999</v>
      </c>
      <c r="J15" s="82">
        <f>SUM(J16:J25)</f>
        <v>1163355611.5800002</v>
      </c>
      <c r="K15" s="51">
        <f t="shared" si="1"/>
        <v>2.034725744999111</v>
      </c>
      <c r="L15" s="85">
        <f>D15-J15</f>
        <v>875872158.0099998</v>
      </c>
      <c r="M15" s="8"/>
    </row>
    <row r="16" spans="1:13" s="7" customFormat="1" ht="15">
      <c r="A16" s="52" t="s">
        <v>26</v>
      </c>
      <c r="B16" s="53" t="s">
        <v>31</v>
      </c>
      <c r="C16" s="83">
        <v>13496000</v>
      </c>
      <c r="D16" s="83">
        <v>33496000</v>
      </c>
      <c r="E16" s="83">
        <f>F16-2198784.55</f>
        <v>44642.85000000009</v>
      </c>
      <c r="F16" s="83">
        <v>2243427.4</v>
      </c>
      <c r="G16" s="55">
        <f t="shared" si="0"/>
        <v>0.00361134802957057</v>
      </c>
      <c r="H16" s="83">
        <f aca="true" t="shared" si="2" ref="H16:H141">D16-F16</f>
        <v>31252572.6</v>
      </c>
      <c r="I16" s="83">
        <f>J16-1952128.39</f>
        <v>163667.02000000025</v>
      </c>
      <c r="J16" s="83">
        <v>2115795.41</v>
      </c>
      <c r="K16" s="56">
        <f t="shared" si="1"/>
        <v>0.0037005566905127744</v>
      </c>
      <c r="L16" s="86">
        <f aca="true" t="shared" si="3" ref="L16:L141">D16-J16</f>
        <v>31380204.59</v>
      </c>
      <c r="M16" s="8"/>
    </row>
    <row r="17" spans="1:13" s="7" customFormat="1" ht="15">
      <c r="A17" s="52" t="s">
        <v>27</v>
      </c>
      <c r="B17" s="53" t="s">
        <v>32</v>
      </c>
      <c r="C17" s="83">
        <v>20002425</v>
      </c>
      <c r="D17" s="83">
        <v>20002425</v>
      </c>
      <c r="E17" s="83">
        <f>F17-1687373.04</f>
        <v>63500</v>
      </c>
      <c r="F17" s="83">
        <v>1750873.04</v>
      </c>
      <c r="G17" s="56">
        <f t="shared" si="0"/>
        <v>0.0028184606745162485</v>
      </c>
      <c r="H17" s="83">
        <f t="shared" si="2"/>
        <v>18251551.96</v>
      </c>
      <c r="I17" s="83">
        <f>J17-998550.6</f>
        <v>546182.9</v>
      </c>
      <c r="J17" s="83">
        <v>1544733.5</v>
      </c>
      <c r="K17" s="56">
        <f t="shared" si="1"/>
        <v>0.0027017611728745615</v>
      </c>
      <c r="L17" s="86">
        <f t="shared" si="3"/>
        <v>18457691.5</v>
      </c>
      <c r="M17" s="8"/>
    </row>
    <row r="18" spans="1:13" s="7" customFormat="1" ht="15">
      <c r="A18" s="52" t="s">
        <v>28</v>
      </c>
      <c r="B18" s="53" t="s">
        <v>33</v>
      </c>
      <c r="C18" s="83">
        <v>1842034085</v>
      </c>
      <c r="D18" s="83">
        <v>1933279070.59</v>
      </c>
      <c r="E18" s="83">
        <f>F18-1200814160.73</f>
        <v>154994961.3499999</v>
      </c>
      <c r="F18" s="83">
        <v>1355809122.08</v>
      </c>
      <c r="G18" s="56">
        <f t="shared" si="0"/>
        <v>2.1825081576062644</v>
      </c>
      <c r="H18" s="83">
        <f t="shared" si="2"/>
        <v>577469948.51</v>
      </c>
      <c r="I18" s="83">
        <f>J18-930781368.32</f>
        <v>226260267.95999992</v>
      </c>
      <c r="J18" s="83">
        <v>1157041636.28</v>
      </c>
      <c r="K18" s="56">
        <f t="shared" si="1"/>
        <v>2.0236825111260646</v>
      </c>
      <c r="L18" s="86">
        <f t="shared" si="3"/>
        <v>776237434.31</v>
      </c>
      <c r="M18" s="8"/>
    </row>
    <row r="19" spans="1:13" s="7" customFormat="1" ht="15">
      <c r="A19" s="52" t="s">
        <v>50</v>
      </c>
      <c r="B19" s="53" t="s">
        <v>57</v>
      </c>
      <c r="C19" s="83">
        <v>26553600</v>
      </c>
      <c r="D19" s="83">
        <v>26553600</v>
      </c>
      <c r="E19" s="83">
        <f>F19-4876612.56</f>
        <v>1872593.9400000004</v>
      </c>
      <c r="F19" s="83">
        <v>6749206.5</v>
      </c>
      <c r="G19" s="56">
        <f t="shared" si="0"/>
        <v>0.010864507402798006</v>
      </c>
      <c r="H19" s="83">
        <f>D19-F19</f>
        <v>19804393.5</v>
      </c>
      <c r="I19" s="83">
        <f>J19-1958270.91</f>
        <v>306162.00000000023</v>
      </c>
      <c r="J19" s="83">
        <v>2264432.91</v>
      </c>
      <c r="K19" s="56">
        <f t="shared" si="1"/>
        <v>0.003960525821973406</v>
      </c>
      <c r="L19" s="86">
        <f>D19-J19</f>
        <v>24289167.09</v>
      </c>
      <c r="M19" s="8"/>
    </row>
    <row r="20" spans="1:13" s="7" customFormat="1" ht="15">
      <c r="A20" s="52" t="s">
        <v>29</v>
      </c>
      <c r="B20" s="53" t="s">
        <v>34</v>
      </c>
      <c r="C20" s="83">
        <v>4826900</v>
      </c>
      <c r="D20" s="83">
        <v>4816900</v>
      </c>
      <c r="E20" s="83">
        <f>F20-842744.26</f>
        <v>214058.55000000005</v>
      </c>
      <c r="F20" s="83">
        <v>1056802.81</v>
      </c>
      <c r="G20" s="56">
        <f t="shared" si="0"/>
        <v>0.001701183976596765</v>
      </c>
      <c r="H20" s="83">
        <f t="shared" si="2"/>
        <v>3760097.19</v>
      </c>
      <c r="I20" s="83">
        <f>J20-306528.98</f>
        <v>79587.10000000003</v>
      </c>
      <c r="J20" s="83">
        <v>386116.08</v>
      </c>
      <c r="K20" s="56">
        <f t="shared" si="1"/>
        <v>0.0006753225932929713</v>
      </c>
      <c r="L20" s="86">
        <f t="shared" si="3"/>
        <v>4430783.92</v>
      </c>
      <c r="M20" s="8"/>
    </row>
    <row r="21" spans="1:13" s="7" customFormat="1" ht="15">
      <c r="A21" s="52" t="s">
        <v>164</v>
      </c>
      <c r="B21" s="53" t="s">
        <v>165</v>
      </c>
      <c r="C21" s="83">
        <v>1000000</v>
      </c>
      <c r="D21" s="83">
        <v>1000000</v>
      </c>
      <c r="E21" s="83">
        <f>F21-0</f>
        <v>0</v>
      </c>
      <c r="F21" s="83">
        <v>0</v>
      </c>
      <c r="G21" s="56">
        <f t="shared" si="0"/>
        <v>0</v>
      </c>
      <c r="H21" s="83">
        <f t="shared" si="2"/>
        <v>1000000</v>
      </c>
      <c r="I21" s="83">
        <f>J21-0</f>
        <v>0</v>
      </c>
      <c r="J21" s="83">
        <v>0</v>
      </c>
      <c r="K21" s="56">
        <f t="shared" si="1"/>
        <v>0</v>
      </c>
      <c r="L21" s="86">
        <f t="shared" si="3"/>
        <v>1000000</v>
      </c>
      <c r="M21" s="8"/>
    </row>
    <row r="22" spans="1:13" s="7" customFormat="1" ht="15">
      <c r="A22" s="52" t="s">
        <v>117</v>
      </c>
      <c r="B22" s="53" t="s">
        <v>124</v>
      </c>
      <c r="C22" s="83">
        <v>500000</v>
      </c>
      <c r="D22" s="83">
        <v>500000</v>
      </c>
      <c r="E22" s="83">
        <f>F22-0</f>
        <v>0</v>
      </c>
      <c r="F22" s="83">
        <v>0</v>
      </c>
      <c r="G22" s="56">
        <f t="shared" si="0"/>
        <v>0</v>
      </c>
      <c r="H22" s="83">
        <f t="shared" si="2"/>
        <v>500000</v>
      </c>
      <c r="I22" s="83">
        <f>J22-0</f>
        <v>0</v>
      </c>
      <c r="J22" s="83">
        <v>0</v>
      </c>
      <c r="K22" s="56">
        <f t="shared" si="1"/>
        <v>0</v>
      </c>
      <c r="L22" s="86">
        <f t="shared" si="3"/>
        <v>500000</v>
      </c>
      <c r="M22" s="8"/>
    </row>
    <row r="23" spans="1:13" s="7" customFormat="1" ht="15">
      <c r="A23" s="52" t="s">
        <v>53</v>
      </c>
      <c r="B23" s="53" t="s">
        <v>60</v>
      </c>
      <c r="C23" s="83">
        <v>1349774</v>
      </c>
      <c r="D23" s="83">
        <v>1349774</v>
      </c>
      <c r="E23" s="83">
        <v>0</v>
      </c>
      <c r="F23" s="83">
        <v>0</v>
      </c>
      <c r="G23" s="56">
        <f t="shared" si="0"/>
        <v>0</v>
      </c>
      <c r="H23" s="83">
        <f t="shared" si="2"/>
        <v>1349774</v>
      </c>
      <c r="I23" s="83">
        <f>J23-0</f>
        <v>0</v>
      </c>
      <c r="J23" s="83">
        <v>0</v>
      </c>
      <c r="K23" s="56">
        <f t="shared" si="1"/>
        <v>0</v>
      </c>
      <c r="L23" s="86">
        <f t="shared" si="3"/>
        <v>1349774</v>
      </c>
      <c r="M23" s="8"/>
    </row>
    <row r="24" spans="1:13" s="7" customFormat="1" ht="15">
      <c r="A24" s="52" t="s">
        <v>30</v>
      </c>
      <c r="B24" s="53" t="s">
        <v>35</v>
      </c>
      <c r="C24" s="83">
        <v>130000</v>
      </c>
      <c r="D24" s="83">
        <v>130000</v>
      </c>
      <c r="E24" s="83">
        <f>F24-12380.4</f>
        <v>0</v>
      </c>
      <c r="F24" s="83">
        <v>12380.4</v>
      </c>
      <c r="G24" s="56">
        <f t="shared" si="0"/>
        <v>1.9929297977414148E-05</v>
      </c>
      <c r="H24" s="83">
        <f t="shared" si="2"/>
        <v>117619.6</v>
      </c>
      <c r="I24" s="83">
        <f>J24-1472</f>
        <v>1425.4</v>
      </c>
      <c r="J24" s="83">
        <v>2897.4</v>
      </c>
      <c r="K24" s="56">
        <f t="shared" si="1"/>
        <v>5.067594392357487E-06</v>
      </c>
      <c r="L24" s="86">
        <f t="shared" si="3"/>
        <v>127102.6</v>
      </c>
      <c r="M24" s="8"/>
    </row>
    <row r="25" spans="1:13" s="7" customFormat="1" ht="15">
      <c r="A25" s="52" t="s">
        <v>160</v>
      </c>
      <c r="B25" s="53" t="s">
        <v>161</v>
      </c>
      <c r="C25" s="83">
        <v>100000</v>
      </c>
      <c r="D25" s="83">
        <v>18100000</v>
      </c>
      <c r="E25" s="83">
        <f>F25-0</f>
        <v>0</v>
      </c>
      <c r="F25" s="83">
        <v>0</v>
      </c>
      <c r="G25" s="56">
        <f t="shared" si="0"/>
        <v>0</v>
      </c>
      <c r="H25" s="83">
        <f t="shared" si="2"/>
        <v>18100000</v>
      </c>
      <c r="I25" s="83">
        <f>J25-0</f>
        <v>0</v>
      </c>
      <c r="J25" s="83">
        <v>0</v>
      </c>
      <c r="K25" s="56">
        <f t="shared" si="1"/>
        <v>0</v>
      </c>
      <c r="L25" s="86">
        <f t="shared" si="3"/>
        <v>18100000</v>
      </c>
      <c r="M25" s="8"/>
    </row>
    <row r="26" spans="1:13" s="7" customFormat="1" ht="15">
      <c r="A26" s="47" t="s">
        <v>36</v>
      </c>
      <c r="B26" s="50" t="s">
        <v>37</v>
      </c>
      <c r="C26" s="82">
        <f>SUM(C27:C28)</f>
        <v>4796855554</v>
      </c>
      <c r="D26" s="82">
        <f>SUM(D27:D28)</f>
        <v>4796855554</v>
      </c>
      <c r="E26" s="82">
        <f>SUM(E27:E28)</f>
        <v>686780358.6600001</v>
      </c>
      <c r="F26" s="82">
        <f>SUM(F27:F28)</f>
        <v>3713544826.16</v>
      </c>
      <c r="G26" s="56">
        <f t="shared" si="0"/>
        <v>5.977863509501087</v>
      </c>
      <c r="H26" s="82">
        <f t="shared" si="2"/>
        <v>1083310727.8400002</v>
      </c>
      <c r="I26" s="82">
        <f>SUM(I27:I28)</f>
        <v>810677403.7700001</v>
      </c>
      <c r="J26" s="82">
        <f>SUM(J27:J28)</f>
        <v>3380739125.4700003</v>
      </c>
      <c r="K26" s="51">
        <f t="shared" si="1"/>
        <v>5.912961494531418</v>
      </c>
      <c r="L26" s="85">
        <f t="shared" si="3"/>
        <v>1416116428.5299997</v>
      </c>
      <c r="M26" s="8"/>
    </row>
    <row r="27" spans="1:13" s="7" customFormat="1" ht="15">
      <c r="A27" s="52" t="s">
        <v>38</v>
      </c>
      <c r="B27" s="53" t="s">
        <v>40</v>
      </c>
      <c r="C27" s="83">
        <v>1741611727</v>
      </c>
      <c r="D27" s="83">
        <v>1741611727</v>
      </c>
      <c r="E27" s="83">
        <f>F27-1269194564.26</f>
        <v>130322379.76999998</v>
      </c>
      <c r="F27" s="83">
        <v>1399516944.03</v>
      </c>
      <c r="G27" s="56">
        <f t="shared" si="0"/>
        <v>2.2528666442129417</v>
      </c>
      <c r="H27" s="83">
        <f t="shared" si="2"/>
        <v>342094782.97</v>
      </c>
      <c r="I27" s="83">
        <f>J27-812491818.46</f>
        <v>254219424.88</v>
      </c>
      <c r="J27" s="83">
        <v>1066711243.34</v>
      </c>
      <c r="K27" s="56">
        <f t="shared" si="1"/>
        <v>1.8656933509403144</v>
      </c>
      <c r="L27" s="86">
        <f t="shared" si="3"/>
        <v>674900483.66</v>
      </c>
      <c r="M27" s="8"/>
    </row>
    <row r="28" spans="1:13" s="7" customFormat="1" ht="15">
      <c r="A28" s="52" t="s">
        <v>28</v>
      </c>
      <c r="B28" s="53" t="s">
        <v>33</v>
      </c>
      <c r="C28" s="83">
        <v>3055243827</v>
      </c>
      <c r="D28" s="83">
        <v>3055243827</v>
      </c>
      <c r="E28" s="83">
        <f>F28-1757569903.24</f>
        <v>556457978.8900001</v>
      </c>
      <c r="F28" s="83">
        <v>2314027882.13</v>
      </c>
      <c r="G28" s="56">
        <f t="shared" si="0"/>
        <v>3.724996865288145</v>
      </c>
      <c r="H28" s="83">
        <f t="shared" si="2"/>
        <v>741215944.8699999</v>
      </c>
      <c r="I28" s="83">
        <f>J28-1757569903.24</f>
        <v>556457978.8900001</v>
      </c>
      <c r="J28" s="83">
        <v>2314027882.13</v>
      </c>
      <c r="K28" s="56">
        <f t="shared" si="1"/>
        <v>4.047268143591103</v>
      </c>
      <c r="L28" s="86">
        <f t="shared" si="3"/>
        <v>741215944.8699999</v>
      </c>
      <c r="M28" s="8"/>
    </row>
    <row r="29" spans="1:13" s="7" customFormat="1" ht="15">
      <c r="A29" s="47" t="s">
        <v>42</v>
      </c>
      <c r="B29" s="50" t="s">
        <v>43</v>
      </c>
      <c r="C29" s="82">
        <f>SUM(C30:C34)</f>
        <v>2838148651</v>
      </c>
      <c r="D29" s="82">
        <f>SUM(D30:D34)</f>
        <v>3285294468.32</v>
      </c>
      <c r="E29" s="82">
        <f>SUM(E30:E34)</f>
        <v>196245025.83000022</v>
      </c>
      <c r="F29" s="82">
        <f>SUM(F30:F34)</f>
        <v>2437844928.88</v>
      </c>
      <c r="G29" s="51">
        <f t="shared" si="0"/>
        <v>3.924310847014436</v>
      </c>
      <c r="H29" s="82">
        <f t="shared" si="2"/>
        <v>847449539.44</v>
      </c>
      <c r="I29" s="82">
        <f>SUM(I30:I34)</f>
        <v>452589873.02</v>
      </c>
      <c r="J29" s="82">
        <f>SUM(J30:J34)</f>
        <v>2060220084.43</v>
      </c>
      <c r="K29" s="51">
        <f t="shared" si="1"/>
        <v>3.603354644467363</v>
      </c>
      <c r="L29" s="85">
        <f t="shared" si="3"/>
        <v>1225074383.89</v>
      </c>
      <c r="M29" s="8"/>
    </row>
    <row r="30" spans="1:13" s="7" customFormat="1" ht="15">
      <c r="A30" s="52" t="s">
        <v>44</v>
      </c>
      <c r="B30" s="53" t="s">
        <v>45</v>
      </c>
      <c r="C30" s="83">
        <v>40540840</v>
      </c>
      <c r="D30" s="83">
        <v>132987519</v>
      </c>
      <c r="E30" s="83">
        <f>F30-11867272.14</f>
        <v>382671.7199999988</v>
      </c>
      <c r="F30" s="83">
        <v>12249943.86</v>
      </c>
      <c r="G30" s="56">
        <f t="shared" si="0"/>
        <v>0.019719296742636335</v>
      </c>
      <c r="H30" s="83">
        <f t="shared" si="2"/>
        <v>120737575.14</v>
      </c>
      <c r="I30" s="83">
        <f>J30-2613854.68</f>
        <v>1363182.31</v>
      </c>
      <c r="J30" s="83">
        <v>3977036.99</v>
      </c>
      <c r="K30" s="56">
        <f t="shared" si="1"/>
        <v>0.006955895060648272</v>
      </c>
      <c r="L30" s="86">
        <f t="shared" si="3"/>
        <v>129010482.01</v>
      </c>
      <c r="M30" s="8"/>
    </row>
    <row r="31" spans="1:13" s="7" customFormat="1" ht="15">
      <c r="A31" s="52" t="s">
        <v>229</v>
      </c>
      <c r="B31" s="53" t="s">
        <v>230</v>
      </c>
      <c r="C31" s="83">
        <v>3025630</v>
      </c>
      <c r="D31" s="83">
        <v>3057537.03</v>
      </c>
      <c r="E31" s="83">
        <f>F31-330000</f>
        <v>0</v>
      </c>
      <c r="F31" s="83">
        <v>330000</v>
      </c>
      <c r="G31" s="56">
        <f t="shared" si="0"/>
        <v>0.0005312161426566725</v>
      </c>
      <c r="H31" s="83">
        <f>D31-F31</f>
        <v>2727537.03</v>
      </c>
      <c r="I31" s="83">
        <f>J31-26569.14</f>
        <v>17761.590000000004</v>
      </c>
      <c r="J31" s="83">
        <v>44330.73</v>
      </c>
      <c r="K31" s="56">
        <f t="shared" si="1"/>
        <v>7.753508620042585E-05</v>
      </c>
      <c r="L31" s="86">
        <f>D31-J31</f>
        <v>3013206.3</v>
      </c>
      <c r="M31" s="8"/>
    </row>
    <row r="32" spans="1:13" s="7" customFormat="1" ht="15">
      <c r="A32" s="52" t="s">
        <v>28</v>
      </c>
      <c r="B32" s="53" t="s">
        <v>33</v>
      </c>
      <c r="C32" s="83">
        <v>2699180000</v>
      </c>
      <c r="D32" s="83">
        <v>2904236773.53</v>
      </c>
      <c r="E32" s="83">
        <f>F32-2151210090.24</f>
        <v>173220084.3000002</v>
      </c>
      <c r="F32" s="83">
        <v>2324430174.54</v>
      </c>
      <c r="G32" s="56">
        <f t="shared" si="0"/>
        <v>3.741741912708833</v>
      </c>
      <c r="H32" s="83">
        <f t="shared" si="2"/>
        <v>579806598.9900002</v>
      </c>
      <c r="I32" s="83">
        <f>J32-1534457040.5</f>
        <v>426428488.47</v>
      </c>
      <c r="J32" s="83">
        <v>1960885528.97</v>
      </c>
      <c r="K32" s="56">
        <f t="shared" si="1"/>
        <v>3.429617074157285</v>
      </c>
      <c r="L32" s="86">
        <f>D32-J32</f>
        <v>943351244.5600002</v>
      </c>
      <c r="M32" s="8"/>
    </row>
    <row r="33" spans="1:13" s="7" customFormat="1" ht="15">
      <c r="A33" s="52" t="s">
        <v>50</v>
      </c>
      <c r="B33" s="53" t="s">
        <v>269</v>
      </c>
      <c r="C33" s="83">
        <v>25811359</v>
      </c>
      <c r="D33" s="83">
        <v>72155311.83</v>
      </c>
      <c r="E33" s="83">
        <f>F33-10792062.1</f>
        <v>601776.1799999997</v>
      </c>
      <c r="F33" s="83">
        <v>11393838.28</v>
      </c>
      <c r="G33" s="56">
        <f t="shared" si="0"/>
        <v>0.01834118430653193</v>
      </c>
      <c r="H33" s="83">
        <f t="shared" si="2"/>
        <v>60761473.55</v>
      </c>
      <c r="I33" s="83">
        <f>J33-4894524.4</f>
        <v>2711392.4299999997</v>
      </c>
      <c r="J33" s="83">
        <v>7605916.83</v>
      </c>
      <c r="K33" s="56">
        <f t="shared" si="1"/>
        <v>0.013302858244096584</v>
      </c>
      <c r="L33" s="86">
        <f>D33-J33</f>
        <v>64549395</v>
      </c>
      <c r="M33" s="8"/>
    </row>
    <row r="34" spans="1:13" s="7" customFormat="1" ht="15">
      <c r="A34" s="52" t="s">
        <v>29</v>
      </c>
      <c r="B34" s="53" t="s">
        <v>34</v>
      </c>
      <c r="C34" s="83">
        <v>69590822</v>
      </c>
      <c r="D34" s="83">
        <v>172857326.93</v>
      </c>
      <c r="E34" s="83">
        <f>F34-67400478.57</f>
        <v>22040493.63000001</v>
      </c>
      <c r="F34" s="83">
        <v>89440972.2</v>
      </c>
      <c r="G34" s="56">
        <f t="shared" si="0"/>
        <v>0.14397723711377783</v>
      </c>
      <c r="H34" s="83">
        <f t="shared" si="2"/>
        <v>83416354.73</v>
      </c>
      <c r="I34" s="83">
        <f>J34-65638222.69</f>
        <v>22069048.22</v>
      </c>
      <c r="J34" s="83">
        <v>87707270.91</v>
      </c>
      <c r="K34" s="56">
        <f t="shared" si="1"/>
        <v>0.15340128191913266</v>
      </c>
      <c r="L34" s="86">
        <f t="shared" si="3"/>
        <v>85150056.02000001</v>
      </c>
      <c r="M34" s="8"/>
    </row>
    <row r="35" spans="1:13" s="7" customFormat="1" ht="15">
      <c r="A35" s="47" t="s">
        <v>46</v>
      </c>
      <c r="B35" s="50" t="s">
        <v>47</v>
      </c>
      <c r="C35" s="82">
        <f>SUM(C36:C58)</f>
        <v>5494260961</v>
      </c>
      <c r="D35" s="82">
        <f>SUM(D36:D58)</f>
        <v>5723048529.52</v>
      </c>
      <c r="E35" s="82">
        <f>SUM(E36:E58)</f>
        <v>429072161.18999994</v>
      </c>
      <c r="F35" s="82">
        <f>SUM(F36:F58)</f>
        <v>2052327295.07</v>
      </c>
      <c r="G35" s="51">
        <f t="shared" si="0"/>
        <v>3.303725421685115</v>
      </c>
      <c r="H35" s="82">
        <f t="shared" si="2"/>
        <v>3670721234.450001</v>
      </c>
      <c r="I35" s="82">
        <f>SUM(I36:I58)</f>
        <v>455236990.7299999</v>
      </c>
      <c r="J35" s="82">
        <f>SUM(J36:J58)</f>
        <v>1984828841.9699998</v>
      </c>
      <c r="K35" s="51">
        <f t="shared" si="1"/>
        <v>3.471494273954779</v>
      </c>
      <c r="L35" s="85">
        <f t="shared" si="3"/>
        <v>3738219687.5500007</v>
      </c>
      <c r="M35" s="8"/>
    </row>
    <row r="36" spans="1:13" s="7" customFormat="1" ht="15">
      <c r="A36" s="52" t="s">
        <v>48</v>
      </c>
      <c r="B36" s="53" t="s">
        <v>55</v>
      </c>
      <c r="C36" s="83">
        <v>228494912</v>
      </c>
      <c r="D36" s="83">
        <v>228494912</v>
      </c>
      <c r="E36" s="83">
        <f>F36-1480</f>
        <v>0</v>
      </c>
      <c r="F36" s="83">
        <v>1480</v>
      </c>
      <c r="G36" s="56">
        <f t="shared" si="0"/>
        <v>2.382423912520835E-06</v>
      </c>
      <c r="H36" s="83">
        <f t="shared" si="2"/>
        <v>228493432</v>
      </c>
      <c r="I36" s="83">
        <f>J36-1480</f>
        <v>0</v>
      </c>
      <c r="J36" s="83">
        <v>1480</v>
      </c>
      <c r="K36" s="56">
        <f t="shared" si="1"/>
        <v>2.5885413476527516E-06</v>
      </c>
      <c r="L36" s="86">
        <f t="shared" si="3"/>
        <v>228493432</v>
      </c>
      <c r="M36" s="8"/>
    </row>
    <row r="37" spans="1:13" s="7" customFormat="1" ht="15">
      <c r="A37" s="52" t="s">
        <v>28</v>
      </c>
      <c r="B37" s="53" t="s">
        <v>33</v>
      </c>
      <c r="C37" s="83">
        <v>3903399115</v>
      </c>
      <c r="D37" s="83">
        <v>3658682616.93</v>
      </c>
      <c r="E37" s="83">
        <f>F37-840700747.44</f>
        <v>174645864.90999997</v>
      </c>
      <c r="F37" s="83">
        <v>1015346612.35</v>
      </c>
      <c r="G37" s="56">
        <f t="shared" si="0"/>
        <v>1.6344500329457174</v>
      </c>
      <c r="H37" s="83">
        <f t="shared" si="2"/>
        <v>2643336004.58</v>
      </c>
      <c r="I37" s="83">
        <f>J37-781262092.52</f>
        <v>189263086</v>
      </c>
      <c r="J37" s="83">
        <v>970525178.52</v>
      </c>
      <c r="K37" s="56">
        <f t="shared" si="1"/>
        <v>1.697462536173708</v>
      </c>
      <c r="L37" s="86">
        <f t="shared" si="3"/>
        <v>2688157438.41</v>
      </c>
      <c r="M37" s="8"/>
    </row>
    <row r="38" spans="1:13" s="7" customFormat="1" ht="15">
      <c r="A38" s="52" t="s">
        <v>39</v>
      </c>
      <c r="B38" s="53" t="s">
        <v>41</v>
      </c>
      <c r="C38" s="83">
        <v>91426191</v>
      </c>
      <c r="D38" s="83">
        <v>127520962.54</v>
      </c>
      <c r="E38" s="83">
        <f>F38-4992337.4</f>
        <v>323703.3300000001</v>
      </c>
      <c r="F38" s="83">
        <v>5316040.73</v>
      </c>
      <c r="G38" s="56">
        <f t="shared" si="0"/>
        <v>0.008557474699382915</v>
      </c>
      <c r="H38" s="83">
        <f t="shared" si="2"/>
        <v>122204921.81</v>
      </c>
      <c r="I38" s="83">
        <f>J38-2413184</f>
        <v>107365.10999999987</v>
      </c>
      <c r="J38" s="83">
        <v>2520549.11</v>
      </c>
      <c r="K38" s="56">
        <f t="shared" si="1"/>
        <v>0.004408476750016448</v>
      </c>
      <c r="L38" s="86">
        <f t="shared" si="3"/>
        <v>125000413.43</v>
      </c>
      <c r="M38" s="8"/>
    </row>
    <row r="39" spans="1:13" s="7" customFormat="1" ht="15">
      <c r="A39" s="52" t="s">
        <v>232</v>
      </c>
      <c r="B39" s="53" t="s">
        <v>231</v>
      </c>
      <c r="C39" s="83">
        <v>235819</v>
      </c>
      <c r="D39" s="83">
        <v>235819</v>
      </c>
      <c r="E39" s="83">
        <f>F39-0</f>
        <v>1182</v>
      </c>
      <c r="F39" s="83">
        <v>1182</v>
      </c>
      <c r="G39" s="56">
        <f t="shared" si="0"/>
        <v>1.9027196382429908E-06</v>
      </c>
      <c r="H39" s="83">
        <f t="shared" si="2"/>
        <v>234637</v>
      </c>
      <c r="I39" s="83">
        <f aca="true" t="shared" si="4" ref="I39:I58">J39-0</f>
        <v>0</v>
      </c>
      <c r="J39" s="83">
        <v>0</v>
      </c>
      <c r="K39" s="56">
        <f t="shared" si="1"/>
        <v>0</v>
      </c>
      <c r="L39" s="86">
        <f t="shared" si="3"/>
        <v>235819</v>
      </c>
      <c r="M39" s="8"/>
    </row>
    <row r="40" spans="1:13" s="7" customFormat="1" ht="15">
      <c r="A40" s="52" t="s">
        <v>49</v>
      </c>
      <c r="B40" s="53" t="s">
        <v>56</v>
      </c>
      <c r="C40" s="83">
        <v>4835506</v>
      </c>
      <c r="D40" s="83">
        <v>2970559.15</v>
      </c>
      <c r="E40" s="83">
        <f>F40-1403346.52</f>
        <v>119977.83000000007</v>
      </c>
      <c r="F40" s="83">
        <v>1523324.35</v>
      </c>
      <c r="G40" s="56">
        <f t="shared" si="0"/>
        <v>0.002452165106733282</v>
      </c>
      <c r="H40" s="83">
        <f t="shared" si="2"/>
        <v>1447234.7999999998</v>
      </c>
      <c r="I40" s="83">
        <f>J40-481953.72</f>
        <v>371260.31000000006</v>
      </c>
      <c r="J40" s="83">
        <v>853214.03</v>
      </c>
      <c r="K40" s="56">
        <f t="shared" si="1"/>
        <v>0.0014922836453056993</v>
      </c>
      <c r="L40" s="86">
        <f t="shared" si="3"/>
        <v>2117345.12</v>
      </c>
      <c r="M40" s="8"/>
    </row>
    <row r="41" spans="1:13" s="7" customFormat="1" ht="15">
      <c r="A41" s="52" t="s">
        <v>50</v>
      </c>
      <c r="B41" s="53" t="s">
        <v>57</v>
      </c>
      <c r="C41" s="83">
        <v>54861031</v>
      </c>
      <c r="D41" s="83">
        <v>58288425.06</v>
      </c>
      <c r="E41" s="83">
        <f>F41-9145267.31</f>
        <v>1665353.8099999987</v>
      </c>
      <c r="F41" s="83">
        <v>10810621.12</v>
      </c>
      <c r="G41" s="56">
        <f t="shared" si="0"/>
        <v>0.017402352882088357</v>
      </c>
      <c r="H41" s="83">
        <f t="shared" si="2"/>
        <v>47477803.940000005</v>
      </c>
      <c r="I41" s="83">
        <f>J41-4077095.49</f>
        <v>3301977.96</v>
      </c>
      <c r="J41" s="83">
        <v>7379073.45</v>
      </c>
      <c r="K41" s="56">
        <f t="shared" si="1"/>
        <v>0.012906105900467322</v>
      </c>
      <c r="L41" s="86">
        <f t="shared" si="3"/>
        <v>50909351.61</v>
      </c>
      <c r="M41" s="8"/>
    </row>
    <row r="42" spans="1:13" s="7" customFormat="1" ht="15">
      <c r="A42" s="52" t="s">
        <v>51</v>
      </c>
      <c r="B42" s="53" t="s">
        <v>58</v>
      </c>
      <c r="C42" s="83">
        <v>4405000</v>
      </c>
      <c r="D42" s="83">
        <v>4405000</v>
      </c>
      <c r="E42" s="83">
        <f>F42-0</f>
        <v>0</v>
      </c>
      <c r="F42" s="83">
        <v>0</v>
      </c>
      <c r="G42" s="56">
        <f t="shared" si="0"/>
        <v>0</v>
      </c>
      <c r="H42" s="83">
        <f t="shared" si="2"/>
        <v>4405000</v>
      </c>
      <c r="I42" s="83">
        <f t="shared" si="4"/>
        <v>0</v>
      </c>
      <c r="J42" s="83">
        <v>0</v>
      </c>
      <c r="K42" s="56">
        <f t="shared" si="1"/>
        <v>0</v>
      </c>
      <c r="L42" s="86">
        <f t="shared" si="3"/>
        <v>4405000</v>
      </c>
      <c r="M42" s="8"/>
    </row>
    <row r="43" spans="1:13" s="7" customFormat="1" ht="15">
      <c r="A43" s="52" t="s">
        <v>29</v>
      </c>
      <c r="B43" s="53" t="s">
        <v>34</v>
      </c>
      <c r="C43" s="83">
        <v>3341354</v>
      </c>
      <c r="D43" s="83">
        <v>4764311.07</v>
      </c>
      <c r="E43" s="83">
        <f>F43-1400101.24</f>
        <v>387149.1499999999</v>
      </c>
      <c r="F43" s="83">
        <v>1787250.39</v>
      </c>
      <c r="G43" s="56">
        <f t="shared" si="0"/>
        <v>0.002877018964052829</v>
      </c>
      <c r="H43" s="83">
        <f t="shared" si="2"/>
        <v>2977060.6800000006</v>
      </c>
      <c r="I43" s="83">
        <f>J43-1239482.46</f>
        <v>481952.94999999995</v>
      </c>
      <c r="J43" s="83">
        <v>1721435.41</v>
      </c>
      <c r="K43" s="56">
        <f t="shared" si="1"/>
        <v>0.003010815362228761</v>
      </c>
      <c r="L43" s="86">
        <f t="shared" si="3"/>
        <v>3042875.66</v>
      </c>
      <c r="M43" s="8"/>
    </row>
    <row r="44" spans="1:13" s="7" customFormat="1" ht="15">
      <c r="A44" s="52" t="s">
        <v>233</v>
      </c>
      <c r="B44" s="53" t="s">
        <v>234</v>
      </c>
      <c r="C44" s="83">
        <v>0</v>
      </c>
      <c r="D44" s="83">
        <v>0</v>
      </c>
      <c r="E44" s="83">
        <f>F44-0</f>
        <v>0</v>
      </c>
      <c r="F44" s="83">
        <v>0</v>
      </c>
      <c r="G44" s="56">
        <f t="shared" si="0"/>
        <v>0</v>
      </c>
      <c r="H44" s="83">
        <f t="shared" si="2"/>
        <v>0</v>
      </c>
      <c r="I44" s="83">
        <f t="shared" si="4"/>
        <v>0</v>
      </c>
      <c r="J44" s="83">
        <v>0</v>
      </c>
      <c r="K44" s="56">
        <f t="shared" si="1"/>
        <v>0</v>
      </c>
      <c r="L44" s="86">
        <f t="shared" si="3"/>
        <v>0</v>
      </c>
      <c r="M44" s="8"/>
    </row>
    <row r="45" spans="1:13" s="7" customFormat="1" ht="15">
      <c r="A45" s="52" t="s">
        <v>236</v>
      </c>
      <c r="B45" s="53" t="s">
        <v>235</v>
      </c>
      <c r="C45" s="83">
        <v>13812741</v>
      </c>
      <c r="D45" s="83">
        <v>14482095.11</v>
      </c>
      <c r="E45" s="83">
        <f>F45-1393203.07</f>
        <v>339369.73</v>
      </c>
      <c r="F45" s="83">
        <v>1732572.8</v>
      </c>
      <c r="G45" s="56">
        <f t="shared" si="0"/>
        <v>0.002789001938448093</v>
      </c>
      <c r="H45" s="83">
        <f t="shared" si="2"/>
        <v>12749522.309999999</v>
      </c>
      <c r="I45" s="83">
        <f>J45-990578.69</f>
        <v>360503.44999999995</v>
      </c>
      <c r="J45" s="83">
        <v>1351082.14</v>
      </c>
      <c r="K45" s="56">
        <f t="shared" si="1"/>
        <v>0.0023630621509899753</v>
      </c>
      <c r="L45" s="86">
        <f t="shared" si="3"/>
        <v>13131012.969999999</v>
      </c>
      <c r="M45" s="8"/>
    </row>
    <row r="46" spans="1:13" s="7" customFormat="1" ht="15">
      <c r="A46" s="52" t="s">
        <v>164</v>
      </c>
      <c r="B46" s="53" t="s">
        <v>165</v>
      </c>
      <c r="C46" s="83">
        <v>4312026</v>
      </c>
      <c r="D46" s="83">
        <v>29993825.35</v>
      </c>
      <c r="E46" s="83">
        <f>F46-25150000</f>
        <v>729019</v>
      </c>
      <c r="F46" s="83">
        <v>25879019</v>
      </c>
      <c r="G46" s="56">
        <f aca="true" t="shared" si="5" ref="G46:G77">(F46/$F$286)*100</f>
        <v>0.041658644390662844</v>
      </c>
      <c r="H46" s="83">
        <f t="shared" si="2"/>
        <v>4114806.3500000015</v>
      </c>
      <c r="I46" s="83">
        <f>J46-276797.52</f>
        <v>20119340.63</v>
      </c>
      <c r="J46" s="83">
        <v>20396138.15</v>
      </c>
      <c r="K46" s="56">
        <f aca="true" t="shared" si="6" ref="K46:K77">(J46/$J$286)*100</f>
        <v>0.035673139820076145</v>
      </c>
      <c r="L46" s="86">
        <f t="shared" si="3"/>
        <v>9597687.200000003</v>
      </c>
      <c r="M46" s="8"/>
    </row>
    <row r="47" spans="1:13" s="7" customFormat="1" ht="15">
      <c r="A47" s="52" t="s">
        <v>66</v>
      </c>
      <c r="B47" s="53" t="s">
        <v>74</v>
      </c>
      <c r="C47" s="83">
        <v>807000</v>
      </c>
      <c r="D47" s="83">
        <v>807000</v>
      </c>
      <c r="E47" s="83">
        <f aca="true" t="shared" si="7" ref="E47:E52">F47-0</f>
        <v>0</v>
      </c>
      <c r="F47" s="83">
        <v>0</v>
      </c>
      <c r="G47" s="56">
        <f t="shared" si="5"/>
        <v>0</v>
      </c>
      <c r="H47" s="83">
        <f t="shared" si="2"/>
        <v>807000</v>
      </c>
      <c r="I47" s="83">
        <f t="shared" si="4"/>
        <v>0</v>
      </c>
      <c r="J47" s="83">
        <v>0</v>
      </c>
      <c r="K47" s="56">
        <f t="shared" si="6"/>
        <v>0</v>
      </c>
      <c r="L47" s="86">
        <f t="shared" si="3"/>
        <v>807000</v>
      </c>
      <c r="M47" s="8"/>
    </row>
    <row r="48" spans="1:13" s="7" customFormat="1" ht="15">
      <c r="A48" s="52" t="s">
        <v>53</v>
      </c>
      <c r="B48" s="53" t="s">
        <v>60</v>
      </c>
      <c r="C48" s="83">
        <v>5000</v>
      </c>
      <c r="D48" s="83">
        <v>27551200</v>
      </c>
      <c r="E48" s="83">
        <f t="shared" si="7"/>
        <v>9458880</v>
      </c>
      <c r="F48" s="83">
        <v>9458880</v>
      </c>
      <c r="G48" s="56">
        <f t="shared" si="5"/>
        <v>0.015226393174098022</v>
      </c>
      <c r="H48" s="83">
        <f t="shared" si="2"/>
        <v>18092320</v>
      </c>
      <c r="I48" s="83">
        <f t="shared" si="4"/>
        <v>0</v>
      </c>
      <c r="J48" s="83">
        <v>0</v>
      </c>
      <c r="K48" s="56">
        <f t="shared" si="6"/>
        <v>0</v>
      </c>
      <c r="L48" s="86">
        <f t="shared" si="3"/>
        <v>27551200</v>
      </c>
      <c r="M48" s="8"/>
    </row>
    <row r="49" spans="1:13" s="7" customFormat="1" ht="15">
      <c r="A49" s="102" t="s">
        <v>135</v>
      </c>
      <c r="B49" s="53" t="s">
        <v>136</v>
      </c>
      <c r="C49" s="83">
        <v>0</v>
      </c>
      <c r="D49" s="83">
        <v>0</v>
      </c>
      <c r="E49" s="83">
        <f t="shared" si="7"/>
        <v>0</v>
      </c>
      <c r="F49" s="83">
        <v>0</v>
      </c>
      <c r="G49" s="56">
        <f t="shared" si="5"/>
        <v>0</v>
      </c>
      <c r="H49" s="83">
        <f t="shared" si="2"/>
        <v>0</v>
      </c>
      <c r="I49" s="83">
        <f t="shared" si="4"/>
        <v>0</v>
      </c>
      <c r="J49" s="83">
        <v>0</v>
      </c>
      <c r="K49" s="56">
        <f t="shared" si="6"/>
        <v>0</v>
      </c>
      <c r="L49" s="86">
        <f aca="true" t="shared" si="8" ref="L49:L56">D49-J49</f>
        <v>0</v>
      </c>
      <c r="M49" s="8"/>
    </row>
    <row r="50" spans="1:13" s="7" customFormat="1" ht="15">
      <c r="A50" s="52" t="s">
        <v>151</v>
      </c>
      <c r="B50" s="53" t="s">
        <v>152</v>
      </c>
      <c r="C50" s="83">
        <v>30000</v>
      </c>
      <c r="D50" s="83">
        <v>8030000</v>
      </c>
      <c r="E50" s="83">
        <f t="shared" si="7"/>
        <v>0</v>
      </c>
      <c r="F50" s="83">
        <v>0</v>
      </c>
      <c r="G50" s="56">
        <f t="shared" si="5"/>
        <v>0</v>
      </c>
      <c r="H50" s="83">
        <f t="shared" si="2"/>
        <v>8030000</v>
      </c>
      <c r="I50" s="83">
        <f t="shared" si="4"/>
        <v>0</v>
      </c>
      <c r="J50" s="83">
        <v>0</v>
      </c>
      <c r="K50" s="56">
        <f t="shared" si="6"/>
        <v>0</v>
      </c>
      <c r="L50" s="86">
        <f t="shared" si="8"/>
        <v>8030000</v>
      </c>
      <c r="M50" s="8"/>
    </row>
    <row r="51" spans="1:13" s="7" customFormat="1" ht="15">
      <c r="A51" s="52" t="s">
        <v>139</v>
      </c>
      <c r="B51" s="53" t="s">
        <v>140</v>
      </c>
      <c r="C51" s="83">
        <v>314500</v>
      </c>
      <c r="D51" s="83">
        <v>5000</v>
      </c>
      <c r="E51" s="83">
        <f t="shared" si="7"/>
        <v>0</v>
      </c>
      <c r="F51" s="83">
        <v>0</v>
      </c>
      <c r="G51" s="56">
        <f t="shared" si="5"/>
        <v>0</v>
      </c>
      <c r="H51" s="83">
        <f t="shared" si="2"/>
        <v>5000</v>
      </c>
      <c r="I51" s="83">
        <f t="shared" si="4"/>
        <v>0</v>
      </c>
      <c r="J51" s="83">
        <v>0</v>
      </c>
      <c r="K51" s="56">
        <f t="shared" si="6"/>
        <v>0</v>
      </c>
      <c r="L51" s="86">
        <f t="shared" si="8"/>
        <v>5000</v>
      </c>
      <c r="M51" s="8"/>
    </row>
    <row r="52" spans="1:13" s="7" customFormat="1" ht="15">
      <c r="A52" s="52" t="s">
        <v>143</v>
      </c>
      <c r="B52" s="53" t="s">
        <v>144</v>
      </c>
      <c r="C52" s="83">
        <v>8017000</v>
      </c>
      <c r="D52" s="83">
        <v>339309944</v>
      </c>
      <c r="E52" s="83">
        <f t="shared" si="7"/>
        <v>0</v>
      </c>
      <c r="F52" s="83">
        <v>0</v>
      </c>
      <c r="G52" s="56">
        <f t="shared" si="5"/>
        <v>0</v>
      </c>
      <c r="H52" s="83">
        <f t="shared" si="2"/>
        <v>339309944</v>
      </c>
      <c r="I52" s="83">
        <f t="shared" si="4"/>
        <v>0</v>
      </c>
      <c r="J52" s="83">
        <v>0</v>
      </c>
      <c r="K52" s="56">
        <f t="shared" si="6"/>
        <v>0</v>
      </c>
      <c r="L52" s="86">
        <f t="shared" si="8"/>
        <v>339309944</v>
      </c>
      <c r="M52" s="8"/>
    </row>
    <row r="53" spans="1:13" s="7" customFormat="1" ht="15">
      <c r="A53" s="52" t="s">
        <v>96</v>
      </c>
      <c r="B53" s="53" t="s">
        <v>102</v>
      </c>
      <c r="C53" s="83">
        <v>8112438</v>
      </c>
      <c r="D53" s="83">
        <v>52165531.31</v>
      </c>
      <c r="E53" s="83">
        <f>F53-5551178.71</f>
        <v>5090501.850000001</v>
      </c>
      <c r="F53" s="83">
        <v>10641680.56</v>
      </c>
      <c r="G53" s="56">
        <f t="shared" si="5"/>
        <v>0.017130401510508177</v>
      </c>
      <c r="H53" s="83">
        <f t="shared" si="2"/>
        <v>41523850.75</v>
      </c>
      <c r="I53" s="83">
        <f>J53-5331714.65</f>
        <v>4920344.74</v>
      </c>
      <c r="J53" s="83">
        <v>10252059.39</v>
      </c>
      <c r="K53" s="56">
        <f t="shared" si="6"/>
        <v>0.01793099974973422</v>
      </c>
      <c r="L53" s="86">
        <f t="shared" si="8"/>
        <v>41913471.92</v>
      </c>
      <c r="M53" s="8"/>
    </row>
    <row r="54" spans="1:13" s="7" customFormat="1" ht="15">
      <c r="A54" s="52" t="s">
        <v>97</v>
      </c>
      <c r="B54" s="53" t="s">
        <v>237</v>
      </c>
      <c r="C54" s="83">
        <v>11783077</v>
      </c>
      <c r="D54" s="83">
        <v>9273077</v>
      </c>
      <c r="E54" s="83">
        <f>F54-0</f>
        <v>0</v>
      </c>
      <c r="F54" s="83">
        <v>0</v>
      </c>
      <c r="G54" s="56">
        <f t="shared" si="5"/>
        <v>0</v>
      </c>
      <c r="H54" s="83">
        <f t="shared" si="2"/>
        <v>9273077</v>
      </c>
      <c r="I54" s="83">
        <f t="shared" si="4"/>
        <v>0</v>
      </c>
      <c r="J54" s="83">
        <v>0</v>
      </c>
      <c r="K54" s="56">
        <f t="shared" si="6"/>
        <v>0</v>
      </c>
      <c r="L54" s="86">
        <f t="shared" si="8"/>
        <v>9273077</v>
      </c>
      <c r="M54" s="8"/>
    </row>
    <row r="55" spans="1:13" s="7" customFormat="1" ht="15">
      <c r="A55" s="52" t="s">
        <v>180</v>
      </c>
      <c r="B55" s="53" t="s">
        <v>181</v>
      </c>
      <c r="C55" s="83">
        <v>250000</v>
      </c>
      <c r="D55" s="83">
        <v>250000</v>
      </c>
      <c r="E55" s="83">
        <f>F55-0</f>
        <v>0</v>
      </c>
      <c r="F55" s="83">
        <v>0</v>
      </c>
      <c r="G55" s="56">
        <f t="shared" si="5"/>
        <v>0</v>
      </c>
      <c r="H55" s="83">
        <f t="shared" si="2"/>
        <v>250000</v>
      </c>
      <c r="I55" s="83">
        <v>0</v>
      </c>
      <c r="J55" s="83">
        <v>0</v>
      </c>
      <c r="K55" s="56">
        <f t="shared" si="6"/>
        <v>0</v>
      </c>
      <c r="L55" s="86">
        <f t="shared" si="8"/>
        <v>250000</v>
      </c>
      <c r="M55" s="8"/>
    </row>
    <row r="56" spans="1:13" s="7" customFormat="1" ht="15">
      <c r="A56" s="52" t="s">
        <v>54</v>
      </c>
      <c r="B56" s="53" t="s">
        <v>61</v>
      </c>
      <c r="C56" s="83">
        <v>1155818251</v>
      </c>
      <c r="D56" s="83">
        <v>1155818251</v>
      </c>
      <c r="E56" s="83">
        <f>F56-733517472.19</f>
        <v>236311159.57999992</v>
      </c>
      <c r="F56" s="83">
        <v>969828631.77</v>
      </c>
      <c r="G56" s="56">
        <f t="shared" si="5"/>
        <v>1.5611776509298725</v>
      </c>
      <c r="H56" s="83">
        <f t="shared" si="2"/>
        <v>185989619.23000002</v>
      </c>
      <c r="I56" s="83">
        <f>J56-733517472.19</f>
        <v>236311159.57999992</v>
      </c>
      <c r="J56" s="83">
        <v>969828631.77</v>
      </c>
      <c r="K56" s="56">
        <f t="shared" si="6"/>
        <v>1.696244265860905</v>
      </c>
      <c r="L56" s="86">
        <f t="shared" si="8"/>
        <v>185989619.23000002</v>
      </c>
      <c r="M56" s="8"/>
    </row>
    <row r="57" spans="1:13" s="7" customFormat="1" ht="15">
      <c r="A57" s="52" t="s">
        <v>185</v>
      </c>
      <c r="B57" s="53" t="s">
        <v>186</v>
      </c>
      <c r="C57" s="83">
        <v>0</v>
      </c>
      <c r="D57" s="83">
        <v>0</v>
      </c>
      <c r="E57" s="83">
        <f>F57-0</f>
        <v>0</v>
      </c>
      <c r="F57" s="83">
        <v>0</v>
      </c>
      <c r="G57" s="56">
        <f t="shared" si="5"/>
        <v>0</v>
      </c>
      <c r="H57" s="83">
        <f t="shared" si="2"/>
        <v>0</v>
      </c>
      <c r="I57" s="83">
        <f t="shared" si="4"/>
        <v>0</v>
      </c>
      <c r="J57" s="83">
        <v>0</v>
      </c>
      <c r="K57" s="56">
        <f t="shared" si="6"/>
        <v>0</v>
      </c>
      <c r="L57" s="86">
        <f t="shared" si="3"/>
        <v>0</v>
      </c>
      <c r="M57" s="8"/>
    </row>
    <row r="58" spans="1:13" s="7" customFormat="1" ht="15">
      <c r="A58" s="52" t="s">
        <v>209</v>
      </c>
      <c r="B58" s="53" t="s">
        <v>210</v>
      </c>
      <c r="C58" s="83">
        <v>0</v>
      </c>
      <c r="D58" s="83">
        <v>0</v>
      </c>
      <c r="E58" s="83">
        <f>F58-0</f>
        <v>0</v>
      </c>
      <c r="F58" s="83">
        <v>0</v>
      </c>
      <c r="G58" s="56">
        <f t="shared" si="5"/>
        <v>0</v>
      </c>
      <c r="H58" s="83">
        <f>D58-F58</f>
        <v>0</v>
      </c>
      <c r="I58" s="83">
        <f t="shared" si="4"/>
        <v>0</v>
      </c>
      <c r="J58" s="83">
        <v>0</v>
      </c>
      <c r="K58" s="56">
        <f t="shared" si="6"/>
        <v>0</v>
      </c>
      <c r="L58" s="86">
        <f>D58-J58</f>
        <v>0</v>
      </c>
      <c r="M58" s="8"/>
    </row>
    <row r="59" spans="1:13" s="7" customFormat="1" ht="15">
      <c r="A59" s="104" t="s">
        <v>63</v>
      </c>
      <c r="B59" s="105" t="s">
        <v>62</v>
      </c>
      <c r="C59" s="82">
        <f>SUM(C60:C77)</f>
        <v>11098430521</v>
      </c>
      <c r="D59" s="82">
        <f>SUM(D60:D77)</f>
        <v>12247319475.430002</v>
      </c>
      <c r="E59" s="82">
        <f>SUM(E60:E77)</f>
        <v>1661428531.3400002</v>
      </c>
      <c r="F59" s="82">
        <f>SUM(F60:F77)</f>
        <v>8274216823.0599985</v>
      </c>
      <c r="G59" s="51">
        <f t="shared" si="5"/>
        <v>13.31938649772994</v>
      </c>
      <c r="H59" s="82">
        <f t="shared" si="2"/>
        <v>3973102652.3700037</v>
      </c>
      <c r="I59" s="82">
        <f>SUM(I60:I77)</f>
        <v>1659890020.6300004</v>
      </c>
      <c r="J59" s="82">
        <f>SUM(J60:J77)</f>
        <v>7796578136.99</v>
      </c>
      <c r="K59" s="51">
        <f t="shared" si="6"/>
        <v>13.636327620137886</v>
      </c>
      <c r="L59" s="85">
        <f t="shared" si="3"/>
        <v>4450741338.440002</v>
      </c>
      <c r="M59" s="8"/>
    </row>
    <row r="60" spans="1:13" s="7" customFormat="1" ht="15">
      <c r="A60" s="52" t="s">
        <v>28</v>
      </c>
      <c r="B60" s="53" t="s">
        <v>33</v>
      </c>
      <c r="C60" s="83">
        <v>9619482989</v>
      </c>
      <c r="D60" s="83">
        <v>10101331805.48</v>
      </c>
      <c r="E60" s="83">
        <f>F60-5877489968.86</f>
        <v>1486990272.5100002</v>
      </c>
      <c r="F60" s="83">
        <v>7364480241.37</v>
      </c>
      <c r="G60" s="56">
        <f t="shared" si="5"/>
        <v>11.854941777248037</v>
      </c>
      <c r="H60" s="83">
        <f t="shared" si="2"/>
        <v>2736851564.1099997</v>
      </c>
      <c r="I60" s="83">
        <f>J60-5655879234.07</f>
        <v>1500275563.1100006</v>
      </c>
      <c r="J60" s="83">
        <v>7156154797.18</v>
      </c>
      <c r="K60" s="56">
        <f t="shared" si="6"/>
        <v>12.516217961286499</v>
      </c>
      <c r="L60" s="86">
        <f t="shared" si="3"/>
        <v>2945177008.299999</v>
      </c>
      <c r="M60" s="8"/>
    </row>
    <row r="61" spans="1:13" s="7" customFormat="1" ht="15">
      <c r="A61" s="52" t="s">
        <v>49</v>
      </c>
      <c r="B61" s="53" t="s">
        <v>56</v>
      </c>
      <c r="C61" s="83">
        <v>214216173</v>
      </c>
      <c r="D61" s="83">
        <v>240556777</v>
      </c>
      <c r="E61" s="83">
        <f>F61-108627572.18</f>
        <v>36331536.45999998</v>
      </c>
      <c r="F61" s="83">
        <v>144959108.64</v>
      </c>
      <c r="G61" s="56">
        <f t="shared" si="5"/>
        <v>0.233347328893001</v>
      </c>
      <c r="H61" s="83">
        <f t="shared" si="2"/>
        <v>95597668.36000001</v>
      </c>
      <c r="I61" s="83">
        <f>J61-83511908.83</f>
        <v>45911627.14</v>
      </c>
      <c r="J61" s="83">
        <v>129423535.97</v>
      </c>
      <c r="K61" s="56">
        <f t="shared" si="6"/>
        <v>0.22636363122822167</v>
      </c>
      <c r="L61" s="86">
        <f t="shared" si="3"/>
        <v>111133241.03</v>
      </c>
      <c r="M61" s="8"/>
    </row>
    <row r="62" spans="1:13" s="7" customFormat="1" ht="15">
      <c r="A62" s="102" t="s">
        <v>50</v>
      </c>
      <c r="B62" s="103" t="s">
        <v>57</v>
      </c>
      <c r="C62" s="83">
        <v>83880086</v>
      </c>
      <c r="D62" s="83">
        <v>83983901.6</v>
      </c>
      <c r="E62" s="83">
        <f>F62-14896170.45</f>
        <v>4169064.4299999997</v>
      </c>
      <c r="F62" s="83">
        <v>19065234.88</v>
      </c>
      <c r="G62" s="56">
        <f t="shared" si="5"/>
        <v>0.030690183429688028</v>
      </c>
      <c r="H62" s="83">
        <f>D62-F62</f>
        <v>64918666.72</v>
      </c>
      <c r="I62" s="83">
        <f>J62-10575510.65</f>
        <v>3926103.0199999996</v>
      </c>
      <c r="J62" s="83">
        <v>14501613.67</v>
      </c>
      <c r="K62" s="56">
        <f t="shared" si="6"/>
        <v>0.025363531481406326</v>
      </c>
      <c r="L62" s="86">
        <f t="shared" si="3"/>
        <v>69482287.92999999</v>
      </c>
      <c r="M62" s="8"/>
    </row>
    <row r="63" spans="1:13" s="7" customFormat="1" ht="15">
      <c r="A63" s="52" t="s">
        <v>29</v>
      </c>
      <c r="B63" s="53" t="s">
        <v>34</v>
      </c>
      <c r="C63" s="83">
        <v>14867754</v>
      </c>
      <c r="D63" s="83">
        <v>18176730</v>
      </c>
      <c r="E63" s="83">
        <f>F63-12276541.82</f>
        <v>841268</v>
      </c>
      <c r="F63" s="83">
        <v>13117809.82</v>
      </c>
      <c r="G63" s="56">
        <f t="shared" si="5"/>
        <v>0.021116340402073393</v>
      </c>
      <c r="H63" s="83">
        <f t="shared" si="2"/>
        <v>5058920.18</v>
      </c>
      <c r="I63" s="83">
        <f>J63-1042306.64</f>
        <v>1195412.7999999998</v>
      </c>
      <c r="J63" s="83">
        <v>2237719.44</v>
      </c>
      <c r="K63" s="56">
        <f t="shared" si="6"/>
        <v>0.003913803577625919</v>
      </c>
      <c r="L63" s="86">
        <f t="shared" si="3"/>
        <v>15939010.56</v>
      </c>
      <c r="M63" s="8"/>
    </row>
    <row r="64" spans="1:13" s="7" customFormat="1" ht="15">
      <c r="A64" s="52" t="s">
        <v>64</v>
      </c>
      <c r="B64" s="53" t="s">
        <v>72</v>
      </c>
      <c r="C64" s="83">
        <v>396826057</v>
      </c>
      <c r="D64" s="83">
        <v>607813023.65</v>
      </c>
      <c r="E64" s="83">
        <f>F64-188927611.16</f>
        <v>51462740.99000001</v>
      </c>
      <c r="F64" s="83">
        <v>240390352.15</v>
      </c>
      <c r="G64" s="56">
        <f t="shared" si="5"/>
        <v>0.38696738060909747</v>
      </c>
      <c r="H64" s="83">
        <f t="shared" si="2"/>
        <v>367422671.5</v>
      </c>
      <c r="I64" s="83">
        <f>J64-116112322.65</f>
        <v>31756085.560000002</v>
      </c>
      <c r="J64" s="83">
        <v>147868408.21</v>
      </c>
      <c r="K64" s="56">
        <f t="shared" si="6"/>
        <v>0.25862397882647337</v>
      </c>
      <c r="L64" s="86">
        <f t="shared" si="3"/>
        <v>459944615.43999994</v>
      </c>
      <c r="M64" s="8"/>
    </row>
    <row r="65" spans="1:13" s="7" customFormat="1" ht="15">
      <c r="A65" s="52" t="s">
        <v>65</v>
      </c>
      <c r="B65" s="53" t="s">
        <v>73</v>
      </c>
      <c r="C65" s="83">
        <v>69139058</v>
      </c>
      <c r="D65" s="83">
        <v>128432822.53</v>
      </c>
      <c r="E65" s="83">
        <f>F65-71189301.09</f>
        <v>9928810.280000001</v>
      </c>
      <c r="F65" s="83">
        <v>81118111.37</v>
      </c>
      <c r="G65" s="56">
        <f t="shared" si="5"/>
        <v>0.1305795461259569</v>
      </c>
      <c r="H65" s="83">
        <f t="shared" si="2"/>
        <v>47314711.16</v>
      </c>
      <c r="I65" s="83">
        <f>J65-56108560.94</f>
        <v>14058589.340000004</v>
      </c>
      <c r="J65" s="83">
        <v>70167150.28</v>
      </c>
      <c r="K65" s="56">
        <f t="shared" si="6"/>
        <v>0.12272335793698942</v>
      </c>
      <c r="L65" s="86">
        <f t="shared" si="3"/>
        <v>58265672.25</v>
      </c>
      <c r="M65" s="8"/>
    </row>
    <row r="66" spans="1:13" s="7" customFormat="1" ht="15">
      <c r="A66" s="52" t="s">
        <v>66</v>
      </c>
      <c r="B66" s="53" t="s">
        <v>74</v>
      </c>
      <c r="C66" s="83">
        <v>20320379</v>
      </c>
      <c r="D66" s="83">
        <v>43825208.95</v>
      </c>
      <c r="E66" s="83">
        <f>F66-18418080.53</f>
        <v>5078614.329999998</v>
      </c>
      <c r="F66" s="83">
        <v>23496694.86</v>
      </c>
      <c r="G66" s="56">
        <f t="shared" si="5"/>
        <v>0.03782370790518201</v>
      </c>
      <c r="H66" s="83">
        <f t="shared" si="2"/>
        <v>20328514.090000004</v>
      </c>
      <c r="I66" s="83">
        <f>J66-9714987.61</f>
        <v>2296701.5500000007</v>
      </c>
      <c r="J66" s="83">
        <v>12011689.16</v>
      </c>
      <c r="K66" s="56">
        <f t="shared" si="6"/>
        <v>0.021008617598521854</v>
      </c>
      <c r="L66" s="86">
        <f t="shared" si="3"/>
        <v>31813519.790000003</v>
      </c>
      <c r="M66" s="8"/>
    </row>
    <row r="67" spans="1:13" s="7" customFormat="1" ht="15">
      <c r="A67" s="52" t="s">
        <v>82</v>
      </c>
      <c r="B67" s="53" t="s">
        <v>84</v>
      </c>
      <c r="C67" s="83">
        <v>0</v>
      </c>
      <c r="D67" s="83">
        <v>0</v>
      </c>
      <c r="E67" s="83">
        <f>F67-0</f>
        <v>0</v>
      </c>
      <c r="F67" s="83">
        <v>0</v>
      </c>
      <c r="G67" s="56">
        <f t="shared" si="5"/>
        <v>0</v>
      </c>
      <c r="H67" s="83">
        <f t="shared" si="2"/>
        <v>0</v>
      </c>
      <c r="I67" s="83">
        <f>J67-0</f>
        <v>0</v>
      </c>
      <c r="J67" s="83">
        <v>0</v>
      </c>
      <c r="K67" s="56">
        <f t="shared" si="6"/>
        <v>0</v>
      </c>
      <c r="L67" s="86">
        <f t="shared" si="3"/>
        <v>0</v>
      </c>
      <c r="M67" s="8"/>
    </row>
    <row r="68" spans="1:13" s="7" customFormat="1" ht="15">
      <c r="A68" s="52" t="s">
        <v>67</v>
      </c>
      <c r="B68" s="53" t="s">
        <v>75</v>
      </c>
      <c r="C68" s="83">
        <v>175320029</v>
      </c>
      <c r="D68" s="83">
        <v>452023023.95</v>
      </c>
      <c r="E68" s="83">
        <f>F68-82417033.32</f>
        <v>12823001.600000009</v>
      </c>
      <c r="F68" s="83">
        <v>95240034.92</v>
      </c>
      <c r="G68" s="56">
        <f t="shared" si="5"/>
        <v>0.15331225447481575</v>
      </c>
      <c r="H68" s="83">
        <f t="shared" si="2"/>
        <v>356782989.03</v>
      </c>
      <c r="I68" s="83">
        <f>J68-36516969.68</f>
        <v>14597904.219999999</v>
      </c>
      <c r="J68" s="83">
        <v>51114873.9</v>
      </c>
      <c r="K68" s="56">
        <f t="shared" si="6"/>
        <v>0.08940065173662597</v>
      </c>
      <c r="L68" s="86">
        <f t="shared" si="3"/>
        <v>400908150.05</v>
      </c>
      <c r="M68" s="8"/>
    </row>
    <row r="69" spans="1:13" s="7" customFormat="1" ht="15">
      <c r="A69" s="52" t="s">
        <v>68</v>
      </c>
      <c r="B69" s="53" t="s">
        <v>76</v>
      </c>
      <c r="C69" s="83">
        <v>250000000</v>
      </c>
      <c r="D69" s="83">
        <v>301740183.67</v>
      </c>
      <c r="E69" s="83">
        <f>F69-133628560.49</f>
        <v>30790327.209999993</v>
      </c>
      <c r="F69" s="83">
        <v>164418887.7</v>
      </c>
      <c r="G69" s="56">
        <f t="shared" si="5"/>
        <v>0.26467262819362003</v>
      </c>
      <c r="H69" s="83">
        <f t="shared" si="2"/>
        <v>137321295.97000003</v>
      </c>
      <c r="I69" s="83">
        <f>J69-87731926.98</f>
        <v>21087726.239999995</v>
      </c>
      <c r="J69" s="83">
        <v>108819653.22</v>
      </c>
      <c r="K69" s="56">
        <f t="shared" si="6"/>
        <v>0.19032714310621882</v>
      </c>
      <c r="L69" s="86">
        <f t="shared" si="3"/>
        <v>192920530.45000002</v>
      </c>
      <c r="M69" s="8"/>
    </row>
    <row r="70" spans="1:13" s="7" customFormat="1" ht="15">
      <c r="A70" s="52" t="s">
        <v>238</v>
      </c>
      <c r="B70" s="53" t="s">
        <v>239</v>
      </c>
      <c r="C70" s="83">
        <v>21677049</v>
      </c>
      <c r="D70" s="83">
        <v>29227812.75</v>
      </c>
      <c r="E70" s="83">
        <f>F70-10427029.31</f>
        <v>3225349.6799999997</v>
      </c>
      <c r="F70" s="83">
        <v>13652378.99</v>
      </c>
      <c r="G70" s="56">
        <f t="shared" si="5"/>
        <v>0.021976860924711513</v>
      </c>
      <c r="H70" s="83">
        <f>D70-F70</f>
        <v>15575433.76</v>
      </c>
      <c r="I70" s="83">
        <f>J70-10051434.47</f>
        <v>3078436.119999999</v>
      </c>
      <c r="J70" s="83">
        <v>13129870.59</v>
      </c>
      <c r="K70" s="56">
        <f t="shared" si="6"/>
        <v>0.0229643330483411</v>
      </c>
      <c r="L70" s="86">
        <f t="shared" si="3"/>
        <v>16097942.16</v>
      </c>
      <c r="M70" s="8"/>
    </row>
    <row r="71" spans="1:13" s="7" customFormat="1" ht="15">
      <c r="A71" s="52" t="s">
        <v>106</v>
      </c>
      <c r="B71" s="53" t="s">
        <v>108</v>
      </c>
      <c r="C71" s="83">
        <v>251000</v>
      </c>
      <c r="D71" s="83">
        <v>821500</v>
      </c>
      <c r="E71" s="83">
        <f>F71-0</f>
        <v>12930</v>
      </c>
      <c r="F71" s="83">
        <v>12930</v>
      </c>
      <c r="G71" s="56">
        <f t="shared" si="5"/>
        <v>2.0814014316820533E-05</v>
      </c>
      <c r="H71" s="83">
        <f>D71-F71</f>
        <v>808570</v>
      </c>
      <c r="I71" s="83">
        <f>J71-0</f>
        <v>0</v>
      </c>
      <c r="J71" s="83">
        <v>0</v>
      </c>
      <c r="K71" s="56">
        <f t="shared" si="6"/>
        <v>0</v>
      </c>
      <c r="L71" s="86">
        <f t="shared" si="3"/>
        <v>821500</v>
      </c>
      <c r="M71" s="8"/>
    </row>
    <row r="72" spans="1:13" s="7" customFormat="1" ht="15">
      <c r="A72" s="52" t="s">
        <v>115</v>
      </c>
      <c r="B72" s="53" t="s">
        <v>122</v>
      </c>
      <c r="C72" s="83">
        <v>10000</v>
      </c>
      <c r="D72" s="83">
        <v>10000</v>
      </c>
      <c r="E72" s="83">
        <f>F72-0</f>
        <v>0</v>
      </c>
      <c r="F72" s="83">
        <v>0</v>
      </c>
      <c r="G72" s="56">
        <f t="shared" si="5"/>
        <v>0</v>
      </c>
      <c r="H72" s="83">
        <f>D72-F72</f>
        <v>10000</v>
      </c>
      <c r="I72" s="83">
        <f>J72-0</f>
        <v>0</v>
      </c>
      <c r="J72" s="83">
        <v>0</v>
      </c>
      <c r="K72" s="56">
        <f t="shared" si="6"/>
        <v>0</v>
      </c>
      <c r="L72" s="86">
        <f t="shared" si="3"/>
        <v>10000</v>
      </c>
      <c r="M72" s="8"/>
    </row>
    <row r="73" spans="1:13" s="7" customFormat="1" ht="15">
      <c r="A73" s="52" t="s">
        <v>69</v>
      </c>
      <c r="B73" s="53" t="s">
        <v>77</v>
      </c>
      <c r="C73" s="83">
        <v>77679732</v>
      </c>
      <c r="D73" s="83">
        <v>88264469.83</v>
      </c>
      <c r="E73" s="83">
        <f>F73-18146617.5</f>
        <v>1651204.3099999987</v>
      </c>
      <c r="F73" s="83">
        <v>19797821.81</v>
      </c>
      <c r="G73" s="56">
        <f t="shared" si="5"/>
        <v>0.031869462227007095</v>
      </c>
      <c r="H73" s="83">
        <f t="shared" si="2"/>
        <v>68466648.02</v>
      </c>
      <c r="I73" s="83">
        <f>J73-6944519.97</f>
        <v>1927483.8500000006</v>
      </c>
      <c r="J73" s="83">
        <v>8872003.82</v>
      </c>
      <c r="K73" s="56">
        <f t="shared" si="6"/>
        <v>0.015517262651758892</v>
      </c>
      <c r="L73" s="86">
        <f t="shared" si="3"/>
        <v>79392466.00999999</v>
      </c>
      <c r="M73" s="8"/>
    </row>
    <row r="74" spans="1:13" s="7" customFormat="1" ht="15">
      <c r="A74" s="52" t="s">
        <v>53</v>
      </c>
      <c r="B74" s="53" t="s">
        <v>60</v>
      </c>
      <c r="C74" s="83">
        <v>138683765</v>
      </c>
      <c r="D74" s="83">
        <v>115157711</v>
      </c>
      <c r="E74" s="83">
        <f>F74-58824509.26</f>
        <v>12267469.850000001</v>
      </c>
      <c r="F74" s="83">
        <v>71091979.11</v>
      </c>
      <c r="G74" s="56">
        <f t="shared" si="5"/>
        <v>0.11444002095952407</v>
      </c>
      <c r="H74" s="83">
        <f t="shared" si="2"/>
        <v>44065731.89</v>
      </c>
      <c r="I74" s="83">
        <f>J74-47196661.68</f>
        <v>16691736.96</v>
      </c>
      <c r="J74" s="83">
        <v>63888398.64</v>
      </c>
      <c r="K74" s="56">
        <f t="shared" si="6"/>
        <v>0.11174173075335257</v>
      </c>
      <c r="L74" s="86">
        <f t="shared" si="3"/>
        <v>51269312.36</v>
      </c>
      <c r="M74" s="8"/>
    </row>
    <row r="75" spans="1:13" s="7" customFormat="1" ht="15">
      <c r="A75" s="52" t="s">
        <v>70</v>
      </c>
      <c r="B75" s="53" t="s">
        <v>78</v>
      </c>
      <c r="C75" s="83">
        <v>7135200</v>
      </c>
      <c r="D75" s="83">
        <v>5865961.48</v>
      </c>
      <c r="E75" s="83">
        <f>F75-4007385.75</f>
        <v>328051.6900000004</v>
      </c>
      <c r="F75" s="83">
        <v>4335437.44</v>
      </c>
      <c r="G75" s="56">
        <f t="shared" si="5"/>
        <v>0.00697895258668521</v>
      </c>
      <c r="H75" s="83">
        <f t="shared" si="2"/>
        <v>1530524.04</v>
      </c>
      <c r="I75" s="83">
        <f>J75-1914112.1</f>
        <v>1082020.9499999997</v>
      </c>
      <c r="J75" s="83">
        <v>2996133.05</v>
      </c>
      <c r="K75" s="56">
        <f t="shared" si="6"/>
        <v>0.005240279920941856</v>
      </c>
      <c r="L75" s="86">
        <f t="shared" si="3"/>
        <v>2869828.4300000006</v>
      </c>
      <c r="M75" s="8"/>
    </row>
    <row r="76" spans="1:13" s="7" customFormat="1" ht="15">
      <c r="A76" s="52" t="s">
        <v>71</v>
      </c>
      <c r="B76" s="53" t="s">
        <v>79</v>
      </c>
      <c r="C76" s="83">
        <v>8931250</v>
      </c>
      <c r="D76" s="83">
        <v>30073543.54</v>
      </c>
      <c r="E76" s="83">
        <f>F76-13511910</f>
        <v>5527890</v>
      </c>
      <c r="F76" s="83">
        <v>19039800</v>
      </c>
      <c r="G76" s="56">
        <f t="shared" si="5"/>
        <v>0.0306492397362258</v>
      </c>
      <c r="H76" s="83">
        <f t="shared" si="2"/>
        <v>11033743.54</v>
      </c>
      <c r="I76" s="83">
        <f>J76-13387660.09</f>
        <v>2004629.7699999996</v>
      </c>
      <c r="J76" s="83">
        <v>15392289.86</v>
      </c>
      <c r="K76" s="56">
        <f t="shared" si="6"/>
        <v>0.026921336984909578</v>
      </c>
      <c r="L76" s="86">
        <f t="shared" si="3"/>
        <v>14681253.68</v>
      </c>
      <c r="M76" s="8"/>
    </row>
    <row r="77" spans="1:13" s="7" customFormat="1" ht="15">
      <c r="A77" s="52" t="s">
        <v>199</v>
      </c>
      <c r="B77" s="53" t="s">
        <v>200</v>
      </c>
      <c r="C77" s="83">
        <v>10000</v>
      </c>
      <c r="D77" s="83">
        <v>15000</v>
      </c>
      <c r="E77" s="83">
        <f>F77-0</f>
        <v>0</v>
      </c>
      <c r="F77" s="83">
        <v>0</v>
      </c>
      <c r="G77" s="56">
        <f t="shared" si="5"/>
        <v>0</v>
      </c>
      <c r="H77" s="83">
        <f t="shared" si="2"/>
        <v>15000</v>
      </c>
      <c r="I77" s="83">
        <f>J77-0</f>
        <v>0</v>
      </c>
      <c r="J77" s="83">
        <v>0</v>
      </c>
      <c r="K77" s="56">
        <f t="shared" si="6"/>
        <v>0</v>
      </c>
      <c r="L77" s="86">
        <f t="shared" si="3"/>
        <v>15000</v>
      </c>
      <c r="M77" s="8"/>
    </row>
    <row r="78" spans="1:13" s="7" customFormat="1" ht="15">
      <c r="A78" s="47" t="s">
        <v>81</v>
      </c>
      <c r="B78" s="50" t="s">
        <v>80</v>
      </c>
      <c r="C78" s="82">
        <f>SUM(C79:C90)</f>
        <v>268131587</v>
      </c>
      <c r="D78" s="82">
        <f>SUM(D79:D90)</f>
        <v>928473439.1400001</v>
      </c>
      <c r="E78" s="82">
        <f>SUM(E79:E90)</f>
        <v>222558273.81</v>
      </c>
      <c r="F78" s="82">
        <f>SUM(F79:F90)</f>
        <v>659122693.46</v>
      </c>
      <c r="G78" s="51">
        <f aca="true" t="shared" si="9" ref="G78:G85">(F78/$F$286)*100</f>
        <v>1.0610200447190836</v>
      </c>
      <c r="H78" s="82">
        <f>D78-F78</f>
        <v>269350745.68000007</v>
      </c>
      <c r="I78" s="82">
        <f>SUM(I79:I90)</f>
        <v>226793069.40999997</v>
      </c>
      <c r="J78" s="82">
        <f>SUM(J79:J90)</f>
        <v>635574935.3199999</v>
      </c>
      <c r="K78" s="51">
        <f aca="true" t="shared" si="10" ref="K78:K109">(J78/$J$286)*100</f>
        <v>1.111629729464556</v>
      </c>
      <c r="L78" s="85">
        <f>D78-J78</f>
        <v>292898503.8200002</v>
      </c>
      <c r="M78" s="8"/>
    </row>
    <row r="79" spans="1:13" s="7" customFormat="1" ht="15">
      <c r="A79" s="52" t="s">
        <v>28</v>
      </c>
      <c r="B79" s="53" t="s">
        <v>33</v>
      </c>
      <c r="C79" s="83">
        <v>85098655</v>
      </c>
      <c r="D79" s="83">
        <v>123044785.33</v>
      </c>
      <c r="E79" s="83">
        <f>F79-80350399.09</f>
        <v>11788608.149999991</v>
      </c>
      <c r="F79" s="83">
        <v>92139007.24</v>
      </c>
      <c r="G79" s="56">
        <f t="shared" si="9"/>
        <v>0.1483203879219637</v>
      </c>
      <c r="H79" s="83">
        <f t="shared" si="2"/>
        <v>30905778.090000004</v>
      </c>
      <c r="I79" s="83">
        <f>J79-75087876.8</f>
        <v>13426855.010000005</v>
      </c>
      <c r="J79" s="83">
        <v>88514731.81</v>
      </c>
      <c r="K79" s="56">
        <f t="shared" si="10"/>
        <v>0.15481354268012112</v>
      </c>
      <c r="L79" s="86">
        <f t="shared" si="3"/>
        <v>34530053.519999996</v>
      </c>
      <c r="M79" s="8"/>
    </row>
    <row r="80" spans="1:13" s="7" customFormat="1" ht="15">
      <c r="A80" s="52" t="s">
        <v>164</v>
      </c>
      <c r="B80" s="53" t="s">
        <v>165</v>
      </c>
      <c r="C80" s="83">
        <v>20000</v>
      </c>
      <c r="D80" s="83">
        <v>20000</v>
      </c>
      <c r="E80" s="83">
        <f>F80-0</f>
        <v>0</v>
      </c>
      <c r="F80" s="83">
        <v>0</v>
      </c>
      <c r="G80" s="56">
        <f t="shared" si="9"/>
        <v>0</v>
      </c>
      <c r="H80" s="83">
        <f t="shared" si="2"/>
        <v>20000</v>
      </c>
      <c r="I80" s="83">
        <f>J80-0</f>
        <v>0</v>
      </c>
      <c r="J80" s="83">
        <v>0</v>
      </c>
      <c r="K80" s="56">
        <f t="shared" si="10"/>
        <v>0</v>
      </c>
      <c r="L80" s="86">
        <f t="shared" si="3"/>
        <v>20000</v>
      </c>
      <c r="M80" s="8"/>
    </row>
    <row r="81" spans="1:13" s="7" customFormat="1" ht="15">
      <c r="A81" s="52" t="s">
        <v>64</v>
      </c>
      <c r="B81" s="53" t="s">
        <v>72</v>
      </c>
      <c r="C81" s="83">
        <v>0</v>
      </c>
      <c r="D81" s="83">
        <v>0</v>
      </c>
      <c r="E81" s="83">
        <f aca="true" t="shared" si="11" ref="E81:E90">F81-0</f>
        <v>0</v>
      </c>
      <c r="F81" s="83">
        <v>0</v>
      </c>
      <c r="G81" s="56">
        <f t="shared" si="9"/>
        <v>0</v>
      </c>
      <c r="H81" s="83">
        <f t="shared" si="2"/>
        <v>0</v>
      </c>
      <c r="I81" s="83">
        <v>0</v>
      </c>
      <c r="J81" s="83">
        <v>0</v>
      </c>
      <c r="K81" s="56">
        <f t="shared" si="10"/>
        <v>0</v>
      </c>
      <c r="L81" s="86">
        <f t="shared" si="3"/>
        <v>0</v>
      </c>
      <c r="M81" s="8"/>
    </row>
    <row r="82" spans="1:13" s="7" customFormat="1" ht="15">
      <c r="A82" s="52" t="s">
        <v>52</v>
      </c>
      <c r="B82" s="53" t="s">
        <v>59</v>
      </c>
      <c r="C82" s="83">
        <v>666576</v>
      </c>
      <c r="D82" s="83">
        <v>820851.62</v>
      </c>
      <c r="E82" s="83">
        <f t="shared" si="11"/>
        <v>0</v>
      </c>
      <c r="F82" s="83">
        <v>0</v>
      </c>
      <c r="G82" s="56">
        <f t="shared" si="9"/>
        <v>0</v>
      </c>
      <c r="H82" s="83">
        <f t="shared" si="2"/>
        <v>820851.62</v>
      </c>
      <c r="I82" s="83">
        <f aca="true" t="shared" si="12" ref="I82:I90">J82-0</f>
        <v>0</v>
      </c>
      <c r="J82" s="83">
        <v>0</v>
      </c>
      <c r="K82" s="56">
        <f t="shared" si="10"/>
        <v>0</v>
      </c>
      <c r="L82" s="86">
        <f t="shared" si="3"/>
        <v>820851.62</v>
      </c>
      <c r="M82" s="8"/>
    </row>
    <row r="83" spans="1:13" s="7" customFormat="1" ht="15">
      <c r="A83" s="52" t="s">
        <v>131</v>
      </c>
      <c r="B83" s="53" t="s">
        <v>132</v>
      </c>
      <c r="C83" s="83">
        <v>5000</v>
      </c>
      <c r="D83" s="83">
        <v>31715574.13</v>
      </c>
      <c r="E83" s="83">
        <f>F83-31710579.13</f>
        <v>0</v>
      </c>
      <c r="F83" s="83">
        <v>31710579.13</v>
      </c>
      <c r="G83" s="56">
        <f t="shared" si="9"/>
        <v>0.051045974323781156</v>
      </c>
      <c r="H83" s="83">
        <f>D83-F83</f>
        <v>4995</v>
      </c>
      <c r="I83" s="83">
        <f>J83-31710579.13</f>
        <v>0</v>
      </c>
      <c r="J83" s="83">
        <v>31710579.13</v>
      </c>
      <c r="K83" s="56">
        <f t="shared" si="10"/>
        <v>0.0554622602946077</v>
      </c>
      <c r="L83" s="86">
        <f t="shared" si="3"/>
        <v>4995</v>
      </c>
      <c r="M83" s="8"/>
    </row>
    <row r="84" spans="1:13" s="7" customFormat="1" ht="15">
      <c r="A84" s="52" t="s">
        <v>82</v>
      </c>
      <c r="B84" s="53" t="s">
        <v>84</v>
      </c>
      <c r="C84" s="83">
        <v>65120994</v>
      </c>
      <c r="D84" s="83">
        <v>100668699.22</v>
      </c>
      <c r="E84" s="83">
        <f>F84-17210139.24</f>
        <v>8878046.780000001</v>
      </c>
      <c r="F84" s="83">
        <v>26088186.02</v>
      </c>
      <c r="G84" s="56">
        <f t="shared" si="9"/>
        <v>0.04199535014077009</v>
      </c>
      <c r="H84" s="83">
        <f t="shared" si="2"/>
        <v>74580513.2</v>
      </c>
      <c r="I84" s="83">
        <f>J84-15896983</f>
        <v>7948291.77</v>
      </c>
      <c r="J84" s="83">
        <v>23845274.77</v>
      </c>
      <c r="K84" s="56">
        <f t="shared" si="10"/>
        <v>0.041705729519112125</v>
      </c>
      <c r="L84" s="86">
        <f t="shared" si="3"/>
        <v>76823424.45</v>
      </c>
      <c r="M84" s="8"/>
    </row>
    <row r="85" spans="1:13" s="7" customFormat="1" ht="15">
      <c r="A85" s="52" t="s">
        <v>83</v>
      </c>
      <c r="B85" s="53" t="s">
        <v>85</v>
      </c>
      <c r="C85" s="83">
        <v>111929585</v>
      </c>
      <c r="D85" s="83">
        <v>582834151.84</v>
      </c>
      <c r="E85" s="83">
        <f>F85-280127467.29</f>
        <v>177181466</v>
      </c>
      <c r="F85" s="83">
        <v>457308933.29</v>
      </c>
      <c r="G85" s="56">
        <f t="shared" si="9"/>
        <v>0.7361511743780346</v>
      </c>
      <c r="H85" s="83">
        <f t="shared" si="2"/>
        <v>125525218.55000001</v>
      </c>
      <c r="I85" s="83">
        <f>J85-269552494.17</f>
        <v>171842315.65999997</v>
      </c>
      <c r="J85" s="83">
        <v>441394809.83</v>
      </c>
      <c r="K85" s="56">
        <f t="shared" si="10"/>
        <v>0.7720058891109987</v>
      </c>
      <c r="L85" s="86">
        <f t="shared" si="3"/>
        <v>141439342.01000005</v>
      </c>
      <c r="M85" s="8"/>
    </row>
    <row r="86" spans="1:13" s="7" customFormat="1" ht="15">
      <c r="A86" s="52" t="s">
        <v>67</v>
      </c>
      <c r="B86" s="53" t="s">
        <v>75</v>
      </c>
      <c r="C86" s="83">
        <v>538146</v>
      </c>
      <c r="D86" s="83">
        <v>538146</v>
      </c>
      <c r="E86" s="83">
        <f>F86-0</f>
        <v>0</v>
      </c>
      <c r="F86" s="83">
        <v>0</v>
      </c>
      <c r="G86" s="56">
        <f aca="true" t="shared" si="13" ref="G86:G117">(F86/$F$286)*100</f>
        <v>0</v>
      </c>
      <c r="H86" s="83">
        <f t="shared" si="2"/>
        <v>538146</v>
      </c>
      <c r="I86" s="99">
        <f>J86-0</f>
        <v>0</v>
      </c>
      <c r="J86" s="99">
        <v>0</v>
      </c>
      <c r="K86" s="56">
        <f t="shared" si="10"/>
        <v>0</v>
      </c>
      <c r="L86" s="86">
        <f t="shared" si="3"/>
        <v>538146</v>
      </c>
      <c r="M86" s="8"/>
    </row>
    <row r="87" spans="1:13" s="7" customFormat="1" ht="15">
      <c r="A87" s="52" t="s">
        <v>93</v>
      </c>
      <c r="B87" s="53" t="s">
        <v>99</v>
      </c>
      <c r="C87" s="83">
        <v>0</v>
      </c>
      <c r="D87" s="83">
        <v>0</v>
      </c>
      <c r="E87" s="83">
        <f t="shared" si="11"/>
        <v>0</v>
      </c>
      <c r="F87" s="83">
        <v>0</v>
      </c>
      <c r="G87" s="56">
        <f t="shared" si="13"/>
        <v>0</v>
      </c>
      <c r="H87" s="83">
        <f t="shared" si="2"/>
        <v>0</v>
      </c>
      <c r="I87" s="83">
        <f t="shared" si="12"/>
        <v>0</v>
      </c>
      <c r="J87" s="83">
        <v>0</v>
      </c>
      <c r="K87" s="56">
        <f t="shared" si="10"/>
        <v>0</v>
      </c>
      <c r="L87" s="86">
        <f t="shared" si="3"/>
        <v>0</v>
      </c>
      <c r="M87" s="8"/>
    </row>
    <row r="88" spans="1:13" s="7" customFormat="1" ht="15">
      <c r="A88" s="52" t="s">
        <v>68</v>
      </c>
      <c r="B88" s="53" t="s">
        <v>76</v>
      </c>
      <c r="C88" s="83">
        <v>3949485</v>
      </c>
      <c r="D88" s="83">
        <v>88028085</v>
      </c>
      <c r="E88" s="83">
        <f>F88-27165834.9</f>
        <v>24710152.880000003</v>
      </c>
      <c r="F88" s="83">
        <v>51875987.78</v>
      </c>
      <c r="G88" s="56">
        <f t="shared" si="13"/>
        <v>0.08350715795453419</v>
      </c>
      <c r="H88" s="83">
        <f>D88-F88</f>
        <v>36152097.22</v>
      </c>
      <c r="I88" s="83">
        <f>J88-16533932.81</f>
        <v>33575606.97</v>
      </c>
      <c r="J88" s="83">
        <v>50109539.78</v>
      </c>
      <c r="K88" s="56">
        <f t="shared" si="10"/>
        <v>0.08764230785971645</v>
      </c>
      <c r="L88" s="86">
        <f t="shared" si="3"/>
        <v>37918545.22</v>
      </c>
      <c r="M88" s="8"/>
    </row>
    <row r="89" spans="1:13" s="7" customFormat="1" ht="15">
      <c r="A89" s="52" t="s">
        <v>53</v>
      </c>
      <c r="B89" s="53" t="s">
        <v>60</v>
      </c>
      <c r="C89" s="83">
        <v>753146</v>
      </c>
      <c r="D89" s="83">
        <v>753146</v>
      </c>
      <c r="E89" s="83">
        <f t="shared" si="11"/>
        <v>0</v>
      </c>
      <c r="F89" s="83">
        <v>0</v>
      </c>
      <c r="G89" s="56">
        <f t="shared" si="13"/>
        <v>0</v>
      </c>
      <c r="H89" s="83">
        <f t="shared" si="2"/>
        <v>753146</v>
      </c>
      <c r="I89" s="83">
        <f t="shared" si="12"/>
        <v>0</v>
      </c>
      <c r="J89" s="83">
        <v>0</v>
      </c>
      <c r="K89" s="56">
        <f t="shared" si="10"/>
        <v>0</v>
      </c>
      <c r="L89" s="86">
        <f t="shared" si="3"/>
        <v>753146</v>
      </c>
      <c r="M89" s="8"/>
    </row>
    <row r="90" spans="1:13" s="7" customFormat="1" ht="15">
      <c r="A90" s="52" t="s">
        <v>96</v>
      </c>
      <c r="B90" s="53" t="s">
        <v>102</v>
      </c>
      <c r="C90" s="83">
        <v>50000</v>
      </c>
      <c r="D90" s="83">
        <v>50000</v>
      </c>
      <c r="E90" s="83">
        <f t="shared" si="11"/>
        <v>0</v>
      </c>
      <c r="F90" s="83">
        <v>0</v>
      </c>
      <c r="G90" s="56">
        <f t="shared" si="13"/>
        <v>0</v>
      </c>
      <c r="H90" s="83">
        <f t="shared" si="2"/>
        <v>50000</v>
      </c>
      <c r="I90" s="83">
        <f t="shared" si="12"/>
        <v>0</v>
      </c>
      <c r="J90" s="83">
        <v>0</v>
      </c>
      <c r="K90" s="56">
        <f t="shared" si="10"/>
        <v>0</v>
      </c>
      <c r="L90" s="86">
        <f t="shared" si="3"/>
        <v>50000</v>
      </c>
      <c r="M90" s="8"/>
    </row>
    <row r="91" spans="1:13" s="7" customFormat="1" ht="15">
      <c r="A91" s="47" t="s">
        <v>87</v>
      </c>
      <c r="B91" s="50" t="s">
        <v>86</v>
      </c>
      <c r="C91" s="82">
        <f>SUM(C92:C96)</f>
        <v>25193648990</v>
      </c>
      <c r="D91" s="82">
        <f>SUM(D92:D96)</f>
        <v>27666146270.08</v>
      </c>
      <c r="E91" s="82">
        <f>SUM(E92:E96)</f>
        <v>3737157028.380001</v>
      </c>
      <c r="F91" s="82">
        <f>SUM(F92:F96)</f>
        <v>20113580918.36</v>
      </c>
      <c r="G91" s="51">
        <f t="shared" si="13"/>
        <v>32.377754152921376</v>
      </c>
      <c r="H91" s="82">
        <f t="shared" si="2"/>
        <v>7552565351.720001</v>
      </c>
      <c r="I91" s="82">
        <f>SUM(I92:I96)</f>
        <v>3783556187.3999987</v>
      </c>
      <c r="J91" s="82">
        <f>SUM(J92:J96)</f>
        <v>19858258094.47</v>
      </c>
      <c r="K91" s="51">
        <f t="shared" si="10"/>
        <v>34.73237984452401</v>
      </c>
      <c r="L91" s="85">
        <f t="shared" si="3"/>
        <v>7807888175.610001</v>
      </c>
      <c r="M91" s="8"/>
    </row>
    <row r="92" spans="1:13" s="7" customFormat="1" ht="15">
      <c r="A92" s="52" t="s">
        <v>28</v>
      </c>
      <c r="B92" s="53" t="s">
        <v>33</v>
      </c>
      <c r="C92" s="83">
        <v>11131796818</v>
      </c>
      <c r="D92" s="83">
        <v>14919735740.51</v>
      </c>
      <c r="E92" s="83">
        <f>F92-7422978289.43</f>
        <v>1620463251.0900002</v>
      </c>
      <c r="F92" s="83">
        <v>9043441540.52</v>
      </c>
      <c r="G92" s="56">
        <f t="shared" si="13"/>
        <v>14.55764282271561</v>
      </c>
      <c r="H92" s="83">
        <f t="shared" si="2"/>
        <v>5876294199.99</v>
      </c>
      <c r="I92" s="83">
        <f>J92-7302921322.04</f>
        <v>1643852028.5500002</v>
      </c>
      <c r="J92" s="83">
        <v>8946773350.59</v>
      </c>
      <c r="K92" s="56">
        <f t="shared" si="10"/>
        <v>15.648035639243215</v>
      </c>
      <c r="L92" s="86">
        <f>D92-J92</f>
        <v>5972962389.92</v>
      </c>
      <c r="M92" s="8"/>
    </row>
    <row r="93" spans="1:13" s="7" customFormat="1" ht="15">
      <c r="A93" s="52" t="s">
        <v>39</v>
      </c>
      <c r="B93" s="53" t="s">
        <v>41</v>
      </c>
      <c r="C93" s="83">
        <v>760000</v>
      </c>
      <c r="D93" s="83">
        <v>760000</v>
      </c>
      <c r="E93" s="83">
        <f>F93-0</f>
        <v>0</v>
      </c>
      <c r="F93" s="83">
        <v>0</v>
      </c>
      <c r="G93" s="56">
        <f t="shared" si="13"/>
        <v>0</v>
      </c>
      <c r="H93" s="83">
        <f t="shared" si="2"/>
        <v>760000</v>
      </c>
      <c r="I93" s="83">
        <f>J93-0</f>
        <v>0</v>
      </c>
      <c r="J93" s="83">
        <v>0</v>
      </c>
      <c r="K93" s="56">
        <f t="shared" si="10"/>
        <v>0</v>
      </c>
      <c r="L93" s="86">
        <f>D93-J93</f>
        <v>760000</v>
      </c>
      <c r="M93" s="8"/>
    </row>
    <row r="94" spans="1:13" s="7" customFormat="1" ht="15">
      <c r="A94" s="52" t="s">
        <v>232</v>
      </c>
      <c r="B94" s="53" t="s">
        <v>231</v>
      </c>
      <c r="C94" s="83">
        <v>4000000</v>
      </c>
      <c r="D94" s="83">
        <v>4000000</v>
      </c>
      <c r="E94" s="83">
        <f>F94-0</f>
        <v>0</v>
      </c>
      <c r="F94" s="83">
        <v>0</v>
      </c>
      <c r="G94" s="56">
        <f t="shared" si="13"/>
        <v>0</v>
      </c>
      <c r="H94" s="83">
        <f t="shared" si="2"/>
        <v>4000000</v>
      </c>
      <c r="I94" s="83">
        <f>J94-0</f>
        <v>0</v>
      </c>
      <c r="J94" s="83">
        <v>0</v>
      </c>
      <c r="K94" s="56">
        <f t="shared" si="10"/>
        <v>0</v>
      </c>
      <c r="L94" s="86">
        <f>D94-J94</f>
        <v>4000000</v>
      </c>
      <c r="M94" s="8"/>
    </row>
    <row r="95" spans="1:13" s="7" customFormat="1" ht="15">
      <c r="A95" s="52" t="s">
        <v>49</v>
      </c>
      <c r="B95" s="53" t="s">
        <v>56</v>
      </c>
      <c r="C95" s="83">
        <v>0</v>
      </c>
      <c r="D95" s="83">
        <v>0</v>
      </c>
      <c r="E95" s="83">
        <f>F95-0</f>
        <v>0</v>
      </c>
      <c r="F95" s="83">
        <v>0</v>
      </c>
      <c r="G95" s="56">
        <f t="shared" si="13"/>
        <v>0</v>
      </c>
      <c r="H95" s="83">
        <f t="shared" si="2"/>
        <v>0</v>
      </c>
      <c r="I95" s="83">
        <f>J95-0</f>
        <v>0</v>
      </c>
      <c r="J95" s="83">
        <v>0</v>
      </c>
      <c r="K95" s="56">
        <f t="shared" si="10"/>
        <v>0</v>
      </c>
      <c r="L95" s="86">
        <f t="shared" si="3"/>
        <v>0</v>
      </c>
      <c r="M95" s="8"/>
    </row>
    <row r="96" spans="1:13" s="7" customFormat="1" ht="15">
      <c r="A96" s="52" t="s">
        <v>88</v>
      </c>
      <c r="B96" s="53" t="s">
        <v>89</v>
      </c>
      <c r="C96" s="83">
        <v>14057092172</v>
      </c>
      <c r="D96" s="83">
        <v>12741650529.57</v>
      </c>
      <c r="E96" s="83">
        <f>F96-8953445600.55</f>
        <v>2116693777.290001</v>
      </c>
      <c r="F96" s="83">
        <v>11070139377.84</v>
      </c>
      <c r="G96" s="56">
        <f t="shared" si="13"/>
        <v>17.820111330205762</v>
      </c>
      <c r="H96" s="83">
        <f t="shared" si="2"/>
        <v>1671511151.7299995</v>
      </c>
      <c r="I96" s="83">
        <f>J96-8771780585.03</f>
        <v>2139704158.8499985</v>
      </c>
      <c r="J96" s="83">
        <v>10911484743.88</v>
      </c>
      <c r="K96" s="56">
        <f t="shared" si="10"/>
        <v>19.08434420528079</v>
      </c>
      <c r="L96" s="86">
        <f t="shared" si="3"/>
        <v>1830165785.6900005</v>
      </c>
      <c r="M96" s="8"/>
    </row>
    <row r="97" spans="1:13" s="7" customFormat="1" ht="15">
      <c r="A97" s="47" t="s">
        <v>90</v>
      </c>
      <c r="B97" s="50" t="s">
        <v>91</v>
      </c>
      <c r="C97" s="82">
        <f>SUM(C98:C108)</f>
        <v>6405887795</v>
      </c>
      <c r="D97" s="82">
        <f>SUM(D98:D108)</f>
        <v>7850951628.059999</v>
      </c>
      <c r="E97" s="82">
        <f>SUM(E98:E108)</f>
        <v>1346491390.8000002</v>
      </c>
      <c r="F97" s="82">
        <f>SUM(F98:F108)</f>
        <v>5613573419.94</v>
      </c>
      <c r="G97" s="51">
        <f t="shared" si="13"/>
        <v>9.036426723213795</v>
      </c>
      <c r="H97" s="82">
        <f t="shared" si="2"/>
        <v>2237378208.12</v>
      </c>
      <c r="I97" s="82">
        <f>SUM(I98:I108)</f>
        <v>1204845850.3700001</v>
      </c>
      <c r="J97" s="82">
        <f>SUM(J98:J108)</f>
        <v>4958367656.4</v>
      </c>
      <c r="K97" s="51">
        <f t="shared" si="10"/>
        <v>8.672256550983425</v>
      </c>
      <c r="L97" s="85">
        <f t="shared" si="3"/>
        <v>2892583971.66</v>
      </c>
      <c r="M97" s="8"/>
    </row>
    <row r="98" spans="1:13" s="7" customFormat="1" ht="15">
      <c r="A98" s="52" t="s">
        <v>28</v>
      </c>
      <c r="B98" s="53" t="s">
        <v>33</v>
      </c>
      <c r="C98" s="83">
        <v>1006922747</v>
      </c>
      <c r="D98" s="83">
        <v>991818794.71</v>
      </c>
      <c r="E98" s="83">
        <f>F98-491495370.18</f>
        <v>223843307.35999995</v>
      </c>
      <c r="F98" s="83">
        <v>715338677.54</v>
      </c>
      <c r="G98" s="56">
        <f t="shared" si="13"/>
        <v>1.1515134938664366</v>
      </c>
      <c r="H98" s="83">
        <f t="shared" si="2"/>
        <v>276480117.1700001</v>
      </c>
      <c r="I98" s="83">
        <f>J98-464284966.7</f>
        <v>199732838.17000002</v>
      </c>
      <c r="J98" s="83">
        <v>664017804.87</v>
      </c>
      <c r="K98" s="56">
        <f t="shared" si="10"/>
        <v>1.1613767185700077</v>
      </c>
      <c r="L98" s="86">
        <f t="shared" si="3"/>
        <v>327800989.84000003</v>
      </c>
      <c r="M98" s="8"/>
    </row>
    <row r="99" spans="1:13" s="7" customFormat="1" ht="15">
      <c r="A99" s="52" t="s">
        <v>29</v>
      </c>
      <c r="B99" s="53" t="s">
        <v>34</v>
      </c>
      <c r="C99" s="83">
        <v>19943579</v>
      </c>
      <c r="D99" s="83">
        <v>19943579</v>
      </c>
      <c r="E99" s="83">
        <f>F99-9288783.05</f>
        <v>1166878.3699999992</v>
      </c>
      <c r="F99" s="83">
        <v>10455661.42</v>
      </c>
      <c r="G99" s="56">
        <f t="shared" si="13"/>
        <v>0.01683095796501996</v>
      </c>
      <c r="H99" s="83">
        <f t="shared" si="2"/>
        <v>9487917.58</v>
      </c>
      <c r="I99" s="83">
        <f>J99-7336224.7</f>
        <v>1884332.5599999996</v>
      </c>
      <c r="J99" s="83">
        <v>9220557.26</v>
      </c>
      <c r="K99" s="56">
        <f t="shared" si="10"/>
        <v>0.016126887645884973</v>
      </c>
      <c r="L99" s="86">
        <f t="shared" si="3"/>
        <v>10723021.74</v>
      </c>
      <c r="M99" s="8"/>
    </row>
    <row r="100" spans="1:13" s="7" customFormat="1" ht="15">
      <c r="A100" s="52" t="s">
        <v>65</v>
      </c>
      <c r="B100" s="53" t="s">
        <v>73</v>
      </c>
      <c r="C100" s="83">
        <v>132911151</v>
      </c>
      <c r="D100" s="83">
        <v>132911151</v>
      </c>
      <c r="E100" s="83">
        <f>F100-73576915.27</f>
        <v>16776673.74000001</v>
      </c>
      <c r="F100" s="83">
        <v>90353589.01</v>
      </c>
      <c r="G100" s="56">
        <f t="shared" si="13"/>
        <v>0.14544631826993493</v>
      </c>
      <c r="H100" s="83">
        <f t="shared" si="2"/>
        <v>42557561.989999995</v>
      </c>
      <c r="I100" s="83">
        <f>J100-73576915.27</f>
        <v>16776673.74000001</v>
      </c>
      <c r="J100" s="83">
        <v>90353589.01</v>
      </c>
      <c r="K100" s="56">
        <f t="shared" si="10"/>
        <v>0.15802973044676233</v>
      </c>
      <c r="L100" s="86">
        <f t="shared" si="3"/>
        <v>42557561.989999995</v>
      </c>
      <c r="M100" s="8"/>
    </row>
    <row r="101" spans="1:13" s="7" customFormat="1" ht="15">
      <c r="A101" s="52" t="s">
        <v>83</v>
      </c>
      <c r="B101" s="53" t="s">
        <v>85</v>
      </c>
      <c r="C101" s="83">
        <v>0</v>
      </c>
      <c r="D101" s="83">
        <v>0</v>
      </c>
      <c r="E101" s="83">
        <f>F101-0</f>
        <v>0</v>
      </c>
      <c r="F101" s="83">
        <v>0</v>
      </c>
      <c r="G101" s="56">
        <f t="shared" si="13"/>
        <v>0</v>
      </c>
      <c r="H101" s="83">
        <f t="shared" si="2"/>
        <v>0</v>
      </c>
      <c r="I101" s="83">
        <f>J101-0</f>
        <v>0</v>
      </c>
      <c r="J101" s="83">
        <v>0</v>
      </c>
      <c r="K101" s="56">
        <f t="shared" si="10"/>
        <v>0</v>
      </c>
      <c r="L101" s="86">
        <f t="shared" si="3"/>
        <v>0</v>
      </c>
      <c r="M101" s="8"/>
    </row>
    <row r="102" spans="1:13" s="7" customFormat="1" ht="15">
      <c r="A102" s="52" t="s">
        <v>92</v>
      </c>
      <c r="B102" s="53" t="s">
        <v>98</v>
      </c>
      <c r="C102" s="83">
        <v>219279646</v>
      </c>
      <c r="D102" s="83">
        <v>471368342.74</v>
      </c>
      <c r="E102" s="83">
        <f>F102-230927764.12</f>
        <v>168500318</v>
      </c>
      <c r="F102" s="83">
        <v>399428082.12</v>
      </c>
      <c r="G102" s="56">
        <f t="shared" si="13"/>
        <v>0.6429777122804213</v>
      </c>
      <c r="H102" s="83">
        <f t="shared" si="2"/>
        <v>71940260.62</v>
      </c>
      <c r="I102" s="83">
        <f>J102-230822764.12</f>
        <v>168605318</v>
      </c>
      <c r="J102" s="83">
        <v>399428082.12</v>
      </c>
      <c r="K102" s="56">
        <f t="shared" si="10"/>
        <v>0.6986054770143639</v>
      </c>
      <c r="L102" s="86">
        <f t="shared" si="3"/>
        <v>71940260.62</v>
      </c>
      <c r="M102" s="8"/>
    </row>
    <row r="103" spans="1:13" s="7" customFormat="1" ht="15">
      <c r="A103" s="52" t="s">
        <v>67</v>
      </c>
      <c r="B103" s="53" t="s">
        <v>75</v>
      </c>
      <c r="C103" s="83">
        <v>4566998330</v>
      </c>
      <c r="D103" s="83">
        <v>5666923827.71</v>
      </c>
      <c r="E103" s="83">
        <f>F103-3337414629.81</f>
        <v>920284968.94</v>
      </c>
      <c r="F103" s="83">
        <v>4257699598.75</v>
      </c>
      <c r="G103" s="56">
        <f t="shared" si="13"/>
        <v>6.853814416481326</v>
      </c>
      <c r="H103" s="83">
        <f t="shared" si="2"/>
        <v>1409224228.96</v>
      </c>
      <c r="I103" s="83">
        <f>J103-2870929761.87</f>
        <v>804941540.0900002</v>
      </c>
      <c r="J103" s="83">
        <v>3675871301.96</v>
      </c>
      <c r="K103" s="56">
        <f t="shared" si="10"/>
        <v>6.429151928225413</v>
      </c>
      <c r="L103" s="86">
        <f t="shared" si="3"/>
        <v>1991052525.75</v>
      </c>
      <c r="M103" s="8"/>
    </row>
    <row r="104" spans="1:13" s="7" customFormat="1" ht="15">
      <c r="A104" s="52" t="s">
        <v>93</v>
      </c>
      <c r="B104" s="53" t="s">
        <v>99</v>
      </c>
      <c r="C104" s="83">
        <v>400758042</v>
      </c>
      <c r="D104" s="83">
        <v>404549133.9</v>
      </c>
      <c r="E104" s="83">
        <f>F104-78741699.04</f>
        <v>15560487.899999991</v>
      </c>
      <c r="F104" s="83">
        <v>94302186.94</v>
      </c>
      <c r="G104" s="56">
        <f t="shared" si="13"/>
        <v>0.15180255754653102</v>
      </c>
      <c r="H104" s="83">
        <f t="shared" si="2"/>
        <v>310246946.96</v>
      </c>
      <c r="I104" s="83">
        <f>J104-73139999.94</f>
        <v>12407075.469999999</v>
      </c>
      <c r="J104" s="83">
        <v>85547075.41</v>
      </c>
      <c r="K104" s="56">
        <f t="shared" si="10"/>
        <v>0.149623068830779</v>
      </c>
      <c r="L104" s="86">
        <f t="shared" si="3"/>
        <v>319002058.49</v>
      </c>
      <c r="M104" s="8"/>
    </row>
    <row r="105" spans="1:13" s="7" customFormat="1" ht="15">
      <c r="A105" s="52" t="s">
        <v>94</v>
      </c>
      <c r="B105" s="53" t="s">
        <v>100</v>
      </c>
      <c r="C105" s="83">
        <v>12241567</v>
      </c>
      <c r="D105" s="83">
        <v>12241567</v>
      </c>
      <c r="E105" s="83">
        <f>F105-476208.76</f>
        <v>39039.32000000001</v>
      </c>
      <c r="F105" s="83">
        <v>515248.08</v>
      </c>
      <c r="G105" s="56">
        <f t="shared" si="13"/>
        <v>0.0008294184774813838</v>
      </c>
      <c r="H105" s="83">
        <f t="shared" si="2"/>
        <v>11726318.92</v>
      </c>
      <c r="I105" s="83">
        <f>J105-367697.44</f>
        <v>34588.340000000026</v>
      </c>
      <c r="J105" s="83">
        <v>402285.78</v>
      </c>
      <c r="K105" s="56">
        <f t="shared" si="10"/>
        <v>0.0007036036318261745</v>
      </c>
      <c r="L105" s="86">
        <f t="shared" si="3"/>
        <v>11839281.22</v>
      </c>
      <c r="M105" s="8"/>
    </row>
    <row r="106" spans="1:13" s="7" customFormat="1" ht="15">
      <c r="A106" s="52" t="s">
        <v>95</v>
      </c>
      <c r="B106" s="53" t="s">
        <v>101</v>
      </c>
      <c r="C106" s="83">
        <v>45392587</v>
      </c>
      <c r="D106" s="83">
        <v>149755086</v>
      </c>
      <c r="E106" s="83">
        <f>F106-45160658.91</f>
        <v>319717.1700000018</v>
      </c>
      <c r="F106" s="83">
        <v>45480376.08</v>
      </c>
      <c r="G106" s="56">
        <f t="shared" si="13"/>
        <v>0.07321184832664362</v>
      </c>
      <c r="H106" s="83">
        <f t="shared" si="2"/>
        <v>104274709.92</v>
      </c>
      <c r="I106" s="83">
        <f>J106-33063475.99</f>
        <v>463484</v>
      </c>
      <c r="J106" s="83">
        <v>33526959.99</v>
      </c>
      <c r="K106" s="56">
        <f t="shared" si="10"/>
        <v>0.058639136618388155</v>
      </c>
      <c r="L106" s="86">
        <f t="shared" si="3"/>
        <v>116228126.01</v>
      </c>
      <c r="M106" s="8"/>
    </row>
    <row r="107" spans="1:13" s="7" customFormat="1" ht="15">
      <c r="A107" s="52" t="s">
        <v>68</v>
      </c>
      <c r="B107" s="53" t="s">
        <v>76</v>
      </c>
      <c r="C107" s="83">
        <v>1125146</v>
      </c>
      <c r="D107" s="83">
        <v>1125146</v>
      </c>
      <c r="E107" s="83">
        <f>F107-0</f>
        <v>0</v>
      </c>
      <c r="F107" s="83">
        <v>0</v>
      </c>
      <c r="G107" s="56">
        <f t="shared" si="13"/>
        <v>0</v>
      </c>
      <c r="H107" s="83">
        <f t="shared" si="2"/>
        <v>1125146</v>
      </c>
      <c r="I107" s="83">
        <f>J107-0</f>
        <v>0</v>
      </c>
      <c r="J107" s="83">
        <v>0</v>
      </c>
      <c r="K107" s="56">
        <f t="shared" si="10"/>
        <v>0</v>
      </c>
      <c r="L107" s="86">
        <f t="shared" si="3"/>
        <v>1125146</v>
      </c>
      <c r="M107" s="8"/>
    </row>
    <row r="108" spans="1:13" s="7" customFormat="1" ht="15">
      <c r="A108" s="52" t="s">
        <v>97</v>
      </c>
      <c r="B108" s="53" t="s">
        <v>241</v>
      </c>
      <c r="C108" s="83">
        <v>315000</v>
      </c>
      <c r="D108" s="83">
        <v>315000</v>
      </c>
      <c r="E108" s="83">
        <f>F108-0</f>
        <v>0</v>
      </c>
      <c r="F108" s="83">
        <v>0</v>
      </c>
      <c r="G108" s="56">
        <f t="shared" si="13"/>
        <v>0</v>
      </c>
      <c r="H108" s="83">
        <f t="shared" si="2"/>
        <v>315000</v>
      </c>
      <c r="I108" s="83">
        <f>J108-0</f>
        <v>0</v>
      </c>
      <c r="J108" s="83">
        <v>0</v>
      </c>
      <c r="K108" s="56">
        <f t="shared" si="10"/>
        <v>0</v>
      </c>
      <c r="L108" s="86">
        <f t="shared" si="3"/>
        <v>315000</v>
      </c>
      <c r="M108" s="8"/>
    </row>
    <row r="109" spans="1:17" s="7" customFormat="1" ht="15">
      <c r="A109" s="47" t="s">
        <v>104</v>
      </c>
      <c r="B109" s="50" t="s">
        <v>103</v>
      </c>
      <c r="C109" s="82">
        <f>SUM(C110:C117)</f>
        <v>88292717</v>
      </c>
      <c r="D109" s="82">
        <f>SUM(D110:D117)</f>
        <v>93067023.08</v>
      </c>
      <c r="E109" s="82">
        <f>SUM(E110:E117)</f>
        <v>1862351.72</v>
      </c>
      <c r="F109" s="82">
        <f>SUM(F110:F117)</f>
        <v>10393251.91</v>
      </c>
      <c r="G109" s="51">
        <f t="shared" si="13"/>
        <v>0.01673049451299786</v>
      </c>
      <c r="H109" s="82">
        <f t="shared" si="2"/>
        <v>82673771.17</v>
      </c>
      <c r="I109" s="82">
        <f>SUM(I110:I117)</f>
        <v>1784937.5399999989</v>
      </c>
      <c r="J109" s="82">
        <f>SUM(J110:J117)</f>
        <v>9759078.159999998</v>
      </c>
      <c r="K109" s="51">
        <f t="shared" si="10"/>
        <v>0.017068768467658736</v>
      </c>
      <c r="L109" s="85">
        <f t="shared" si="3"/>
        <v>83307944.92</v>
      </c>
      <c r="M109" s="8"/>
      <c r="N109" s="87"/>
      <c r="O109" s="87"/>
      <c r="P109" s="87"/>
      <c r="Q109" s="87"/>
    </row>
    <row r="110" spans="1:17" s="7" customFormat="1" ht="15">
      <c r="A110" s="52" t="s">
        <v>48</v>
      </c>
      <c r="B110" s="53" t="s">
        <v>55</v>
      </c>
      <c r="C110" s="83">
        <v>5000</v>
      </c>
      <c r="D110" s="83">
        <v>5000</v>
      </c>
      <c r="E110" s="83">
        <f aca="true" t="shared" si="14" ref="E110:E117">F110-0</f>
        <v>892</v>
      </c>
      <c r="F110" s="83">
        <v>892</v>
      </c>
      <c r="G110" s="51">
        <f t="shared" si="13"/>
        <v>1.4358933310598542E-06</v>
      </c>
      <c r="H110" s="83">
        <f t="shared" si="2"/>
        <v>4108</v>
      </c>
      <c r="I110" s="83">
        <f aca="true" t="shared" si="15" ref="I110:I117">J110-0</f>
        <v>892</v>
      </c>
      <c r="J110" s="83">
        <v>892</v>
      </c>
      <c r="K110" s="51">
        <f aca="true" t="shared" si="16" ref="K110:K141">(J110/$J$286)*100</f>
        <v>1.5601208662880096E-06</v>
      </c>
      <c r="L110" s="86">
        <f t="shared" si="3"/>
        <v>4108</v>
      </c>
      <c r="M110" s="8"/>
      <c r="N110" s="87"/>
      <c r="O110" s="87"/>
      <c r="P110" s="87"/>
      <c r="Q110" s="87"/>
    </row>
    <row r="111" spans="1:13" s="7" customFormat="1" ht="15">
      <c r="A111" s="52" t="s">
        <v>28</v>
      </c>
      <c r="B111" s="53" t="s">
        <v>33</v>
      </c>
      <c r="C111" s="83">
        <v>12725717</v>
      </c>
      <c r="D111" s="83">
        <v>12450745.7</v>
      </c>
      <c r="E111" s="83">
        <f>F111-8283044.89</f>
        <v>1845004.38</v>
      </c>
      <c r="F111" s="83">
        <v>10128049.27</v>
      </c>
      <c r="G111" s="56">
        <f t="shared" si="13"/>
        <v>0.016303585654079175</v>
      </c>
      <c r="H111" s="83">
        <f t="shared" si="2"/>
        <v>2322696.4299999997</v>
      </c>
      <c r="I111" s="83">
        <f>J111-7927156.32</f>
        <v>1775646.7999999989</v>
      </c>
      <c r="J111" s="83">
        <v>9702803.12</v>
      </c>
      <c r="K111" s="56">
        <f t="shared" si="16"/>
        <v>0.016970342610982514</v>
      </c>
      <c r="L111" s="86">
        <f t="shared" si="3"/>
        <v>2747942.58</v>
      </c>
      <c r="M111" s="8"/>
    </row>
    <row r="112" spans="1:13" s="7" customFormat="1" ht="15">
      <c r="A112" s="52" t="s">
        <v>50</v>
      </c>
      <c r="B112" s="53" t="s">
        <v>57</v>
      </c>
      <c r="C112" s="83">
        <v>5025000</v>
      </c>
      <c r="D112" s="83">
        <v>5035000</v>
      </c>
      <c r="E112" s="83">
        <f t="shared" si="14"/>
        <v>0</v>
      </c>
      <c r="F112" s="83">
        <v>0</v>
      </c>
      <c r="G112" s="56">
        <f t="shared" si="13"/>
        <v>0</v>
      </c>
      <c r="H112" s="83">
        <f t="shared" si="2"/>
        <v>5035000</v>
      </c>
      <c r="I112" s="83">
        <f t="shared" si="15"/>
        <v>0</v>
      </c>
      <c r="J112" s="83">
        <v>0</v>
      </c>
      <c r="K112" s="56">
        <f t="shared" si="16"/>
        <v>0</v>
      </c>
      <c r="L112" s="86">
        <f t="shared" si="3"/>
        <v>5035000</v>
      </c>
      <c r="M112" s="8"/>
    </row>
    <row r="113" spans="1:13" s="7" customFormat="1" ht="15">
      <c r="A113" s="52" t="s">
        <v>131</v>
      </c>
      <c r="B113" s="53" t="s">
        <v>132</v>
      </c>
      <c r="C113" s="83">
        <v>4525000</v>
      </c>
      <c r="D113" s="83">
        <v>4192000</v>
      </c>
      <c r="E113" s="83">
        <f t="shared" si="14"/>
        <v>0</v>
      </c>
      <c r="F113" s="83">
        <v>0</v>
      </c>
      <c r="G113" s="56">
        <f t="shared" si="13"/>
        <v>0</v>
      </c>
      <c r="H113" s="83">
        <f t="shared" si="2"/>
        <v>4192000</v>
      </c>
      <c r="I113" s="83">
        <f t="shared" si="15"/>
        <v>0</v>
      </c>
      <c r="J113" s="83">
        <v>0</v>
      </c>
      <c r="K113" s="56">
        <f t="shared" si="16"/>
        <v>0</v>
      </c>
      <c r="L113" s="86">
        <f t="shared" si="3"/>
        <v>4192000</v>
      </c>
      <c r="M113" s="8"/>
    </row>
    <row r="114" spans="1:13" s="7" customFormat="1" ht="15">
      <c r="A114" s="52" t="s">
        <v>242</v>
      </c>
      <c r="B114" s="53" t="s">
        <v>243</v>
      </c>
      <c r="C114" s="83">
        <v>0</v>
      </c>
      <c r="D114" s="83">
        <v>0</v>
      </c>
      <c r="E114" s="83">
        <f t="shared" si="14"/>
        <v>0</v>
      </c>
      <c r="F114" s="83">
        <v>0</v>
      </c>
      <c r="G114" s="56">
        <f t="shared" si="13"/>
        <v>0</v>
      </c>
      <c r="H114" s="83">
        <f>D114-F114</f>
        <v>0</v>
      </c>
      <c r="I114" s="83">
        <f t="shared" si="15"/>
        <v>0</v>
      </c>
      <c r="J114" s="83">
        <v>0</v>
      </c>
      <c r="K114" s="56">
        <f t="shared" si="16"/>
        <v>0</v>
      </c>
      <c r="L114" s="86">
        <f>D114-J114</f>
        <v>0</v>
      </c>
      <c r="M114" s="8"/>
    </row>
    <row r="115" spans="1:13" s="7" customFormat="1" ht="15">
      <c r="A115" s="52" t="s">
        <v>105</v>
      </c>
      <c r="B115" s="53" t="s">
        <v>107</v>
      </c>
      <c r="C115" s="83">
        <v>55225000</v>
      </c>
      <c r="D115" s="83">
        <v>59113364.29</v>
      </c>
      <c r="E115" s="83">
        <f>F115-247855.3</f>
        <v>16455.340000000026</v>
      </c>
      <c r="F115" s="83">
        <v>264310.64</v>
      </c>
      <c r="G115" s="56">
        <f t="shared" si="13"/>
        <v>0.0004254729655876255</v>
      </c>
      <c r="H115" s="83">
        <f t="shared" si="2"/>
        <v>58849053.65</v>
      </c>
      <c r="I115" s="83">
        <f>J115-46984.3</f>
        <v>8398.739999999998</v>
      </c>
      <c r="J115" s="83">
        <v>55383.04</v>
      </c>
      <c r="K115" s="56">
        <f t="shared" si="16"/>
        <v>9.686573580993664E-05</v>
      </c>
      <c r="L115" s="86">
        <f t="shared" si="3"/>
        <v>59057981.25</v>
      </c>
      <c r="M115" s="8"/>
    </row>
    <row r="116" spans="1:13" s="7" customFormat="1" ht="15">
      <c r="A116" s="52" t="s">
        <v>106</v>
      </c>
      <c r="B116" s="53" t="s">
        <v>108</v>
      </c>
      <c r="C116" s="83">
        <v>10787000</v>
      </c>
      <c r="D116" s="83">
        <v>12270913.09</v>
      </c>
      <c r="E116" s="83">
        <f t="shared" si="14"/>
        <v>0</v>
      </c>
      <c r="F116" s="83">
        <v>0</v>
      </c>
      <c r="G116" s="56">
        <f t="shared" si="13"/>
        <v>0</v>
      </c>
      <c r="H116" s="83">
        <f t="shared" si="2"/>
        <v>12270913.09</v>
      </c>
      <c r="I116" s="83">
        <f t="shared" si="15"/>
        <v>0</v>
      </c>
      <c r="J116" s="83">
        <v>0</v>
      </c>
      <c r="K116" s="56">
        <f t="shared" si="16"/>
        <v>0</v>
      </c>
      <c r="L116" s="86">
        <f t="shared" si="3"/>
        <v>12270913.09</v>
      </c>
      <c r="M116" s="8"/>
    </row>
    <row r="117" spans="1:13" s="7" customFormat="1" ht="15">
      <c r="A117" s="52" t="s">
        <v>53</v>
      </c>
      <c r="B117" s="53" t="s">
        <v>60</v>
      </c>
      <c r="C117" s="83">
        <v>0</v>
      </c>
      <c r="D117" s="83">
        <v>0</v>
      </c>
      <c r="E117" s="83">
        <f t="shared" si="14"/>
        <v>0</v>
      </c>
      <c r="F117" s="83">
        <v>0</v>
      </c>
      <c r="G117" s="56">
        <f t="shared" si="13"/>
        <v>0</v>
      </c>
      <c r="H117" s="83">
        <f t="shared" si="2"/>
        <v>0</v>
      </c>
      <c r="I117" s="83">
        <f t="shared" si="15"/>
        <v>0</v>
      </c>
      <c r="J117" s="83">
        <v>0</v>
      </c>
      <c r="K117" s="56">
        <f t="shared" si="16"/>
        <v>0</v>
      </c>
      <c r="L117" s="86">
        <f t="shared" si="3"/>
        <v>0</v>
      </c>
      <c r="M117" s="8"/>
    </row>
    <row r="118" spans="1:13" s="7" customFormat="1" ht="15">
      <c r="A118" s="47" t="s">
        <v>109</v>
      </c>
      <c r="B118" s="50" t="s">
        <v>110</v>
      </c>
      <c r="C118" s="82">
        <f>SUM(C119:C136)</f>
        <v>7592137807</v>
      </c>
      <c r="D118" s="82">
        <f>SUM(D119:D136)</f>
        <v>8709955361.69</v>
      </c>
      <c r="E118" s="82">
        <f>SUM(E119:E136)</f>
        <v>1840528125.19</v>
      </c>
      <c r="F118" s="82">
        <f>SUM(F119:F136)</f>
        <v>5988639827.38</v>
      </c>
      <c r="G118" s="51">
        <f aca="true" t="shared" si="17" ref="G118:G141">(F118/$F$286)*100</f>
        <v>9.64018832988159</v>
      </c>
      <c r="H118" s="82">
        <f t="shared" si="2"/>
        <v>2721315534.3100004</v>
      </c>
      <c r="I118" s="82">
        <f>SUM(I119:I136)</f>
        <v>963351698.5000002</v>
      </c>
      <c r="J118" s="82">
        <f>SUM(J119:J136)</f>
        <v>4661031859.7</v>
      </c>
      <c r="K118" s="51">
        <f t="shared" si="16"/>
        <v>8.152211953756924</v>
      </c>
      <c r="L118" s="85">
        <f t="shared" si="3"/>
        <v>4048923501.9900007</v>
      </c>
      <c r="M118" s="8"/>
    </row>
    <row r="119" spans="1:13" s="7" customFormat="1" ht="15">
      <c r="A119" s="52" t="s">
        <v>28</v>
      </c>
      <c r="B119" s="53" t="s">
        <v>33</v>
      </c>
      <c r="C119" s="83">
        <v>2372777065</v>
      </c>
      <c r="D119" s="83">
        <v>2665636881.51</v>
      </c>
      <c r="E119" s="83">
        <f>F119-1315795496.08</f>
        <v>614758339.97</v>
      </c>
      <c r="F119" s="83">
        <v>1930553836.05</v>
      </c>
      <c r="G119" s="56">
        <f t="shared" si="17"/>
        <v>3.1077010969015855</v>
      </c>
      <c r="H119" s="83">
        <f t="shared" si="2"/>
        <v>735083045.4600003</v>
      </c>
      <c r="I119" s="83">
        <f>J119-1213770473.29</f>
        <v>300852038.6200001</v>
      </c>
      <c r="J119" s="83">
        <v>1514622511.91</v>
      </c>
      <c r="K119" s="56">
        <f t="shared" si="16"/>
        <v>2.6490966203815587</v>
      </c>
      <c r="L119" s="86">
        <f t="shared" si="3"/>
        <v>1151014369.6000001</v>
      </c>
      <c r="M119" s="8"/>
    </row>
    <row r="120" spans="1:13" s="7" customFormat="1" ht="15">
      <c r="A120" s="52" t="s">
        <v>50</v>
      </c>
      <c r="B120" s="53" t="s">
        <v>57</v>
      </c>
      <c r="C120" s="83">
        <v>4041463</v>
      </c>
      <c r="D120" s="83">
        <v>4041463</v>
      </c>
      <c r="E120" s="83">
        <f>F120-0</f>
        <v>0</v>
      </c>
      <c r="F120" s="83">
        <v>0</v>
      </c>
      <c r="G120" s="56">
        <f t="shared" si="17"/>
        <v>0</v>
      </c>
      <c r="H120" s="83">
        <f t="shared" si="2"/>
        <v>4041463</v>
      </c>
      <c r="I120" s="83">
        <f>J120-0</f>
        <v>0</v>
      </c>
      <c r="J120" s="83">
        <v>0</v>
      </c>
      <c r="K120" s="56">
        <f t="shared" si="16"/>
        <v>0</v>
      </c>
      <c r="L120" s="86">
        <f t="shared" si="3"/>
        <v>4041463</v>
      </c>
      <c r="M120" s="8"/>
    </row>
    <row r="121" spans="1:13" s="7" customFormat="1" ht="15">
      <c r="A121" s="52" t="s">
        <v>29</v>
      </c>
      <c r="B121" s="53" t="s">
        <v>34</v>
      </c>
      <c r="C121" s="83">
        <v>67089128</v>
      </c>
      <c r="D121" s="83">
        <v>42981473.22</v>
      </c>
      <c r="E121" s="83">
        <f>F121-4823399</f>
        <v>2013350</v>
      </c>
      <c r="F121" s="83">
        <v>6836749</v>
      </c>
      <c r="G121" s="56">
        <f t="shared" si="17"/>
        <v>0.011005428582096556</v>
      </c>
      <c r="H121" s="83">
        <f t="shared" si="2"/>
        <v>36144724.22</v>
      </c>
      <c r="I121" s="83">
        <f>J121-1592466</f>
        <v>2944446</v>
      </c>
      <c r="J121" s="83">
        <v>4536912</v>
      </c>
      <c r="K121" s="56">
        <f t="shared" si="16"/>
        <v>0.007935124528825634</v>
      </c>
      <c r="L121" s="86">
        <f t="shared" si="3"/>
        <v>38444561.22</v>
      </c>
      <c r="M121" s="8"/>
    </row>
    <row r="122" spans="1:13" s="7" customFormat="1" ht="15">
      <c r="A122" s="52" t="s">
        <v>131</v>
      </c>
      <c r="B122" s="53" t="s">
        <v>132</v>
      </c>
      <c r="C122" s="83">
        <v>50000</v>
      </c>
      <c r="D122" s="83">
        <v>50000</v>
      </c>
      <c r="E122" s="83">
        <f>F122-0</f>
        <v>0</v>
      </c>
      <c r="F122" s="83">
        <v>0</v>
      </c>
      <c r="G122" s="56">
        <f t="shared" si="17"/>
        <v>0</v>
      </c>
      <c r="H122" s="83">
        <f t="shared" si="2"/>
        <v>50000</v>
      </c>
      <c r="I122" s="83">
        <f>J122-0</f>
        <v>0</v>
      </c>
      <c r="J122" s="83">
        <v>0</v>
      </c>
      <c r="K122" s="56">
        <f t="shared" si="16"/>
        <v>0</v>
      </c>
      <c r="L122" s="86">
        <f t="shared" si="3"/>
        <v>50000</v>
      </c>
      <c r="M122" s="8"/>
    </row>
    <row r="123" spans="1:13" s="7" customFormat="1" ht="15">
      <c r="A123" s="52" t="s">
        <v>82</v>
      </c>
      <c r="B123" s="53" t="s">
        <v>84</v>
      </c>
      <c r="C123" s="83">
        <v>71660613</v>
      </c>
      <c r="D123" s="83">
        <v>70216613</v>
      </c>
      <c r="E123" s="83">
        <f>F123-44963969.43</f>
        <v>5495865.359999999</v>
      </c>
      <c r="F123" s="83">
        <v>50459834.79</v>
      </c>
      <c r="G123" s="56">
        <f t="shared" si="17"/>
        <v>0.08122751150374778</v>
      </c>
      <c r="H123" s="83">
        <f t="shared" si="2"/>
        <v>19756778.21</v>
      </c>
      <c r="I123" s="83">
        <f>J123-31439332.61</f>
        <v>8514376.350000001</v>
      </c>
      <c r="J123" s="83">
        <v>39953708.96</v>
      </c>
      <c r="K123" s="56">
        <f t="shared" si="16"/>
        <v>0.06987961326692177</v>
      </c>
      <c r="L123" s="86">
        <f t="shared" si="3"/>
        <v>30262904.04</v>
      </c>
      <c r="M123" s="8"/>
    </row>
    <row r="124" spans="1:13" s="7" customFormat="1" ht="15">
      <c r="A124" s="52" t="s">
        <v>67</v>
      </c>
      <c r="B124" s="53" t="s">
        <v>75</v>
      </c>
      <c r="C124" s="83">
        <v>14275821</v>
      </c>
      <c r="D124" s="83">
        <v>14075821</v>
      </c>
      <c r="E124" s="83">
        <f>F124-4489021.9</f>
        <v>1085233.5999999996</v>
      </c>
      <c r="F124" s="83">
        <v>5574255.5</v>
      </c>
      <c r="G124" s="56">
        <f t="shared" si="17"/>
        <v>0.008973134863311338</v>
      </c>
      <c r="H124" s="83">
        <f t="shared" si="2"/>
        <v>8501565.5</v>
      </c>
      <c r="I124" s="83">
        <f>J124-1784704.96</f>
        <v>888979.94</v>
      </c>
      <c r="J124" s="83">
        <v>2673684.9</v>
      </c>
      <c r="K124" s="56">
        <f t="shared" si="16"/>
        <v>0.004676313455570819</v>
      </c>
      <c r="L124" s="86">
        <f t="shared" si="3"/>
        <v>11402136.1</v>
      </c>
      <c r="M124" s="8"/>
    </row>
    <row r="125" spans="1:13" s="7" customFormat="1" ht="15">
      <c r="A125" s="52" t="s">
        <v>68</v>
      </c>
      <c r="B125" s="53" t="s">
        <v>76</v>
      </c>
      <c r="C125" s="83">
        <v>362133745</v>
      </c>
      <c r="D125" s="83">
        <v>370421999.06</v>
      </c>
      <c r="E125" s="83">
        <f>F125-302370285.16</f>
        <v>1457189.769999981</v>
      </c>
      <c r="F125" s="83">
        <v>303827474.93</v>
      </c>
      <c r="G125" s="56">
        <f t="shared" si="17"/>
        <v>0.4890850280770651</v>
      </c>
      <c r="H125" s="83">
        <f t="shared" si="2"/>
        <v>66594524.129999995</v>
      </c>
      <c r="I125" s="83">
        <f>J125-186459241.77</f>
        <v>62269523.29999998</v>
      </c>
      <c r="J125" s="83">
        <v>248728765.07</v>
      </c>
      <c r="K125" s="56">
        <f t="shared" si="16"/>
        <v>0.43503019779344754</v>
      </c>
      <c r="L125" s="86">
        <f t="shared" si="3"/>
        <v>121693233.99000001</v>
      </c>
      <c r="M125" s="8"/>
    </row>
    <row r="126" spans="1:13" s="7" customFormat="1" ht="15">
      <c r="A126" s="52" t="s">
        <v>238</v>
      </c>
      <c r="B126" s="53" t="s">
        <v>239</v>
      </c>
      <c r="C126" s="83">
        <v>2465498</v>
      </c>
      <c r="D126" s="83">
        <v>2465498</v>
      </c>
      <c r="E126" s="83">
        <f>F126-0</f>
        <v>0</v>
      </c>
      <c r="F126" s="83">
        <v>0</v>
      </c>
      <c r="G126" s="56">
        <f t="shared" si="17"/>
        <v>0</v>
      </c>
      <c r="H126" s="83">
        <f t="shared" si="2"/>
        <v>2465498</v>
      </c>
      <c r="I126" s="83">
        <f>J126-0</f>
        <v>0</v>
      </c>
      <c r="J126" s="83">
        <v>0</v>
      </c>
      <c r="K126" s="56">
        <f t="shared" si="16"/>
        <v>0</v>
      </c>
      <c r="L126" s="86">
        <f t="shared" si="3"/>
        <v>2465498</v>
      </c>
      <c r="M126" s="8"/>
    </row>
    <row r="127" spans="1:13" s="7" customFormat="1" ht="15">
      <c r="A127" s="52" t="s">
        <v>111</v>
      </c>
      <c r="B127" s="53" t="s">
        <v>118</v>
      </c>
      <c r="C127" s="83">
        <v>1020266224</v>
      </c>
      <c r="D127" s="83">
        <v>945773688.72</v>
      </c>
      <c r="E127" s="83">
        <f>F127-563869665.62</f>
        <v>272841342.33000004</v>
      </c>
      <c r="F127" s="83">
        <v>836711007.95</v>
      </c>
      <c r="G127" s="56">
        <f t="shared" si="17"/>
        <v>1.346892103519926</v>
      </c>
      <c r="H127" s="83">
        <f t="shared" si="2"/>
        <v>109062680.76999998</v>
      </c>
      <c r="I127" s="83">
        <f>J127-563869665.62</f>
        <v>123159255.63</v>
      </c>
      <c r="J127" s="83">
        <v>687028921.25</v>
      </c>
      <c r="K127" s="56">
        <f t="shared" si="16"/>
        <v>1.2016234930330345</v>
      </c>
      <c r="L127" s="86">
        <f t="shared" si="3"/>
        <v>258744767.47000003</v>
      </c>
      <c r="M127" s="8"/>
    </row>
    <row r="128" spans="1:13" s="7" customFormat="1" ht="15">
      <c r="A128" s="52" t="s">
        <v>112</v>
      </c>
      <c r="B128" s="53" t="s">
        <v>119</v>
      </c>
      <c r="C128" s="83">
        <v>1967630518</v>
      </c>
      <c r="D128" s="83">
        <v>2125489514.31</v>
      </c>
      <c r="E128" s="83">
        <f>F128-1251837244.15</f>
        <v>726182138.3</v>
      </c>
      <c r="F128" s="83">
        <v>1978019382.45</v>
      </c>
      <c r="G128" s="56">
        <f t="shared" si="17"/>
        <v>3.184108564985523</v>
      </c>
      <c r="H128" s="83">
        <f t="shared" si="2"/>
        <v>147470131.8599999</v>
      </c>
      <c r="I128" s="83">
        <f>J128-1251802966.15</f>
        <v>287961046.73</v>
      </c>
      <c r="J128" s="83">
        <v>1539764012.88</v>
      </c>
      <c r="K128" s="56">
        <f t="shared" si="16"/>
        <v>2.6930694682213536</v>
      </c>
      <c r="L128" s="86">
        <f t="shared" si="3"/>
        <v>585725501.4299998</v>
      </c>
      <c r="M128" s="8"/>
    </row>
    <row r="129" spans="1:13" s="7" customFormat="1" ht="15">
      <c r="A129" s="52" t="s">
        <v>113</v>
      </c>
      <c r="B129" s="53" t="s">
        <v>120</v>
      </c>
      <c r="C129" s="83">
        <v>94611461</v>
      </c>
      <c r="D129" s="83">
        <v>159608132.51</v>
      </c>
      <c r="E129" s="83">
        <f>F129-10368981.83</f>
        <v>6223558.5</v>
      </c>
      <c r="F129" s="83">
        <v>16592540.33</v>
      </c>
      <c r="G129" s="56">
        <f t="shared" si="17"/>
        <v>0.026709773548417796</v>
      </c>
      <c r="H129" s="83">
        <f t="shared" si="2"/>
        <v>143015592.17999998</v>
      </c>
      <c r="I129" s="83">
        <f>J129-712787.49</f>
        <v>1447706.6900000002</v>
      </c>
      <c r="J129" s="83">
        <v>2160494.18</v>
      </c>
      <c r="K129" s="56">
        <f t="shared" si="16"/>
        <v>0.003778735483981842</v>
      </c>
      <c r="L129" s="86">
        <f t="shared" si="3"/>
        <v>157447638.32999998</v>
      </c>
      <c r="M129" s="8"/>
    </row>
    <row r="130" spans="1:13" s="7" customFormat="1" ht="15">
      <c r="A130" s="52" t="s">
        <v>114</v>
      </c>
      <c r="B130" s="53" t="s">
        <v>121</v>
      </c>
      <c r="C130" s="83">
        <v>366912851</v>
      </c>
      <c r="D130" s="83">
        <v>396968496.8</v>
      </c>
      <c r="E130" s="83">
        <f>F130-143628125.66</f>
        <v>59702882.870000005</v>
      </c>
      <c r="F130" s="83">
        <v>203331008.53</v>
      </c>
      <c r="G130" s="56">
        <f t="shared" si="17"/>
        <v>0.3273112546478715</v>
      </c>
      <c r="H130" s="83">
        <f t="shared" si="2"/>
        <v>193637488.27</v>
      </c>
      <c r="I130" s="83">
        <f>J130-126696119.29</f>
        <v>42717881.7</v>
      </c>
      <c r="J130" s="83">
        <v>169414000.99</v>
      </c>
      <c r="K130" s="56">
        <f t="shared" si="16"/>
        <v>0.2963075313742562</v>
      </c>
      <c r="L130" s="86">
        <f t="shared" si="3"/>
        <v>227554495.81</v>
      </c>
      <c r="M130" s="8"/>
    </row>
    <row r="131" spans="1:13" s="7" customFormat="1" ht="15">
      <c r="A131" s="52" t="s">
        <v>115</v>
      </c>
      <c r="B131" s="53" t="s">
        <v>122</v>
      </c>
      <c r="C131" s="83">
        <v>11227300</v>
      </c>
      <c r="D131" s="83">
        <v>17795397</v>
      </c>
      <c r="E131" s="83">
        <f>F131-7193674.6</f>
        <v>3022518.8200000003</v>
      </c>
      <c r="F131" s="83">
        <v>10216193.42</v>
      </c>
      <c r="G131" s="56">
        <f t="shared" si="17"/>
        <v>0.016445475336990544</v>
      </c>
      <c r="H131" s="83">
        <f t="shared" si="2"/>
        <v>7579203.58</v>
      </c>
      <c r="I131" s="83">
        <f>J131-6467898.4</f>
        <v>2989500.1099999994</v>
      </c>
      <c r="J131" s="83">
        <v>9457398.51</v>
      </c>
      <c r="K131" s="56">
        <f t="shared" si="16"/>
        <v>0.016541126408354406</v>
      </c>
      <c r="L131" s="86">
        <f t="shared" si="3"/>
        <v>8337998.49</v>
      </c>
      <c r="M131" s="8"/>
    </row>
    <row r="132" spans="1:13" s="7" customFormat="1" ht="15">
      <c r="A132" s="52" t="s">
        <v>116</v>
      </c>
      <c r="B132" s="53" t="s">
        <v>123</v>
      </c>
      <c r="C132" s="83">
        <v>30194872</v>
      </c>
      <c r="D132" s="83">
        <v>25965480.3</v>
      </c>
      <c r="E132" s="83">
        <f>F132-2314730</f>
        <v>3747085.6500000004</v>
      </c>
      <c r="F132" s="83">
        <v>6061815.65</v>
      </c>
      <c r="G132" s="56">
        <f t="shared" si="17"/>
        <v>0.009757982809360152</v>
      </c>
      <c r="H132" s="83">
        <f t="shared" si="2"/>
        <v>19903664.65</v>
      </c>
      <c r="I132" s="83">
        <f>J132-60929.05</f>
        <v>711514.01</v>
      </c>
      <c r="J132" s="83">
        <v>772443.06</v>
      </c>
      <c r="K132" s="56">
        <f t="shared" si="16"/>
        <v>0.0013510140537279832</v>
      </c>
      <c r="L132" s="86">
        <f t="shared" si="3"/>
        <v>25193037.240000002</v>
      </c>
      <c r="M132" s="8"/>
    </row>
    <row r="133" spans="1:13" s="7" customFormat="1" ht="15">
      <c r="A133" s="52" t="s">
        <v>251</v>
      </c>
      <c r="B133" s="53" t="s">
        <v>252</v>
      </c>
      <c r="C133" s="83">
        <v>897353191</v>
      </c>
      <c r="D133" s="83">
        <v>1685313775.67</v>
      </c>
      <c r="E133" s="83">
        <f>F133-408524461.86</f>
        <v>121156201.62</v>
      </c>
      <c r="F133" s="83">
        <v>529680663.48</v>
      </c>
      <c r="G133" s="56">
        <f t="shared" si="17"/>
        <v>0.8526512693747657</v>
      </c>
      <c r="H133" s="83">
        <f t="shared" si="2"/>
        <v>1155633112.19</v>
      </c>
      <c r="I133" s="83">
        <f>J133-225113563.42</f>
        <v>106052207.41999999</v>
      </c>
      <c r="J133" s="83">
        <v>331165770.84</v>
      </c>
      <c r="K133" s="56">
        <f t="shared" si="16"/>
        <v>0.5792137099639431</v>
      </c>
      <c r="L133" s="86">
        <f t="shared" si="3"/>
        <v>1354148004.8300002</v>
      </c>
      <c r="M133" s="8"/>
    </row>
    <row r="134" spans="1:13" s="7" customFormat="1" ht="15">
      <c r="A134" s="52" t="s">
        <v>117</v>
      </c>
      <c r="B134" s="53" t="s">
        <v>124</v>
      </c>
      <c r="C134" s="83">
        <v>791500</v>
      </c>
      <c r="D134" s="83">
        <v>721500</v>
      </c>
      <c r="E134" s="83">
        <f>F134-42936.4</f>
        <v>17448.9</v>
      </c>
      <c r="F134" s="83">
        <v>60385.3</v>
      </c>
      <c r="G134" s="56">
        <f t="shared" si="17"/>
        <v>9.720498830050294E-05</v>
      </c>
      <c r="H134" s="83">
        <f t="shared" si="2"/>
        <v>661114.7</v>
      </c>
      <c r="I134" s="83">
        <f>J134-20302.65</f>
        <v>18252.5</v>
      </c>
      <c r="J134" s="83">
        <v>38555.15</v>
      </c>
      <c r="K134" s="56">
        <f t="shared" si="16"/>
        <v>6.743351347294188E-05</v>
      </c>
      <c r="L134" s="86">
        <f t="shared" si="3"/>
        <v>682944.85</v>
      </c>
      <c r="M134" s="8"/>
    </row>
    <row r="135" spans="1:13" s="7" customFormat="1" ht="15">
      <c r="A135" s="52" t="s">
        <v>96</v>
      </c>
      <c r="B135" s="53" t="s">
        <v>102</v>
      </c>
      <c r="C135" s="83">
        <v>5000</v>
      </c>
      <c r="D135" s="83">
        <v>5000</v>
      </c>
      <c r="E135" s="83">
        <f>F135-0</f>
        <v>0</v>
      </c>
      <c r="F135" s="83">
        <v>0</v>
      </c>
      <c r="G135" s="56">
        <f t="shared" si="17"/>
        <v>0</v>
      </c>
      <c r="H135" s="83">
        <f t="shared" si="2"/>
        <v>5000</v>
      </c>
      <c r="I135" s="83">
        <f>J135-0</f>
        <v>0</v>
      </c>
      <c r="J135" s="83">
        <v>0</v>
      </c>
      <c r="K135" s="56">
        <f t="shared" si="16"/>
        <v>0</v>
      </c>
      <c r="L135" s="86">
        <f t="shared" si="3"/>
        <v>5000</v>
      </c>
      <c r="M135" s="8"/>
    </row>
    <row r="136" spans="1:13" s="7" customFormat="1" ht="15">
      <c r="A136" s="52" t="s">
        <v>97</v>
      </c>
      <c r="B136" s="53" t="s">
        <v>241</v>
      </c>
      <c r="C136" s="83">
        <v>308651557</v>
      </c>
      <c r="D136" s="83">
        <v>182424627.59</v>
      </c>
      <c r="E136" s="83">
        <f>F136-87889710.5</f>
        <v>22824969.5</v>
      </c>
      <c r="F136" s="83">
        <v>110714680</v>
      </c>
      <c r="G136" s="56">
        <f t="shared" si="17"/>
        <v>0.17822250074262985</v>
      </c>
      <c r="H136" s="83">
        <f>D136-F136</f>
        <v>71709947.59</v>
      </c>
      <c r="I136" s="83">
        <f>J136-87889710.5</f>
        <v>22824969.5</v>
      </c>
      <c r="J136" s="83">
        <v>110714680</v>
      </c>
      <c r="K136" s="56">
        <f t="shared" si="16"/>
        <v>0.1936415722784751</v>
      </c>
      <c r="L136" s="86">
        <f>D136-J136</f>
        <v>71709947.59</v>
      </c>
      <c r="M136" s="8"/>
    </row>
    <row r="137" spans="1:13" s="7" customFormat="1" ht="15">
      <c r="A137" s="47" t="s">
        <v>125</v>
      </c>
      <c r="B137" s="50" t="s">
        <v>126</v>
      </c>
      <c r="C137" s="82">
        <f>SUM(C138:C141)</f>
        <v>198792518</v>
      </c>
      <c r="D137" s="82">
        <f>SUM(D138:D141)</f>
        <v>297109873.59000003</v>
      </c>
      <c r="E137" s="82">
        <f>SUM(E138:E141)</f>
        <v>35504667.849999994</v>
      </c>
      <c r="F137" s="82">
        <f>SUM(F138:F141)</f>
        <v>115804840.22999999</v>
      </c>
      <c r="G137" s="51">
        <f t="shared" si="17"/>
        <v>0.18641636523622074</v>
      </c>
      <c r="H137" s="82">
        <f t="shared" si="2"/>
        <v>181305033.36000004</v>
      </c>
      <c r="I137" s="82">
        <f>SUM(I138:I141)</f>
        <v>22872878.950000003</v>
      </c>
      <c r="J137" s="82">
        <f>SUM(J138:J141)</f>
        <v>82931852</v>
      </c>
      <c r="K137" s="51">
        <f t="shared" si="16"/>
        <v>0.145049005364472</v>
      </c>
      <c r="L137" s="85">
        <f t="shared" si="3"/>
        <v>214178021.59000003</v>
      </c>
      <c r="M137" s="8"/>
    </row>
    <row r="138" spans="1:13" s="7" customFormat="1" ht="15">
      <c r="A138" s="52" t="s">
        <v>28</v>
      </c>
      <c r="B138" s="53" t="s">
        <v>33</v>
      </c>
      <c r="C138" s="83">
        <v>104057254</v>
      </c>
      <c r="D138" s="83">
        <v>107941972.79</v>
      </c>
      <c r="E138" s="83">
        <f>F138-50706607.79</f>
        <v>17401386.059999995</v>
      </c>
      <c r="F138" s="83">
        <v>68107993.85</v>
      </c>
      <c r="G138" s="56">
        <f t="shared" si="17"/>
        <v>0.10963656296085265</v>
      </c>
      <c r="H138" s="83">
        <f t="shared" si="2"/>
        <v>39833978.94000001</v>
      </c>
      <c r="I138" s="83">
        <f>J138-48585207.98</f>
        <v>15666581.530000001</v>
      </c>
      <c r="J138" s="83">
        <v>64251789.51</v>
      </c>
      <c r="K138" s="56">
        <f t="shared" si="16"/>
        <v>0.11237730662656507</v>
      </c>
      <c r="L138" s="86">
        <f t="shared" si="3"/>
        <v>43690183.28000001</v>
      </c>
      <c r="M138" s="8"/>
    </row>
    <row r="139" spans="1:13" s="7" customFormat="1" ht="15">
      <c r="A139" s="52" t="s">
        <v>127</v>
      </c>
      <c r="B139" s="53" t="s">
        <v>128</v>
      </c>
      <c r="C139" s="83">
        <v>26088038</v>
      </c>
      <c r="D139" s="83">
        <v>8416354.82</v>
      </c>
      <c r="E139" s="83">
        <f>F139-4867.49</f>
        <v>3023.9800000000005</v>
      </c>
      <c r="F139" s="83">
        <v>7891.47</v>
      </c>
      <c r="G139" s="56">
        <f t="shared" si="17"/>
        <v>1.2703261373608643E-05</v>
      </c>
      <c r="H139" s="83">
        <f t="shared" si="2"/>
        <v>8408463.35</v>
      </c>
      <c r="I139" s="83">
        <f>J139-3916.39</f>
        <v>3230.5000000000005</v>
      </c>
      <c r="J139" s="83">
        <v>7146.89</v>
      </c>
      <c r="K139" s="56">
        <f t="shared" si="16"/>
        <v>1.2500013697382413E-05</v>
      </c>
      <c r="L139" s="86">
        <f t="shared" si="3"/>
        <v>8409207.93</v>
      </c>
      <c r="M139" s="8"/>
    </row>
    <row r="140" spans="1:13" s="7" customFormat="1" ht="15">
      <c r="A140" s="52" t="s">
        <v>117</v>
      </c>
      <c r="B140" s="53" t="s">
        <v>124</v>
      </c>
      <c r="C140" s="83">
        <v>68647226</v>
      </c>
      <c r="D140" s="83">
        <v>180751545.98</v>
      </c>
      <c r="E140" s="83">
        <f>F140-29588697.1</f>
        <v>18100257.809999995</v>
      </c>
      <c r="F140" s="83">
        <v>47688954.91</v>
      </c>
      <c r="G140" s="56">
        <f t="shared" si="17"/>
        <v>0.07676709901399449</v>
      </c>
      <c r="H140" s="83">
        <f t="shared" si="2"/>
        <v>133062591.07</v>
      </c>
      <c r="I140" s="83">
        <f>J140-11469848.68</f>
        <v>7203066.920000002</v>
      </c>
      <c r="J140" s="83">
        <v>18672915.6</v>
      </c>
      <c r="K140" s="56">
        <f t="shared" si="16"/>
        <v>0.03265919872420952</v>
      </c>
      <c r="L140" s="86">
        <f>D140-J140</f>
        <v>162078630.38</v>
      </c>
      <c r="M140" s="8"/>
    </row>
    <row r="141" spans="1:13" s="7" customFormat="1" ht="15">
      <c r="A141" s="58" t="s">
        <v>185</v>
      </c>
      <c r="B141" s="59" t="s">
        <v>186</v>
      </c>
      <c r="C141" s="84">
        <v>0</v>
      </c>
      <c r="D141" s="84">
        <v>0</v>
      </c>
      <c r="E141" s="84">
        <f>F141-0</f>
        <v>0</v>
      </c>
      <c r="F141" s="84">
        <v>0</v>
      </c>
      <c r="G141" s="60">
        <f t="shared" si="17"/>
        <v>0</v>
      </c>
      <c r="H141" s="84">
        <f t="shared" si="2"/>
        <v>0</v>
      </c>
      <c r="I141" s="84">
        <f>J141-0</f>
        <v>0</v>
      </c>
      <c r="J141" s="84">
        <v>0</v>
      </c>
      <c r="K141" s="60">
        <f t="shared" si="16"/>
        <v>0</v>
      </c>
      <c r="L141" s="88">
        <f t="shared" si="3"/>
        <v>0</v>
      </c>
      <c r="M141" s="8"/>
    </row>
    <row r="142" spans="1:13" s="7" customFormat="1" ht="15">
      <c r="A142" s="61"/>
      <c r="B142" s="62"/>
      <c r="C142" s="63"/>
      <c r="D142" s="63"/>
      <c r="E142" s="63"/>
      <c r="F142" s="63"/>
      <c r="G142" s="64"/>
      <c r="H142" s="63"/>
      <c r="I142" s="63"/>
      <c r="J142" s="63"/>
      <c r="K142" s="64"/>
      <c r="L142" s="65" t="s">
        <v>228</v>
      </c>
      <c r="M142" s="8"/>
    </row>
    <row r="143" spans="1:13" s="7" customFormat="1" ht="13.5" customHeight="1">
      <c r="A143" s="31"/>
      <c r="B143" s="28"/>
      <c r="C143" s="32"/>
      <c r="D143" s="32"/>
      <c r="E143" s="32"/>
      <c r="F143" s="32"/>
      <c r="G143" s="33"/>
      <c r="H143" s="32"/>
      <c r="I143" s="32"/>
      <c r="J143" s="32"/>
      <c r="K143" s="33"/>
      <c r="L143" s="32"/>
      <c r="M143" s="8"/>
    </row>
    <row r="144" spans="1:13" s="7" customFormat="1" ht="15.75">
      <c r="A144" s="31"/>
      <c r="B144" s="28"/>
      <c r="C144" s="32"/>
      <c r="D144" s="32"/>
      <c r="E144" s="32"/>
      <c r="F144" s="32"/>
      <c r="G144" s="33"/>
      <c r="H144" s="32"/>
      <c r="I144" s="32"/>
      <c r="J144" s="32"/>
      <c r="K144" s="33"/>
      <c r="L144" s="32"/>
      <c r="M144" s="8"/>
    </row>
    <row r="145" spans="1:13" s="7" customFormat="1" ht="15.75">
      <c r="A145" s="31"/>
      <c r="B145" s="28"/>
      <c r="C145" s="32"/>
      <c r="D145" s="32"/>
      <c r="E145" s="32"/>
      <c r="F145" s="32"/>
      <c r="G145" s="33"/>
      <c r="H145" s="32"/>
      <c r="I145" s="32"/>
      <c r="J145" s="32"/>
      <c r="K145" s="33"/>
      <c r="L145" s="32"/>
      <c r="M145" s="8"/>
    </row>
    <row r="146" spans="1:13" s="7" customFormat="1" ht="17.25" customHeight="1">
      <c r="A146" s="31"/>
      <c r="B146" s="28"/>
      <c r="C146" s="32"/>
      <c r="D146" s="32"/>
      <c r="E146" s="32"/>
      <c r="F146" s="32"/>
      <c r="G146" s="33"/>
      <c r="H146" s="32"/>
      <c r="I146" s="32"/>
      <c r="J146" s="32"/>
      <c r="K146" s="33"/>
      <c r="L146" s="25" t="s">
        <v>157</v>
      </c>
      <c r="M146" s="8"/>
    </row>
    <row r="147" spans="1:13" s="7" customFormat="1" ht="15.75">
      <c r="A147" s="116" t="s">
        <v>14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8"/>
    </row>
    <row r="148" spans="1:13" s="7" customFormat="1" ht="15.75">
      <c r="A148" s="116" t="s">
        <v>0</v>
      </c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8"/>
    </row>
    <row r="149" spans="1:13" s="7" customFormat="1" ht="15.75">
      <c r="A149" s="117" t="s">
        <v>1</v>
      </c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8"/>
    </row>
    <row r="150" spans="1:13" s="7" customFormat="1" ht="15.75">
      <c r="A150" s="116" t="s">
        <v>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8"/>
    </row>
    <row r="151" spans="1:13" s="7" customFormat="1" ht="15.75">
      <c r="A151" s="116" t="str">
        <f>A8</f>
        <v>JANEIRO A OUTUBRO 2021/BIMESTRE SETEMBRO - OUTUBRO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8"/>
    </row>
    <row r="152" spans="1:13" s="7" customFormat="1" ht="15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5" t="str">
        <f>L9</f>
        <v>Emissão: 19/11/2021</v>
      </c>
      <c r="M152" s="8"/>
    </row>
    <row r="153" spans="1:13" s="7" customFormat="1" ht="15.75">
      <c r="A153" s="27" t="s">
        <v>240</v>
      </c>
      <c r="B153" s="26"/>
      <c r="C153" s="28"/>
      <c r="D153" s="26"/>
      <c r="E153" s="26"/>
      <c r="F153" s="29"/>
      <c r="G153" s="29"/>
      <c r="H153" s="29"/>
      <c r="I153" s="26"/>
      <c r="J153" s="26"/>
      <c r="K153" s="25"/>
      <c r="L153" s="30">
        <v>1</v>
      </c>
      <c r="M153" s="8"/>
    </row>
    <row r="154" spans="1:13" s="7" customFormat="1" ht="13.5" customHeight="1">
      <c r="A154" s="11"/>
      <c r="B154" s="12"/>
      <c r="C154" s="13" t="s">
        <v>3</v>
      </c>
      <c r="D154" s="13" t="s">
        <v>3</v>
      </c>
      <c r="E154" s="118" t="s">
        <v>4</v>
      </c>
      <c r="F154" s="119"/>
      <c r="G154" s="120"/>
      <c r="H154" s="13" t="s">
        <v>18</v>
      </c>
      <c r="I154" s="118" t="s">
        <v>5</v>
      </c>
      <c r="J154" s="119"/>
      <c r="K154" s="120"/>
      <c r="L154" s="14" t="s">
        <v>18</v>
      </c>
      <c r="M154" s="8"/>
    </row>
    <row r="155" spans="1:13" s="7" customFormat="1" ht="14.25" customHeight="1">
      <c r="A155" s="15" t="s">
        <v>23</v>
      </c>
      <c r="B155" s="16" t="s">
        <v>6</v>
      </c>
      <c r="C155" s="16" t="s">
        <v>7</v>
      </c>
      <c r="D155" s="16" t="s">
        <v>8</v>
      </c>
      <c r="E155" s="16" t="s">
        <v>9</v>
      </c>
      <c r="F155" s="16" t="s">
        <v>10</v>
      </c>
      <c r="G155" s="16" t="s">
        <v>11</v>
      </c>
      <c r="H155" s="17"/>
      <c r="I155" s="16" t="s">
        <v>9</v>
      </c>
      <c r="J155" s="16" t="s">
        <v>10</v>
      </c>
      <c r="K155" s="16" t="s">
        <v>11</v>
      </c>
      <c r="L155" s="18"/>
      <c r="M155" s="8"/>
    </row>
    <row r="156" spans="1:13" s="7" customFormat="1" ht="13.5" customHeight="1">
      <c r="A156" s="19"/>
      <c r="B156" s="20"/>
      <c r="C156" s="20"/>
      <c r="D156" s="21" t="s">
        <v>12</v>
      </c>
      <c r="E156" s="21"/>
      <c r="F156" s="21" t="s">
        <v>13</v>
      </c>
      <c r="G156" s="21" t="s">
        <v>17</v>
      </c>
      <c r="H156" s="22" t="s">
        <v>19</v>
      </c>
      <c r="I156" s="21"/>
      <c r="J156" s="21" t="s">
        <v>20</v>
      </c>
      <c r="K156" s="21" t="s">
        <v>21</v>
      </c>
      <c r="L156" s="23" t="s">
        <v>22</v>
      </c>
      <c r="M156" s="8"/>
    </row>
    <row r="157" spans="1:13" s="7" customFormat="1" ht="15">
      <c r="A157" s="47" t="s">
        <v>129</v>
      </c>
      <c r="B157" s="50" t="s">
        <v>130</v>
      </c>
      <c r="C157" s="82">
        <f>SUM(C158:C164)</f>
        <v>220339809</v>
      </c>
      <c r="D157" s="82">
        <f>SUM(D158:D164)</f>
        <v>283611287.17</v>
      </c>
      <c r="E157" s="82">
        <f>SUM(E158:E164)</f>
        <v>38175630.49999999</v>
      </c>
      <c r="F157" s="82">
        <f>SUM(F158:F164)</f>
        <v>202932463.55</v>
      </c>
      <c r="G157" s="51">
        <f aca="true" t="shared" si="18" ref="G157:G188">(F157/$F$286)*100</f>
        <v>0.3266696985055964</v>
      </c>
      <c r="H157" s="82">
        <f aca="true" t="shared" si="19" ref="H157:H164">D157-F157</f>
        <v>80678823.62</v>
      </c>
      <c r="I157" s="82">
        <f>SUM(I158:I164)</f>
        <v>41798441.61000001</v>
      </c>
      <c r="J157" s="82">
        <f>SUM(J158:J164)</f>
        <v>184319394.88000003</v>
      </c>
      <c r="K157" s="51">
        <f aca="true" t="shared" si="20" ref="K157:K188">(J157/$J$286)*100</f>
        <v>0.32237728028460466</v>
      </c>
      <c r="L157" s="85">
        <f aca="true" t="shared" si="21" ref="L157:L164">D157-J157</f>
        <v>99291892.28999999</v>
      </c>
      <c r="M157" s="8"/>
    </row>
    <row r="158" spans="1:13" s="7" customFormat="1" ht="15">
      <c r="A158" s="52" t="s">
        <v>28</v>
      </c>
      <c r="B158" s="53" t="s">
        <v>33</v>
      </c>
      <c r="C158" s="83">
        <v>13272176</v>
      </c>
      <c r="D158" s="83">
        <v>13059767</v>
      </c>
      <c r="E158" s="83">
        <f>F158-7751225.75</f>
        <v>1934120.3100000005</v>
      </c>
      <c r="F158" s="83">
        <v>9685346.06</v>
      </c>
      <c r="G158" s="56">
        <f t="shared" si="18"/>
        <v>0.01559094598269152</v>
      </c>
      <c r="H158" s="83">
        <f t="shared" si="19"/>
        <v>3374420.9399999995</v>
      </c>
      <c r="I158" s="83">
        <f>J158-7749099.69</f>
        <v>1893449.6100000003</v>
      </c>
      <c r="J158" s="83">
        <v>9642549.3</v>
      </c>
      <c r="K158" s="56">
        <f t="shared" si="20"/>
        <v>0.01686495781069601</v>
      </c>
      <c r="L158" s="86">
        <f t="shared" si="21"/>
        <v>3417217.6999999993</v>
      </c>
      <c r="M158" s="8"/>
    </row>
    <row r="159" spans="1:13" s="7" customFormat="1" ht="15">
      <c r="A159" s="52" t="s">
        <v>49</v>
      </c>
      <c r="B159" s="53" t="s">
        <v>56</v>
      </c>
      <c r="C159" s="83">
        <v>196504700</v>
      </c>
      <c r="D159" s="83">
        <v>249252550.87</v>
      </c>
      <c r="E159" s="83">
        <f>F159-153411741.43</f>
        <v>35445839.47999999</v>
      </c>
      <c r="F159" s="83">
        <v>188857580.91</v>
      </c>
      <c r="G159" s="56">
        <f t="shared" si="18"/>
        <v>0.30401271406812314</v>
      </c>
      <c r="H159" s="83">
        <f t="shared" si="19"/>
        <v>60394969.96000001</v>
      </c>
      <c r="I159" s="83">
        <f>J159-132005478.94</f>
        <v>38464197.52000001</v>
      </c>
      <c r="J159" s="83">
        <v>170469676.46</v>
      </c>
      <c r="K159" s="56">
        <f t="shared" si="20"/>
        <v>0.29815392299844384</v>
      </c>
      <c r="L159" s="86">
        <f t="shared" si="21"/>
        <v>78782874.41</v>
      </c>
      <c r="M159" s="8"/>
    </row>
    <row r="160" spans="1:13" s="7" customFormat="1" ht="15">
      <c r="A160" s="52" t="s">
        <v>52</v>
      </c>
      <c r="B160" s="53" t="s">
        <v>59</v>
      </c>
      <c r="C160" s="83">
        <v>0</v>
      </c>
      <c r="D160" s="83">
        <v>0</v>
      </c>
      <c r="E160" s="83">
        <f>F160-0</f>
        <v>0</v>
      </c>
      <c r="F160" s="83">
        <v>0</v>
      </c>
      <c r="G160" s="56">
        <f t="shared" si="18"/>
        <v>0</v>
      </c>
      <c r="H160" s="83">
        <f t="shared" si="19"/>
        <v>0</v>
      </c>
      <c r="I160" s="83">
        <f>J160-0</f>
        <v>0</v>
      </c>
      <c r="J160" s="83">
        <v>0</v>
      </c>
      <c r="K160" s="56">
        <f t="shared" si="20"/>
        <v>0</v>
      </c>
      <c r="L160" s="86">
        <f t="shared" si="21"/>
        <v>0</v>
      </c>
      <c r="M160" s="8"/>
    </row>
    <row r="161" spans="1:13" s="7" customFormat="1" ht="15">
      <c r="A161" s="52" t="s">
        <v>131</v>
      </c>
      <c r="B161" s="53" t="s">
        <v>132</v>
      </c>
      <c r="C161" s="83">
        <v>11576</v>
      </c>
      <c r="D161" s="83">
        <v>11576</v>
      </c>
      <c r="E161" s="83">
        <f>F161-0</f>
        <v>0</v>
      </c>
      <c r="F161" s="83">
        <v>0</v>
      </c>
      <c r="G161" s="56">
        <f t="shared" si="18"/>
        <v>0</v>
      </c>
      <c r="H161" s="83">
        <f t="shared" si="19"/>
        <v>11576</v>
      </c>
      <c r="I161" s="83">
        <f>J161-0</f>
        <v>0</v>
      </c>
      <c r="J161" s="83">
        <v>0</v>
      </c>
      <c r="K161" s="56">
        <f t="shared" si="20"/>
        <v>0</v>
      </c>
      <c r="L161" s="86">
        <f t="shared" si="21"/>
        <v>11576</v>
      </c>
      <c r="M161" s="8"/>
    </row>
    <row r="162" spans="1:13" s="7" customFormat="1" ht="15">
      <c r="A162" s="52" t="s">
        <v>251</v>
      </c>
      <c r="B162" s="53" t="s">
        <v>252</v>
      </c>
      <c r="C162" s="83">
        <v>0</v>
      </c>
      <c r="D162" s="83">
        <v>0</v>
      </c>
      <c r="E162" s="83">
        <f>F162-0</f>
        <v>0</v>
      </c>
      <c r="F162" s="83">
        <v>0</v>
      </c>
      <c r="G162" s="56">
        <f t="shared" si="18"/>
        <v>0</v>
      </c>
      <c r="H162" s="83">
        <f t="shared" si="19"/>
        <v>0</v>
      </c>
      <c r="I162" s="83">
        <f>J162-0</f>
        <v>0</v>
      </c>
      <c r="J162" s="83">
        <v>0</v>
      </c>
      <c r="K162" s="56">
        <f t="shared" si="20"/>
        <v>0</v>
      </c>
      <c r="L162" s="86">
        <f t="shared" si="21"/>
        <v>0</v>
      </c>
      <c r="M162" s="8"/>
    </row>
    <row r="163" spans="1:13" s="7" customFormat="1" ht="15">
      <c r="A163" s="52" t="s">
        <v>127</v>
      </c>
      <c r="B163" s="53" t="s">
        <v>270</v>
      </c>
      <c r="C163" s="83">
        <v>0</v>
      </c>
      <c r="D163" s="83">
        <v>0</v>
      </c>
      <c r="E163" s="83">
        <f>F163-0</f>
        <v>0</v>
      </c>
      <c r="F163" s="83">
        <v>0</v>
      </c>
      <c r="G163" s="56">
        <f t="shared" si="18"/>
        <v>0</v>
      </c>
      <c r="H163" s="83">
        <f t="shared" si="19"/>
        <v>0</v>
      </c>
      <c r="I163" s="83">
        <f>J163-0</f>
        <v>0</v>
      </c>
      <c r="J163" s="83">
        <v>0</v>
      </c>
      <c r="K163" s="56">
        <f t="shared" si="20"/>
        <v>0</v>
      </c>
      <c r="L163" s="86">
        <f t="shared" si="21"/>
        <v>0</v>
      </c>
      <c r="M163" s="8"/>
    </row>
    <row r="164" spans="1:13" s="7" customFormat="1" ht="15">
      <c r="A164" s="61" t="s">
        <v>53</v>
      </c>
      <c r="B164" s="66" t="s">
        <v>60</v>
      </c>
      <c r="C164" s="86">
        <v>10551357</v>
      </c>
      <c r="D164" s="86">
        <v>21287393.3</v>
      </c>
      <c r="E164" s="86">
        <f>F164-3593865.87</f>
        <v>795670.71</v>
      </c>
      <c r="F164" s="86">
        <v>4389536.58</v>
      </c>
      <c r="G164" s="67">
        <f t="shared" si="18"/>
        <v>0.007066038454781704</v>
      </c>
      <c r="H164" s="86">
        <f t="shared" si="19"/>
        <v>16897856.72</v>
      </c>
      <c r="I164" s="86">
        <f>J164-2766374.64</f>
        <v>1440794.48</v>
      </c>
      <c r="J164" s="86">
        <v>4207169.12</v>
      </c>
      <c r="K164" s="67">
        <f t="shared" si="20"/>
        <v>0.007358399475464757</v>
      </c>
      <c r="L164" s="86">
        <f t="shared" si="21"/>
        <v>17080224.18</v>
      </c>
      <c r="M164" s="8"/>
    </row>
    <row r="165" spans="1:13" s="7" customFormat="1" ht="15">
      <c r="A165" s="47" t="s">
        <v>133</v>
      </c>
      <c r="B165" s="50" t="s">
        <v>134</v>
      </c>
      <c r="C165" s="82">
        <f>SUM(C166:C170)</f>
        <v>151959996</v>
      </c>
      <c r="D165" s="82">
        <f>SUM(D166:D170)</f>
        <v>1358478223.41</v>
      </c>
      <c r="E165" s="82">
        <f>SUM(E166:E169)</f>
        <v>85304970.94</v>
      </c>
      <c r="F165" s="82">
        <f>SUM(F166:F169)</f>
        <v>115835146.25</v>
      </c>
      <c r="G165" s="51">
        <f t="shared" si="18"/>
        <v>0.1864651502272622</v>
      </c>
      <c r="H165" s="82">
        <f aca="true" t="shared" si="22" ref="H165:H184">D165-F165</f>
        <v>1242643077.16</v>
      </c>
      <c r="I165" s="82">
        <f>SUM(I166:I169)</f>
        <v>15729553.600000001</v>
      </c>
      <c r="J165" s="82">
        <f>SUM(J166:J169)</f>
        <v>42395524.32</v>
      </c>
      <c r="K165" s="51">
        <f t="shared" si="20"/>
        <v>0.07415038355252554</v>
      </c>
      <c r="L165" s="85">
        <f aca="true" t="shared" si="23" ref="L165:L184">D165-J165</f>
        <v>1316082699.0900002</v>
      </c>
      <c r="M165" s="8"/>
    </row>
    <row r="166" spans="1:13" s="7" customFormat="1" ht="15">
      <c r="A166" s="52" t="s">
        <v>28</v>
      </c>
      <c r="B166" s="53" t="s">
        <v>33</v>
      </c>
      <c r="C166" s="83">
        <v>46495439</v>
      </c>
      <c r="D166" s="83">
        <v>50197248.77</v>
      </c>
      <c r="E166" s="83">
        <f>F166-23338929.32</f>
        <v>7307369.960000001</v>
      </c>
      <c r="F166" s="83">
        <v>30646299.28</v>
      </c>
      <c r="G166" s="56">
        <f t="shared" si="18"/>
        <v>0.049332754212798674</v>
      </c>
      <c r="H166" s="83">
        <f t="shared" si="22"/>
        <v>19550949.490000002</v>
      </c>
      <c r="I166" s="83">
        <f>J166-22023722.95</f>
        <v>6483914.920000002</v>
      </c>
      <c r="J166" s="83">
        <v>28507637.87</v>
      </c>
      <c r="K166" s="56">
        <f t="shared" si="20"/>
        <v>0.049860269831355684</v>
      </c>
      <c r="L166" s="86">
        <f t="shared" si="23"/>
        <v>21689610.900000002</v>
      </c>
      <c r="M166" s="8"/>
    </row>
    <row r="167" spans="1:13" s="7" customFormat="1" ht="15">
      <c r="A167" s="52" t="s">
        <v>50</v>
      </c>
      <c r="B167" s="53" t="s">
        <v>57</v>
      </c>
      <c r="C167" s="83">
        <v>1331380</v>
      </c>
      <c r="D167" s="83">
        <v>24000</v>
      </c>
      <c r="E167" s="83">
        <f>F167-0</f>
        <v>0</v>
      </c>
      <c r="F167" s="83">
        <v>0</v>
      </c>
      <c r="G167" s="56">
        <f t="shared" si="18"/>
        <v>0</v>
      </c>
      <c r="H167" s="83">
        <f t="shared" si="22"/>
        <v>24000</v>
      </c>
      <c r="I167" s="83">
        <f>J167-0</f>
        <v>0</v>
      </c>
      <c r="J167" s="83">
        <v>0</v>
      </c>
      <c r="K167" s="56">
        <f t="shared" si="20"/>
        <v>0</v>
      </c>
      <c r="L167" s="86">
        <f t="shared" si="23"/>
        <v>24000</v>
      </c>
      <c r="M167" s="8"/>
    </row>
    <row r="168" spans="1:13" s="7" customFormat="1" ht="15">
      <c r="A168" s="52" t="s">
        <v>29</v>
      </c>
      <c r="B168" s="53" t="s">
        <v>34</v>
      </c>
      <c r="C168" s="83">
        <v>645620</v>
      </c>
      <c r="D168" s="83">
        <v>0</v>
      </c>
      <c r="E168" s="83">
        <f>F168-0</f>
        <v>0</v>
      </c>
      <c r="F168" s="83">
        <v>0</v>
      </c>
      <c r="G168" s="56">
        <f t="shared" si="18"/>
        <v>0</v>
      </c>
      <c r="H168" s="83">
        <f t="shared" si="22"/>
        <v>0</v>
      </c>
      <c r="I168" s="83">
        <f>J168-0</f>
        <v>0</v>
      </c>
      <c r="J168" s="83">
        <v>0</v>
      </c>
      <c r="K168" s="56">
        <f t="shared" si="20"/>
        <v>0</v>
      </c>
      <c r="L168" s="86">
        <f t="shared" si="23"/>
        <v>0</v>
      </c>
      <c r="M168" s="8"/>
    </row>
    <row r="169" spans="1:13" s="7" customFormat="1" ht="15">
      <c r="A169" s="52" t="s">
        <v>135</v>
      </c>
      <c r="B169" s="53" t="s">
        <v>136</v>
      </c>
      <c r="C169" s="83">
        <v>103487557</v>
      </c>
      <c r="D169" s="83">
        <v>1308256974.64</v>
      </c>
      <c r="E169" s="83">
        <f>F169-7191245.99</f>
        <v>77997600.98</v>
      </c>
      <c r="F169" s="83">
        <v>85188846.97</v>
      </c>
      <c r="G169" s="56">
        <f t="shared" si="18"/>
        <v>0.13713239601446353</v>
      </c>
      <c r="H169" s="83">
        <f t="shared" si="22"/>
        <v>1223068127.67</v>
      </c>
      <c r="I169" s="83">
        <f>J169-4642247.77</f>
        <v>9245638.68</v>
      </c>
      <c r="J169" s="83">
        <v>13887886.45</v>
      </c>
      <c r="K169" s="56">
        <f t="shared" si="20"/>
        <v>0.02429011372116985</v>
      </c>
      <c r="L169" s="86">
        <f t="shared" si="23"/>
        <v>1294369088.19</v>
      </c>
      <c r="M169" s="8"/>
    </row>
    <row r="170" spans="1:15" s="7" customFormat="1" ht="15">
      <c r="A170" s="52" t="s">
        <v>261</v>
      </c>
      <c r="B170" s="53" t="s">
        <v>262</v>
      </c>
      <c r="C170" s="83">
        <v>0</v>
      </c>
      <c r="D170" s="83">
        <v>0</v>
      </c>
      <c r="E170" s="83">
        <f>F170-0</f>
        <v>0</v>
      </c>
      <c r="F170" s="83">
        <v>0</v>
      </c>
      <c r="G170" s="56">
        <f t="shared" si="18"/>
        <v>0</v>
      </c>
      <c r="H170" s="83">
        <f t="shared" si="22"/>
        <v>0</v>
      </c>
      <c r="I170" s="83">
        <f>J170-0</f>
        <v>0</v>
      </c>
      <c r="J170" s="83">
        <v>0</v>
      </c>
      <c r="K170" s="56">
        <f t="shared" si="20"/>
        <v>0</v>
      </c>
      <c r="L170" s="86">
        <f t="shared" si="23"/>
        <v>0</v>
      </c>
      <c r="M170" s="115"/>
      <c r="N170" s="115"/>
      <c r="O170" s="115"/>
    </row>
    <row r="171" spans="1:13" s="7" customFormat="1" ht="15">
      <c r="A171" s="47" t="s">
        <v>138</v>
      </c>
      <c r="B171" s="50" t="s">
        <v>137</v>
      </c>
      <c r="C171" s="82">
        <f>SUM(C172:C176)</f>
        <v>184563290</v>
      </c>
      <c r="D171" s="82">
        <f>SUM(D172:D176)</f>
        <v>302776859.47</v>
      </c>
      <c r="E171" s="82">
        <f>SUM(E172:E176)</f>
        <v>89504247.11999999</v>
      </c>
      <c r="F171" s="82">
        <f>SUM(F172:F176)</f>
        <v>202960285.34</v>
      </c>
      <c r="G171" s="51">
        <f t="shared" si="18"/>
        <v>0.32671448451761337</v>
      </c>
      <c r="H171" s="82">
        <f t="shared" si="22"/>
        <v>99816574.13000003</v>
      </c>
      <c r="I171" s="82">
        <f>SUM(I172:I176)</f>
        <v>26459562.699999996</v>
      </c>
      <c r="J171" s="82">
        <f>SUM(J172:J176)</f>
        <v>104738533.19</v>
      </c>
      <c r="K171" s="51">
        <f t="shared" si="20"/>
        <v>0.18318920530730745</v>
      </c>
      <c r="L171" s="85">
        <f t="shared" si="23"/>
        <v>198038326.28000003</v>
      </c>
      <c r="M171" s="8"/>
    </row>
    <row r="172" spans="1:13" s="7" customFormat="1" ht="15">
      <c r="A172" s="52" t="s">
        <v>28</v>
      </c>
      <c r="B172" s="53" t="s">
        <v>33</v>
      </c>
      <c r="C172" s="83">
        <v>61131477</v>
      </c>
      <c r="D172" s="83">
        <v>63527979.96</v>
      </c>
      <c r="E172" s="83">
        <f>F172-39230085.74</f>
        <v>9786292.219999999</v>
      </c>
      <c r="F172" s="83">
        <v>49016377.96</v>
      </c>
      <c r="G172" s="56">
        <f t="shared" si="18"/>
        <v>0.07890391280882648</v>
      </c>
      <c r="H172" s="83">
        <f t="shared" si="22"/>
        <v>14511602</v>
      </c>
      <c r="I172" s="83">
        <f>J172-39155297</f>
        <v>9764843.409999996</v>
      </c>
      <c r="J172" s="83">
        <v>48920140.41</v>
      </c>
      <c r="K172" s="56">
        <f t="shared" si="20"/>
        <v>0.08556203120558324</v>
      </c>
      <c r="L172" s="86">
        <f t="shared" si="23"/>
        <v>14607839.550000004</v>
      </c>
      <c r="M172" s="8"/>
    </row>
    <row r="173" spans="1:13" s="7" customFormat="1" ht="15">
      <c r="A173" s="52" t="s">
        <v>50</v>
      </c>
      <c r="B173" s="53" t="s">
        <v>57</v>
      </c>
      <c r="C173" s="83">
        <v>1902000</v>
      </c>
      <c r="D173" s="83">
        <v>1902000</v>
      </c>
      <c r="E173" s="83">
        <f>F173-0</f>
        <v>0</v>
      </c>
      <c r="F173" s="83">
        <v>0</v>
      </c>
      <c r="G173" s="56">
        <f t="shared" si="18"/>
        <v>0</v>
      </c>
      <c r="H173" s="83">
        <f t="shared" si="22"/>
        <v>1902000</v>
      </c>
      <c r="I173" s="83">
        <f>J173-0</f>
        <v>0</v>
      </c>
      <c r="J173" s="83">
        <v>0</v>
      </c>
      <c r="K173" s="56">
        <f t="shared" si="20"/>
        <v>0</v>
      </c>
      <c r="L173" s="86">
        <f t="shared" si="23"/>
        <v>1902000</v>
      </c>
      <c r="M173" s="8"/>
    </row>
    <row r="174" spans="1:13" s="7" customFormat="1" ht="15">
      <c r="A174" s="52" t="s">
        <v>67</v>
      </c>
      <c r="B174" s="53" t="s">
        <v>75</v>
      </c>
      <c r="C174" s="83">
        <v>0</v>
      </c>
      <c r="D174" s="83">
        <v>0</v>
      </c>
      <c r="E174" s="83">
        <f>F174-0</f>
        <v>0</v>
      </c>
      <c r="F174" s="83">
        <v>0</v>
      </c>
      <c r="G174" s="56">
        <f t="shared" si="18"/>
        <v>0</v>
      </c>
      <c r="H174" s="83">
        <f t="shared" si="22"/>
        <v>0</v>
      </c>
      <c r="I174" s="83">
        <f>J174-0</f>
        <v>0</v>
      </c>
      <c r="J174" s="83">
        <v>0</v>
      </c>
      <c r="K174" s="56">
        <f t="shared" si="20"/>
        <v>0</v>
      </c>
      <c r="L174" s="86">
        <f t="shared" si="23"/>
        <v>0</v>
      </c>
      <c r="M174" s="8"/>
    </row>
    <row r="175" spans="1:13" s="7" customFormat="1" ht="15">
      <c r="A175" s="52" t="s">
        <v>135</v>
      </c>
      <c r="B175" s="53" t="s">
        <v>136</v>
      </c>
      <c r="C175" s="83">
        <v>29726727</v>
      </c>
      <c r="D175" s="83">
        <v>133502022.32</v>
      </c>
      <c r="E175" s="83">
        <f>F175-47089571.46</f>
        <v>71114200.38999999</v>
      </c>
      <c r="F175" s="83">
        <v>118203771.85</v>
      </c>
      <c r="G175" s="56">
        <f t="shared" si="18"/>
        <v>0.19027803554432235</v>
      </c>
      <c r="H175" s="83">
        <f t="shared" si="22"/>
        <v>15298250.469999999</v>
      </c>
      <c r="I175" s="83">
        <f>J175-20401888.85</f>
        <v>10268306.919999998</v>
      </c>
      <c r="J175" s="83">
        <v>30670195.77</v>
      </c>
      <c r="K175" s="56">
        <f t="shared" si="20"/>
        <v>0.0536426147913848</v>
      </c>
      <c r="L175" s="86">
        <f t="shared" si="23"/>
        <v>102831826.55</v>
      </c>
      <c r="M175" s="8"/>
    </row>
    <row r="176" spans="1:13" s="7" customFormat="1" ht="15">
      <c r="A176" s="52" t="s">
        <v>139</v>
      </c>
      <c r="B176" s="53" t="s">
        <v>140</v>
      </c>
      <c r="C176" s="83">
        <v>91803086</v>
      </c>
      <c r="D176" s="83">
        <v>103844857.19</v>
      </c>
      <c r="E176" s="83">
        <f>F176-27136381.02</f>
        <v>8603754.510000002</v>
      </c>
      <c r="F176" s="83">
        <v>35740135.53</v>
      </c>
      <c r="G176" s="56">
        <f t="shared" si="18"/>
        <v>0.05753253616446452</v>
      </c>
      <c r="H176" s="83">
        <f t="shared" si="22"/>
        <v>68104721.66</v>
      </c>
      <c r="I176" s="83">
        <f>J176-18721784.64</f>
        <v>6426412.370000001</v>
      </c>
      <c r="J176" s="83">
        <v>25148197.01</v>
      </c>
      <c r="K176" s="56">
        <f t="shared" si="20"/>
        <v>0.043984559310339386</v>
      </c>
      <c r="L176" s="86">
        <f t="shared" si="23"/>
        <v>78696660.17999999</v>
      </c>
      <c r="M176" s="8"/>
    </row>
    <row r="177" spans="1:13" s="7" customFormat="1" ht="15">
      <c r="A177" s="47" t="s">
        <v>141</v>
      </c>
      <c r="B177" s="50" t="s">
        <v>142</v>
      </c>
      <c r="C177" s="82">
        <f>SUM(C178:C180)</f>
        <v>289393511</v>
      </c>
      <c r="D177" s="82">
        <f>SUM(D178:D180)</f>
        <v>321431161.09</v>
      </c>
      <c r="E177" s="82">
        <f>SUM(E178:E180)</f>
        <v>46601978.01000002</v>
      </c>
      <c r="F177" s="82">
        <f>SUM(F178:F180)</f>
        <v>180889126.71</v>
      </c>
      <c r="G177" s="51">
        <f t="shared" si="18"/>
        <v>0.291185527695213</v>
      </c>
      <c r="H177" s="82">
        <f t="shared" si="22"/>
        <v>140542034.37999997</v>
      </c>
      <c r="I177" s="82">
        <f>SUM(I179:I180)</f>
        <v>15191850.420000002</v>
      </c>
      <c r="J177" s="82">
        <f>SUM(J179:J180)</f>
        <v>58902817.81</v>
      </c>
      <c r="K177" s="51">
        <f t="shared" si="20"/>
        <v>0.10302187796921748</v>
      </c>
      <c r="L177" s="85">
        <f t="shared" si="23"/>
        <v>262528343.27999997</v>
      </c>
      <c r="M177" s="8"/>
    </row>
    <row r="178" spans="1:13" s="7" customFormat="1" ht="15">
      <c r="A178" s="52" t="s">
        <v>51</v>
      </c>
      <c r="B178" s="53" t="s">
        <v>58</v>
      </c>
      <c r="C178" s="83">
        <v>0</v>
      </c>
      <c r="D178" s="83">
        <v>0</v>
      </c>
      <c r="E178" s="82">
        <f>F178-0</f>
        <v>0</v>
      </c>
      <c r="F178" s="82">
        <v>0</v>
      </c>
      <c r="G178" s="51">
        <f t="shared" si="18"/>
        <v>0</v>
      </c>
      <c r="H178" s="83">
        <f t="shared" si="22"/>
        <v>0</v>
      </c>
      <c r="I178" s="82">
        <f>J178-0</f>
        <v>0</v>
      </c>
      <c r="J178" s="82">
        <v>0</v>
      </c>
      <c r="K178" s="51">
        <f t="shared" si="20"/>
        <v>0</v>
      </c>
      <c r="L178" s="86">
        <f t="shared" si="23"/>
        <v>0</v>
      </c>
      <c r="M178" s="8"/>
    </row>
    <row r="179" spans="1:13" s="7" customFormat="1" ht="15">
      <c r="A179" s="52" t="s">
        <v>143</v>
      </c>
      <c r="B179" s="53" t="s">
        <v>144</v>
      </c>
      <c r="C179" s="83">
        <v>289393511</v>
      </c>
      <c r="D179" s="83">
        <v>321431161.09</v>
      </c>
      <c r="E179" s="83">
        <f>F179-134287148.7</f>
        <v>46601978.01000002</v>
      </c>
      <c r="F179" s="83">
        <v>180889126.71</v>
      </c>
      <c r="G179" s="56">
        <f t="shared" si="18"/>
        <v>0.291185527695213</v>
      </c>
      <c r="H179" s="83">
        <f t="shared" si="22"/>
        <v>140542034.37999997</v>
      </c>
      <c r="I179" s="83">
        <f>J179-43710967.39</f>
        <v>15191850.420000002</v>
      </c>
      <c r="J179" s="83">
        <v>58902817.81</v>
      </c>
      <c r="K179" s="56">
        <f t="shared" si="20"/>
        <v>0.10302187796921748</v>
      </c>
      <c r="L179" s="86">
        <f t="shared" si="23"/>
        <v>262528343.27999997</v>
      </c>
      <c r="M179" s="8"/>
    </row>
    <row r="180" spans="1:15" s="7" customFormat="1" ht="15">
      <c r="A180" s="52" t="s">
        <v>147</v>
      </c>
      <c r="B180" s="53" t="s">
        <v>148</v>
      </c>
      <c r="C180" s="83">
        <v>0</v>
      </c>
      <c r="D180" s="83">
        <v>0</v>
      </c>
      <c r="E180" s="83">
        <f>F180-0</f>
        <v>0</v>
      </c>
      <c r="F180" s="83">
        <v>0</v>
      </c>
      <c r="G180" s="56">
        <f t="shared" si="18"/>
        <v>0</v>
      </c>
      <c r="H180" s="83">
        <f t="shared" si="22"/>
        <v>0</v>
      </c>
      <c r="I180" s="83">
        <f>J180-0</f>
        <v>0</v>
      </c>
      <c r="J180" s="83">
        <v>0</v>
      </c>
      <c r="K180" s="56">
        <f t="shared" si="20"/>
        <v>0</v>
      </c>
      <c r="L180" s="86">
        <f t="shared" si="23"/>
        <v>0</v>
      </c>
      <c r="M180" s="8"/>
      <c r="O180" s="9"/>
    </row>
    <row r="181" spans="1:15" s="7" customFormat="1" ht="15">
      <c r="A181" s="47" t="s">
        <v>149</v>
      </c>
      <c r="B181" s="50" t="s">
        <v>150</v>
      </c>
      <c r="C181" s="82">
        <f>SUM(C182:C191)</f>
        <v>1325515588</v>
      </c>
      <c r="D181" s="82">
        <f>SUM(D182:D191)</f>
        <v>1757716327.0800002</v>
      </c>
      <c r="E181" s="82">
        <f>SUM(E182:E191)</f>
        <v>109865263.36000001</v>
      </c>
      <c r="F181" s="82">
        <f>SUM(F182:F191)</f>
        <v>310688913.66999996</v>
      </c>
      <c r="G181" s="51">
        <f t="shared" si="18"/>
        <v>0.5001302008665738</v>
      </c>
      <c r="H181" s="82">
        <f t="shared" si="22"/>
        <v>1447027413.4100003</v>
      </c>
      <c r="I181" s="82">
        <f>SUM(I182:I190)</f>
        <v>46194007.29</v>
      </c>
      <c r="J181" s="82">
        <f>SUM(J182:J190)</f>
        <v>211902776.34</v>
      </c>
      <c r="K181" s="51">
        <f t="shared" si="20"/>
        <v>0.3706210123233129</v>
      </c>
      <c r="L181" s="85">
        <f t="shared" si="23"/>
        <v>1545813550.7400002</v>
      </c>
      <c r="M181" s="8"/>
      <c r="O181" s="10"/>
    </row>
    <row r="182" spans="1:13" s="7" customFormat="1" ht="15">
      <c r="A182" s="52" t="s">
        <v>28</v>
      </c>
      <c r="B182" s="53" t="s">
        <v>33</v>
      </c>
      <c r="C182" s="83">
        <v>180982882</v>
      </c>
      <c r="D182" s="83">
        <v>203177619.05</v>
      </c>
      <c r="E182" s="83">
        <f>F182-93286139.1</f>
        <v>21267912.47</v>
      </c>
      <c r="F182" s="83">
        <v>114554051.57</v>
      </c>
      <c r="G182" s="56">
        <f t="shared" si="18"/>
        <v>0.18440291333548164</v>
      </c>
      <c r="H182" s="83">
        <f t="shared" si="22"/>
        <v>88623567.48000002</v>
      </c>
      <c r="I182" s="83">
        <f>J182-85466865.14</f>
        <v>21437774.11</v>
      </c>
      <c r="J182" s="83">
        <v>106904639.25</v>
      </c>
      <c r="K182" s="56">
        <f t="shared" si="20"/>
        <v>0.18697775605035555</v>
      </c>
      <c r="L182" s="86">
        <f t="shared" si="23"/>
        <v>96272979.80000001</v>
      </c>
      <c r="M182" s="8"/>
    </row>
    <row r="183" spans="1:13" s="7" customFormat="1" ht="15">
      <c r="A183" s="52" t="s">
        <v>29</v>
      </c>
      <c r="B183" s="53" t="s">
        <v>34</v>
      </c>
      <c r="C183" s="83">
        <v>150000</v>
      </c>
      <c r="D183" s="83">
        <v>150000</v>
      </c>
      <c r="E183" s="83">
        <f>F183-0</f>
        <v>0</v>
      </c>
      <c r="F183" s="83">
        <v>0</v>
      </c>
      <c r="G183" s="56">
        <f t="shared" si="18"/>
        <v>0</v>
      </c>
      <c r="H183" s="83">
        <f t="shared" si="22"/>
        <v>150000</v>
      </c>
      <c r="I183" s="83">
        <f>J183-0</f>
        <v>0</v>
      </c>
      <c r="J183" s="83">
        <v>0</v>
      </c>
      <c r="K183" s="56">
        <f t="shared" si="20"/>
        <v>0</v>
      </c>
      <c r="L183" s="86">
        <f t="shared" si="23"/>
        <v>150000</v>
      </c>
      <c r="M183" s="8"/>
    </row>
    <row r="184" spans="1:13" s="7" customFormat="1" ht="15">
      <c r="A184" s="52" t="s">
        <v>151</v>
      </c>
      <c r="B184" s="53" t="s">
        <v>152</v>
      </c>
      <c r="C184" s="83">
        <v>0</v>
      </c>
      <c r="D184" s="83">
        <v>0</v>
      </c>
      <c r="E184" s="83">
        <f>F184-0</f>
        <v>0</v>
      </c>
      <c r="F184" s="83">
        <v>0</v>
      </c>
      <c r="G184" s="56">
        <f t="shared" si="18"/>
        <v>0</v>
      </c>
      <c r="H184" s="83">
        <f t="shared" si="22"/>
        <v>0</v>
      </c>
      <c r="I184" s="83">
        <f>J184-0</f>
        <v>0</v>
      </c>
      <c r="J184" s="83">
        <v>0</v>
      </c>
      <c r="K184" s="56">
        <f t="shared" si="20"/>
        <v>0</v>
      </c>
      <c r="L184" s="86">
        <f t="shared" si="23"/>
        <v>0</v>
      </c>
      <c r="M184" s="8"/>
    </row>
    <row r="185" spans="1:13" s="7" customFormat="1" ht="15">
      <c r="A185" s="52" t="s">
        <v>153</v>
      </c>
      <c r="B185" s="53" t="s">
        <v>154</v>
      </c>
      <c r="C185" s="83">
        <v>738596580</v>
      </c>
      <c r="D185" s="83">
        <v>784106440.62</v>
      </c>
      <c r="E185" s="83">
        <f>F185-12688488.69</f>
        <v>2636953.5700000003</v>
      </c>
      <c r="F185" s="83">
        <v>15325442.26</v>
      </c>
      <c r="G185" s="56">
        <f t="shared" si="18"/>
        <v>0.024670067642014418</v>
      </c>
      <c r="H185" s="83">
        <f aca="true" t="shared" si="24" ref="H185:H191">D185-F185</f>
        <v>768780998.36</v>
      </c>
      <c r="I185" s="83">
        <f>J185-5862312.01</f>
        <v>3826248.5600000005</v>
      </c>
      <c r="J185" s="83">
        <v>9688560.57</v>
      </c>
      <c r="K185" s="56">
        <f t="shared" si="20"/>
        <v>0.016945432185596698</v>
      </c>
      <c r="L185" s="86">
        <f aca="true" t="shared" si="25" ref="L185:L191">D185-J185</f>
        <v>774417880.05</v>
      </c>
      <c r="M185" s="8"/>
    </row>
    <row r="186" spans="1:13" s="7" customFormat="1" ht="15">
      <c r="A186" s="52" t="s">
        <v>30</v>
      </c>
      <c r="B186" s="53" t="s">
        <v>35</v>
      </c>
      <c r="C186" s="83">
        <v>18002886</v>
      </c>
      <c r="D186" s="83">
        <v>19788431.49</v>
      </c>
      <c r="E186" s="83">
        <f>F186-3681277.09</f>
        <v>115372.41999999993</v>
      </c>
      <c r="F186" s="83">
        <v>3796649.51</v>
      </c>
      <c r="G186" s="56">
        <f t="shared" si="18"/>
        <v>0.006111640932489532</v>
      </c>
      <c r="H186" s="83">
        <f t="shared" si="24"/>
        <v>15991781.979999999</v>
      </c>
      <c r="I186" s="83">
        <f>J186-1425935.1</f>
        <v>560384.3699999999</v>
      </c>
      <c r="J186" s="83">
        <v>1986319.47</v>
      </c>
      <c r="K186" s="56">
        <f t="shared" si="20"/>
        <v>0.003474101403880202</v>
      </c>
      <c r="L186" s="86">
        <f t="shared" si="25"/>
        <v>17802112.02</v>
      </c>
      <c r="M186" s="8"/>
    </row>
    <row r="187" spans="1:13" s="7" customFormat="1" ht="15">
      <c r="A187" s="52" t="s">
        <v>145</v>
      </c>
      <c r="B187" s="53" t="s">
        <v>146</v>
      </c>
      <c r="C187" s="83">
        <v>298035157</v>
      </c>
      <c r="D187" s="83">
        <v>542562803.48</v>
      </c>
      <c r="E187" s="83">
        <f>F187-58859832.01</f>
        <v>16783105.910000004</v>
      </c>
      <c r="F187" s="83">
        <v>75642937.92</v>
      </c>
      <c r="G187" s="56">
        <f t="shared" si="18"/>
        <v>0.12176590818509256</v>
      </c>
      <c r="H187" s="83">
        <f t="shared" si="24"/>
        <v>466919865.56</v>
      </c>
      <c r="I187" s="83">
        <f>J187-42019596.39</f>
        <v>7848334.369999997</v>
      </c>
      <c r="J187" s="83">
        <v>49867930.76</v>
      </c>
      <c r="K187" s="56">
        <f t="shared" si="20"/>
        <v>0.08721973019874626</v>
      </c>
      <c r="L187" s="86">
        <f t="shared" si="25"/>
        <v>492694872.72</v>
      </c>
      <c r="M187" s="8"/>
    </row>
    <row r="188" spans="1:13" s="7" customFormat="1" ht="15">
      <c r="A188" s="68" t="s">
        <v>147</v>
      </c>
      <c r="B188" s="53" t="s">
        <v>148</v>
      </c>
      <c r="C188" s="83">
        <v>77447033</v>
      </c>
      <c r="D188" s="83">
        <v>194777641.91</v>
      </c>
      <c r="E188" s="83">
        <f>F188-30879128.32</f>
        <v>68841053.96000001</v>
      </c>
      <c r="F188" s="83">
        <v>99720182.28</v>
      </c>
      <c r="G188" s="56">
        <f t="shared" si="18"/>
        <v>0.16052415326000566</v>
      </c>
      <c r="H188" s="83">
        <f t="shared" si="24"/>
        <v>95057459.63</v>
      </c>
      <c r="I188" s="83">
        <f>J188-29980293.46</f>
        <v>12321229.240000002</v>
      </c>
      <c r="J188" s="83">
        <v>42301522.7</v>
      </c>
      <c r="K188" s="56">
        <f t="shared" si="20"/>
        <v>0.07398597336325774</v>
      </c>
      <c r="L188" s="86">
        <f t="shared" si="25"/>
        <v>152476119.20999998</v>
      </c>
      <c r="M188" s="8"/>
    </row>
    <row r="189" spans="1:13" s="7" customFormat="1" ht="15">
      <c r="A189" s="68" t="s">
        <v>160</v>
      </c>
      <c r="B189" s="53" t="s">
        <v>161</v>
      </c>
      <c r="C189" s="89">
        <v>2977333</v>
      </c>
      <c r="D189" s="83">
        <v>3804173.53</v>
      </c>
      <c r="E189" s="83">
        <f>F189-1425415.41</f>
        <v>220162.4500000002</v>
      </c>
      <c r="F189" s="83">
        <v>1645577.86</v>
      </c>
      <c r="G189" s="56">
        <f aca="true" t="shared" si="26" ref="G189:G220">(F189/$F$286)*100</f>
        <v>0.0026489621916073393</v>
      </c>
      <c r="H189" s="83">
        <f t="shared" si="24"/>
        <v>2158595.67</v>
      </c>
      <c r="I189" s="83">
        <f>J189-951392.76</f>
        <v>198548.56000000006</v>
      </c>
      <c r="J189" s="83">
        <v>1149941.32</v>
      </c>
      <c r="K189" s="56">
        <f aca="true" t="shared" si="27" ref="K189:K220">(J189/$J$286)*100</f>
        <v>0.002011263955536746</v>
      </c>
      <c r="L189" s="86">
        <f t="shared" si="25"/>
        <v>2654232.21</v>
      </c>
      <c r="M189" s="8"/>
    </row>
    <row r="190" spans="1:13" s="7" customFormat="1" ht="15">
      <c r="A190" s="68" t="s">
        <v>97</v>
      </c>
      <c r="B190" s="53" t="s">
        <v>237</v>
      </c>
      <c r="C190" s="89">
        <v>9323717</v>
      </c>
      <c r="D190" s="83">
        <v>9349217</v>
      </c>
      <c r="E190" s="83">
        <f>F190-3369.69</f>
        <v>702.5799999999999</v>
      </c>
      <c r="F190" s="83">
        <v>4072.27</v>
      </c>
      <c r="G190" s="56">
        <f t="shared" si="26"/>
        <v>6.555319882595418E-06</v>
      </c>
      <c r="H190" s="83">
        <f t="shared" si="24"/>
        <v>9345144.73</v>
      </c>
      <c r="I190" s="83">
        <f>J190-2374.19</f>
        <v>1488.08</v>
      </c>
      <c r="J190" s="83">
        <v>3862.27</v>
      </c>
      <c r="K190" s="56">
        <f t="shared" si="27"/>
        <v>6.755165939728913E-06</v>
      </c>
      <c r="L190" s="86">
        <f t="shared" si="25"/>
        <v>9345354.73</v>
      </c>
      <c r="M190" s="8"/>
    </row>
    <row r="191" spans="1:13" s="7" customFormat="1" ht="15">
      <c r="A191" s="61" t="s">
        <v>201</v>
      </c>
      <c r="B191" s="53" t="s">
        <v>202</v>
      </c>
      <c r="C191" s="89">
        <v>0</v>
      </c>
      <c r="D191" s="83">
        <v>0</v>
      </c>
      <c r="E191" s="83">
        <f>F191-0</f>
        <v>0</v>
      </c>
      <c r="F191" s="83">
        <v>0</v>
      </c>
      <c r="G191" s="56">
        <f t="shared" si="26"/>
        <v>0</v>
      </c>
      <c r="H191" s="83">
        <f t="shared" si="24"/>
        <v>0</v>
      </c>
      <c r="I191" s="83">
        <f>J191-0</f>
        <v>0</v>
      </c>
      <c r="J191" s="83">
        <v>0</v>
      </c>
      <c r="K191" s="56">
        <f t="shared" si="27"/>
        <v>0</v>
      </c>
      <c r="L191" s="86">
        <f t="shared" si="25"/>
        <v>0</v>
      </c>
      <c r="M191" s="8"/>
    </row>
    <row r="192" spans="1:12" ht="14.25">
      <c r="A192" s="47" t="s">
        <v>158</v>
      </c>
      <c r="B192" s="50" t="s">
        <v>159</v>
      </c>
      <c r="C192" s="82">
        <f>SUM(C193:C201)</f>
        <v>426391194</v>
      </c>
      <c r="D192" s="82">
        <f>SUM(D193:D201)</f>
        <v>707066676.25</v>
      </c>
      <c r="E192" s="82">
        <f>SUM(E193:E201)</f>
        <v>112473386.84000002</v>
      </c>
      <c r="F192" s="82">
        <f>SUM(F193:F201)</f>
        <v>343062279.26</v>
      </c>
      <c r="G192" s="51">
        <f t="shared" si="26"/>
        <v>0.5522430929681921</v>
      </c>
      <c r="H192" s="82">
        <f>D192-F192</f>
        <v>364004396.99</v>
      </c>
      <c r="I192" s="82">
        <f>SUM(I193:I201)</f>
        <v>69364431.25999999</v>
      </c>
      <c r="J192" s="82">
        <f>SUM(J193:J201)</f>
        <v>279680907.08</v>
      </c>
      <c r="K192" s="51">
        <f t="shared" si="27"/>
        <v>0.4891659406254102</v>
      </c>
      <c r="L192" s="85">
        <f>D192-J192</f>
        <v>427385769.17</v>
      </c>
    </row>
    <row r="193" spans="1:12" ht="15">
      <c r="A193" s="52" t="s">
        <v>28</v>
      </c>
      <c r="B193" s="53" t="s">
        <v>33</v>
      </c>
      <c r="C193" s="83">
        <v>90890718</v>
      </c>
      <c r="D193" s="83">
        <v>142042949</v>
      </c>
      <c r="E193" s="83">
        <f>F193-64024694.79</f>
        <v>18931505.360000007</v>
      </c>
      <c r="F193" s="83">
        <v>82956200.15</v>
      </c>
      <c r="G193" s="56">
        <f t="shared" si="26"/>
        <v>0.13353840197920572</v>
      </c>
      <c r="H193" s="83">
        <f aca="true" t="shared" si="28" ref="H193:H276">D193-F193</f>
        <v>59086748.849999994</v>
      </c>
      <c r="I193" s="83">
        <f>J193-62517122.23</f>
        <v>19075374.380000003</v>
      </c>
      <c r="J193" s="83">
        <v>81592496.61</v>
      </c>
      <c r="K193" s="56">
        <f t="shared" si="27"/>
        <v>0.14270645346837968</v>
      </c>
      <c r="L193" s="86">
        <f>D193-J193</f>
        <v>60450452.39</v>
      </c>
    </row>
    <row r="194" spans="1:12" ht="15">
      <c r="A194" s="52" t="s">
        <v>50</v>
      </c>
      <c r="B194" s="53" t="s">
        <v>57</v>
      </c>
      <c r="C194" s="83">
        <v>140907934</v>
      </c>
      <c r="D194" s="83">
        <v>170119886.94</v>
      </c>
      <c r="E194" s="83">
        <f>F194-27379532.25</f>
        <v>53061183.06</v>
      </c>
      <c r="F194" s="83">
        <v>80440715.31</v>
      </c>
      <c r="G194" s="56">
        <f t="shared" si="26"/>
        <v>0.12948911060461135</v>
      </c>
      <c r="H194" s="83">
        <f t="shared" si="28"/>
        <v>89679171.63</v>
      </c>
      <c r="I194" s="83">
        <f>J194-13185678.86</f>
        <v>7328494.84</v>
      </c>
      <c r="J194" s="83">
        <v>20514173.7</v>
      </c>
      <c r="K194" s="56">
        <f t="shared" si="27"/>
        <v>0.0358795856995815</v>
      </c>
      <c r="L194" s="86">
        <f aca="true" t="shared" si="29" ref="L194:L274">D194-J194</f>
        <v>149605713.24</v>
      </c>
    </row>
    <row r="195" spans="1:12" ht="15">
      <c r="A195" s="52" t="s">
        <v>29</v>
      </c>
      <c r="B195" s="53" t="s">
        <v>34</v>
      </c>
      <c r="C195" s="83">
        <v>290941</v>
      </c>
      <c r="D195" s="83">
        <v>540580</v>
      </c>
      <c r="E195" s="83">
        <f>F195-420700</f>
        <v>0</v>
      </c>
      <c r="F195" s="83">
        <v>420700</v>
      </c>
      <c r="G195" s="56">
        <f t="shared" si="26"/>
        <v>0.0006772200945929156</v>
      </c>
      <c r="H195" s="83">
        <f t="shared" si="28"/>
        <v>119880</v>
      </c>
      <c r="I195" s="83">
        <f>J195-20112</f>
        <v>97056</v>
      </c>
      <c r="J195" s="83">
        <v>117168</v>
      </c>
      <c r="K195" s="56">
        <f t="shared" si="27"/>
        <v>0.0002049285220417416</v>
      </c>
      <c r="L195" s="86">
        <f t="shared" si="29"/>
        <v>423412</v>
      </c>
    </row>
    <row r="196" spans="1:12" ht="15">
      <c r="A196" s="52" t="s">
        <v>114</v>
      </c>
      <c r="B196" s="53" t="s">
        <v>121</v>
      </c>
      <c r="C196" s="83">
        <v>82257852</v>
      </c>
      <c r="D196" s="83">
        <v>118110406.72</v>
      </c>
      <c r="E196" s="83">
        <f>F196-47791675.43</f>
        <v>12235751.64</v>
      </c>
      <c r="F196" s="83">
        <v>60027427.07</v>
      </c>
      <c r="G196" s="56">
        <f t="shared" si="26"/>
        <v>0.09662890382342464</v>
      </c>
      <c r="H196" s="83">
        <f t="shared" si="28"/>
        <v>58082979.65</v>
      </c>
      <c r="I196" s="83">
        <f>J196-47714785.43</f>
        <v>12215691.64</v>
      </c>
      <c r="J196" s="83">
        <v>59930477.07</v>
      </c>
      <c r="K196" s="56">
        <f t="shared" si="27"/>
        <v>0.10481926883800684</v>
      </c>
      <c r="L196" s="86">
        <f t="shared" si="29"/>
        <v>58179929.65</v>
      </c>
    </row>
    <row r="197" spans="1:12" ht="15">
      <c r="A197" s="52" t="s">
        <v>116</v>
      </c>
      <c r="B197" s="53" t="s">
        <v>123</v>
      </c>
      <c r="C197" s="83">
        <v>0</v>
      </c>
      <c r="D197" s="83">
        <v>0</v>
      </c>
      <c r="E197" s="83">
        <f>F197-0</f>
        <v>0</v>
      </c>
      <c r="F197" s="83">
        <v>0</v>
      </c>
      <c r="G197" s="56">
        <f t="shared" si="26"/>
        <v>0</v>
      </c>
      <c r="H197" s="83">
        <f t="shared" si="28"/>
        <v>0</v>
      </c>
      <c r="I197" s="83">
        <f>J197-0</f>
        <v>0</v>
      </c>
      <c r="J197" s="83">
        <v>0</v>
      </c>
      <c r="K197" s="56">
        <f t="shared" si="27"/>
        <v>0</v>
      </c>
      <c r="L197" s="86">
        <f t="shared" si="29"/>
        <v>0</v>
      </c>
    </row>
    <row r="198" spans="1:12" ht="15">
      <c r="A198" s="52" t="s">
        <v>96</v>
      </c>
      <c r="B198" s="53" t="s">
        <v>102</v>
      </c>
      <c r="C198" s="83">
        <v>45440641</v>
      </c>
      <c r="D198" s="83">
        <v>170461547.16</v>
      </c>
      <c r="E198" s="83">
        <f>F198-77616331.78</f>
        <v>22352887.189999998</v>
      </c>
      <c r="F198" s="83">
        <v>99969218.97</v>
      </c>
      <c r="G198" s="56">
        <f t="shared" si="26"/>
        <v>0.16092503904740502</v>
      </c>
      <c r="H198" s="83">
        <f t="shared" si="28"/>
        <v>70492328.19</v>
      </c>
      <c r="I198" s="83">
        <f>J198-74672800.9</f>
        <v>23619965.209999993</v>
      </c>
      <c r="J198" s="83">
        <v>98292766.11</v>
      </c>
      <c r="K198" s="56">
        <f t="shared" si="27"/>
        <v>0.1719154657100649</v>
      </c>
      <c r="L198" s="86">
        <f t="shared" si="29"/>
        <v>72168781.05</v>
      </c>
    </row>
    <row r="199" spans="1:12" ht="15">
      <c r="A199" s="52" t="s">
        <v>160</v>
      </c>
      <c r="B199" s="53" t="s">
        <v>161</v>
      </c>
      <c r="C199" s="83">
        <v>55033108</v>
      </c>
      <c r="D199" s="83">
        <v>94221306.43</v>
      </c>
      <c r="E199" s="83">
        <f>F199-13355958.17</f>
        <v>5812059.590000002</v>
      </c>
      <c r="F199" s="83">
        <v>19168017.76</v>
      </c>
      <c r="G199" s="56">
        <f t="shared" si="26"/>
        <v>0.030855637748005434</v>
      </c>
      <c r="H199" s="83">
        <f t="shared" si="28"/>
        <v>75053288.67</v>
      </c>
      <c r="I199" s="83">
        <f>J199-12205976.4</f>
        <v>6947849.1899999995</v>
      </c>
      <c r="J199" s="83">
        <v>19153825.59</v>
      </c>
      <c r="K199" s="56">
        <f t="shared" si="27"/>
        <v>0.03350031723340835</v>
      </c>
      <c r="L199" s="86">
        <f t="shared" si="29"/>
        <v>75067480.84</v>
      </c>
    </row>
    <row r="200" spans="1:12" ht="15">
      <c r="A200" s="52" t="s">
        <v>97</v>
      </c>
      <c r="B200" s="53" t="s">
        <v>241</v>
      </c>
      <c r="C200" s="83">
        <v>11565000</v>
      </c>
      <c r="D200" s="83">
        <v>11565000</v>
      </c>
      <c r="E200" s="83">
        <f>F200-0</f>
        <v>80000</v>
      </c>
      <c r="F200" s="83">
        <v>80000</v>
      </c>
      <c r="G200" s="56">
        <f t="shared" si="26"/>
        <v>0.00012877967094707213</v>
      </c>
      <c r="H200" s="83">
        <f t="shared" si="28"/>
        <v>11485000</v>
      </c>
      <c r="I200" s="83">
        <f>J200-0</f>
        <v>80000</v>
      </c>
      <c r="J200" s="83">
        <v>80000</v>
      </c>
      <c r="K200" s="56">
        <f t="shared" si="27"/>
        <v>0.00013992115392717574</v>
      </c>
      <c r="L200" s="86">
        <f t="shared" si="29"/>
        <v>11485000</v>
      </c>
    </row>
    <row r="201" spans="1:12" ht="15">
      <c r="A201" s="52" t="s">
        <v>187</v>
      </c>
      <c r="B201" s="53" t="s">
        <v>188</v>
      </c>
      <c r="C201" s="83">
        <v>5000</v>
      </c>
      <c r="D201" s="83">
        <v>5000</v>
      </c>
      <c r="E201" s="83">
        <f>F201-0</f>
        <v>0</v>
      </c>
      <c r="F201" s="83">
        <v>0</v>
      </c>
      <c r="G201" s="56">
        <f t="shared" si="26"/>
        <v>0</v>
      </c>
      <c r="H201" s="83">
        <f t="shared" si="28"/>
        <v>5000</v>
      </c>
      <c r="I201" s="83">
        <f>J201-0</f>
        <v>0</v>
      </c>
      <c r="J201" s="83">
        <v>0</v>
      </c>
      <c r="K201" s="56">
        <f t="shared" si="27"/>
        <v>0</v>
      </c>
      <c r="L201" s="86">
        <f t="shared" si="29"/>
        <v>5000</v>
      </c>
    </row>
    <row r="202" spans="1:12" ht="14.25">
      <c r="A202" s="47" t="s">
        <v>162</v>
      </c>
      <c r="B202" s="50" t="s">
        <v>163</v>
      </c>
      <c r="C202" s="82">
        <f>SUM(C203:C220)</f>
        <v>391799992</v>
      </c>
      <c r="D202" s="82">
        <f>SUM(D203:D220)</f>
        <v>456892654.53000003</v>
      </c>
      <c r="E202" s="82">
        <f>SUM(E203:E220)</f>
        <v>58172295.51</v>
      </c>
      <c r="F202" s="82">
        <f>SUM(F203:F220)</f>
        <v>272205763.45</v>
      </c>
      <c r="G202" s="51">
        <f t="shared" si="26"/>
        <v>0.4381821080873444</v>
      </c>
      <c r="H202" s="82">
        <f t="shared" si="28"/>
        <v>184686891.08000004</v>
      </c>
      <c r="I202" s="82">
        <f>SUM(I203:I220)</f>
        <v>50203257.35</v>
      </c>
      <c r="J202" s="82">
        <f>SUM(J203:J220)</f>
        <v>249957985.3</v>
      </c>
      <c r="K202" s="51">
        <f t="shared" si="27"/>
        <v>0.43718012170610043</v>
      </c>
      <c r="L202" s="85">
        <f t="shared" si="29"/>
        <v>206934669.23000002</v>
      </c>
    </row>
    <row r="203" spans="1:12" ht="15">
      <c r="A203" s="52" t="s">
        <v>28</v>
      </c>
      <c r="B203" s="53" t="s">
        <v>33</v>
      </c>
      <c r="C203" s="83">
        <v>334376926</v>
      </c>
      <c r="D203" s="83">
        <v>351935384.11</v>
      </c>
      <c r="E203" s="83">
        <f>F203-200365777.55</f>
        <v>49545944.69</v>
      </c>
      <c r="F203" s="83">
        <v>249911722.24</v>
      </c>
      <c r="G203" s="56">
        <f t="shared" si="26"/>
        <v>0.4022943669485411</v>
      </c>
      <c r="H203" s="83">
        <f t="shared" si="28"/>
        <v>102023661.87</v>
      </c>
      <c r="I203" s="83">
        <f>J203-196561291.3</f>
        <v>48580937.41</v>
      </c>
      <c r="J203" s="83">
        <v>245142228.71</v>
      </c>
      <c r="K203" s="56">
        <f t="shared" si="27"/>
        <v>0.4287572939672854</v>
      </c>
      <c r="L203" s="86">
        <f t="shared" si="29"/>
        <v>106793155.4</v>
      </c>
    </row>
    <row r="204" spans="1:12" ht="15">
      <c r="A204" s="52" t="s">
        <v>50</v>
      </c>
      <c r="B204" s="53" t="s">
        <v>57</v>
      </c>
      <c r="C204" s="83">
        <v>29000</v>
      </c>
      <c r="D204" s="83">
        <v>2127537.21</v>
      </c>
      <c r="E204" s="83">
        <f aca="true" t="shared" si="30" ref="E204:E209">F204-0</f>
        <v>0</v>
      </c>
      <c r="F204" s="83">
        <v>0</v>
      </c>
      <c r="G204" s="56">
        <f t="shared" si="26"/>
        <v>0</v>
      </c>
      <c r="H204" s="83">
        <f t="shared" si="28"/>
        <v>2127537.21</v>
      </c>
      <c r="I204" s="83">
        <f aca="true" t="shared" si="31" ref="I204:I219">J204-0</f>
        <v>0</v>
      </c>
      <c r="J204" s="83">
        <v>0</v>
      </c>
      <c r="K204" s="56">
        <f t="shared" si="27"/>
        <v>0</v>
      </c>
      <c r="L204" s="86">
        <f t="shared" si="29"/>
        <v>2127537.21</v>
      </c>
    </row>
    <row r="205" spans="1:12" ht="15">
      <c r="A205" s="52" t="s">
        <v>51</v>
      </c>
      <c r="B205" s="53" t="s">
        <v>58</v>
      </c>
      <c r="C205" s="83">
        <v>0</v>
      </c>
      <c r="D205" s="83">
        <v>0</v>
      </c>
      <c r="E205" s="83">
        <f t="shared" si="30"/>
        <v>0</v>
      </c>
      <c r="F205" s="83">
        <v>0</v>
      </c>
      <c r="G205" s="56">
        <f t="shared" si="26"/>
        <v>0</v>
      </c>
      <c r="H205" s="83">
        <f t="shared" si="28"/>
        <v>0</v>
      </c>
      <c r="I205" s="83">
        <f t="shared" si="31"/>
        <v>0</v>
      </c>
      <c r="J205" s="83">
        <v>0</v>
      </c>
      <c r="K205" s="56">
        <f t="shared" si="27"/>
        <v>0</v>
      </c>
      <c r="L205" s="86">
        <f t="shared" si="29"/>
        <v>0</v>
      </c>
    </row>
    <row r="206" spans="1:12" ht="15">
      <c r="A206" s="52" t="s">
        <v>29</v>
      </c>
      <c r="B206" s="53" t="s">
        <v>264</v>
      </c>
      <c r="C206" s="83">
        <v>0</v>
      </c>
      <c r="D206" s="83">
        <v>0</v>
      </c>
      <c r="E206" s="54">
        <f t="shared" si="30"/>
        <v>0</v>
      </c>
      <c r="F206" s="54">
        <v>0</v>
      </c>
      <c r="G206" s="56">
        <f t="shared" si="26"/>
        <v>0</v>
      </c>
      <c r="H206" s="83">
        <f t="shared" si="28"/>
        <v>0</v>
      </c>
      <c r="I206" s="83">
        <f t="shared" si="31"/>
        <v>0</v>
      </c>
      <c r="J206" s="83">
        <v>0</v>
      </c>
      <c r="K206" s="56">
        <f t="shared" si="27"/>
        <v>0</v>
      </c>
      <c r="L206" s="86">
        <f t="shared" si="29"/>
        <v>0</v>
      </c>
    </row>
    <row r="207" spans="1:12" ht="15">
      <c r="A207" s="52" t="s">
        <v>94</v>
      </c>
      <c r="B207" s="53" t="s">
        <v>100</v>
      </c>
      <c r="C207" s="54">
        <v>0</v>
      </c>
      <c r="D207" s="54">
        <v>0</v>
      </c>
      <c r="E207" s="54">
        <f t="shared" si="30"/>
        <v>0</v>
      </c>
      <c r="F207" s="54">
        <v>0</v>
      </c>
      <c r="G207" s="56">
        <f t="shared" si="26"/>
        <v>0</v>
      </c>
      <c r="H207" s="83">
        <f t="shared" si="28"/>
        <v>0</v>
      </c>
      <c r="I207" s="83">
        <f t="shared" si="31"/>
        <v>0</v>
      </c>
      <c r="J207" s="83">
        <v>0</v>
      </c>
      <c r="K207" s="56">
        <f t="shared" si="27"/>
        <v>0</v>
      </c>
      <c r="L207" s="86">
        <f t="shared" si="29"/>
        <v>0</v>
      </c>
    </row>
    <row r="208" spans="1:12" ht="15">
      <c r="A208" s="52" t="s">
        <v>68</v>
      </c>
      <c r="B208" s="53" t="s">
        <v>76</v>
      </c>
      <c r="C208" s="83">
        <v>775206</v>
      </c>
      <c r="D208" s="83">
        <v>635206</v>
      </c>
      <c r="E208" s="83">
        <f>F208-365</f>
        <v>0</v>
      </c>
      <c r="F208" s="83">
        <v>365</v>
      </c>
      <c r="G208" s="56">
        <f t="shared" si="26"/>
        <v>5.875572486960166E-07</v>
      </c>
      <c r="H208" s="83">
        <f t="shared" si="28"/>
        <v>634841</v>
      </c>
      <c r="I208" s="83">
        <f>J208-365</f>
        <v>0</v>
      </c>
      <c r="J208" s="83">
        <v>365</v>
      </c>
      <c r="K208" s="56">
        <f t="shared" si="27"/>
        <v>6.383902647927393E-07</v>
      </c>
      <c r="L208" s="86">
        <f t="shared" si="29"/>
        <v>634841</v>
      </c>
    </row>
    <row r="209" spans="1:12" ht="15">
      <c r="A209" s="52" t="s">
        <v>106</v>
      </c>
      <c r="B209" s="53" t="s">
        <v>108</v>
      </c>
      <c r="C209" s="83">
        <v>100000</v>
      </c>
      <c r="D209" s="83">
        <v>100000</v>
      </c>
      <c r="E209" s="83">
        <f t="shared" si="30"/>
        <v>0</v>
      </c>
      <c r="F209" s="83">
        <v>0</v>
      </c>
      <c r="G209" s="56">
        <f t="shared" si="26"/>
        <v>0</v>
      </c>
      <c r="H209" s="83">
        <f t="shared" si="28"/>
        <v>100000</v>
      </c>
      <c r="I209" s="83">
        <f>J209-0</f>
        <v>0</v>
      </c>
      <c r="J209" s="83">
        <v>0</v>
      </c>
      <c r="K209" s="56">
        <f t="shared" si="27"/>
        <v>0</v>
      </c>
      <c r="L209" s="86">
        <f t="shared" si="29"/>
        <v>100000</v>
      </c>
    </row>
    <row r="210" spans="1:12" ht="15">
      <c r="A210" s="52" t="s">
        <v>135</v>
      </c>
      <c r="B210" s="53" t="s">
        <v>136</v>
      </c>
      <c r="C210" s="54">
        <v>0</v>
      </c>
      <c r="D210" s="83">
        <v>0</v>
      </c>
      <c r="E210" s="54">
        <f aca="true" t="shared" si="32" ref="E210:E219">F210-0</f>
        <v>0</v>
      </c>
      <c r="F210" s="54">
        <v>0</v>
      </c>
      <c r="G210" s="56">
        <f t="shared" si="26"/>
        <v>0</v>
      </c>
      <c r="H210" s="54">
        <f t="shared" si="28"/>
        <v>0</v>
      </c>
      <c r="I210" s="83">
        <f t="shared" si="31"/>
        <v>0</v>
      </c>
      <c r="J210" s="54">
        <v>0</v>
      </c>
      <c r="K210" s="56">
        <f t="shared" si="27"/>
        <v>0</v>
      </c>
      <c r="L210" s="86">
        <f t="shared" si="29"/>
        <v>0</v>
      </c>
    </row>
    <row r="211" spans="1:12" ht="15">
      <c r="A211" s="52" t="s">
        <v>96</v>
      </c>
      <c r="B211" s="53" t="s">
        <v>102</v>
      </c>
      <c r="C211" s="83">
        <v>87800</v>
      </c>
      <c r="D211" s="83">
        <v>87800</v>
      </c>
      <c r="E211" s="54">
        <f>F211-0</f>
        <v>0</v>
      </c>
      <c r="F211" s="54">
        <v>0</v>
      </c>
      <c r="G211" s="56">
        <f t="shared" si="26"/>
        <v>0</v>
      </c>
      <c r="H211" s="83">
        <f t="shared" si="28"/>
        <v>87800</v>
      </c>
      <c r="I211" s="83">
        <f>J211-0</f>
        <v>0</v>
      </c>
      <c r="J211" s="54">
        <v>0</v>
      </c>
      <c r="K211" s="56">
        <f t="shared" si="27"/>
        <v>0</v>
      </c>
      <c r="L211" s="86">
        <f t="shared" si="29"/>
        <v>87800</v>
      </c>
    </row>
    <row r="212" spans="1:12" ht="15">
      <c r="A212" s="52" t="s">
        <v>155</v>
      </c>
      <c r="B212" s="53" t="s">
        <v>156</v>
      </c>
      <c r="C212" s="54">
        <v>0</v>
      </c>
      <c r="D212" s="83">
        <v>0</v>
      </c>
      <c r="E212" s="54">
        <f t="shared" si="32"/>
        <v>0</v>
      </c>
      <c r="F212" s="54">
        <v>0</v>
      </c>
      <c r="G212" s="56">
        <f t="shared" si="26"/>
        <v>0</v>
      </c>
      <c r="H212" s="83">
        <f t="shared" si="28"/>
        <v>0</v>
      </c>
      <c r="I212" s="83">
        <f t="shared" si="31"/>
        <v>0</v>
      </c>
      <c r="J212" s="54">
        <v>0</v>
      </c>
      <c r="K212" s="56">
        <f t="shared" si="27"/>
        <v>0</v>
      </c>
      <c r="L212" s="86">
        <f t="shared" si="29"/>
        <v>0</v>
      </c>
    </row>
    <row r="213" spans="1:12" ht="15">
      <c r="A213" s="52" t="s">
        <v>166</v>
      </c>
      <c r="B213" s="53" t="s">
        <v>167</v>
      </c>
      <c r="C213" s="54">
        <v>0</v>
      </c>
      <c r="D213" s="83">
        <v>0</v>
      </c>
      <c r="E213" s="54">
        <f t="shared" si="32"/>
        <v>0</v>
      </c>
      <c r="F213" s="54">
        <v>0</v>
      </c>
      <c r="G213" s="56">
        <f t="shared" si="26"/>
        <v>0</v>
      </c>
      <c r="H213" s="83">
        <f t="shared" si="28"/>
        <v>0</v>
      </c>
      <c r="I213" s="83">
        <f t="shared" si="31"/>
        <v>0</v>
      </c>
      <c r="J213" s="54">
        <v>0</v>
      </c>
      <c r="K213" s="56">
        <f t="shared" si="27"/>
        <v>0</v>
      </c>
      <c r="L213" s="86">
        <f t="shared" si="29"/>
        <v>0</v>
      </c>
    </row>
    <row r="214" spans="1:12" ht="15">
      <c r="A214" s="52" t="s">
        <v>168</v>
      </c>
      <c r="B214" s="53" t="s">
        <v>169</v>
      </c>
      <c r="C214" s="54">
        <v>0</v>
      </c>
      <c r="D214" s="83">
        <v>0</v>
      </c>
      <c r="E214" s="54">
        <f t="shared" si="32"/>
        <v>0</v>
      </c>
      <c r="F214" s="54">
        <v>0</v>
      </c>
      <c r="G214" s="56">
        <f t="shared" si="26"/>
        <v>0</v>
      </c>
      <c r="H214" s="83">
        <f t="shared" si="28"/>
        <v>0</v>
      </c>
      <c r="I214" s="83">
        <f t="shared" si="31"/>
        <v>0</v>
      </c>
      <c r="J214" s="54">
        <v>0</v>
      </c>
      <c r="K214" s="56">
        <f t="shared" si="27"/>
        <v>0</v>
      </c>
      <c r="L214" s="86">
        <f t="shared" si="29"/>
        <v>0</v>
      </c>
    </row>
    <row r="215" spans="1:12" ht="15">
      <c r="A215" s="52" t="s">
        <v>170</v>
      </c>
      <c r="B215" s="53" t="s">
        <v>171</v>
      </c>
      <c r="C215" s="83">
        <v>700039</v>
      </c>
      <c r="D215" s="83">
        <v>340039</v>
      </c>
      <c r="E215" s="54">
        <f t="shared" si="32"/>
        <v>0</v>
      </c>
      <c r="F215" s="54">
        <v>0</v>
      </c>
      <c r="G215" s="56">
        <f t="shared" si="26"/>
        <v>0</v>
      </c>
      <c r="H215" s="83">
        <f t="shared" si="28"/>
        <v>340039</v>
      </c>
      <c r="I215" s="83">
        <f t="shared" si="31"/>
        <v>0</v>
      </c>
      <c r="J215" s="54">
        <v>0</v>
      </c>
      <c r="K215" s="56">
        <f t="shared" si="27"/>
        <v>0</v>
      </c>
      <c r="L215" s="86">
        <f t="shared" si="29"/>
        <v>340039</v>
      </c>
    </row>
    <row r="216" spans="1:12" ht="15">
      <c r="A216" s="52" t="s">
        <v>172</v>
      </c>
      <c r="B216" s="53" t="s">
        <v>173</v>
      </c>
      <c r="C216" s="83">
        <v>2141298</v>
      </c>
      <c r="D216" s="83">
        <v>2572689.37</v>
      </c>
      <c r="E216" s="83">
        <f>F216-151234.49</f>
        <v>127571.75</v>
      </c>
      <c r="F216" s="83">
        <v>278806.24</v>
      </c>
      <c r="G216" s="56">
        <f t="shared" si="26"/>
        <v>0.00044880719806488027</v>
      </c>
      <c r="H216" s="83">
        <f t="shared" si="28"/>
        <v>2293883.13</v>
      </c>
      <c r="I216" s="83">
        <f>J216-122685.49</f>
        <v>143120.75</v>
      </c>
      <c r="J216" s="54">
        <v>265806.24</v>
      </c>
      <c r="K216" s="56">
        <f t="shared" si="27"/>
        <v>0.00046489894777304775</v>
      </c>
      <c r="L216" s="86">
        <f t="shared" si="29"/>
        <v>2306883.13</v>
      </c>
    </row>
    <row r="217" spans="1:13" ht="15">
      <c r="A217" s="52" t="s">
        <v>271</v>
      </c>
      <c r="B217" s="53" t="s">
        <v>273</v>
      </c>
      <c r="C217" s="83">
        <v>46675253</v>
      </c>
      <c r="D217" s="83">
        <v>25686107.05</v>
      </c>
      <c r="E217" s="83">
        <f>F217-2555053.14</f>
        <v>53121.889999999665</v>
      </c>
      <c r="F217" s="83">
        <v>2608175.03</v>
      </c>
      <c r="G217" s="56">
        <f t="shared" si="26"/>
        <v>0.004198499026697124</v>
      </c>
      <c r="H217" s="83">
        <f t="shared" si="28"/>
        <v>23077932.02</v>
      </c>
      <c r="I217" s="83">
        <f>J217-2552573.14</f>
        <v>52081.1799999997</v>
      </c>
      <c r="J217" s="83">
        <v>2604654.32</v>
      </c>
      <c r="K217" s="56">
        <f t="shared" si="27"/>
        <v>0.00455557797544754</v>
      </c>
      <c r="L217" s="57">
        <f t="shared" si="29"/>
        <v>23081452.73</v>
      </c>
      <c r="M217" s="106"/>
    </row>
    <row r="218" spans="1:13" ht="15">
      <c r="A218" s="52" t="s">
        <v>272</v>
      </c>
      <c r="B218" s="53" t="s">
        <v>274</v>
      </c>
      <c r="C218" s="83">
        <v>3254248</v>
      </c>
      <c r="D218" s="83">
        <v>22961819.04</v>
      </c>
      <c r="E218" s="83">
        <f>F218-619271.62</f>
        <v>2168979.9499999997</v>
      </c>
      <c r="F218" s="83">
        <v>2788251.57</v>
      </c>
      <c r="G218" s="56">
        <f t="shared" si="26"/>
        <v>0.004488376496278215</v>
      </c>
      <c r="H218" s="83">
        <f t="shared" si="28"/>
        <v>20173567.47</v>
      </c>
      <c r="I218" s="83">
        <f>J218-491501.61</f>
        <v>185497.24</v>
      </c>
      <c r="J218" s="83">
        <v>676998.85</v>
      </c>
      <c r="K218" s="56">
        <f t="shared" si="27"/>
        <v>0.001184080753742137</v>
      </c>
      <c r="L218" s="57">
        <f t="shared" si="29"/>
        <v>22284820.189999998</v>
      </c>
      <c r="M218" s="106"/>
    </row>
    <row r="219" spans="1:12" ht="15">
      <c r="A219" s="52" t="s">
        <v>244</v>
      </c>
      <c r="B219" s="53" t="s">
        <v>245</v>
      </c>
      <c r="C219" s="54">
        <v>0</v>
      </c>
      <c r="D219" s="83">
        <v>0</v>
      </c>
      <c r="E219" s="54">
        <f t="shared" si="32"/>
        <v>0</v>
      </c>
      <c r="F219" s="54">
        <v>0</v>
      </c>
      <c r="G219" s="56">
        <f t="shared" si="26"/>
        <v>0</v>
      </c>
      <c r="H219" s="54">
        <f t="shared" si="28"/>
        <v>0</v>
      </c>
      <c r="I219" s="83">
        <f t="shared" si="31"/>
        <v>0</v>
      </c>
      <c r="J219" s="54">
        <v>0</v>
      </c>
      <c r="K219" s="56">
        <f t="shared" si="27"/>
        <v>0</v>
      </c>
      <c r="L219" s="57">
        <f t="shared" si="29"/>
        <v>0</v>
      </c>
    </row>
    <row r="220" spans="1:12" ht="15">
      <c r="A220" s="52" t="s">
        <v>71</v>
      </c>
      <c r="B220" s="53" t="s">
        <v>79</v>
      </c>
      <c r="C220" s="54">
        <v>3660222</v>
      </c>
      <c r="D220" s="83">
        <v>50446072.75</v>
      </c>
      <c r="E220" s="54">
        <f>F220-10341766.14</f>
        <v>6276677.229999999</v>
      </c>
      <c r="F220" s="54">
        <v>16618443.37</v>
      </c>
      <c r="G220" s="56">
        <f t="shared" si="26"/>
        <v>0.026751470860514406</v>
      </c>
      <c r="H220" s="54">
        <f t="shared" si="28"/>
        <v>33827629.38</v>
      </c>
      <c r="I220" s="83">
        <f>J220-26311.41</f>
        <v>1241620.77</v>
      </c>
      <c r="J220" s="83">
        <v>1267932.18</v>
      </c>
      <c r="K220" s="56">
        <f t="shared" si="27"/>
        <v>0.002217631671587494</v>
      </c>
      <c r="L220" s="57">
        <f t="shared" si="29"/>
        <v>49178140.57</v>
      </c>
    </row>
    <row r="221" spans="1:12" ht="14.25">
      <c r="A221" s="47" t="s">
        <v>175</v>
      </c>
      <c r="B221" s="50" t="s">
        <v>174</v>
      </c>
      <c r="C221" s="82">
        <f>SUM(C222:C224)</f>
        <v>23867445</v>
      </c>
      <c r="D221" s="82">
        <f>SUM(D222:D224)</f>
        <v>93726467.28</v>
      </c>
      <c r="E221" s="82">
        <f>SUM(E222:E224)</f>
        <v>3012976.27</v>
      </c>
      <c r="F221" s="82">
        <f>SUM(F222:F224)</f>
        <v>12742949.24</v>
      </c>
      <c r="G221" s="51">
        <f aca="true" t="shared" si="33" ref="G221:G239">(F221/$F$286)*100</f>
        <v>0.020512910125280538</v>
      </c>
      <c r="H221" s="82">
        <f t="shared" si="28"/>
        <v>80983518.04</v>
      </c>
      <c r="I221" s="82">
        <f>SUM(I222:I224)</f>
        <v>2198018.15</v>
      </c>
      <c r="J221" s="82">
        <f>SUM(J222:J224)</f>
        <v>8464060.52</v>
      </c>
      <c r="K221" s="51">
        <f aca="true" t="shared" si="34" ref="K221:K252">(J221/$J$286)*100</f>
        <v>0.01480376393584814</v>
      </c>
      <c r="L221" s="85">
        <f t="shared" si="29"/>
        <v>85262406.76</v>
      </c>
    </row>
    <row r="222" spans="1:12" ht="15">
      <c r="A222" s="52" t="s">
        <v>28</v>
      </c>
      <c r="B222" s="53" t="s">
        <v>33</v>
      </c>
      <c r="C222" s="83">
        <v>10931758</v>
      </c>
      <c r="D222" s="83">
        <v>27692046.26</v>
      </c>
      <c r="E222" s="83">
        <f>F222-6271286.31</f>
        <v>3000898.87</v>
      </c>
      <c r="F222" s="83">
        <v>9272185.18</v>
      </c>
      <c r="G222" s="56">
        <f t="shared" si="33"/>
        <v>0.014925861955508983</v>
      </c>
      <c r="H222" s="83">
        <f t="shared" si="28"/>
        <v>18419861.080000002</v>
      </c>
      <c r="I222" s="83">
        <f>J222-6204491.02</f>
        <v>1983192.87</v>
      </c>
      <c r="J222" s="83">
        <v>8187683.89</v>
      </c>
      <c r="K222" s="56">
        <f t="shared" si="34"/>
        <v>0.014320377223496838</v>
      </c>
      <c r="L222" s="86">
        <f t="shared" si="29"/>
        <v>19504362.37</v>
      </c>
    </row>
    <row r="223" spans="1:12" ht="15">
      <c r="A223" s="52" t="s">
        <v>139</v>
      </c>
      <c r="B223" s="53" t="s">
        <v>140</v>
      </c>
      <c r="C223" s="83">
        <v>1147562</v>
      </c>
      <c r="D223" s="83">
        <v>1147562</v>
      </c>
      <c r="E223" s="83">
        <f>F223-0</f>
        <v>0</v>
      </c>
      <c r="F223" s="83">
        <v>0</v>
      </c>
      <c r="G223" s="56">
        <f t="shared" si="33"/>
        <v>0</v>
      </c>
      <c r="H223" s="83">
        <f t="shared" si="28"/>
        <v>1147562</v>
      </c>
      <c r="I223" s="83">
        <f>J223-0</f>
        <v>0</v>
      </c>
      <c r="J223" s="83">
        <v>0</v>
      </c>
      <c r="K223" s="56">
        <f t="shared" si="34"/>
        <v>0</v>
      </c>
      <c r="L223" s="86">
        <f t="shared" si="29"/>
        <v>1147562</v>
      </c>
    </row>
    <row r="224" spans="1:12" ht="15">
      <c r="A224" s="52" t="s">
        <v>176</v>
      </c>
      <c r="B224" s="53" t="s">
        <v>177</v>
      </c>
      <c r="C224" s="83">
        <v>11788125</v>
      </c>
      <c r="D224" s="83">
        <v>64886859.02</v>
      </c>
      <c r="E224" s="83">
        <f>F224-3458686.66</f>
        <v>12077.399999999907</v>
      </c>
      <c r="F224" s="83">
        <v>3470764.06</v>
      </c>
      <c r="G224" s="56">
        <f t="shared" si="33"/>
        <v>0.005587048169771552</v>
      </c>
      <c r="H224" s="83">
        <f t="shared" si="28"/>
        <v>61416094.96</v>
      </c>
      <c r="I224" s="83">
        <f>J224-61551.35</f>
        <v>214825.28</v>
      </c>
      <c r="J224" s="83">
        <v>276376.63</v>
      </c>
      <c r="K224" s="56">
        <f t="shared" si="34"/>
        <v>0.0004833867123513012</v>
      </c>
      <c r="L224" s="86">
        <f t="shared" si="29"/>
        <v>64610482.39</v>
      </c>
    </row>
    <row r="225" spans="1:12" ht="14.25">
      <c r="A225" s="47" t="s">
        <v>178</v>
      </c>
      <c r="B225" s="50" t="s">
        <v>179</v>
      </c>
      <c r="C225" s="82">
        <f>SUM(C226:C239)</f>
        <v>120609356</v>
      </c>
      <c r="D225" s="82">
        <f>SUM(D226:D239)</f>
        <v>149503710.26</v>
      </c>
      <c r="E225" s="82">
        <f>SUM(E226:E239)</f>
        <v>13920256.99</v>
      </c>
      <c r="F225" s="82">
        <f>SUM(F226:F239)</f>
        <v>60611219.62</v>
      </c>
      <c r="G225" s="51">
        <f t="shared" si="33"/>
        <v>0.09756866147955402</v>
      </c>
      <c r="H225" s="82">
        <f t="shared" si="28"/>
        <v>88892490.63999999</v>
      </c>
      <c r="I225" s="82">
        <f>SUM(I226:I239)</f>
        <v>12971352.709999999</v>
      </c>
      <c r="J225" s="82">
        <f>SUM(J226:J239)</f>
        <v>57651935.65999999</v>
      </c>
      <c r="K225" s="51">
        <f t="shared" si="34"/>
        <v>0.10083406704603114</v>
      </c>
      <c r="L225" s="85">
        <f t="shared" si="29"/>
        <v>91851774.6</v>
      </c>
    </row>
    <row r="226" spans="1:12" ht="15">
      <c r="A226" s="52" t="s">
        <v>28</v>
      </c>
      <c r="B226" s="53" t="s">
        <v>33</v>
      </c>
      <c r="C226" s="83">
        <v>70382648</v>
      </c>
      <c r="D226" s="83">
        <v>87733856.17</v>
      </c>
      <c r="E226" s="83">
        <f>F226-46103632.46</f>
        <v>13670625.5</v>
      </c>
      <c r="F226" s="83">
        <v>59774257.96</v>
      </c>
      <c r="G226" s="56">
        <f t="shared" si="33"/>
        <v>0.0962213658899276</v>
      </c>
      <c r="H226" s="83">
        <f t="shared" si="28"/>
        <v>27959598.21</v>
      </c>
      <c r="I226" s="83">
        <f>J226-44375346.04</f>
        <v>12601131.329999998</v>
      </c>
      <c r="J226" s="83">
        <v>56976477.37</v>
      </c>
      <c r="K226" s="56">
        <f t="shared" si="34"/>
        <v>0.09965268075395019</v>
      </c>
      <c r="L226" s="86">
        <f t="shared" si="29"/>
        <v>30757378.800000004</v>
      </c>
    </row>
    <row r="227" spans="1:12" ht="15">
      <c r="A227" s="52" t="s">
        <v>232</v>
      </c>
      <c r="B227" s="53" t="s">
        <v>231</v>
      </c>
      <c r="C227" s="83">
        <v>5000</v>
      </c>
      <c r="D227" s="83">
        <v>5000</v>
      </c>
      <c r="E227" s="83">
        <f>F227-0</f>
        <v>0</v>
      </c>
      <c r="F227" s="83">
        <v>0</v>
      </c>
      <c r="G227" s="56">
        <f t="shared" si="33"/>
        <v>0</v>
      </c>
      <c r="H227" s="83">
        <f t="shared" si="28"/>
        <v>5000</v>
      </c>
      <c r="I227" s="83">
        <f>J227-0</f>
        <v>0</v>
      </c>
      <c r="J227" s="83">
        <v>0</v>
      </c>
      <c r="K227" s="56">
        <f t="shared" si="34"/>
        <v>0</v>
      </c>
      <c r="L227" s="86">
        <f t="shared" si="29"/>
        <v>5000</v>
      </c>
    </row>
    <row r="228" spans="1:12" ht="15">
      <c r="A228" s="52" t="s">
        <v>49</v>
      </c>
      <c r="B228" s="53" t="s">
        <v>56</v>
      </c>
      <c r="C228" s="83">
        <v>110000</v>
      </c>
      <c r="D228" s="83">
        <v>260000</v>
      </c>
      <c r="E228" s="83">
        <f>F228-175335</f>
        <v>0</v>
      </c>
      <c r="F228" s="83">
        <v>175335</v>
      </c>
      <c r="G228" s="56">
        <f t="shared" si="33"/>
        <v>0.00028224479506881115</v>
      </c>
      <c r="H228" s="83">
        <f t="shared" si="28"/>
        <v>84665</v>
      </c>
      <c r="I228" s="83">
        <f>J228-49335</f>
        <v>126000</v>
      </c>
      <c r="J228" s="83">
        <v>175335</v>
      </c>
      <c r="K228" s="56">
        <f t="shared" si="34"/>
        <v>0.00030666344404776697</v>
      </c>
      <c r="L228" s="86">
        <f t="shared" si="29"/>
        <v>84665</v>
      </c>
    </row>
    <row r="229" spans="1:12" ht="15">
      <c r="A229" s="52" t="s">
        <v>51</v>
      </c>
      <c r="B229" s="53" t="s">
        <v>58</v>
      </c>
      <c r="C229" s="83">
        <v>0</v>
      </c>
      <c r="D229" s="83">
        <v>0</v>
      </c>
      <c r="E229" s="83">
        <f aca="true" t="shared" si="35" ref="E229:E238">F229-0</f>
        <v>0</v>
      </c>
      <c r="F229" s="83">
        <v>0</v>
      </c>
      <c r="G229" s="56">
        <f t="shared" si="33"/>
        <v>0</v>
      </c>
      <c r="H229" s="83">
        <f t="shared" si="28"/>
        <v>0</v>
      </c>
      <c r="I229" s="83">
        <f aca="true" t="shared" si="36" ref="I229:I238">J229-0</f>
        <v>0</v>
      </c>
      <c r="J229" s="83">
        <v>0</v>
      </c>
      <c r="K229" s="56">
        <f t="shared" si="34"/>
        <v>0</v>
      </c>
      <c r="L229" s="86">
        <f t="shared" si="29"/>
        <v>0</v>
      </c>
    </row>
    <row r="230" spans="1:12" ht="15">
      <c r="A230" s="52" t="s">
        <v>160</v>
      </c>
      <c r="B230" s="53" t="s">
        <v>161</v>
      </c>
      <c r="C230" s="83">
        <v>0</v>
      </c>
      <c r="D230" s="83">
        <v>0</v>
      </c>
      <c r="E230" s="83">
        <f t="shared" si="35"/>
        <v>0</v>
      </c>
      <c r="F230" s="83">
        <v>0</v>
      </c>
      <c r="G230" s="56">
        <f t="shared" si="33"/>
        <v>0</v>
      </c>
      <c r="H230" s="83">
        <f>D230-F230</f>
        <v>0</v>
      </c>
      <c r="I230" s="83">
        <f t="shared" si="36"/>
        <v>0</v>
      </c>
      <c r="J230" s="83">
        <v>0</v>
      </c>
      <c r="K230" s="56">
        <f t="shared" si="34"/>
        <v>0</v>
      </c>
      <c r="L230" s="86">
        <f>D230-J230</f>
        <v>0</v>
      </c>
    </row>
    <row r="231" spans="1:12" ht="15">
      <c r="A231" s="52" t="s">
        <v>97</v>
      </c>
      <c r="B231" s="53" t="s">
        <v>241</v>
      </c>
      <c r="C231" s="83">
        <v>0</v>
      </c>
      <c r="D231" s="83">
        <v>0</v>
      </c>
      <c r="E231" s="83">
        <f>F231-0</f>
        <v>0</v>
      </c>
      <c r="F231" s="83">
        <v>0</v>
      </c>
      <c r="G231" s="56">
        <f t="shared" si="33"/>
        <v>0</v>
      </c>
      <c r="H231" s="83">
        <f>D231-F231</f>
        <v>0</v>
      </c>
      <c r="I231" s="83">
        <f>J231-0</f>
        <v>0</v>
      </c>
      <c r="J231" s="83">
        <v>0</v>
      </c>
      <c r="K231" s="56">
        <f t="shared" si="34"/>
        <v>0</v>
      </c>
      <c r="L231" s="86">
        <f>D231-J231</f>
        <v>0</v>
      </c>
    </row>
    <row r="232" spans="1:13" ht="15">
      <c r="A232" s="52" t="s">
        <v>180</v>
      </c>
      <c r="B232" s="53" t="s">
        <v>181</v>
      </c>
      <c r="C232" s="83">
        <v>1587120</v>
      </c>
      <c r="D232" s="83">
        <v>12994147.82</v>
      </c>
      <c r="E232" s="83">
        <f>F232-109142.17</f>
        <v>41547.509999999995</v>
      </c>
      <c r="F232" s="83">
        <v>150689.68</v>
      </c>
      <c r="G232" s="56">
        <f t="shared" si="33"/>
        <v>0.00024257209256899493</v>
      </c>
      <c r="H232" s="83">
        <f>D232-F232</f>
        <v>12843458.14</v>
      </c>
      <c r="I232" s="83">
        <f>J232-79806.99</f>
        <v>61927.90999999999</v>
      </c>
      <c r="J232" s="83">
        <v>141734.9</v>
      </c>
      <c r="K232" s="56">
        <f t="shared" si="34"/>
        <v>0.0002478963844969107</v>
      </c>
      <c r="L232" s="86">
        <f>D232-J232</f>
        <v>12852412.92</v>
      </c>
      <c r="M232" s="106"/>
    </row>
    <row r="233" spans="1:13" ht="15">
      <c r="A233" s="52" t="s">
        <v>182</v>
      </c>
      <c r="B233" s="53" t="s">
        <v>183</v>
      </c>
      <c r="C233" s="83">
        <v>24425</v>
      </c>
      <c r="D233" s="83">
        <v>15543.27</v>
      </c>
      <c r="E233" s="83">
        <f>F233-2852</f>
        <v>2483.9799999999996</v>
      </c>
      <c r="F233" s="83">
        <v>5335.98</v>
      </c>
      <c r="G233" s="56">
        <f t="shared" si="33"/>
        <v>8.589571857251973E-06</v>
      </c>
      <c r="H233" s="83">
        <f>D233-F233</f>
        <v>10207.29</v>
      </c>
      <c r="I233" s="83">
        <f>J233-2852</f>
        <v>1726.4799999999996</v>
      </c>
      <c r="J233" s="83">
        <v>4578.48</v>
      </c>
      <c r="K233" s="56">
        <f t="shared" si="34"/>
        <v>8.007827560406195E-06</v>
      </c>
      <c r="L233" s="86">
        <f>D233-J233</f>
        <v>10964.79</v>
      </c>
      <c r="M233" s="106"/>
    </row>
    <row r="234" spans="1:12" ht="15">
      <c r="A234" s="52" t="s">
        <v>184</v>
      </c>
      <c r="B234" s="53" t="s">
        <v>250</v>
      </c>
      <c r="C234" s="83">
        <v>30000</v>
      </c>
      <c r="D234" s="83">
        <v>30000</v>
      </c>
      <c r="E234" s="83">
        <f>F234-0</f>
        <v>13600</v>
      </c>
      <c r="F234" s="83">
        <v>13600</v>
      </c>
      <c r="G234" s="56">
        <f t="shared" si="33"/>
        <v>2.1892544061002264E-05</v>
      </c>
      <c r="H234" s="83">
        <f t="shared" si="28"/>
        <v>16400</v>
      </c>
      <c r="I234" s="83">
        <f>J234-0</f>
        <v>0</v>
      </c>
      <c r="J234" s="83">
        <v>0</v>
      </c>
      <c r="K234" s="56">
        <f t="shared" si="34"/>
        <v>0</v>
      </c>
      <c r="L234" s="86">
        <f t="shared" si="29"/>
        <v>30000</v>
      </c>
    </row>
    <row r="235" spans="1:12" ht="15">
      <c r="A235" s="52" t="s">
        <v>191</v>
      </c>
      <c r="B235" s="53" t="s">
        <v>192</v>
      </c>
      <c r="C235" s="83">
        <v>48460163</v>
      </c>
      <c r="D235" s="83">
        <v>48460163</v>
      </c>
      <c r="E235" s="83">
        <f>F235-300001</f>
        <v>192000</v>
      </c>
      <c r="F235" s="83">
        <v>492001</v>
      </c>
      <c r="G235" s="56">
        <f t="shared" si="33"/>
        <v>0.0007919965860703805</v>
      </c>
      <c r="H235" s="83">
        <f t="shared" si="28"/>
        <v>47968162</v>
      </c>
      <c r="I235" s="83">
        <f>J235-173242.92</f>
        <v>180566.98999999996</v>
      </c>
      <c r="J235" s="83">
        <v>353809.91</v>
      </c>
      <c r="K235" s="56">
        <f t="shared" si="34"/>
        <v>0.0006188186359758775</v>
      </c>
      <c r="L235" s="86">
        <f t="shared" si="29"/>
        <v>48106353.09</v>
      </c>
    </row>
    <row r="236" spans="1:12" ht="15">
      <c r="A236" s="52" t="s">
        <v>185</v>
      </c>
      <c r="B236" s="53" t="s">
        <v>186</v>
      </c>
      <c r="C236" s="83">
        <v>0</v>
      </c>
      <c r="D236" s="83">
        <v>0</v>
      </c>
      <c r="E236" s="83">
        <f t="shared" si="35"/>
        <v>0</v>
      </c>
      <c r="F236" s="83">
        <v>0</v>
      </c>
      <c r="G236" s="56">
        <f t="shared" si="33"/>
        <v>0</v>
      </c>
      <c r="H236" s="83">
        <f t="shared" si="28"/>
        <v>0</v>
      </c>
      <c r="I236" s="83">
        <f t="shared" si="36"/>
        <v>0</v>
      </c>
      <c r="J236" s="83">
        <v>0</v>
      </c>
      <c r="K236" s="56">
        <f t="shared" si="34"/>
        <v>0</v>
      </c>
      <c r="L236" s="86">
        <f t="shared" si="29"/>
        <v>0</v>
      </c>
    </row>
    <row r="237" spans="1:12" ht="15">
      <c r="A237" s="52" t="s">
        <v>187</v>
      </c>
      <c r="B237" s="53" t="s">
        <v>188</v>
      </c>
      <c r="C237" s="83">
        <v>0</v>
      </c>
      <c r="D237" s="83">
        <v>0</v>
      </c>
      <c r="E237" s="83">
        <f t="shared" si="35"/>
        <v>0</v>
      </c>
      <c r="F237" s="83">
        <v>0</v>
      </c>
      <c r="G237" s="56">
        <f t="shared" si="33"/>
        <v>0</v>
      </c>
      <c r="H237" s="83">
        <f>D237-F237</f>
        <v>0</v>
      </c>
      <c r="I237" s="83">
        <f t="shared" si="36"/>
        <v>0</v>
      </c>
      <c r="J237" s="83">
        <v>0</v>
      </c>
      <c r="K237" s="56">
        <f t="shared" si="34"/>
        <v>0</v>
      </c>
      <c r="L237" s="86">
        <f>D237-J237</f>
        <v>0</v>
      </c>
    </row>
    <row r="238" spans="1:12" ht="15">
      <c r="A238" s="52" t="s">
        <v>253</v>
      </c>
      <c r="B238" s="53" t="s">
        <v>254</v>
      </c>
      <c r="C238" s="83">
        <v>0</v>
      </c>
      <c r="D238" s="83">
        <v>0</v>
      </c>
      <c r="E238" s="83">
        <f t="shared" si="35"/>
        <v>0</v>
      </c>
      <c r="F238" s="83">
        <v>0</v>
      </c>
      <c r="G238" s="56">
        <f t="shared" si="33"/>
        <v>0</v>
      </c>
      <c r="H238" s="83">
        <f t="shared" si="28"/>
        <v>0</v>
      </c>
      <c r="I238" s="83">
        <f t="shared" si="36"/>
        <v>0</v>
      </c>
      <c r="J238" s="83">
        <v>0</v>
      </c>
      <c r="K238" s="56">
        <f t="shared" si="34"/>
        <v>0</v>
      </c>
      <c r="L238" s="86">
        <f t="shared" si="29"/>
        <v>0</v>
      </c>
    </row>
    <row r="239" spans="1:12" ht="15">
      <c r="A239" s="52" t="s">
        <v>278</v>
      </c>
      <c r="B239" s="53" t="s">
        <v>279</v>
      </c>
      <c r="C239" s="83">
        <v>10000</v>
      </c>
      <c r="D239" s="99">
        <v>5000</v>
      </c>
      <c r="E239" s="99">
        <f>F239-0</f>
        <v>0</v>
      </c>
      <c r="F239" s="99">
        <v>0</v>
      </c>
      <c r="G239" s="56">
        <f t="shared" si="33"/>
        <v>0</v>
      </c>
      <c r="H239" s="83">
        <f t="shared" si="28"/>
        <v>5000</v>
      </c>
      <c r="I239" s="83">
        <f>J239-0</f>
        <v>0</v>
      </c>
      <c r="J239" s="83">
        <v>0</v>
      </c>
      <c r="K239" s="56">
        <f t="shared" si="34"/>
        <v>0</v>
      </c>
      <c r="L239" s="86">
        <f t="shared" si="29"/>
        <v>5000</v>
      </c>
    </row>
    <row r="240" spans="1:12" ht="14.25">
      <c r="A240" s="47" t="s">
        <v>189</v>
      </c>
      <c r="B240" s="50" t="s">
        <v>190</v>
      </c>
      <c r="C240" s="82">
        <f>SUM(C241:C250)</f>
        <v>412323855</v>
      </c>
      <c r="D240" s="82">
        <f>SUM(D241:D250)</f>
        <v>418059909.61</v>
      </c>
      <c r="E240" s="82">
        <f>SUM(E241:E250)</f>
        <v>49169408.49</v>
      </c>
      <c r="F240" s="82">
        <f>SUM(F241:F250)</f>
        <v>160162509.39000002</v>
      </c>
      <c r="G240" s="51">
        <f aca="true" t="shared" si="37" ref="G240:G273">(F240/$F$286)*100</f>
        <v>0.2578209407162694</v>
      </c>
      <c r="H240" s="82">
        <f t="shared" si="28"/>
        <v>257897400.22</v>
      </c>
      <c r="I240" s="82">
        <f>SUM(I241:I250)</f>
        <v>37659746.31999999</v>
      </c>
      <c r="J240" s="82">
        <f>SUM(J241:J250)</f>
        <v>133931764.61</v>
      </c>
      <c r="K240" s="51">
        <f t="shared" si="34"/>
        <v>0.23424858814667598</v>
      </c>
      <c r="L240" s="85">
        <f t="shared" si="29"/>
        <v>284128145</v>
      </c>
    </row>
    <row r="241" spans="1:12" ht="15">
      <c r="A241" s="52" t="s">
        <v>28</v>
      </c>
      <c r="B241" s="53" t="s">
        <v>33</v>
      </c>
      <c r="C241" s="83">
        <v>92519470</v>
      </c>
      <c r="D241" s="83">
        <v>100032754.07</v>
      </c>
      <c r="E241" s="83">
        <f>F241-53834431.14</f>
        <v>15030805.120000005</v>
      </c>
      <c r="F241" s="83">
        <v>68865236.26</v>
      </c>
      <c r="G241" s="56">
        <f t="shared" si="37"/>
        <v>0.11085553081568976</v>
      </c>
      <c r="H241" s="83">
        <f t="shared" si="28"/>
        <v>31167517.809999987</v>
      </c>
      <c r="I241" s="83">
        <f>J241-46223083.32</f>
        <v>13751056.46</v>
      </c>
      <c r="J241" s="83">
        <v>59974139.78</v>
      </c>
      <c r="K241" s="56">
        <f t="shared" si="34"/>
        <v>0.10489563554759167</v>
      </c>
      <c r="L241" s="86">
        <f t="shared" si="29"/>
        <v>40058614.28999999</v>
      </c>
    </row>
    <row r="242" spans="1:12" ht="15">
      <c r="A242" s="52" t="s">
        <v>39</v>
      </c>
      <c r="B242" s="53" t="s">
        <v>41</v>
      </c>
      <c r="C242" s="83">
        <v>5000</v>
      </c>
      <c r="D242" s="83">
        <v>5000</v>
      </c>
      <c r="E242" s="83">
        <f aca="true" t="shared" si="38" ref="E242:E248">F242-0</f>
        <v>0</v>
      </c>
      <c r="F242" s="83">
        <v>0</v>
      </c>
      <c r="G242" s="56">
        <f t="shared" si="37"/>
        <v>0</v>
      </c>
      <c r="H242" s="83">
        <f t="shared" si="28"/>
        <v>5000</v>
      </c>
      <c r="I242" s="83">
        <f aca="true" t="shared" si="39" ref="I242:I248">J242-0</f>
        <v>0</v>
      </c>
      <c r="J242" s="83">
        <v>0</v>
      </c>
      <c r="K242" s="56">
        <f t="shared" si="34"/>
        <v>0</v>
      </c>
      <c r="L242" s="86">
        <f t="shared" si="29"/>
        <v>5000</v>
      </c>
    </row>
    <row r="243" spans="1:12" ht="15">
      <c r="A243" s="52" t="s">
        <v>131</v>
      </c>
      <c r="B243" s="53" t="s">
        <v>132</v>
      </c>
      <c r="C243" s="83">
        <v>1164010</v>
      </c>
      <c r="D243" s="83">
        <v>1164010</v>
      </c>
      <c r="E243" s="83">
        <f>F243-0</f>
        <v>0</v>
      </c>
      <c r="F243" s="83">
        <v>0</v>
      </c>
      <c r="G243" s="56">
        <f t="shared" si="37"/>
        <v>0</v>
      </c>
      <c r="H243" s="83">
        <f>D243-F243</f>
        <v>1164010</v>
      </c>
      <c r="I243" s="83">
        <f>J243-0</f>
        <v>0</v>
      </c>
      <c r="J243" s="83">
        <v>0</v>
      </c>
      <c r="K243" s="56">
        <f t="shared" si="34"/>
        <v>0</v>
      </c>
      <c r="L243" s="86">
        <f>D243-J243</f>
        <v>1164010</v>
      </c>
    </row>
    <row r="244" spans="1:12" ht="15">
      <c r="A244" s="52" t="s">
        <v>83</v>
      </c>
      <c r="B244" s="53" t="s">
        <v>85</v>
      </c>
      <c r="C244" s="83">
        <v>11012515</v>
      </c>
      <c r="D244" s="83">
        <v>11012515</v>
      </c>
      <c r="E244" s="83">
        <f>F244-831753.57</f>
        <v>266666.93000000005</v>
      </c>
      <c r="F244" s="83">
        <v>1098420.5</v>
      </c>
      <c r="G244" s="56">
        <f t="shared" si="37"/>
        <v>0.0017681778818939805</v>
      </c>
      <c r="H244" s="83">
        <f>D244-F244</f>
        <v>9914094.5</v>
      </c>
      <c r="I244" s="83">
        <f>J244-831753.57</f>
        <v>266666.93000000005</v>
      </c>
      <c r="J244" s="83">
        <v>1098420.5</v>
      </c>
      <c r="K244" s="56">
        <f t="shared" si="34"/>
        <v>0.0019211532982158167</v>
      </c>
      <c r="L244" s="86">
        <f>D244-J244</f>
        <v>9914094.5</v>
      </c>
    </row>
    <row r="245" spans="1:12" ht="15">
      <c r="A245" s="52" t="s">
        <v>53</v>
      </c>
      <c r="B245" s="53" t="s">
        <v>60</v>
      </c>
      <c r="C245" s="83">
        <v>0</v>
      </c>
      <c r="D245" s="83">
        <v>0</v>
      </c>
      <c r="E245" s="83">
        <f t="shared" si="38"/>
        <v>0</v>
      </c>
      <c r="F245" s="83">
        <v>0</v>
      </c>
      <c r="G245" s="56">
        <f t="shared" si="37"/>
        <v>0</v>
      </c>
      <c r="H245" s="83">
        <f t="shared" si="28"/>
        <v>0</v>
      </c>
      <c r="I245" s="83">
        <f t="shared" si="39"/>
        <v>0</v>
      </c>
      <c r="J245" s="83">
        <v>0</v>
      </c>
      <c r="K245" s="56">
        <f t="shared" si="34"/>
        <v>0</v>
      </c>
      <c r="L245" s="86">
        <f t="shared" si="29"/>
        <v>0</v>
      </c>
    </row>
    <row r="246" spans="1:12" ht="15">
      <c r="A246" s="52" t="s">
        <v>191</v>
      </c>
      <c r="B246" s="53" t="s">
        <v>192</v>
      </c>
      <c r="C246" s="83">
        <v>19923393</v>
      </c>
      <c r="D246" s="83">
        <v>13443274.3</v>
      </c>
      <c r="E246" s="83">
        <f>F246-10086153.01</f>
        <v>1426821.0099999998</v>
      </c>
      <c r="F246" s="83">
        <v>11512974.02</v>
      </c>
      <c r="G246" s="56">
        <f t="shared" si="37"/>
        <v>0.01853296257397238</v>
      </c>
      <c r="H246" s="83">
        <f t="shared" si="28"/>
        <v>1930300.2800000012</v>
      </c>
      <c r="I246" s="83">
        <f>J246-7073477.88</f>
        <v>1308776.7599999998</v>
      </c>
      <c r="J246" s="83">
        <v>8382254.64</v>
      </c>
      <c r="K246" s="56">
        <f t="shared" si="34"/>
        <v>0.014660684271752789</v>
      </c>
      <c r="L246" s="86">
        <f t="shared" si="29"/>
        <v>5061019.660000001</v>
      </c>
    </row>
    <row r="247" spans="1:12" ht="15">
      <c r="A247" s="52" t="s">
        <v>244</v>
      </c>
      <c r="B247" s="53" t="s">
        <v>245</v>
      </c>
      <c r="C247" s="83">
        <v>0</v>
      </c>
      <c r="D247" s="83">
        <v>0</v>
      </c>
      <c r="E247" s="83">
        <f t="shared" si="38"/>
        <v>0</v>
      </c>
      <c r="F247" s="83">
        <v>0</v>
      </c>
      <c r="G247" s="56">
        <f t="shared" si="37"/>
        <v>0</v>
      </c>
      <c r="H247" s="83">
        <f t="shared" si="28"/>
        <v>0</v>
      </c>
      <c r="I247" s="83">
        <f t="shared" si="39"/>
        <v>0</v>
      </c>
      <c r="J247" s="83">
        <v>0</v>
      </c>
      <c r="K247" s="56">
        <f t="shared" si="34"/>
        <v>0</v>
      </c>
      <c r="L247" s="86">
        <f t="shared" si="29"/>
        <v>0</v>
      </c>
    </row>
    <row r="248" spans="1:12" ht="15">
      <c r="A248" s="52" t="s">
        <v>275</v>
      </c>
      <c r="B248" s="53" t="s">
        <v>276</v>
      </c>
      <c r="C248" s="83">
        <v>260000</v>
      </c>
      <c r="D248" s="83">
        <v>0</v>
      </c>
      <c r="E248" s="83">
        <f t="shared" si="38"/>
        <v>0</v>
      </c>
      <c r="F248" s="83">
        <v>0</v>
      </c>
      <c r="G248" s="56">
        <f t="shared" si="37"/>
        <v>0</v>
      </c>
      <c r="H248" s="83">
        <f t="shared" si="28"/>
        <v>0</v>
      </c>
      <c r="I248" s="83">
        <f t="shared" si="39"/>
        <v>0</v>
      </c>
      <c r="J248" s="83">
        <v>0</v>
      </c>
      <c r="K248" s="56">
        <f t="shared" si="34"/>
        <v>0</v>
      </c>
      <c r="L248" s="86">
        <f t="shared" si="29"/>
        <v>0</v>
      </c>
    </row>
    <row r="249" spans="1:12" ht="15">
      <c r="A249" s="52" t="s">
        <v>54</v>
      </c>
      <c r="B249" s="53" t="s">
        <v>61</v>
      </c>
      <c r="C249" s="83">
        <v>148474599</v>
      </c>
      <c r="D249" s="83">
        <v>151169012.8</v>
      </c>
      <c r="E249" s="83">
        <f>F249-43893845.12</f>
        <v>20940000</v>
      </c>
      <c r="F249" s="83">
        <v>64833845.12</v>
      </c>
      <c r="G249" s="56">
        <f t="shared" si="37"/>
        <v>0.10436601550983797</v>
      </c>
      <c r="H249" s="83">
        <f t="shared" si="28"/>
        <v>86335167.68</v>
      </c>
      <c r="I249" s="83">
        <f>J249-41855818.46</f>
        <v>20934255.339999996</v>
      </c>
      <c r="J249" s="83">
        <v>62790073.8</v>
      </c>
      <c r="K249" s="56">
        <f t="shared" si="34"/>
        <v>0.10982074476585656</v>
      </c>
      <c r="L249" s="86">
        <f t="shared" si="29"/>
        <v>88378939.00000001</v>
      </c>
    </row>
    <row r="250" spans="1:12" ht="15">
      <c r="A250" s="52" t="s">
        <v>185</v>
      </c>
      <c r="B250" s="53" t="s">
        <v>186</v>
      </c>
      <c r="C250" s="83">
        <v>138964868</v>
      </c>
      <c r="D250" s="83">
        <v>141233343.44</v>
      </c>
      <c r="E250" s="83">
        <f>F250-2346918.06</f>
        <v>11505115.43</v>
      </c>
      <c r="F250" s="83">
        <v>13852033.49</v>
      </c>
      <c r="G250" s="56">
        <f t="shared" si="37"/>
        <v>0.02229825393487529</v>
      </c>
      <c r="H250" s="83">
        <f t="shared" si="28"/>
        <v>127381309.95</v>
      </c>
      <c r="I250" s="83">
        <f>J250-287885.06</f>
        <v>1398990.8299999998</v>
      </c>
      <c r="J250" s="83">
        <v>1686875.89</v>
      </c>
      <c r="K250" s="56">
        <f t="shared" si="34"/>
        <v>0.0029503702632591444</v>
      </c>
      <c r="L250" s="86">
        <f t="shared" si="29"/>
        <v>139546467.55</v>
      </c>
    </row>
    <row r="251" spans="1:12" ht="14.25">
      <c r="A251" s="47" t="s">
        <v>193</v>
      </c>
      <c r="B251" s="50" t="s">
        <v>194</v>
      </c>
      <c r="C251" s="82">
        <f>SUM(C252:C254)</f>
        <v>0</v>
      </c>
      <c r="D251" s="82">
        <f>SUM(D252:D254)</f>
        <v>0</v>
      </c>
      <c r="E251" s="82">
        <f>SUM(E252:E254)</f>
        <v>0</v>
      </c>
      <c r="F251" s="82">
        <f>SUM(F252:F254)</f>
        <v>0</v>
      </c>
      <c r="G251" s="51">
        <f t="shared" si="37"/>
        <v>0</v>
      </c>
      <c r="H251" s="82">
        <f t="shared" si="28"/>
        <v>0</v>
      </c>
      <c r="I251" s="82">
        <f>SUM(I252:I254)</f>
        <v>0</v>
      </c>
      <c r="J251" s="82">
        <f>SUM(J252:J254)</f>
        <v>0</v>
      </c>
      <c r="K251" s="51">
        <f t="shared" si="34"/>
        <v>0</v>
      </c>
      <c r="L251" s="85">
        <f t="shared" si="29"/>
        <v>0</v>
      </c>
    </row>
    <row r="252" spans="1:12" ht="15">
      <c r="A252" s="52" t="s">
        <v>28</v>
      </c>
      <c r="B252" s="53" t="s">
        <v>33</v>
      </c>
      <c r="C252" s="83">
        <v>0</v>
      </c>
      <c r="D252" s="83">
        <v>0</v>
      </c>
      <c r="E252" s="83">
        <f>F252-0</f>
        <v>0</v>
      </c>
      <c r="F252" s="83">
        <v>0</v>
      </c>
      <c r="G252" s="56">
        <f t="shared" si="37"/>
        <v>0</v>
      </c>
      <c r="H252" s="83">
        <f t="shared" si="28"/>
        <v>0</v>
      </c>
      <c r="I252" s="83">
        <f>J252-0</f>
        <v>0</v>
      </c>
      <c r="J252" s="83">
        <v>0</v>
      </c>
      <c r="K252" s="56">
        <f t="shared" si="34"/>
        <v>0</v>
      </c>
      <c r="L252" s="86">
        <f t="shared" si="29"/>
        <v>0</v>
      </c>
    </row>
    <row r="253" spans="1:12" ht="15">
      <c r="A253" s="52" t="s">
        <v>164</v>
      </c>
      <c r="B253" s="53" t="s">
        <v>165</v>
      </c>
      <c r="C253" s="83">
        <v>0</v>
      </c>
      <c r="D253" s="83">
        <v>0</v>
      </c>
      <c r="E253" s="83">
        <f>F253-0</f>
        <v>0</v>
      </c>
      <c r="F253" s="83">
        <v>0</v>
      </c>
      <c r="G253" s="56">
        <f t="shared" si="37"/>
        <v>0</v>
      </c>
      <c r="H253" s="83">
        <f t="shared" si="28"/>
        <v>0</v>
      </c>
      <c r="I253" s="83">
        <f>J253-0</f>
        <v>0</v>
      </c>
      <c r="J253" s="83">
        <v>0</v>
      </c>
      <c r="K253" s="56">
        <f aca="true" t="shared" si="40" ref="K253:K273">(J253/$J$286)*100</f>
        <v>0</v>
      </c>
      <c r="L253" s="86">
        <f t="shared" si="29"/>
        <v>0</v>
      </c>
    </row>
    <row r="254" spans="1:12" ht="15">
      <c r="A254" s="52" t="s">
        <v>117</v>
      </c>
      <c r="B254" s="53" t="s">
        <v>124</v>
      </c>
      <c r="C254" s="83">
        <v>0</v>
      </c>
      <c r="D254" s="83">
        <v>0</v>
      </c>
      <c r="E254" s="83">
        <f>F254-0</f>
        <v>0</v>
      </c>
      <c r="F254" s="83">
        <v>0</v>
      </c>
      <c r="G254" s="56">
        <f t="shared" si="37"/>
        <v>0</v>
      </c>
      <c r="H254" s="83">
        <f t="shared" si="28"/>
        <v>0</v>
      </c>
      <c r="I254" s="83">
        <f>J254-0</f>
        <v>0</v>
      </c>
      <c r="J254" s="83">
        <v>0</v>
      </c>
      <c r="K254" s="56">
        <f t="shared" si="40"/>
        <v>0</v>
      </c>
      <c r="L254" s="86">
        <f t="shared" si="29"/>
        <v>0</v>
      </c>
    </row>
    <row r="255" spans="1:12" ht="14.25">
      <c r="A255" s="47" t="s">
        <v>280</v>
      </c>
      <c r="B255" s="50" t="s">
        <v>281</v>
      </c>
      <c r="C255" s="82">
        <f>C256</f>
        <v>614700</v>
      </c>
      <c r="D255" s="82">
        <f>D256</f>
        <v>589700</v>
      </c>
      <c r="E255" s="82">
        <f>E256</f>
        <v>1506.6000000000004</v>
      </c>
      <c r="F255" s="82">
        <f>F256</f>
        <v>11061.7</v>
      </c>
      <c r="G255" s="51">
        <f t="shared" si="37"/>
        <v>1.780652607644035E-05</v>
      </c>
      <c r="H255" s="82">
        <f t="shared" si="28"/>
        <v>578638.3</v>
      </c>
      <c r="I255" s="82">
        <f>I256</f>
        <v>1506.6000000000004</v>
      </c>
      <c r="J255" s="82">
        <f>J256</f>
        <v>9434.58</v>
      </c>
      <c r="K255" s="51">
        <f t="shared" si="40"/>
        <v>1.650121650522817E-05</v>
      </c>
      <c r="L255" s="85">
        <f t="shared" si="29"/>
        <v>580265.42</v>
      </c>
    </row>
    <row r="256" spans="1:12" ht="15">
      <c r="A256" s="52" t="s">
        <v>187</v>
      </c>
      <c r="B256" s="53" t="s">
        <v>188</v>
      </c>
      <c r="C256" s="83">
        <v>614700</v>
      </c>
      <c r="D256" s="83">
        <v>589700</v>
      </c>
      <c r="E256" s="83">
        <f>F256-9555.1</f>
        <v>1506.6000000000004</v>
      </c>
      <c r="F256" s="83">
        <v>11061.7</v>
      </c>
      <c r="G256" s="83">
        <f t="shared" si="37"/>
        <v>1.780652607644035E-05</v>
      </c>
      <c r="H256" s="83">
        <f t="shared" si="28"/>
        <v>578638.3</v>
      </c>
      <c r="I256" s="83">
        <f>J256-7927.98</f>
        <v>1506.6000000000004</v>
      </c>
      <c r="J256" s="83">
        <v>9434.58</v>
      </c>
      <c r="K256" s="56">
        <f t="shared" si="40"/>
        <v>1.650121650522817E-05</v>
      </c>
      <c r="L256" s="86">
        <f t="shared" si="29"/>
        <v>580265.42</v>
      </c>
    </row>
    <row r="257" spans="1:12" ht="14.25">
      <c r="A257" s="47" t="s">
        <v>195</v>
      </c>
      <c r="B257" s="50" t="s">
        <v>196</v>
      </c>
      <c r="C257" s="82">
        <f>SUM(C258:C269)</f>
        <v>1342460224</v>
      </c>
      <c r="D257" s="82">
        <f>SUM(D258:D269)</f>
        <v>2212492125.45</v>
      </c>
      <c r="E257" s="82">
        <f>SUM(E258:E269)</f>
        <v>184168903.39</v>
      </c>
      <c r="F257" s="82">
        <f>SUM(F258:F269)</f>
        <v>985007872.9300001</v>
      </c>
      <c r="G257" s="51">
        <f t="shared" si="37"/>
        <v>1.5856123719525106</v>
      </c>
      <c r="H257" s="82">
        <f t="shared" si="28"/>
        <v>1227484252.5199997</v>
      </c>
      <c r="I257" s="82">
        <f>SUM(I258:I269)</f>
        <v>206604284.08999997</v>
      </c>
      <c r="J257" s="82">
        <f>SUM(J258:J269)</f>
        <v>661041170.24</v>
      </c>
      <c r="K257" s="51">
        <f t="shared" si="40"/>
        <v>1.1561705416668928</v>
      </c>
      <c r="L257" s="85">
        <f t="shared" si="29"/>
        <v>1551450955.2099998</v>
      </c>
    </row>
    <row r="258" spans="1:12" ht="15">
      <c r="A258" s="52" t="s">
        <v>28</v>
      </c>
      <c r="B258" s="53" t="s">
        <v>33</v>
      </c>
      <c r="C258" s="83">
        <v>332356479</v>
      </c>
      <c r="D258" s="83">
        <v>345222231.84</v>
      </c>
      <c r="E258" s="83">
        <f>F258-174635186.94</f>
        <v>42035528.72999999</v>
      </c>
      <c r="F258" s="83">
        <v>216670715.67</v>
      </c>
      <c r="G258" s="56">
        <f t="shared" si="37"/>
        <v>0.3487847933481153</v>
      </c>
      <c r="H258" s="83">
        <f t="shared" si="28"/>
        <v>128551516.16999999</v>
      </c>
      <c r="I258" s="83">
        <f>J258-160168931.21</f>
        <v>43140578.50999999</v>
      </c>
      <c r="J258" s="83">
        <v>203309509.72</v>
      </c>
      <c r="K258" s="56">
        <f t="shared" si="40"/>
        <v>0.3555912650548844</v>
      </c>
      <c r="L258" s="86">
        <f t="shared" si="29"/>
        <v>141912722.11999997</v>
      </c>
    </row>
    <row r="259" spans="1:12" ht="15">
      <c r="A259" s="52" t="s">
        <v>29</v>
      </c>
      <c r="B259" s="53" t="s">
        <v>34</v>
      </c>
      <c r="C259" s="83">
        <v>18500</v>
      </c>
      <c r="D259" s="83">
        <v>18500</v>
      </c>
      <c r="E259" s="83">
        <f>F259-0</f>
        <v>0</v>
      </c>
      <c r="F259" s="83">
        <v>0</v>
      </c>
      <c r="G259" s="56">
        <f t="shared" si="37"/>
        <v>0</v>
      </c>
      <c r="H259" s="83">
        <f t="shared" si="28"/>
        <v>18500</v>
      </c>
      <c r="I259" s="83">
        <f>J259-0</f>
        <v>0</v>
      </c>
      <c r="J259" s="83">
        <v>0</v>
      </c>
      <c r="K259" s="56">
        <f t="shared" si="40"/>
        <v>0</v>
      </c>
      <c r="L259" s="86">
        <f t="shared" si="29"/>
        <v>18500</v>
      </c>
    </row>
    <row r="260" spans="1:12" ht="15">
      <c r="A260" s="52" t="s">
        <v>131</v>
      </c>
      <c r="B260" s="53" t="s">
        <v>263</v>
      </c>
      <c r="C260" s="83">
        <v>0</v>
      </c>
      <c r="D260" s="83">
        <v>0</v>
      </c>
      <c r="E260" s="83">
        <f aca="true" t="shared" si="41" ref="E260:E268">F260-0</f>
        <v>0</v>
      </c>
      <c r="F260" s="83">
        <v>0</v>
      </c>
      <c r="G260" s="56">
        <f t="shared" si="37"/>
        <v>0</v>
      </c>
      <c r="H260" s="83">
        <f t="shared" si="28"/>
        <v>0</v>
      </c>
      <c r="I260" s="83">
        <f aca="true" t="shared" si="42" ref="I260:I268">J260-0</f>
        <v>0</v>
      </c>
      <c r="J260" s="83">
        <v>0</v>
      </c>
      <c r="K260" s="56">
        <f t="shared" si="40"/>
        <v>0</v>
      </c>
      <c r="L260" s="86">
        <f t="shared" si="29"/>
        <v>0</v>
      </c>
    </row>
    <row r="261" spans="1:12" ht="15">
      <c r="A261" s="52" t="s">
        <v>83</v>
      </c>
      <c r="B261" s="53" t="s">
        <v>85</v>
      </c>
      <c r="C261" s="83">
        <v>20168</v>
      </c>
      <c r="D261" s="83">
        <v>20168</v>
      </c>
      <c r="E261" s="83">
        <f>F261-0</f>
        <v>0</v>
      </c>
      <c r="F261" s="83">
        <v>0</v>
      </c>
      <c r="G261" s="56">
        <f t="shared" si="37"/>
        <v>0</v>
      </c>
      <c r="H261" s="83">
        <f t="shared" si="28"/>
        <v>20168</v>
      </c>
      <c r="I261" s="83">
        <f>J261-0</f>
        <v>0</v>
      </c>
      <c r="J261" s="83">
        <v>0</v>
      </c>
      <c r="K261" s="56">
        <f t="shared" si="40"/>
        <v>0</v>
      </c>
      <c r="L261" s="86">
        <f t="shared" si="29"/>
        <v>20168</v>
      </c>
    </row>
    <row r="262" spans="1:12" ht="15">
      <c r="A262" s="52" t="s">
        <v>135</v>
      </c>
      <c r="B262" s="53" t="s">
        <v>136</v>
      </c>
      <c r="C262" s="83">
        <v>20820000</v>
      </c>
      <c r="D262" s="83">
        <v>41422816.04</v>
      </c>
      <c r="E262" s="83">
        <f>F262-6589532.22</f>
        <v>466282.54000000004</v>
      </c>
      <c r="F262" s="83">
        <v>7055814.76</v>
      </c>
      <c r="G262" s="56">
        <f t="shared" si="37"/>
        <v>0.011358068788203684</v>
      </c>
      <c r="H262" s="83">
        <f t="shared" si="28"/>
        <v>34367001.28</v>
      </c>
      <c r="I262" s="83">
        <f>J262-4093544.1</f>
        <v>868344.1000000001</v>
      </c>
      <c r="J262" s="83">
        <v>4961888.2</v>
      </c>
      <c r="K262" s="56">
        <f t="shared" si="40"/>
        <v>0.008678414032520463</v>
      </c>
      <c r="L262" s="86">
        <f t="shared" si="29"/>
        <v>36460927.839999996</v>
      </c>
    </row>
    <row r="263" spans="1:12" ht="15">
      <c r="A263" s="52" t="s">
        <v>151</v>
      </c>
      <c r="B263" s="53" t="s">
        <v>152</v>
      </c>
      <c r="C263" s="83">
        <v>462995268</v>
      </c>
      <c r="D263" s="83">
        <v>347332557.63</v>
      </c>
      <c r="E263" s="83">
        <f>F263-182581574.34</f>
        <v>48228640.19999999</v>
      </c>
      <c r="F263" s="83">
        <v>230810214.54</v>
      </c>
      <c r="G263" s="56">
        <f t="shared" si="37"/>
        <v>0.37154579349605404</v>
      </c>
      <c r="H263" s="83">
        <f t="shared" si="28"/>
        <v>116522343.09</v>
      </c>
      <c r="I263" s="83">
        <f>J263-179578934.59</f>
        <v>45061441.78999999</v>
      </c>
      <c r="J263" s="83">
        <v>224640376.38</v>
      </c>
      <c r="K263" s="56">
        <f t="shared" si="40"/>
        <v>0.39289925852155844</v>
      </c>
      <c r="L263" s="86">
        <f t="shared" si="29"/>
        <v>122692181.25</v>
      </c>
    </row>
    <row r="264" spans="1:12" ht="15">
      <c r="A264" s="52" t="s">
        <v>145</v>
      </c>
      <c r="B264" s="53" t="s">
        <v>146</v>
      </c>
      <c r="C264" s="83">
        <v>0</v>
      </c>
      <c r="D264" s="83">
        <v>0</v>
      </c>
      <c r="E264" s="83">
        <f t="shared" si="41"/>
        <v>0</v>
      </c>
      <c r="F264" s="83">
        <v>0</v>
      </c>
      <c r="G264" s="56">
        <f t="shared" si="37"/>
        <v>0</v>
      </c>
      <c r="H264" s="83">
        <f t="shared" si="28"/>
        <v>0</v>
      </c>
      <c r="I264" s="83">
        <f t="shared" si="42"/>
        <v>0</v>
      </c>
      <c r="J264" s="83">
        <v>0</v>
      </c>
      <c r="K264" s="56">
        <f t="shared" si="40"/>
        <v>0</v>
      </c>
      <c r="L264" s="86">
        <f t="shared" si="29"/>
        <v>0</v>
      </c>
    </row>
    <row r="265" spans="1:12" ht="15">
      <c r="A265" s="52" t="s">
        <v>70</v>
      </c>
      <c r="B265" s="53" t="s">
        <v>78</v>
      </c>
      <c r="C265" s="83">
        <v>29034000</v>
      </c>
      <c r="D265" s="83">
        <v>29024000</v>
      </c>
      <c r="E265" s="83">
        <f t="shared" si="41"/>
        <v>0</v>
      </c>
      <c r="F265" s="83">
        <v>0</v>
      </c>
      <c r="G265" s="56">
        <f t="shared" si="37"/>
        <v>0</v>
      </c>
      <c r="H265" s="83">
        <f t="shared" si="28"/>
        <v>29024000</v>
      </c>
      <c r="I265" s="83">
        <f t="shared" si="42"/>
        <v>0</v>
      </c>
      <c r="J265" s="83">
        <v>0</v>
      </c>
      <c r="K265" s="56">
        <f t="shared" si="40"/>
        <v>0</v>
      </c>
      <c r="L265" s="86">
        <f t="shared" si="29"/>
        <v>29024000</v>
      </c>
    </row>
    <row r="266" spans="1:12" ht="15">
      <c r="A266" s="52" t="s">
        <v>71</v>
      </c>
      <c r="B266" s="53" t="s">
        <v>79</v>
      </c>
      <c r="C266" s="83">
        <v>254572311</v>
      </c>
      <c r="D266" s="83">
        <v>1206952353.94</v>
      </c>
      <c r="E266" s="83">
        <f>F266-436084742.8</f>
        <v>93405731.42000002</v>
      </c>
      <c r="F266" s="83">
        <v>529490474.22</v>
      </c>
      <c r="G266" s="56">
        <f t="shared" si="37"/>
        <v>0.8523451129957598</v>
      </c>
      <c r="H266" s="83">
        <f t="shared" si="28"/>
        <v>677461879.72</v>
      </c>
      <c r="I266" s="83">
        <f>J266-110226933.04</f>
        <v>117276320.80999999</v>
      </c>
      <c r="J266" s="83">
        <v>227503253.85</v>
      </c>
      <c r="K266" s="56">
        <f t="shared" si="40"/>
        <v>0.3979064725109898</v>
      </c>
      <c r="L266" s="86">
        <f t="shared" si="29"/>
        <v>979449100.09</v>
      </c>
    </row>
    <row r="267" spans="1:12" ht="15">
      <c r="A267" s="52" t="s">
        <v>197</v>
      </c>
      <c r="B267" s="53" t="s">
        <v>198</v>
      </c>
      <c r="C267" s="83">
        <v>219809276</v>
      </c>
      <c r="D267" s="83">
        <v>219789276</v>
      </c>
      <c r="E267" s="83">
        <f>F267-947933.24</f>
        <v>0</v>
      </c>
      <c r="F267" s="83">
        <v>947933.24</v>
      </c>
      <c r="G267" s="56">
        <f t="shared" si="37"/>
        <v>0.0015259316340873995</v>
      </c>
      <c r="H267" s="83">
        <f t="shared" si="28"/>
        <v>218841342.76</v>
      </c>
      <c r="I267" s="83">
        <f>J267-368543.21</f>
        <v>257598.87999999995</v>
      </c>
      <c r="J267" s="83">
        <v>626142.09</v>
      </c>
      <c r="K267" s="56">
        <f t="shared" si="40"/>
        <v>0.001095131546939669</v>
      </c>
      <c r="L267" s="86">
        <f t="shared" si="29"/>
        <v>219163133.91</v>
      </c>
    </row>
    <row r="268" spans="1:12" ht="15">
      <c r="A268" s="52" t="s">
        <v>199</v>
      </c>
      <c r="B268" s="53" t="s">
        <v>200</v>
      </c>
      <c r="C268" s="83">
        <v>140000</v>
      </c>
      <c r="D268" s="83">
        <v>11000</v>
      </c>
      <c r="E268" s="83">
        <f t="shared" si="41"/>
        <v>0</v>
      </c>
      <c r="F268" s="83">
        <v>0</v>
      </c>
      <c r="G268" s="56">
        <f t="shared" si="37"/>
        <v>0</v>
      </c>
      <c r="H268" s="83">
        <f t="shared" si="28"/>
        <v>11000</v>
      </c>
      <c r="I268" s="83">
        <f t="shared" si="42"/>
        <v>0</v>
      </c>
      <c r="J268" s="83">
        <v>0</v>
      </c>
      <c r="K268" s="56">
        <f t="shared" si="40"/>
        <v>0</v>
      </c>
      <c r="L268" s="86">
        <f t="shared" si="29"/>
        <v>11000</v>
      </c>
    </row>
    <row r="269" spans="1:12" ht="15">
      <c r="A269" s="52" t="s">
        <v>201</v>
      </c>
      <c r="B269" s="53" t="s">
        <v>202</v>
      </c>
      <c r="C269" s="83">
        <v>22694222</v>
      </c>
      <c r="D269" s="83">
        <v>22699222</v>
      </c>
      <c r="E269" s="83">
        <f>F269-0</f>
        <v>32720.5</v>
      </c>
      <c r="F269" s="83">
        <v>32720.5</v>
      </c>
      <c r="G269" s="56">
        <f t="shared" si="37"/>
        <v>5.267169029029592E-05</v>
      </c>
      <c r="H269" s="83">
        <f t="shared" si="28"/>
        <v>22666501.5</v>
      </c>
      <c r="I269" s="83">
        <f>J269-0</f>
        <v>0</v>
      </c>
      <c r="J269" s="83">
        <v>0</v>
      </c>
      <c r="K269" s="56">
        <f t="shared" si="40"/>
        <v>0</v>
      </c>
      <c r="L269" s="86">
        <f t="shared" si="29"/>
        <v>22699222</v>
      </c>
    </row>
    <row r="270" spans="1:12" ht="14.25">
      <c r="A270" s="47" t="s">
        <v>203</v>
      </c>
      <c r="B270" s="50" t="s">
        <v>204</v>
      </c>
      <c r="C270" s="82">
        <f>SUM(C271:C275)</f>
        <v>70564945</v>
      </c>
      <c r="D270" s="82">
        <f>SUM(D271:D275)</f>
        <v>75483098</v>
      </c>
      <c r="E270" s="82">
        <f>SUM(E271:E275)</f>
        <v>3103830.75</v>
      </c>
      <c r="F270" s="82">
        <f>SUM(F271:F275)</f>
        <v>14094815.61</v>
      </c>
      <c r="G270" s="51">
        <f t="shared" si="37"/>
        <v>0.022689071453943194</v>
      </c>
      <c r="H270" s="82">
        <f t="shared" si="28"/>
        <v>61388282.39</v>
      </c>
      <c r="I270" s="82">
        <f>SUM(I271:I275)</f>
        <v>3019903.9000000004</v>
      </c>
      <c r="J270" s="82">
        <f>SUM(J271:J275)</f>
        <v>13149720.31</v>
      </c>
      <c r="K270" s="51">
        <f t="shared" si="40"/>
        <v>0.02299905049493524</v>
      </c>
      <c r="L270" s="85">
        <f t="shared" si="29"/>
        <v>62333377.69</v>
      </c>
    </row>
    <row r="271" spans="1:12" ht="15">
      <c r="A271" s="52" t="s">
        <v>28</v>
      </c>
      <c r="B271" s="53" t="s">
        <v>33</v>
      </c>
      <c r="C271" s="83">
        <v>15834260</v>
      </c>
      <c r="D271" s="83">
        <v>16908184.03</v>
      </c>
      <c r="E271" s="83">
        <f>F271-10161431.54</f>
        <v>2881694.83</v>
      </c>
      <c r="F271" s="83">
        <v>13043126.37</v>
      </c>
      <c r="G271" s="56">
        <f t="shared" si="37"/>
        <v>0.020996119025620992</v>
      </c>
      <c r="H271" s="83">
        <f t="shared" si="28"/>
        <v>3865057.660000002</v>
      </c>
      <c r="I271" s="83">
        <f>J271-9439108.24</f>
        <v>2844672.49</v>
      </c>
      <c r="J271" s="83">
        <v>12283780.73</v>
      </c>
      <c r="K271" s="56">
        <f t="shared" si="40"/>
        <v>0.021484509679125064</v>
      </c>
      <c r="L271" s="86">
        <f t="shared" si="29"/>
        <v>4624403.300000001</v>
      </c>
    </row>
    <row r="272" spans="1:12" ht="15">
      <c r="A272" s="52" t="s">
        <v>53</v>
      </c>
      <c r="B272" s="53" t="s">
        <v>60</v>
      </c>
      <c r="C272" s="83">
        <v>5923</v>
      </c>
      <c r="D272" s="83">
        <v>5923</v>
      </c>
      <c r="E272" s="83">
        <f>F272-0</f>
        <v>0</v>
      </c>
      <c r="F272" s="83">
        <v>0</v>
      </c>
      <c r="G272" s="56">
        <f t="shared" si="37"/>
        <v>0</v>
      </c>
      <c r="H272" s="83">
        <f t="shared" si="28"/>
        <v>5923</v>
      </c>
      <c r="I272" s="83">
        <f>J272-0</f>
        <v>0</v>
      </c>
      <c r="J272" s="83">
        <v>0</v>
      </c>
      <c r="K272" s="56">
        <f t="shared" si="40"/>
        <v>0</v>
      </c>
      <c r="L272" s="86">
        <f t="shared" si="29"/>
        <v>5923</v>
      </c>
    </row>
    <row r="273" spans="1:12" ht="15">
      <c r="A273" s="52" t="s">
        <v>205</v>
      </c>
      <c r="B273" s="53" t="s">
        <v>206</v>
      </c>
      <c r="C273" s="83">
        <v>2992857</v>
      </c>
      <c r="D273" s="83">
        <v>2992857</v>
      </c>
      <c r="E273" s="83">
        <f>F273-0</f>
        <v>0</v>
      </c>
      <c r="F273" s="83">
        <v>0</v>
      </c>
      <c r="G273" s="56">
        <f t="shared" si="37"/>
        <v>0</v>
      </c>
      <c r="H273" s="83">
        <f t="shared" si="28"/>
        <v>2992857</v>
      </c>
      <c r="I273" s="83">
        <f>J273-0</f>
        <v>0</v>
      </c>
      <c r="J273" s="83">
        <v>0</v>
      </c>
      <c r="K273" s="56">
        <f t="shared" si="40"/>
        <v>0</v>
      </c>
      <c r="L273" s="86">
        <f t="shared" si="29"/>
        <v>2992857</v>
      </c>
    </row>
    <row r="274" spans="1:12" ht="15">
      <c r="A274" s="52" t="s">
        <v>207</v>
      </c>
      <c r="B274" s="53" t="s">
        <v>208</v>
      </c>
      <c r="C274" s="83">
        <v>51731905</v>
      </c>
      <c r="D274" s="83">
        <v>55576133.97</v>
      </c>
      <c r="E274" s="83">
        <f>F274-829553.32</f>
        <v>222135.92000000004</v>
      </c>
      <c r="F274" s="83">
        <v>1051689.24</v>
      </c>
      <c r="G274" s="56">
        <f aca="true" t="shared" si="43" ref="G274:G285">(F274/$F$286)*100</f>
        <v>0.0016929524283222047</v>
      </c>
      <c r="H274" s="83">
        <f t="shared" si="28"/>
        <v>54524444.73</v>
      </c>
      <c r="I274" s="83">
        <f>J274-690708.17</f>
        <v>175231.40999999992</v>
      </c>
      <c r="J274" s="83">
        <v>865939.58</v>
      </c>
      <c r="K274" s="56">
        <f aca="true" t="shared" si="44" ref="K274:K285">(J274/$J$286)*100</f>
        <v>0.0015145408158101737</v>
      </c>
      <c r="L274" s="86">
        <f t="shared" si="29"/>
        <v>54710194.39</v>
      </c>
    </row>
    <row r="275" spans="1:12" ht="15">
      <c r="A275" s="52" t="s">
        <v>209</v>
      </c>
      <c r="B275" s="53" t="s">
        <v>210</v>
      </c>
      <c r="C275" s="83">
        <v>0</v>
      </c>
      <c r="D275" s="83">
        <v>0</v>
      </c>
      <c r="E275" s="83">
        <f>F275-0</f>
        <v>0</v>
      </c>
      <c r="F275" s="83">
        <v>0</v>
      </c>
      <c r="G275" s="56">
        <f t="shared" si="43"/>
        <v>0</v>
      </c>
      <c r="H275" s="83">
        <f t="shared" si="28"/>
        <v>0</v>
      </c>
      <c r="I275" s="56">
        <f>J275-0</f>
        <v>0</v>
      </c>
      <c r="J275" s="83">
        <v>0</v>
      </c>
      <c r="K275" s="56">
        <f t="shared" si="44"/>
        <v>0</v>
      </c>
      <c r="L275" s="86">
        <f aca="true" t="shared" si="45" ref="L275:L371">D275-J275</f>
        <v>0</v>
      </c>
    </row>
    <row r="276" spans="1:12" ht="14.25">
      <c r="A276" s="47" t="s">
        <v>211</v>
      </c>
      <c r="B276" s="50" t="s">
        <v>212</v>
      </c>
      <c r="C276" s="82">
        <f>SUM(C277:C281)</f>
        <v>13380693696</v>
      </c>
      <c r="D276" s="82">
        <f>SUM(D277:D281)</f>
        <v>11083185098.84</v>
      </c>
      <c r="E276" s="82">
        <f>SUM(E277:E281)</f>
        <v>1771969868.9999995</v>
      </c>
      <c r="F276" s="82">
        <f>SUM(F277:F281)</f>
        <v>3904274583.65</v>
      </c>
      <c r="G276" s="51">
        <f t="shared" si="43"/>
        <v>6.284889952118301</v>
      </c>
      <c r="H276" s="82">
        <f t="shared" si="28"/>
        <v>7178910515.190001</v>
      </c>
      <c r="I276" s="82">
        <f>SUM(I277:I281)</f>
        <v>1771969868.9999995</v>
      </c>
      <c r="J276" s="82">
        <f>SUM(J277:J281)</f>
        <v>3904274583.65</v>
      </c>
      <c r="K276" s="51">
        <f t="shared" si="44"/>
        <v>6.828632562410646</v>
      </c>
      <c r="L276" s="85">
        <f t="shared" si="45"/>
        <v>7178910515.190001</v>
      </c>
    </row>
    <row r="277" spans="1:12" ht="15">
      <c r="A277" s="52" t="s">
        <v>39</v>
      </c>
      <c r="B277" s="53" t="s">
        <v>41</v>
      </c>
      <c r="C277" s="83">
        <v>1875317172</v>
      </c>
      <c r="D277" s="83">
        <v>2078963766.18</v>
      </c>
      <c r="E277" s="83">
        <f>F277-411215661.37</f>
        <v>1605525779.4699998</v>
      </c>
      <c r="F277" s="83">
        <v>2016741440.84</v>
      </c>
      <c r="G277" s="56">
        <f t="shared" si="43"/>
        <v>3.2464412392087416</v>
      </c>
      <c r="H277" s="83">
        <f aca="true" t="shared" si="46" ref="H277:H360">D277-F277</f>
        <v>62222325.34000015</v>
      </c>
      <c r="I277" s="83">
        <f>J277-411215661.37</f>
        <v>1605525779.4699998</v>
      </c>
      <c r="J277" s="83">
        <v>2016741440.84</v>
      </c>
      <c r="K277" s="56">
        <f t="shared" si="44"/>
        <v>3.5273098696885974</v>
      </c>
      <c r="L277" s="86">
        <f t="shared" si="45"/>
        <v>62222325.34000015</v>
      </c>
    </row>
    <row r="278" spans="1:12" ht="15">
      <c r="A278" s="52" t="s">
        <v>213</v>
      </c>
      <c r="B278" s="53" t="s">
        <v>214</v>
      </c>
      <c r="C278" s="83">
        <v>5154696016</v>
      </c>
      <c r="D278" s="83">
        <v>3956221662.52</v>
      </c>
      <c r="E278" s="83">
        <f>F278-581040183.89</f>
        <v>3499193.350000024</v>
      </c>
      <c r="F278" s="83">
        <v>584539377.24</v>
      </c>
      <c r="G278" s="56">
        <f t="shared" si="43"/>
        <v>0.9409598582071709</v>
      </c>
      <c r="H278" s="83">
        <f t="shared" si="46"/>
        <v>3371682285.2799997</v>
      </c>
      <c r="I278" s="83">
        <f>J278-581040183.89</f>
        <v>3499193.350000024</v>
      </c>
      <c r="J278" s="83">
        <v>584539377.24</v>
      </c>
      <c r="K278" s="56">
        <f t="shared" si="44"/>
        <v>1.0223678022411686</v>
      </c>
      <c r="L278" s="86">
        <f t="shared" si="45"/>
        <v>3371682285.2799997</v>
      </c>
    </row>
    <row r="279" spans="1:12" ht="15">
      <c r="A279" s="52" t="s">
        <v>215</v>
      </c>
      <c r="B279" s="53" t="s">
        <v>216</v>
      </c>
      <c r="C279" s="83">
        <v>4342496089</v>
      </c>
      <c r="D279" s="83">
        <v>4019734438.69</v>
      </c>
      <c r="E279" s="83">
        <f>F279-598842742.57</f>
        <v>64244599.40999997</v>
      </c>
      <c r="F279" s="83">
        <v>663087341.98</v>
      </c>
      <c r="G279" s="56">
        <f t="shared" si="43"/>
        <v>1.0674021213669136</v>
      </c>
      <c r="H279" s="83">
        <f t="shared" si="46"/>
        <v>3356647096.71</v>
      </c>
      <c r="I279" s="83">
        <f>J279-598842742.57</f>
        <v>64244599.40999997</v>
      </c>
      <c r="J279" s="83">
        <v>663087341.98</v>
      </c>
      <c r="K279" s="56">
        <f t="shared" si="44"/>
        <v>1.1597493255543176</v>
      </c>
      <c r="L279" s="86">
        <f t="shared" si="45"/>
        <v>3356647096.71</v>
      </c>
    </row>
    <row r="280" spans="1:12" ht="15">
      <c r="A280" s="52" t="s">
        <v>217</v>
      </c>
      <c r="B280" s="53" t="s">
        <v>218</v>
      </c>
      <c r="C280" s="83">
        <v>1361337200</v>
      </c>
      <c r="D280" s="83">
        <v>291581322.84</v>
      </c>
      <c r="E280" s="83">
        <f>F280-0</f>
        <v>0</v>
      </c>
      <c r="F280" s="83">
        <v>0</v>
      </c>
      <c r="G280" s="56">
        <f t="shared" si="43"/>
        <v>0</v>
      </c>
      <c r="H280" s="83">
        <f t="shared" si="46"/>
        <v>291581322.84</v>
      </c>
      <c r="I280" s="83">
        <f>J280-0</f>
        <v>0</v>
      </c>
      <c r="J280" s="83">
        <v>0</v>
      </c>
      <c r="K280" s="56">
        <f t="shared" si="44"/>
        <v>0</v>
      </c>
      <c r="L280" s="86">
        <f t="shared" si="45"/>
        <v>291581322.84</v>
      </c>
    </row>
    <row r="281" spans="1:12" ht="15">
      <c r="A281" s="52" t="s">
        <v>219</v>
      </c>
      <c r="B281" s="53" t="s">
        <v>220</v>
      </c>
      <c r="C281" s="83">
        <v>646847219</v>
      </c>
      <c r="D281" s="83">
        <v>736683908.61</v>
      </c>
      <c r="E281" s="83">
        <f>F281-541206126.82</f>
        <v>98700296.76999998</v>
      </c>
      <c r="F281" s="83">
        <v>639906423.59</v>
      </c>
      <c r="G281" s="56">
        <f t="shared" si="43"/>
        <v>1.0300867333354744</v>
      </c>
      <c r="H281" s="83">
        <f t="shared" si="46"/>
        <v>96777485.01999998</v>
      </c>
      <c r="I281" s="83">
        <f>J281-541206126.82</f>
        <v>98700296.76999998</v>
      </c>
      <c r="J281" s="83">
        <v>639906423.59</v>
      </c>
      <c r="K281" s="56">
        <f t="shared" si="44"/>
        <v>1.1192055649265615</v>
      </c>
      <c r="L281" s="86">
        <f t="shared" si="45"/>
        <v>96777485.01999998</v>
      </c>
    </row>
    <row r="282" spans="1:12" ht="14.25">
      <c r="A282" s="47" t="s">
        <v>221</v>
      </c>
      <c r="B282" s="50" t="s">
        <v>222</v>
      </c>
      <c r="C282" s="82">
        <f>SUM(C283:C284)</f>
        <v>472984382</v>
      </c>
      <c r="D282" s="82">
        <f>SUM(D283:D284)</f>
        <v>470116728.54</v>
      </c>
      <c r="E282" s="82">
        <f>SUM(E283:E284)</f>
        <v>0</v>
      </c>
      <c r="F282" s="82">
        <f>SUM(F283:F284)</f>
        <v>0</v>
      </c>
      <c r="G282" s="51">
        <f t="shared" si="43"/>
        <v>0</v>
      </c>
      <c r="H282" s="82">
        <f t="shared" si="46"/>
        <v>470116728.54</v>
      </c>
      <c r="I282" s="82">
        <f>SUM(I283:I284)</f>
        <v>0</v>
      </c>
      <c r="J282" s="82">
        <f>J283+J284</f>
        <v>0</v>
      </c>
      <c r="K282" s="51">
        <f t="shared" si="44"/>
        <v>0</v>
      </c>
      <c r="L282" s="85">
        <f t="shared" si="45"/>
        <v>470116728.54</v>
      </c>
    </row>
    <row r="283" spans="1:12" ht="15">
      <c r="A283" s="52" t="s">
        <v>246</v>
      </c>
      <c r="B283" s="66" t="s">
        <v>247</v>
      </c>
      <c r="C283" s="83">
        <v>470484382</v>
      </c>
      <c r="D283" s="90">
        <v>467616728.54</v>
      </c>
      <c r="E283" s="83">
        <f>F283-0</f>
        <v>0</v>
      </c>
      <c r="F283" s="83">
        <v>0</v>
      </c>
      <c r="G283" s="56">
        <f t="shared" si="43"/>
        <v>0</v>
      </c>
      <c r="H283" s="83">
        <f t="shared" si="46"/>
        <v>467616728.54</v>
      </c>
      <c r="I283" s="83">
        <f>J283-0</f>
        <v>0</v>
      </c>
      <c r="J283" s="83">
        <v>0</v>
      </c>
      <c r="K283" s="56">
        <f t="shared" si="44"/>
        <v>0</v>
      </c>
      <c r="L283" s="86">
        <f t="shared" si="45"/>
        <v>467616728.54</v>
      </c>
    </row>
    <row r="284" spans="1:12" ht="15">
      <c r="A284" s="52" t="s">
        <v>223</v>
      </c>
      <c r="B284" s="53" t="s">
        <v>224</v>
      </c>
      <c r="C284" s="83">
        <v>2500000</v>
      </c>
      <c r="D284" s="83">
        <v>2500000</v>
      </c>
      <c r="E284" s="83">
        <f>F284-0</f>
        <v>0</v>
      </c>
      <c r="F284" s="83">
        <v>0</v>
      </c>
      <c r="G284" s="56">
        <f t="shared" si="43"/>
        <v>0</v>
      </c>
      <c r="H284" s="83">
        <f t="shared" si="46"/>
        <v>2500000</v>
      </c>
      <c r="I284" s="83">
        <f>J284-0</f>
        <v>0</v>
      </c>
      <c r="J284" s="83">
        <v>0</v>
      </c>
      <c r="K284" s="56">
        <f t="shared" si="44"/>
        <v>0</v>
      </c>
      <c r="L284" s="86">
        <f>D284-J284</f>
        <v>2500000</v>
      </c>
    </row>
    <row r="285" spans="1:12" ht="14.25">
      <c r="A285" s="47"/>
      <c r="B285" s="50" t="s">
        <v>16</v>
      </c>
      <c r="C285" s="82">
        <f>C302</f>
        <v>4805674768</v>
      </c>
      <c r="D285" s="82">
        <f>D302</f>
        <v>5984585178.88</v>
      </c>
      <c r="E285" s="82">
        <f>E302</f>
        <v>1096914512.39</v>
      </c>
      <c r="F285" s="82">
        <f>F302</f>
        <v>5009456533.04</v>
      </c>
      <c r="G285" s="51">
        <f t="shared" si="43"/>
        <v>8.0639520493569</v>
      </c>
      <c r="H285" s="82">
        <f>D285-F285</f>
        <v>975128645.8400002</v>
      </c>
      <c r="I285" s="82">
        <f>I302</f>
        <v>942738728.9400002</v>
      </c>
      <c r="J285" s="82">
        <f>J302</f>
        <v>4672991463.13</v>
      </c>
      <c r="K285" s="51">
        <f t="shared" si="44"/>
        <v>8.173129472662387</v>
      </c>
      <c r="L285" s="85">
        <f>D285-J285</f>
        <v>1311593715.75</v>
      </c>
    </row>
    <row r="286" spans="1:12" ht="14.25">
      <c r="A286" s="122" t="s">
        <v>225</v>
      </c>
      <c r="B286" s="123"/>
      <c r="C286" s="96">
        <f aca="true" t="shared" si="47" ref="C286:L286">C14+C285</f>
        <v>89504336636</v>
      </c>
      <c r="D286" s="96">
        <f t="shared" si="47"/>
        <v>99313164598.35999</v>
      </c>
      <c r="E286" s="96">
        <f t="shared" si="47"/>
        <v>13977176707.620005</v>
      </c>
      <c r="F286" s="96">
        <f t="shared" si="47"/>
        <v>62121606160.090004</v>
      </c>
      <c r="G286" s="96">
        <f t="shared" si="47"/>
        <v>100</v>
      </c>
      <c r="H286" s="96">
        <f t="shared" si="47"/>
        <v>37191558438.26997</v>
      </c>
      <c r="I286" s="96">
        <f t="shared" si="47"/>
        <v>13051060716.640003</v>
      </c>
      <c r="J286" s="96">
        <f t="shared" si="47"/>
        <v>57175057348.11</v>
      </c>
      <c r="K286" s="96">
        <f t="shared" si="47"/>
        <v>100</v>
      </c>
      <c r="L286" s="97">
        <f t="shared" si="47"/>
        <v>42138107250.24998</v>
      </c>
    </row>
    <row r="287" spans="1:12" ht="15">
      <c r="A287" s="69"/>
      <c r="B287" s="69"/>
      <c r="C287" s="100"/>
      <c r="D287" s="100"/>
      <c r="E287" s="100"/>
      <c r="F287" s="100"/>
      <c r="G287" s="100"/>
      <c r="H287" s="100"/>
      <c r="I287" s="100"/>
      <c r="J287" s="100"/>
      <c r="K287" s="100"/>
      <c r="L287" s="65" t="s">
        <v>226</v>
      </c>
    </row>
    <row r="288" spans="1:12" ht="15">
      <c r="A288" s="69"/>
      <c r="B288" s="69"/>
      <c r="C288" s="100"/>
      <c r="D288" s="100"/>
      <c r="E288" s="100"/>
      <c r="F288" s="100"/>
      <c r="H288" s="100"/>
      <c r="I288" s="100"/>
      <c r="J288" s="100"/>
      <c r="K288" s="100"/>
      <c r="L288" s="100"/>
    </row>
    <row r="289" spans="1:12" ht="15">
      <c r="A289" s="34"/>
      <c r="B289" s="35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</row>
    <row r="290" spans="1:12" ht="15.75">
      <c r="A290" s="34"/>
      <c r="B290" s="35"/>
      <c r="C290" s="36"/>
      <c r="D290" s="36"/>
      <c r="E290" s="36"/>
      <c r="F290" s="37"/>
      <c r="G290" s="38"/>
      <c r="H290" s="37"/>
      <c r="I290" s="37"/>
      <c r="J290" s="37"/>
      <c r="K290" s="38"/>
      <c r="L290" s="37"/>
    </row>
    <row r="291" spans="1:12" ht="15.75">
      <c r="A291" s="31"/>
      <c r="B291" s="28"/>
      <c r="C291" s="32"/>
      <c r="D291" s="32"/>
      <c r="E291" s="32"/>
      <c r="F291" s="32"/>
      <c r="G291" s="33"/>
      <c r="H291" s="32"/>
      <c r="I291" s="32"/>
      <c r="J291" s="32"/>
      <c r="K291" s="33"/>
      <c r="L291" s="25" t="s">
        <v>157</v>
      </c>
    </row>
    <row r="292" spans="1:12" ht="15.75">
      <c r="A292" s="116" t="s">
        <v>14</v>
      </c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1:12" ht="15.75">
      <c r="A293" s="116" t="s">
        <v>0</v>
      </c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1:12" ht="15.75">
      <c r="A294" s="117" t="s">
        <v>1</v>
      </c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</row>
    <row r="295" spans="1:12" ht="15.75">
      <c r="A295" s="116" t="s">
        <v>2</v>
      </c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1:12" ht="15.75">
      <c r="A296" s="116" t="str">
        <f>A151</f>
        <v>JANEIRO A OUTUBRO 2021/BIMESTRE SETEMBRO - OUTUBRO</v>
      </c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1:12" ht="15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5" t="str">
        <f>L152</f>
        <v>Emissão: 19/11/2021</v>
      </c>
    </row>
    <row r="298" spans="1:12" ht="15.75">
      <c r="A298" s="27" t="s">
        <v>240</v>
      </c>
      <c r="B298" s="26"/>
      <c r="C298" s="28"/>
      <c r="D298" s="26"/>
      <c r="E298" s="26"/>
      <c r="F298" s="29"/>
      <c r="G298" s="29"/>
      <c r="H298" s="29"/>
      <c r="I298" s="26"/>
      <c r="J298" s="26"/>
      <c r="K298" s="25"/>
      <c r="L298" s="30">
        <v>1</v>
      </c>
    </row>
    <row r="299" spans="1:12" ht="15.75">
      <c r="A299" s="11"/>
      <c r="B299" s="12"/>
      <c r="C299" s="13" t="s">
        <v>3</v>
      </c>
      <c r="D299" s="13" t="s">
        <v>3</v>
      </c>
      <c r="E299" s="118" t="s">
        <v>4</v>
      </c>
      <c r="F299" s="119"/>
      <c r="G299" s="120"/>
      <c r="H299" s="13" t="s">
        <v>18</v>
      </c>
      <c r="I299" s="118" t="s">
        <v>5</v>
      </c>
      <c r="J299" s="119"/>
      <c r="K299" s="120"/>
      <c r="L299" s="14" t="s">
        <v>18</v>
      </c>
    </row>
    <row r="300" spans="1:12" ht="15.75">
      <c r="A300" s="15" t="s">
        <v>23</v>
      </c>
      <c r="B300" s="16" t="s">
        <v>266</v>
      </c>
      <c r="C300" s="16" t="s">
        <v>7</v>
      </c>
      <c r="D300" s="16" t="s">
        <v>8</v>
      </c>
      <c r="E300" s="16" t="s">
        <v>9</v>
      </c>
      <c r="F300" s="16" t="s">
        <v>10</v>
      </c>
      <c r="G300" s="16" t="s">
        <v>11</v>
      </c>
      <c r="H300" s="17"/>
      <c r="I300" s="16" t="s">
        <v>9</v>
      </c>
      <c r="J300" s="16" t="s">
        <v>10</v>
      </c>
      <c r="K300" s="16" t="s">
        <v>11</v>
      </c>
      <c r="L300" s="18"/>
    </row>
    <row r="301" spans="1:12" ht="15.75">
      <c r="A301" s="19"/>
      <c r="B301" s="20"/>
      <c r="C301" s="20"/>
      <c r="D301" s="21" t="s">
        <v>12</v>
      </c>
      <c r="E301" s="21"/>
      <c r="F301" s="21" t="s">
        <v>13</v>
      </c>
      <c r="G301" s="21" t="s">
        <v>267</v>
      </c>
      <c r="H301" s="22" t="s">
        <v>19</v>
      </c>
      <c r="I301" s="21"/>
      <c r="J301" s="21" t="s">
        <v>20</v>
      </c>
      <c r="K301" s="21" t="s">
        <v>268</v>
      </c>
      <c r="L301" s="23" t="s">
        <v>22</v>
      </c>
    </row>
    <row r="302" spans="1:12" ht="14.25">
      <c r="A302" s="47"/>
      <c r="B302" s="71" t="s">
        <v>16</v>
      </c>
      <c r="C302" s="91">
        <f>C303+C308+C311+C316+C322+C328+C332+C334+C338+C341+C349+C351+C354+C357+C359+C361+C363+C368+C372+C374+C376+C378+C381+C384</f>
        <v>4805674768</v>
      </c>
      <c r="D302" s="91">
        <f>D303+D308+D311+D316+D322+D328+D332+D334+D338+D341+D349+D351+D354+D357+D359+D361+D363+D368+D372+D374+D376+D378+D381+D384</f>
        <v>5984585178.88</v>
      </c>
      <c r="E302" s="91">
        <f>E303+E308+E311+E316+E322+E328+E332+E334+E338+E341+E349+E351+E354+E357+E359+E361+E363+E368+E372+E374+E376+E378+E381+E384</f>
        <v>1096914512.39</v>
      </c>
      <c r="F302" s="91">
        <f>F303+F308+F311+F316+F322+F328+F332+F334+F338+F341+F349+F351+F354+F357+F359+F361+F363+F368+F372+F374+F376+F378+F381+F384</f>
        <v>5009456533.04</v>
      </c>
      <c r="G302" s="70">
        <f aca="true" t="shared" si="48" ref="G302:G330">(F302/$F$286)*100</f>
        <v>8.0639520493569</v>
      </c>
      <c r="H302" s="91">
        <f>D302-F302</f>
        <v>975128645.8400002</v>
      </c>
      <c r="I302" s="91">
        <f>I303+I308+I311+I316+I322+I328+I332+I334+I338+I341+I349+I351+I354+I357+I359+I361+I363+I368+I372+I374+I376+I378+I381+I384</f>
        <v>942738728.9400002</v>
      </c>
      <c r="J302" s="91">
        <f>J303+J308+J311+J316+J322+J328+J332+J334+J338+J341+J349+J351+J354+J357+J359+J361+J363+J368+J372+J374+J376+J378+J381+J384</f>
        <v>4672991463.13</v>
      </c>
      <c r="K302" s="72">
        <f aca="true" t="shared" si="49" ref="K302:K330">(J302/$J$286)*100</f>
        <v>8.173129472662387</v>
      </c>
      <c r="L302" s="92">
        <f>D302-J302</f>
        <v>1311593715.75</v>
      </c>
    </row>
    <row r="303" spans="1:12" ht="14.25">
      <c r="A303" s="47" t="s">
        <v>25</v>
      </c>
      <c r="B303" s="71" t="s">
        <v>24</v>
      </c>
      <c r="C303" s="82">
        <f>SUM(C304:C307)</f>
        <v>167295000</v>
      </c>
      <c r="D303" s="82">
        <f>SUM(D304:D307)</f>
        <v>177805000</v>
      </c>
      <c r="E303" s="82">
        <f>SUM(E304:E307)</f>
        <v>5288513.160000011</v>
      </c>
      <c r="F303" s="82">
        <f>SUM(F304:F307)</f>
        <v>112706723.54</v>
      </c>
      <c r="G303" s="70">
        <f t="shared" si="48"/>
        <v>0.18142918463754787</v>
      </c>
      <c r="H303" s="82">
        <f t="shared" si="46"/>
        <v>65098276.45999999</v>
      </c>
      <c r="I303" s="82">
        <f>SUM(I304:I306)</f>
        <v>16979267.680000007</v>
      </c>
      <c r="J303" s="82">
        <f>SUM(J304:J306)</f>
        <v>95204166.37</v>
      </c>
      <c r="K303" s="51">
        <f t="shared" si="49"/>
        <v>0.16651346021456523</v>
      </c>
      <c r="L303" s="92">
        <f t="shared" si="45"/>
        <v>82600833.63</v>
      </c>
    </row>
    <row r="304" spans="1:12" ht="15">
      <c r="A304" s="52" t="s">
        <v>26</v>
      </c>
      <c r="B304" s="66" t="s">
        <v>31</v>
      </c>
      <c r="C304" s="83">
        <v>2000000</v>
      </c>
      <c r="D304" s="83">
        <v>2000000</v>
      </c>
      <c r="E304" s="83">
        <f>F304-0</f>
        <v>0</v>
      </c>
      <c r="F304" s="83">
        <v>0</v>
      </c>
      <c r="G304" s="70">
        <f t="shared" si="48"/>
        <v>0</v>
      </c>
      <c r="H304" s="82">
        <f t="shared" si="46"/>
        <v>2000000</v>
      </c>
      <c r="I304" s="83">
        <f>J304-0</f>
        <v>0</v>
      </c>
      <c r="J304" s="83">
        <v>0</v>
      </c>
      <c r="K304" s="51">
        <f t="shared" si="49"/>
        <v>0</v>
      </c>
      <c r="L304" s="93">
        <f t="shared" si="45"/>
        <v>2000000</v>
      </c>
    </row>
    <row r="305" spans="1:12" ht="15">
      <c r="A305" s="52" t="s">
        <v>28</v>
      </c>
      <c r="B305" s="66" t="s">
        <v>33</v>
      </c>
      <c r="C305" s="83">
        <v>165275000</v>
      </c>
      <c r="D305" s="83">
        <v>175775000</v>
      </c>
      <c r="E305" s="83">
        <f>F305-107416170.38</f>
        <v>5288513.160000011</v>
      </c>
      <c r="F305" s="83">
        <v>112704683.54</v>
      </c>
      <c r="G305" s="70">
        <f t="shared" si="48"/>
        <v>0.18142590075593873</v>
      </c>
      <c r="H305" s="83">
        <f>D305-F305</f>
        <v>63070316.45999999</v>
      </c>
      <c r="I305" s="83">
        <f>J305-78224898.69</f>
        <v>16979267.680000007</v>
      </c>
      <c r="J305" s="83">
        <v>95204166.37</v>
      </c>
      <c r="K305" s="51">
        <f t="shared" si="49"/>
        <v>0.16651346021456523</v>
      </c>
      <c r="L305" s="93">
        <f>D305-J305</f>
        <v>80570833.63</v>
      </c>
    </row>
    <row r="306" spans="1:12" ht="15">
      <c r="A306" s="52" t="s">
        <v>50</v>
      </c>
      <c r="B306" s="66" t="s">
        <v>57</v>
      </c>
      <c r="C306" s="83">
        <v>20000</v>
      </c>
      <c r="D306" s="83">
        <v>20000</v>
      </c>
      <c r="E306" s="83">
        <f>F306-0</f>
        <v>0</v>
      </c>
      <c r="F306" s="83">
        <v>0</v>
      </c>
      <c r="G306" s="64">
        <f t="shared" si="48"/>
        <v>0</v>
      </c>
      <c r="H306" s="83">
        <f t="shared" si="46"/>
        <v>20000</v>
      </c>
      <c r="I306" s="83">
        <f>J306-0</f>
        <v>0</v>
      </c>
      <c r="J306" s="83">
        <v>0</v>
      </c>
      <c r="K306" s="56">
        <f t="shared" si="49"/>
        <v>0</v>
      </c>
      <c r="L306" s="93">
        <f t="shared" si="45"/>
        <v>20000</v>
      </c>
    </row>
    <row r="307" spans="1:12" ht="15">
      <c r="A307" s="102" t="s">
        <v>29</v>
      </c>
      <c r="B307" s="108" t="s">
        <v>34</v>
      </c>
      <c r="C307" s="99">
        <v>0</v>
      </c>
      <c r="D307" s="99">
        <v>10000</v>
      </c>
      <c r="E307" s="99">
        <f>F307-2040</f>
        <v>0</v>
      </c>
      <c r="F307" s="99">
        <v>2040</v>
      </c>
      <c r="G307" s="109">
        <f t="shared" si="48"/>
        <v>3.2838816091503396E-06</v>
      </c>
      <c r="H307" s="99">
        <f t="shared" si="46"/>
        <v>7960</v>
      </c>
      <c r="I307" s="99">
        <v>0</v>
      </c>
      <c r="J307" s="99">
        <v>0</v>
      </c>
      <c r="K307" s="110">
        <f t="shared" si="49"/>
        <v>0</v>
      </c>
      <c r="L307" s="111">
        <f t="shared" si="45"/>
        <v>10000</v>
      </c>
    </row>
    <row r="308" spans="1:12" ht="14.25">
      <c r="A308" s="47" t="s">
        <v>36</v>
      </c>
      <c r="B308" s="71" t="s">
        <v>37</v>
      </c>
      <c r="C308" s="82">
        <f>SUM(C309:C310)</f>
        <v>556600552</v>
      </c>
      <c r="D308" s="82">
        <f>SUM(D309:D310)</f>
        <v>556600552</v>
      </c>
      <c r="E308" s="82">
        <f>SUM(E309:E310)</f>
        <v>81793960.46999997</v>
      </c>
      <c r="F308" s="82">
        <f>SUM(F309:F310)</f>
        <v>395045369.04999995</v>
      </c>
      <c r="G308" s="70">
        <f t="shared" si="48"/>
        <v>0.6359226579427959</v>
      </c>
      <c r="H308" s="82">
        <f t="shared" si="46"/>
        <v>161555182.95000005</v>
      </c>
      <c r="I308" s="82">
        <f>SUM(I309:I310)</f>
        <v>81793960.46999997</v>
      </c>
      <c r="J308" s="82">
        <f>SUM(J309:J310)</f>
        <v>395045369.04999995</v>
      </c>
      <c r="K308" s="51">
        <f t="shared" si="49"/>
        <v>0.6909400486382874</v>
      </c>
      <c r="L308" s="92">
        <f t="shared" si="45"/>
        <v>161555182.95000005</v>
      </c>
    </row>
    <row r="309" spans="1:12" ht="15">
      <c r="A309" s="52" t="s">
        <v>38</v>
      </c>
      <c r="B309" s="66" t="s">
        <v>40</v>
      </c>
      <c r="C309" s="83">
        <v>6600552</v>
      </c>
      <c r="D309" s="83">
        <v>6600552</v>
      </c>
      <c r="E309" s="83">
        <f>F309-116209.77</f>
        <v>0</v>
      </c>
      <c r="F309" s="83">
        <v>116209.77</v>
      </c>
      <c r="G309" s="64">
        <f t="shared" si="48"/>
        <v>0.00018706819926793668</v>
      </c>
      <c r="H309" s="83">
        <f t="shared" si="46"/>
        <v>6484342.23</v>
      </c>
      <c r="I309" s="83">
        <f>J309-116209.77</f>
        <v>0</v>
      </c>
      <c r="J309" s="83">
        <v>116209.77</v>
      </c>
      <c r="K309" s="56">
        <f t="shared" si="49"/>
        <v>0.00020325256395014612</v>
      </c>
      <c r="L309" s="93">
        <f t="shared" si="45"/>
        <v>6484342.23</v>
      </c>
    </row>
    <row r="310" spans="1:12" ht="15">
      <c r="A310" s="52" t="s">
        <v>28</v>
      </c>
      <c r="B310" s="66" t="s">
        <v>33</v>
      </c>
      <c r="C310" s="83">
        <v>550000000</v>
      </c>
      <c r="D310" s="83">
        <v>550000000</v>
      </c>
      <c r="E310" s="83">
        <f>F310-313135198.81</f>
        <v>81793960.46999997</v>
      </c>
      <c r="F310" s="83">
        <v>394929159.28</v>
      </c>
      <c r="G310" s="64">
        <f t="shared" si="48"/>
        <v>0.635735589743528</v>
      </c>
      <c r="H310" s="83">
        <f t="shared" si="46"/>
        <v>155070840.72000003</v>
      </c>
      <c r="I310" s="83">
        <f>J310-313135198.81</f>
        <v>81793960.46999997</v>
      </c>
      <c r="J310" s="83">
        <v>394929159.28</v>
      </c>
      <c r="K310" s="56">
        <f t="shared" si="49"/>
        <v>0.6907367960743374</v>
      </c>
      <c r="L310" s="93">
        <f t="shared" si="45"/>
        <v>155070840.72000003</v>
      </c>
    </row>
    <row r="311" spans="1:12" ht="14.25">
      <c r="A311" s="47" t="s">
        <v>42</v>
      </c>
      <c r="B311" s="71" t="s">
        <v>43</v>
      </c>
      <c r="C311" s="82">
        <f>SUM(C312:C315)</f>
        <v>394605410</v>
      </c>
      <c r="D311" s="82">
        <f>SUM(D312:D315)</f>
        <v>476590043.72</v>
      </c>
      <c r="E311" s="82">
        <f>SUM(E312:E315)</f>
        <v>24304435.130000055</v>
      </c>
      <c r="F311" s="82">
        <f>SUM(F312:F315)</f>
        <v>396921936.64000005</v>
      </c>
      <c r="G311" s="70">
        <f t="shared" si="48"/>
        <v>0.6389434549021727</v>
      </c>
      <c r="H311" s="82">
        <f>D311-F311</f>
        <v>79668107.07999998</v>
      </c>
      <c r="I311" s="82">
        <f>SUM(I312+I313+I314+I315)</f>
        <v>55446581.42999995</v>
      </c>
      <c r="J311" s="82">
        <f>SUM(J312+J313+J314+J315)</f>
        <v>356284119.53</v>
      </c>
      <c r="K311" s="51">
        <f t="shared" si="49"/>
        <v>0.6231460641320675</v>
      </c>
      <c r="L311" s="92">
        <f t="shared" si="45"/>
        <v>120305924.19000006</v>
      </c>
    </row>
    <row r="312" spans="1:12" ht="15">
      <c r="A312" s="52" t="s">
        <v>44</v>
      </c>
      <c r="B312" s="66" t="s">
        <v>45</v>
      </c>
      <c r="C312" s="82">
        <v>0</v>
      </c>
      <c r="D312" s="83">
        <v>0</v>
      </c>
      <c r="E312" s="83">
        <f>F312-0</f>
        <v>0</v>
      </c>
      <c r="F312" s="83">
        <v>0</v>
      </c>
      <c r="G312" s="70">
        <f t="shared" si="48"/>
        <v>0</v>
      </c>
      <c r="H312" s="82">
        <f>D312-F312</f>
        <v>0</v>
      </c>
      <c r="I312" s="82">
        <f>J312-0</f>
        <v>0</v>
      </c>
      <c r="J312" s="82">
        <v>0</v>
      </c>
      <c r="K312" s="51"/>
      <c r="L312" s="92">
        <f t="shared" si="45"/>
        <v>0</v>
      </c>
    </row>
    <row r="313" spans="1:12" ht="15">
      <c r="A313" s="52" t="s">
        <v>229</v>
      </c>
      <c r="B313" s="66" t="s">
        <v>230</v>
      </c>
      <c r="C313" s="83">
        <v>0</v>
      </c>
      <c r="D313" s="83">
        <v>500000</v>
      </c>
      <c r="E313" s="83">
        <f>F313-0</f>
        <v>0</v>
      </c>
      <c r="F313" s="83">
        <v>0</v>
      </c>
      <c r="G313" s="64">
        <f t="shared" si="48"/>
        <v>0</v>
      </c>
      <c r="H313" s="83">
        <f>D313-F313</f>
        <v>500000</v>
      </c>
      <c r="I313" s="83">
        <f>J313-0</f>
        <v>0</v>
      </c>
      <c r="J313" s="83">
        <v>0</v>
      </c>
      <c r="K313" s="56">
        <f t="shared" si="49"/>
        <v>0</v>
      </c>
      <c r="L313" s="93">
        <f t="shared" si="45"/>
        <v>500000</v>
      </c>
    </row>
    <row r="314" spans="1:12" ht="15">
      <c r="A314" s="52" t="s">
        <v>28</v>
      </c>
      <c r="B314" s="66" t="s">
        <v>33</v>
      </c>
      <c r="C314" s="83">
        <v>394465410</v>
      </c>
      <c r="D314" s="83">
        <v>475450043.72</v>
      </c>
      <c r="E314" s="83">
        <f>F314-372598314.84</f>
        <v>24304435.130000055</v>
      </c>
      <c r="F314" s="83">
        <v>396902749.97</v>
      </c>
      <c r="G314" s="64">
        <f t="shared" si="48"/>
        <v>0.6389125692390581</v>
      </c>
      <c r="H314" s="83">
        <f t="shared" si="46"/>
        <v>78547293.75</v>
      </c>
      <c r="I314" s="83">
        <f>J314-300831178.1</f>
        <v>55446581.42999995</v>
      </c>
      <c r="J314" s="83">
        <v>356277759.53</v>
      </c>
      <c r="K314" s="56">
        <f t="shared" si="49"/>
        <v>0.6231349404003304</v>
      </c>
      <c r="L314" s="93">
        <f t="shared" si="45"/>
        <v>119172284.19000006</v>
      </c>
    </row>
    <row r="315" spans="1:12" ht="15">
      <c r="A315" s="52" t="s">
        <v>29</v>
      </c>
      <c r="B315" s="66" t="s">
        <v>264</v>
      </c>
      <c r="C315" s="83">
        <v>140000</v>
      </c>
      <c r="D315" s="83">
        <v>640000</v>
      </c>
      <c r="E315" s="83">
        <f>F315-19186.67</f>
        <v>0</v>
      </c>
      <c r="F315" s="83">
        <v>19186.67</v>
      </c>
      <c r="G315" s="64">
        <f t="shared" si="48"/>
        <v>3.088566311462575E-05</v>
      </c>
      <c r="H315" s="83">
        <f t="shared" si="46"/>
        <v>620813.33</v>
      </c>
      <c r="I315" s="83">
        <f>J315-6360</f>
        <v>0</v>
      </c>
      <c r="J315" s="83">
        <v>6360</v>
      </c>
      <c r="K315" s="56">
        <f t="shared" si="49"/>
        <v>1.1123731737210472E-05</v>
      </c>
      <c r="L315" s="93">
        <f t="shared" si="45"/>
        <v>633640</v>
      </c>
    </row>
    <row r="316" spans="1:12" ht="14.25">
      <c r="A316" s="47" t="s">
        <v>46</v>
      </c>
      <c r="B316" s="71" t="s">
        <v>47</v>
      </c>
      <c r="C316" s="82">
        <f>SUM(C317:C321)</f>
        <v>147675998</v>
      </c>
      <c r="D316" s="82">
        <f>SUM(D317:D321)</f>
        <v>127421709.86</v>
      </c>
      <c r="E316" s="82">
        <f>SUM(E317:E321)</f>
        <v>22590573.980000004</v>
      </c>
      <c r="F316" s="82">
        <f>SUM(F317:F321)</f>
        <v>123956328.58</v>
      </c>
      <c r="G316" s="70">
        <f t="shared" si="48"/>
        <v>0.19953819007924442</v>
      </c>
      <c r="H316" s="82">
        <f t="shared" si="46"/>
        <v>3465381.280000001</v>
      </c>
      <c r="I316" s="82">
        <f>SUM(I317:I321)</f>
        <v>26289667.92</v>
      </c>
      <c r="J316" s="82">
        <f>SUM(J317:J321)</f>
        <v>114207364.34</v>
      </c>
      <c r="K316" s="51">
        <f t="shared" si="49"/>
        <v>0.19975032756792727</v>
      </c>
      <c r="L316" s="92">
        <f t="shared" si="45"/>
        <v>13214345.519999996</v>
      </c>
    </row>
    <row r="317" spans="1:12" ht="15">
      <c r="A317" s="52" t="s">
        <v>28</v>
      </c>
      <c r="B317" s="66" t="s">
        <v>33</v>
      </c>
      <c r="C317" s="83">
        <v>147225998</v>
      </c>
      <c r="D317" s="83">
        <v>127295209.86</v>
      </c>
      <c r="E317" s="83">
        <f>F317-101365754.6</f>
        <v>22590573.980000004</v>
      </c>
      <c r="F317" s="99">
        <v>123956328.58</v>
      </c>
      <c r="G317" s="64">
        <f t="shared" si="48"/>
        <v>0.19953819007924442</v>
      </c>
      <c r="H317" s="83">
        <f t="shared" si="46"/>
        <v>3338881.280000001</v>
      </c>
      <c r="I317" s="83">
        <f>J317-87917696.42</f>
        <v>26289667.92</v>
      </c>
      <c r="J317" s="83">
        <v>114207364.34</v>
      </c>
      <c r="K317" s="56">
        <f t="shared" si="49"/>
        <v>0.19975032756792727</v>
      </c>
      <c r="L317" s="93">
        <f t="shared" si="45"/>
        <v>13087845.519999996</v>
      </c>
    </row>
    <row r="318" spans="1:12" ht="15">
      <c r="A318" s="52" t="s">
        <v>39</v>
      </c>
      <c r="B318" s="66" t="s">
        <v>41</v>
      </c>
      <c r="C318" s="83">
        <v>0</v>
      </c>
      <c r="D318" s="83">
        <v>0</v>
      </c>
      <c r="E318" s="83">
        <f>F318-0</f>
        <v>0</v>
      </c>
      <c r="F318" s="83">
        <v>0</v>
      </c>
      <c r="G318" s="64">
        <f t="shared" si="48"/>
        <v>0</v>
      </c>
      <c r="H318" s="83">
        <f t="shared" si="46"/>
        <v>0</v>
      </c>
      <c r="I318" s="83">
        <f>J318-0</f>
        <v>0</v>
      </c>
      <c r="J318" s="83">
        <v>0</v>
      </c>
      <c r="K318" s="56">
        <f t="shared" si="49"/>
        <v>0</v>
      </c>
      <c r="L318" s="93">
        <f t="shared" si="45"/>
        <v>0</v>
      </c>
    </row>
    <row r="319" spans="1:15" ht="15">
      <c r="A319" s="102" t="s">
        <v>51</v>
      </c>
      <c r="B319" s="108" t="s">
        <v>58</v>
      </c>
      <c r="C319" s="99">
        <v>0</v>
      </c>
      <c r="D319" s="99">
        <v>126500</v>
      </c>
      <c r="E319" s="99">
        <f>F319-0</f>
        <v>0</v>
      </c>
      <c r="F319" s="99">
        <v>0</v>
      </c>
      <c r="G319" s="109">
        <f t="shared" si="48"/>
        <v>0</v>
      </c>
      <c r="H319" s="99">
        <f t="shared" si="46"/>
        <v>126500</v>
      </c>
      <c r="I319" s="99">
        <f>J319-0</f>
        <v>0</v>
      </c>
      <c r="J319" s="99">
        <v>0</v>
      </c>
      <c r="K319" s="110">
        <f t="shared" si="49"/>
        <v>0</v>
      </c>
      <c r="L319" s="111">
        <f t="shared" si="45"/>
        <v>126500</v>
      </c>
      <c r="N319" s="114"/>
      <c r="O319" s="114"/>
    </row>
    <row r="320" spans="1:12" ht="15">
      <c r="A320" s="52" t="s">
        <v>53</v>
      </c>
      <c r="B320" s="66" t="s">
        <v>60</v>
      </c>
      <c r="C320" s="83">
        <v>0</v>
      </c>
      <c r="D320" s="83">
        <v>0</v>
      </c>
      <c r="E320" s="83">
        <f>F320-0</f>
        <v>0</v>
      </c>
      <c r="F320" s="83">
        <v>0</v>
      </c>
      <c r="G320" s="64">
        <f t="shared" si="48"/>
        <v>0</v>
      </c>
      <c r="H320" s="83">
        <f t="shared" si="46"/>
        <v>0</v>
      </c>
      <c r="I320" s="83">
        <f>J320-0</f>
        <v>0</v>
      </c>
      <c r="J320" s="83">
        <v>0</v>
      </c>
      <c r="K320" s="56">
        <f t="shared" si="49"/>
        <v>0</v>
      </c>
      <c r="L320" s="93">
        <f t="shared" si="45"/>
        <v>0</v>
      </c>
    </row>
    <row r="321" spans="1:12" ht="15">
      <c r="A321" s="52" t="s">
        <v>96</v>
      </c>
      <c r="B321" s="66" t="s">
        <v>102</v>
      </c>
      <c r="C321" s="83">
        <v>450000</v>
      </c>
      <c r="D321" s="83"/>
      <c r="E321" s="83">
        <f>F321-0</f>
        <v>0</v>
      </c>
      <c r="F321" s="83">
        <v>0</v>
      </c>
      <c r="G321" s="64">
        <f t="shared" si="48"/>
        <v>0</v>
      </c>
      <c r="H321" s="83">
        <v>0</v>
      </c>
      <c r="I321" s="83">
        <f>J321-0</f>
        <v>0</v>
      </c>
      <c r="J321" s="83">
        <v>0</v>
      </c>
      <c r="K321" s="56">
        <f t="shared" si="49"/>
        <v>0</v>
      </c>
      <c r="L321" s="93">
        <f t="shared" si="45"/>
        <v>0</v>
      </c>
    </row>
    <row r="322" spans="1:12" ht="14.25">
      <c r="A322" s="47" t="s">
        <v>63</v>
      </c>
      <c r="B322" s="71" t="s">
        <v>62</v>
      </c>
      <c r="C322" s="82">
        <f>SUM(C323:C327)</f>
        <v>841111849</v>
      </c>
      <c r="D322" s="82">
        <f>SUM(D323:D327)</f>
        <v>676537423.13</v>
      </c>
      <c r="E322" s="82">
        <f>SUM(E323:E327)</f>
        <v>95113771.29999995</v>
      </c>
      <c r="F322" s="82">
        <f>SUM(F323:F327)</f>
        <v>560536928.46</v>
      </c>
      <c r="G322" s="70">
        <f t="shared" si="48"/>
        <v>0.9023220150095164</v>
      </c>
      <c r="H322" s="82">
        <f t="shared" si="46"/>
        <v>116000494.66999996</v>
      </c>
      <c r="I322" s="82">
        <f>SUM(I323:I327)</f>
        <v>106837011.63000003</v>
      </c>
      <c r="J322" s="82">
        <f>SUM(J323:J327)</f>
        <v>557969067.22</v>
      </c>
      <c r="K322" s="51">
        <f t="shared" si="49"/>
        <v>0.9758959467636537</v>
      </c>
      <c r="L322" s="92">
        <f t="shared" si="45"/>
        <v>118568355.90999997</v>
      </c>
    </row>
    <row r="323" spans="1:12" ht="15">
      <c r="A323" s="52" t="s">
        <v>28</v>
      </c>
      <c r="B323" s="66" t="s">
        <v>33</v>
      </c>
      <c r="C323" s="83">
        <v>722706091</v>
      </c>
      <c r="D323" s="83">
        <v>607201995.13</v>
      </c>
      <c r="E323" s="83">
        <f>F323-420208018.48</f>
        <v>87537836.59999996</v>
      </c>
      <c r="F323" s="83">
        <v>507745855.08</v>
      </c>
      <c r="G323" s="64">
        <f t="shared" si="48"/>
        <v>0.8173418017742771</v>
      </c>
      <c r="H323" s="83">
        <f t="shared" si="46"/>
        <v>99456140.05000001</v>
      </c>
      <c r="I323" s="83">
        <f>J323-405998586.88</f>
        <v>99265261.79000002</v>
      </c>
      <c r="J323" s="83">
        <v>505263848.67</v>
      </c>
      <c r="K323" s="56">
        <f t="shared" si="49"/>
        <v>0.8837137592949037</v>
      </c>
      <c r="L323" s="93">
        <f t="shared" si="45"/>
        <v>101938146.45999998</v>
      </c>
    </row>
    <row r="324" spans="1:12" ht="15">
      <c r="A324" s="52" t="s">
        <v>49</v>
      </c>
      <c r="B324" s="66" t="s">
        <v>56</v>
      </c>
      <c r="C324" s="83">
        <v>115145728</v>
      </c>
      <c r="D324" s="83">
        <v>67485428</v>
      </c>
      <c r="E324" s="83">
        <f>F324-44242167</f>
        <v>7145092.380000003</v>
      </c>
      <c r="F324" s="83">
        <v>51387259.38</v>
      </c>
      <c r="G324" s="64">
        <f t="shared" si="48"/>
        <v>0.08272042942285307</v>
      </c>
      <c r="H324" s="83">
        <f t="shared" si="46"/>
        <v>16098168.619999997</v>
      </c>
      <c r="I324" s="83">
        <f>J324-44223628.9</f>
        <v>7137941.920000002</v>
      </c>
      <c r="J324" s="83">
        <v>51361570.82</v>
      </c>
      <c r="K324" s="56">
        <f t="shared" si="49"/>
        <v>0.08983212820808448</v>
      </c>
      <c r="L324" s="93">
        <f t="shared" si="45"/>
        <v>16123857.18</v>
      </c>
    </row>
    <row r="325" spans="1:12" ht="15">
      <c r="A325" s="52" t="s">
        <v>29</v>
      </c>
      <c r="B325" s="66" t="s">
        <v>34</v>
      </c>
      <c r="C325" s="83">
        <v>2850000</v>
      </c>
      <c r="D325" s="83">
        <v>1850000</v>
      </c>
      <c r="E325" s="83">
        <f>F325-972971.68</f>
        <v>430842.31999999995</v>
      </c>
      <c r="F325" s="83">
        <v>1403814</v>
      </c>
      <c r="G325" s="64">
        <f t="shared" si="48"/>
        <v>0.002259783812386164</v>
      </c>
      <c r="H325" s="83">
        <f t="shared" si="46"/>
        <v>446186</v>
      </c>
      <c r="I325" s="83">
        <f>J325-909839.81</f>
        <v>433807.9199999999</v>
      </c>
      <c r="J325" s="83">
        <v>1343647.73</v>
      </c>
      <c r="K325" s="56">
        <f t="shared" si="49"/>
        <v>0.0023500592606653784</v>
      </c>
      <c r="L325" s="93">
        <f t="shared" si="45"/>
        <v>506352.27</v>
      </c>
    </row>
    <row r="326" spans="1:12" ht="15">
      <c r="A326" s="52" t="s">
        <v>64</v>
      </c>
      <c r="B326" s="66" t="s">
        <v>72</v>
      </c>
      <c r="C326" s="83">
        <v>0</v>
      </c>
      <c r="D326" s="83">
        <v>0</v>
      </c>
      <c r="E326" s="83">
        <f>F326-0</f>
        <v>0</v>
      </c>
      <c r="F326" s="83">
        <v>0</v>
      </c>
      <c r="G326" s="64">
        <f t="shared" si="48"/>
        <v>0</v>
      </c>
      <c r="H326" s="83">
        <f t="shared" si="46"/>
        <v>0</v>
      </c>
      <c r="I326" s="83">
        <f>J326-0</f>
        <v>0</v>
      </c>
      <c r="J326" s="83">
        <v>0</v>
      </c>
      <c r="K326" s="56">
        <f t="shared" si="49"/>
        <v>0</v>
      </c>
      <c r="L326" s="93">
        <f t="shared" si="45"/>
        <v>0</v>
      </c>
    </row>
    <row r="327" spans="1:12" ht="15">
      <c r="A327" s="52" t="s">
        <v>65</v>
      </c>
      <c r="B327" s="66" t="s">
        <v>73</v>
      </c>
      <c r="C327" s="83">
        <v>410030</v>
      </c>
      <c r="D327" s="83">
        <v>0</v>
      </c>
      <c r="E327" s="83">
        <f>F327-0</f>
        <v>0</v>
      </c>
      <c r="F327" s="83">
        <v>0</v>
      </c>
      <c r="G327" s="64">
        <f t="shared" si="48"/>
        <v>0</v>
      </c>
      <c r="H327" s="83">
        <f t="shared" si="46"/>
        <v>0</v>
      </c>
      <c r="I327" s="83">
        <f>J327-0</f>
        <v>0</v>
      </c>
      <c r="J327" s="83">
        <v>0</v>
      </c>
      <c r="K327" s="56">
        <f t="shared" si="49"/>
        <v>0</v>
      </c>
      <c r="L327" s="93">
        <f t="shared" si="45"/>
        <v>0</v>
      </c>
    </row>
    <row r="328" spans="1:12" ht="14.25">
      <c r="A328" s="47" t="s">
        <v>81</v>
      </c>
      <c r="B328" s="71" t="s">
        <v>80</v>
      </c>
      <c r="C328" s="82">
        <f>SUM(C329:C331)</f>
        <v>8558965</v>
      </c>
      <c r="D328" s="82">
        <f>SUM(D329:D331)</f>
        <v>6373984.16</v>
      </c>
      <c r="E328" s="82">
        <f>SUM(E329:E331)</f>
        <v>846854.4199999999</v>
      </c>
      <c r="F328" s="82">
        <f>SUM(F329:F331)</f>
        <v>4819635.47</v>
      </c>
      <c r="G328" s="70">
        <f t="shared" si="48"/>
        <v>0.007758388373892967</v>
      </c>
      <c r="H328" s="82">
        <f t="shared" si="46"/>
        <v>1554348.6900000004</v>
      </c>
      <c r="I328" s="82">
        <f>SUM(I329:I331)</f>
        <v>858138.9100000004</v>
      </c>
      <c r="J328" s="82">
        <f>SUM(J329:J331)</f>
        <v>4375908.21</v>
      </c>
      <c r="K328" s="51">
        <f t="shared" si="49"/>
        <v>0.007653526577782526</v>
      </c>
      <c r="L328" s="92">
        <f t="shared" si="45"/>
        <v>1998075.9500000002</v>
      </c>
    </row>
    <row r="329" spans="1:12" ht="15">
      <c r="A329" s="52" t="s">
        <v>28</v>
      </c>
      <c r="B329" s="66" t="s">
        <v>33</v>
      </c>
      <c r="C329" s="83">
        <v>8276400</v>
      </c>
      <c r="D329" s="83">
        <v>5998240.68</v>
      </c>
      <c r="E329" s="83">
        <f>F329-3721296.17</f>
        <v>781854.4199999999</v>
      </c>
      <c r="F329" s="83">
        <v>4503150.59</v>
      </c>
      <c r="G329" s="64">
        <f t="shared" si="48"/>
        <v>0.007248928140066422</v>
      </c>
      <c r="H329" s="83">
        <f>D329-F329</f>
        <v>1495090.0899999999</v>
      </c>
      <c r="I329" s="83">
        <f>J329-3347685.59</f>
        <v>809661.3600000003</v>
      </c>
      <c r="J329" s="83">
        <v>4157346.95</v>
      </c>
      <c r="K329" s="56">
        <f t="shared" si="49"/>
        <v>0.007271259781495307</v>
      </c>
      <c r="L329" s="93">
        <f>D329-J329</f>
        <v>1840893.7299999995</v>
      </c>
    </row>
    <row r="330" spans="1:12" ht="15">
      <c r="A330" s="52" t="s">
        <v>82</v>
      </c>
      <c r="B330" s="66" t="s">
        <v>84</v>
      </c>
      <c r="C330" s="83">
        <v>282565</v>
      </c>
      <c r="D330" s="83">
        <v>375743.48</v>
      </c>
      <c r="E330" s="83">
        <f>F330-251484.88</f>
        <v>65000</v>
      </c>
      <c r="F330" s="83">
        <v>316484.88</v>
      </c>
      <c r="G330" s="64">
        <f t="shared" si="48"/>
        <v>0.0005094602338265451</v>
      </c>
      <c r="H330" s="83">
        <f>D330-F330</f>
        <v>59258.59999999998</v>
      </c>
      <c r="I330" s="83">
        <f>J330-170083.71</f>
        <v>48477.55000000002</v>
      </c>
      <c r="J330" s="83">
        <v>218561.26</v>
      </c>
      <c r="K330" s="56">
        <f t="shared" si="49"/>
        <v>0.0003822667962872185</v>
      </c>
      <c r="L330" s="93">
        <f>D330-J330</f>
        <v>157182.21999999997</v>
      </c>
    </row>
    <row r="331" spans="1:12" ht="15">
      <c r="A331" s="52" t="s">
        <v>83</v>
      </c>
      <c r="B331" s="66" t="s">
        <v>265</v>
      </c>
      <c r="C331" s="83">
        <v>0</v>
      </c>
      <c r="D331" s="83">
        <v>0</v>
      </c>
      <c r="E331" s="83">
        <f>F331-0</f>
        <v>0</v>
      </c>
      <c r="F331" s="83">
        <v>0</v>
      </c>
      <c r="G331" s="64">
        <f aca="true" t="shared" si="50" ref="G331:G340">(F331/$F$286)*100</f>
        <v>0</v>
      </c>
      <c r="H331" s="83">
        <f t="shared" si="46"/>
        <v>0</v>
      </c>
      <c r="I331" s="83">
        <f>J331-0</f>
        <v>0</v>
      </c>
      <c r="J331" s="83">
        <v>0</v>
      </c>
      <c r="K331" s="56">
        <f aca="true" t="shared" si="51" ref="K331:K339">(J331/$J$286)*100</f>
        <v>0</v>
      </c>
      <c r="L331" s="93">
        <f t="shared" si="45"/>
        <v>0</v>
      </c>
    </row>
    <row r="332" spans="1:12" ht="14.25">
      <c r="A332" s="47" t="s">
        <v>87</v>
      </c>
      <c r="B332" s="71" t="s">
        <v>86</v>
      </c>
      <c r="C332" s="82">
        <f>C333</f>
        <v>173285000</v>
      </c>
      <c r="D332" s="82">
        <f>D333</f>
        <v>257285000</v>
      </c>
      <c r="E332" s="82">
        <f>E333</f>
        <v>774045.4300000072</v>
      </c>
      <c r="F332" s="82">
        <f>F333</f>
        <v>92631235.75</v>
      </c>
      <c r="G332" s="70">
        <f t="shared" si="50"/>
        <v>0.1491127507413208</v>
      </c>
      <c r="H332" s="82">
        <f t="shared" si="46"/>
        <v>164653764.25</v>
      </c>
      <c r="I332" s="82">
        <f>I333</f>
        <v>999725.1499999911</v>
      </c>
      <c r="J332" s="82">
        <f>J333</f>
        <v>92262132.07</v>
      </c>
      <c r="K332" s="51">
        <f t="shared" si="51"/>
        <v>0.16136779978769858</v>
      </c>
      <c r="L332" s="92">
        <f t="shared" si="45"/>
        <v>165022867.93</v>
      </c>
    </row>
    <row r="333" spans="1:12" ht="15">
      <c r="A333" s="52" t="s">
        <v>28</v>
      </c>
      <c r="B333" s="66" t="s">
        <v>33</v>
      </c>
      <c r="C333" s="83">
        <v>173285000</v>
      </c>
      <c r="D333" s="83">
        <v>257285000</v>
      </c>
      <c r="E333" s="83">
        <f>F333-91857190.32</f>
        <v>774045.4300000072</v>
      </c>
      <c r="F333" s="83">
        <v>92631235.75</v>
      </c>
      <c r="G333" s="64">
        <f t="shared" si="50"/>
        <v>0.1491127507413208</v>
      </c>
      <c r="H333" s="83">
        <f t="shared" si="46"/>
        <v>164653764.25</v>
      </c>
      <c r="I333" s="83">
        <f>J333-91262406.92</f>
        <v>999725.1499999911</v>
      </c>
      <c r="J333" s="83">
        <v>92262132.07</v>
      </c>
      <c r="K333" s="56">
        <f t="shared" si="51"/>
        <v>0.16136779978769858</v>
      </c>
      <c r="L333" s="93">
        <f t="shared" si="45"/>
        <v>165022867.93</v>
      </c>
    </row>
    <row r="334" spans="1:12" ht="14.25">
      <c r="A334" s="47" t="s">
        <v>90</v>
      </c>
      <c r="B334" s="71" t="s">
        <v>91</v>
      </c>
      <c r="C334" s="82">
        <f>SUM(C335:C337)</f>
        <v>809752021</v>
      </c>
      <c r="D334" s="82">
        <f>SUM(D335:D337)</f>
        <v>759142399</v>
      </c>
      <c r="E334" s="82">
        <f>SUM(E335:E337)</f>
        <v>171992203.74</v>
      </c>
      <c r="F334" s="82">
        <f>SUM(F335:F337)</f>
        <v>655849580.12</v>
      </c>
      <c r="G334" s="70">
        <f t="shared" si="50"/>
        <v>1.0557511639828627</v>
      </c>
      <c r="H334" s="82">
        <f>D334-F334</f>
        <v>103292818.88</v>
      </c>
      <c r="I334" s="82">
        <f>SUM(I335:I337)</f>
        <v>201908921.50999993</v>
      </c>
      <c r="J334" s="82">
        <f>SUM(J335:J337)</f>
        <v>636231718.2399999</v>
      </c>
      <c r="K334" s="51">
        <f t="shared" si="51"/>
        <v>1.1127784522651316</v>
      </c>
      <c r="L334" s="92">
        <f>D334-J334</f>
        <v>122910680.76000011</v>
      </c>
    </row>
    <row r="335" spans="1:12" ht="15">
      <c r="A335" s="52" t="s">
        <v>28</v>
      </c>
      <c r="B335" s="66" t="s">
        <v>33</v>
      </c>
      <c r="C335" s="83">
        <v>58314717</v>
      </c>
      <c r="D335" s="83">
        <v>62618717</v>
      </c>
      <c r="E335" s="83">
        <f>F335-32139056.66</f>
        <v>18930782.62</v>
      </c>
      <c r="F335" s="83">
        <v>51069839.28</v>
      </c>
      <c r="G335" s="64">
        <f t="shared" si="50"/>
        <v>0.08220946372247825</v>
      </c>
      <c r="H335" s="83">
        <f t="shared" si="46"/>
        <v>11548877.719999999</v>
      </c>
      <c r="I335" s="83">
        <f>J335-32071971.06</f>
        <v>18930782.62</v>
      </c>
      <c r="J335" s="83">
        <v>51002753.68</v>
      </c>
      <c r="K335" s="56">
        <f t="shared" si="51"/>
        <v>0.08920455185461386</v>
      </c>
      <c r="L335" s="93">
        <f t="shared" si="45"/>
        <v>11615963.32</v>
      </c>
    </row>
    <row r="336" spans="1:12" ht="15">
      <c r="A336" s="52" t="s">
        <v>65</v>
      </c>
      <c r="B336" s="66" t="s">
        <v>73</v>
      </c>
      <c r="C336" s="83">
        <v>5000</v>
      </c>
      <c r="D336" s="83">
        <v>5000</v>
      </c>
      <c r="E336" s="83">
        <f>F336-0</f>
        <v>0</v>
      </c>
      <c r="F336" s="83">
        <v>0</v>
      </c>
      <c r="G336" s="64">
        <f t="shared" si="50"/>
        <v>0</v>
      </c>
      <c r="H336" s="83">
        <f t="shared" si="46"/>
        <v>5000</v>
      </c>
      <c r="I336" s="83">
        <f>J336-0</f>
        <v>0</v>
      </c>
      <c r="J336" s="83">
        <v>0</v>
      </c>
      <c r="K336" s="56">
        <f t="shared" si="51"/>
        <v>0</v>
      </c>
      <c r="L336" s="93">
        <f t="shared" si="45"/>
        <v>5000</v>
      </c>
    </row>
    <row r="337" spans="1:12" ht="15">
      <c r="A337" s="52" t="s">
        <v>67</v>
      </c>
      <c r="B337" s="66" t="s">
        <v>75</v>
      </c>
      <c r="C337" s="83">
        <v>751432304</v>
      </c>
      <c r="D337" s="83">
        <v>696518682</v>
      </c>
      <c r="E337" s="83">
        <f>F337-451718319.72</f>
        <v>153061421.12</v>
      </c>
      <c r="F337" s="83">
        <v>604779740.84</v>
      </c>
      <c r="G337" s="64">
        <f t="shared" si="50"/>
        <v>0.9735417002603846</v>
      </c>
      <c r="H337" s="83">
        <f t="shared" si="46"/>
        <v>91738941.15999997</v>
      </c>
      <c r="I337" s="83">
        <f>J337-402250825.67</f>
        <v>182978138.88999993</v>
      </c>
      <c r="J337" s="83">
        <v>585228964.56</v>
      </c>
      <c r="K337" s="56">
        <f t="shared" si="51"/>
        <v>1.0235739004105178</v>
      </c>
      <c r="L337" s="93">
        <f t="shared" si="45"/>
        <v>111289717.44000006</v>
      </c>
    </row>
    <row r="338" spans="1:12" ht="14.25">
      <c r="A338" s="47" t="s">
        <v>104</v>
      </c>
      <c r="B338" s="71" t="s">
        <v>103</v>
      </c>
      <c r="C338" s="82">
        <f>C339+C340</f>
        <v>179230</v>
      </c>
      <c r="D338" s="82">
        <f>D339+D340</f>
        <v>879230</v>
      </c>
      <c r="E338" s="82">
        <f>E339+E340</f>
        <v>242126.10000000003</v>
      </c>
      <c r="F338" s="82">
        <f>F339+F340</f>
        <v>670312.65</v>
      </c>
      <c r="G338" s="70">
        <f t="shared" si="50"/>
        <v>0.0010790330312332491</v>
      </c>
      <c r="H338" s="82">
        <f t="shared" si="46"/>
        <v>208917.34999999998</v>
      </c>
      <c r="I338" s="82">
        <f>I339+I340</f>
        <v>242126.10000000003</v>
      </c>
      <c r="J338" s="82">
        <f>J339+J340</f>
        <v>670312.65</v>
      </c>
      <c r="K338" s="51">
        <f t="shared" si="51"/>
        <v>0.0011723864934997886</v>
      </c>
      <c r="L338" s="92">
        <f t="shared" si="45"/>
        <v>208917.34999999998</v>
      </c>
    </row>
    <row r="339" spans="1:12" ht="15">
      <c r="A339" s="52" t="s">
        <v>28</v>
      </c>
      <c r="B339" s="66" t="s">
        <v>33</v>
      </c>
      <c r="C339" s="83">
        <v>157076</v>
      </c>
      <c r="D339" s="83">
        <v>852076</v>
      </c>
      <c r="E339" s="83">
        <f>F339-423936.58</f>
        <v>242126.10000000003</v>
      </c>
      <c r="F339" s="83">
        <v>666062.68</v>
      </c>
      <c r="G339" s="64">
        <f t="shared" si="50"/>
        <v>0.0010721916595065625</v>
      </c>
      <c r="H339" s="83">
        <f t="shared" si="46"/>
        <v>186013.31999999995</v>
      </c>
      <c r="I339" s="83">
        <f>J339-423936.58</f>
        <v>242126.10000000003</v>
      </c>
      <c r="J339" s="83">
        <v>666062.68</v>
      </c>
      <c r="K339" s="56">
        <f t="shared" si="51"/>
        <v>0.00116495323466784</v>
      </c>
      <c r="L339" s="93">
        <f t="shared" si="45"/>
        <v>186013.31999999995</v>
      </c>
    </row>
    <row r="340" spans="1:12" ht="15">
      <c r="A340" s="52" t="s">
        <v>105</v>
      </c>
      <c r="B340" s="66" t="s">
        <v>107</v>
      </c>
      <c r="C340" s="83">
        <v>22154</v>
      </c>
      <c r="D340" s="83">
        <v>27154</v>
      </c>
      <c r="E340" s="83">
        <f>F340-4249.97</f>
        <v>0</v>
      </c>
      <c r="F340" s="83">
        <v>4249.97</v>
      </c>
      <c r="G340" s="64">
        <f t="shared" si="50"/>
        <v>6.841371726686603E-06</v>
      </c>
      <c r="H340" s="83">
        <f t="shared" si="46"/>
        <v>22904.03</v>
      </c>
      <c r="I340" s="83">
        <f>J340-4249.97</f>
        <v>0</v>
      </c>
      <c r="J340" s="83">
        <v>4249.97</v>
      </c>
      <c r="K340" s="56"/>
      <c r="L340" s="93">
        <f t="shared" si="45"/>
        <v>22904.03</v>
      </c>
    </row>
    <row r="341" spans="1:12" ht="14.25">
      <c r="A341" s="47" t="s">
        <v>109</v>
      </c>
      <c r="B341" s="71" t="s">
        <v>110</v>
      </c>
      <c r="C341" s="82">
        <f>SUM(C342:C348)</f>
        <v>943563039</v>
      </c>
      <c r="D341" s="82">
        <f>SUM(D342:D348)</f>
        <v>1075586574.48</v>
      </c>
      <c r="E341" s="82">
        <f>SUM(E342:E348)</f>
        <v>327032870.72</v>
      </c>
      <c r="F341" s="82">
        <f>SUM(F342:F348)</f>
        <v>859960247.92</v>
      </c>
      <c r="G341" s="70">
        <f aca="true" t="shared" si="52" ref="G341:G384">(F341/$F$286)*100</f>
        <v>1.384317471933752</v>
      </c>
      <c r="H341" s="82">
        <f t="shared" si="46"/>
        <v>215626326.56000006</v>
      </c>
      <c r="I341" s="82">
        <f>SUM(I342:I348)</f>
        <v>128922858.66000007</v>
      </c>
      <c r="J341" s="82">
        <f>SUM(J342:J348)</f>
        <v>660453821.6300001</v>
      </c>
      <c r="K341" s="51">
        <f aca="true" t="shared" si="53" ref="K341:K384">(J341/$J$286)*100</f>
        <v>1.1551432604760339</v>
      </c>
      <c r="L341" s="92">
        <f t="shared" si="45"/>
        <v>415132752.8499999</v>
      </c>
    </row>
    <row r="342" spans="1:12" ht="15">
      <c r="A342" s="52" t="s">
        <v>28</v>
      </c>
      <c r="B342" s="66" t="s">
        <v>33</v>
      </c>
      <c r="C342" s="83">
        <v>363140713</v>
      </c>
      <c r="D342" s="83">
        <v>362308878.38</v>
      </c>
      <c r="E342" s="83">
        <f>F342-200842951.68</f>
        <v>116207035.00999999</v>
      </c>
      <c r="F342" s="83">
        <v>317049986.69</v>
      </c>
      <c r="G342" s="64">
        <f t="shared" si="52"/>
        <v>0.5103699119963975</v>
      </c>
      <c r="H342" s="83">
        <f t="shared" si="46"/>
        <v>45258891.69</v>
      </c>
      <c r="I342" s="83">
        <f>J342-199446537.45</f>
        <v>48636301.130000025</v>
      </c>
      <c r="J342" s="83">
        <v>248082838.58</v>
      </c>
      <c r="K342" s="56">
        <f t="shared" si="53"/>
        <v>0.4339004630455359</v>
      </c>
      <c r="L342" s="93">
        <f t="shared" si="45"/>
        <v>114226039.79999998</v>
      </c>
    </row>
    <row r="343" spans="1:12" ht="15">
      <c r="A343" s="52" t="s">
        <v>29</v>
      </c>
      <c r="B343" s="66" t="s">
        <v>34</v>
      </c>
      <c r="C343" s="83">
        <v>0</v>
      </c>
      <c r="D343" s="83">
        <v>0</v>
      </c>
      <c r="E343" s="83">
        <f aca="true" t="shared" si="54" ref="E343:E348">F343-0</f>
        <v>0</v>
      </c>
      <c r="F343" s="83">
        <v>0</v>
      </c>
      <c r="G343" s="64">
        <f t="shared" si="52"/>
        <v>0</v>
      </c>
      <c r="H343" s="83">
        <f t="shared" si="46"/>
        <v>0</v>
      </c>
      <c r="I343" s="83">
        <f aca="true" t="shared" si="55" ref="I343:I348">J343-0</f>
        <v>0</v>
      </c>
      <c r="J343" s="83">
        <v>0</v>
      </c>
      <c r="K343" s="56">
        <f t="shared" si="53"/>
        <v>0</v>
      </c>
      <c r="L343" s="93">
        <f t="shared" si="45"/>
        <v>0</v>
      </c>
    </row>
    <row r="344" spans="1:12" ht="15">
      <c r="A344" s="52" t="s">
        <v>82</v>
      </c>
      <c r="B344" s="66" t="s">
        <v>84</v>
      </c>
      <c r="C344" s="83">
        <v>0</v>
      </c>
      <c r="D344" s="83">
        <v>100000</v>
      </c>
      <c r="E344" s="83">
        <f t="shared" si="54"/>
        <v>0</v>
      </c>
      <c r="F344" s="83">
        <v>0</v>
      </c>
      <c r="G344" s="64">
        <f t="shared" si="52"/>
        <v>0</v>
      </c>
      <c r="H344" s="83">
        <f>D344-F344</f>
        <v>100000</v>
      </c>
      <c r="I344" s="83">
        <f t="shared" si="55"/>
        <v>0</v>
      </c>
      <c r="J344" s="83">
        <v>0</v>
      </c>
      <c r="K344" s="56">
        <f t="shared" si="53"/>
        <v>0</v>
      </c>
      <c r="L344" s="93">
        <f>D344-J344</f>
        <v>100000</v>
      </c>
    </row>
    <row r="345" spans="1:12" ht="15">
      <c r="A345" s="52" t="s">
        <v>111</v>
      </c>
      <c r="B345" s="66" t="s">
        <v>118</v>
      </c>
      <c r="C345" s="83">
        <v>132185335</v>
      </c>
      <c r="D345" s="83">
        <v>266006631</v>
      </c>
      <c r="E345" s="83">
        <f>F345-99761024.38</f>
        <v>63241750.71000001</v>
      </c>
      <c r="F345" s="83">
        <v>163002775.09</v>
      </c>
      <c r="G345" s="64">
        <f t="shared" si="52"/>
        <v>0.2623930467443726</v>
      </c>
      <c r="H345" s="83">
        <f>D345-F345</f>
        <v>103003855.91</v>
      </c>
      <c r="I345" s="83">
        <f>J345-99761024.38</f>
        <v>22690587.820000008</v>
      </c>
      <c r="J345" s="83">
        <v>122451612.2</v>
      </c>
      <c r="K345" s="56">
        <f t="shared" si="53"/>
        <v>0.21416963599083788</v>
      </c>
      <c r="L345" s="93">
        <f>D345-J345</f>
        <v>143555018.8</v>
      </c>
    </row>
    <row r="346" spans="1:12" ht="15">
      <c r="A346" s="52" t="s">
        <v>112</v>
      </c>
      <c r="B346" s="66" t="s">
        <v>119</v>
      </c>
      <c r="C346" s="83">
        <v>447697762</v>
      </c>
      <c r="D346" s="83">
        <v>446719323.31</v>
      </c>
      <c r="E346" s="83">
        <f>F346-232314901.14</f>
        <v>147564085</v>
      </c>
      <c r="F346" s="83">
        <v>379878986.14</v>
      </c>
      <c r="G346" s="64">
        <f t="shared" si="52"/>
        <v>0.6115086354352072</v>
      </c>
      <c r="H346" s="83">
        <f t="shared" si="46"/>
        <v>66840337.17000002</v>
      </c>
      <c r="I346" s="83">
        <f>J346-232314901.14</f>
        <v>57595969.71000004</v>
      </c>
      <c r="J346" s="83">
        <v>289910870.85</v>
      </c>
      <c r="K346" s="56">
        <f t="shared" si="53"/>
        <v>0.5070582948170552</v>
      </c>
      <c r="L346" s="93">
        <f t="shared" si="45"/>
        <v>156808452.45999998</v>
      </c>
    </row>
    <row r="347" spans="1:12" ht="15">
      <c r="A347" s="52" t="s">
        <v>114</v>
      </c>
      <c r="B347" s="66" t="s">
        <v>121</v>
      </c>
      <c r="C347" s="83">
        <v>139229</v>
      </c>
      <c r="D347" s="83">
        <v>51741.79</v>
      </c>
      <c r="E347" s="83">
        <f>F347-8500</f>
        <v>20000</v>
      </c>
      <c r="F347" s="83">
        <v>28500</v>
      </c>
      <c r="G347" s="64">
        <f t="shared" si="52"/>
        <v>4.587775777489445E-05</v>
      </c>
      <c r="H347" s="83">
        <f t="shared" si="46"/>
        <v>23241.79</v>
      </c>
      <c r="I347" s="83">
        <f>J347-8500</f>
        <v>0</v>
      </c>
      <c r="J347" s="83">
        <v>8500</v>
      </c>
      <c r="K347" s="56">
        <f t="shared" si="53"/>
        <v>1.4866622604762423E-05</v>
      </c>
      <c r="L347" s="93">
        <f t="shared" si="45"/>
        <v>43241.79</v>
      </c>
    </row>
    <row r="348" spans="1:12" ht="15">
      <c r="A348" s="52" t="s">
        <v>251</v>
      </c>
      <c r="B348" s="66" t="s">
        <v>252</v>
      </c>
      <c r="C348" s="83">
        <v>400000</v>
      </c>
      <c r="D348" s="83">
        <v>400000</v>
      </c>
      <c r="E348" s="83">
        <f t="shared" si="54"/>
        <v>0</v>
      </c>
      <c r="F348" s="83">
        <v>0</v>
      </c>
      <c r="G348" s="64">
        <f t="shared" si="52"/>
        <v>0</v>
      </c>
      <c r="H348" s="83">
        <f t="shared" si="46"/>
        <v>400000</v>
      </c>
      <c r="I348" s="83">
        <f t="shared" si="55"/>
        <v>0</v>
      </c>
      <c r="J348" s="83">
        <v>0</v>
      </c>
      <c r="K348" s="56">
        <f t="shared" si="53"/>
        <v>0</v>
      </c>
      <c r="L348" s="93">
        <f t="shared" si="45"/>
        <v>400000</v>
      </c>
    </row>
    <row r="349" spans="1:12" ht="14.25">
      <c r="A349" s="47" t="s">
        <v>125</v>
      </c>
      <c r="B349" s="71" t="s">
        <v>126</v>
      </c>
      <c r="C349" s="82">
        <f>C350</f>
        <v>9276706</v>
      </c>
      <c r="D349" s="82">
        <f>D350</f>
        <v>8758436.15</v>
      </c>
      <c r="E349" s="82">
        <f>E350</f>
        <v>2024057.7599999998</v>
      </c>
      <c r="F349" s="82">
        <f>F350</f>
        <v>7603390.37</v>
      </c>
      <c r="G349" s="70">
        <f t="shared" si="52"/>
        <v>0.012239526374134214</v>
      </c>
      <c r="H349" s="82">
        <f t="shared" si="46"/>
        <v>1155045.7800000003</v>
      </c>
      <c r="I349" s="82">
        <f>I350</f>
        <v>2089843.8399999999</v>
      </c>
      <c r="J349" s="82">
        <f>J350</f>
        <v>7421739.79</v>
      </c>
      <c r="K349" s="51">
        <f t="shared" si="53"/>
        <v>0.012980729944550438</v>
      </c>
      <c r="L349" s="92">
        <f>D349-J349</f>
        <v>1336696.3600000003</v>
      </c>
    </row>
    <row r="350" spans="1:12" ht="15">
      <c r="A350" s="52" t="s">
        <v>28</v>
      </c>
      <c r="B350" s="66" t="s">
        <v>33</v>
      </c>
      <c r="C350" s="83">
        <v>9276706</v>
      </c>
      <c r="D350" s="83">
        <v>8758436.15</v>
      </c>
      <c r="E350" s="83">
        <f>F350-5579332.61</f>
        <v>2024057.7599999998</v>
      </c>
      <c r="F350" s="83">
        <v>7603390.37</v>
      </c>
      <c r="G350" s="64">
        <f t="shared" si="52"/>
        <v>0.012239526374134214</v>
      </c>
      <c r="H350" s="83">
        <f t="shared" si="46"/>
        <v>1155045.7800000003</v>
      </c>
      <c r="I350" s="83">
        <f>J350-5331895.95</f>
        <v>2089843.8399999999</v>
      </c>
      <c r="J350" s="83">
        <v>7421739.79</v>
      </c>
      <c r="K350" s="56">
        <f t="shared" si="53"/>
        <v>0.012980729944550438</v>
      </c>
      <c r="L350" s="93">
        <f>D350-J350</f>
        <v>1336696.3600000003</v>
      </c>
    </row>
    <row r="351" spans="1:12" ht="14.25">
      <c r="A351" s="73" t="s">
        <v>129</v>
      </c>
      <c r="B351" s="71" t="s">
        <v>130</v>
      </c>
      <c r="C351" s="82">
        <f>C352</f>
        <v>957216</v>
      </c>
      <c r="D351" s="82">
        <f>D352+D353</f>
        <v>1267889.13</v>
      </c>
      <c r="E351" s="82">
        <f>E352+E353</f>
        <v>307879.72999999986</v>
      </c>
      <c r="F351" s="82">
        <f>F352+F353</f>
        <v>1235241.7799999998</v>
      </c>
      <c r="G351" s="70">
        <f t="shared" si="52"/>
        <v>0.0019884253746059455</v>
      </c>
      <c r="H351" s="82">
        <f t="shared" si="46"/>
        <v>32647.350000000093</v>
      </c>
      <c r="I351" s="82">
        <f>I352</f>
        <v>234615.59999999986</v>
      </c>
      <c r="J351" s="82">
        <f>J352</f>
        <v>1161977.65</v>
      </c>
      <c r="K351" s="51">
        <f t="shared" si="53"/>
        <v>0.002032315670319849</v>
      </c>
      <c r="L351" s="92">
        <f t="shared" si="45"/>
        <v>105911.47999999998</v>
      </c>
    </row>
    <row r="352" spans="1:12" ht="15">
      <c r="A352" s="61" t="s">
        <v>28</v>
      </c>
      <c r="B352" s="66" t="s">
        <v>33</v>
      </c>
      <c r="C352" s="83">
        <v>957216</v>
      </c>
      <c r="D352" s="83">
        <v>1194625</v>
      </c>
      <c r="E352" s="83">
        <f>F352-927362.05</f>
        <v>234615.59999999986</v>
      </c>
      <c r="F352" s="83">
        <v>1161977.65</v>
      </c>
      <c r="G352" s="64">
        <f t="shared" si="52"/>
        <v>0.0018704887426856517</v>
      </c>
      <c r="H352" s="83">
        <f t="shared" si="46"/>
        <v>32647.350000000093</v>
      </c>
      <c r="I352" s="83">
        <f>J352-927362.05</f>
        <v>234615.59999999986</v>
      </c>
      <c r="J352" s="83">
        <v>1161977.65</v>
      </c>
      <c r="K352" s="56">
        <f t="shared" si="53"/>
        <v>0.002032315670319849</v>
      </c>
      <c r="L352" s="93">
        <f t="shared" si="45"/>
        <v>32647.350000000093</v>
      </c>
    </row>
    <row r="353" spans="1:12" ht="15">
      <c r="A353" s="61" t="s">
        <v>49</v>
      </c>
      <c r="B353" s="66" t="s">
        <v>56</v>
      </c>
      <c r="C353" s="83">
        <v>0</v>
      </c>
      <c r="D353" s="83">
        <v>73264.13</v>
      </c>
      <c r="E353" s="83">
        <f>F353-0</f>
        <v>73264.13</v>
      </c>
      <c r="F353" s="83">
        <v>73264.13</v>
      </c>
      <c r="G353" s="64">
        <f t="shared" si="52"/>
        <v>0.00011793663192029395</v>
      </c>
      <c r="H353" s="83">
        <f t="shared" si="46"/>
        <v>0</v>
      </c>
      <c r="I353" s="83">
        <f>J353-0</f>
        <v>0</v>
      </c>
      <c r="J353" s="83">
        <v>0</v>
      </c>
      <c r="K353" s="56">
        <f t="shared" si="53"/>
        <v>0</v>
      </c>
      <c r="L353" s="93">
        <f t="shared" si="45"/>
        <v>73264.13</v>
      </c>
    </row>
    <row r="354" spans="1:12" ht="14.25">
      <c r="A354" s="73" t="s">
        <v>133</v>
      </c>
      <c r="B354" s="71" t="s">
        <v>134</v>
      </c>
      <c r="C354" s="82">
        <f>C355+C356</f>
        <v>568246</v>
      </c>
      <c r="D354" s="82">
        <f>D355+D356</f>
        <v>89568246</v>
      </c>
      <c r="E354" s="82">
        <f>E355+E356</f>
        <v>57083392.78</v>
      </c>
      <c r="F354" s="82">
        <f>F355+F356</f>
        <v>57385149.48</v>
      </c>
      <c r="G354" s="70">
        <f t="shared" si="52"/>
        <v>0.09237550834103685</v>
      </c>
      <c r="H354" s="82">
        <f t="shared" si="46"/>
        <v>32183096.520000003</v>
      </c>
      <c r="I354" s="82">
        <f>I355+I356</f>
        <v>13430530.33</v>
      </c>
      <c r="J354" s="82">
        <f>J355+J356</f>
        <v>13732287.03</v>
      </c>
      <c r="K354" s="51">
        <f t="shared" si="53"/>
        <v>0.024017968091209863</v>
      </c>
      <c r="L354" s="92">
        <f t="shared" si="45"/>
        <v>75835958.97</v>
      </c>
    </row>
    <row r="355" spans="1:12" ht="15">
      <c r="A355" s="68" t="s">
        <v>28</v>
      </c>
      <c r="B355" s="62" t="s">
        <v>33</v>
      </c>
      <c r="C355" s="83">
        <v>568246</v>
      </c>
      <c r="D355" s="83">
        <v>568246</v>
      </c>
      <c r="E355" s="83">
        <f>F355-301756.7</f>
        <v>83392.77999999997</v>
      </c>
      <c r="F355" s="83">
        <v>385149.48</v>
      </c>
      <c r="G355" s="64">
        <f t="shared" si="52"/>
        <v>0.0006199927912479492</v>
      </c>
      <c r="H355" s="83">
        <f t="shared" si="46"/>
        <v>183096.52000000002</v>
      </c>
      <c r="I355" s="83">
        <f>J355-301756.7</f>
        <v>80530.33000000002</v>
      </c>
      <c r="J355" s="83">
        <v>382287.03</v>
      </c>
      <c r="K355" s="56">
        <f t="shared" si="53"/>
        <v>0.0006686255296124106</v>
      </c>
      <c r="L355" s="93">
        <f t="shared" si="45"/>
        <v>185958.96999999997</v>
      </c>
    </row>
    <row r="356" spans="1:12" ht="15">
      <c r="A356" s="68" t="s">
        <v>135</v>
      </c>
      <c r="B356" s="62" t="s">
        <v>136</v>
      </c>
      <c r="C356" s="83">
        <v>0</v>
      </c>
      <c r="D356" s="83">
        <v>89000000</v>
      </c>
      <c r="E356" s="83">
        <f>F356-0</f>
        <v>57000000</v>
      </c>
      <c r="F356" s="83">
        <v>57000000</v>
      </c>
      <c r="G356" s="64">
        <f t="shared" si="52"/>
        <v>0.0917555155497889</v>
      </c>
      <c r="H356" s="83">
        <f t="shared" si="46"/>
        <v>32000000</v>
      </c>
      <c r="I356" s="83">
        <f>J356-0</f>
        <v>13350000</v>
      </c>
      <c r="J356" s="83">
        <v>13350000</v>
      </c>
      <c r="K356" s="56">
        <f t="shared" si="53"/>
        <v>0.02334934256159745</v>
      </c>
      <c r="L356" s="93">
        <f t="shared" si="45"/>
        <v>75650000</v>
      </c>
    </row>
    <row r="357" spans="1:12" ht="14.25">
      <c r="A357" s="74" t="s">
        <v>138</v>
      </c>
      <c r="B357" s="75" t="s">
        <v>137</v>
      </c>
      <c r="C357" s="82">
        <f>C358</f>
        <v>217975</v>
      </c>
      <c r="D357" s="82">
        <f>D358</f>
        <v>221635</v>
      </c>
      <c r="E357" s="82">
        <f>E358</f>
        <v>80738.19</v>
      </c>
      <c r="F357" s="82">
        <f>F358</f>
        <v>221529.52</v>
      </c>
      <c r="G357" s="70">
        <f t="shared" si="52"/>
        <v>0.0003566062336332854</v>
      </c>
      <c r="H357" s="82">
        <f t="shared" si="46"/>
        <v>105.48000000001048</v>
      </c>
      <c r="I357" s="82">
        <f>I358</f>
        <v>81348.19</v>
      </c>
      <c r="J357" s="82">
        <f>J358</f>
        <v>221529.52</v>
      </c>
      <c r="K357" s="51">
        <f t="shared" si="53"/>
        <v>0.00038745832584166694</v>
      </c>
      <c r="L357" s="92">
        <f t="shared" si="45"/>
        <v>105.48000000001048</v>
      </c>
    </row>
    <row r="358" spans="1:12" ht="15">
      <c r="A358" s="68" t="s">
        <v>28</v>
      </c>
      <c r="B358" s="62" t="s">
        <v>33</v>
      </c>
      <c r="C358" s="83">
        <v>217975</v>
      </c>
      <c r="D358" s="83">
        <v>221635</v>
      </c>
      <c r="E358" s="83">
        <f>F358-140791.33</f>
        <v>80738.19</v>
      </c>
      <c r="F358" s="83">
        <v>221529.52</v>
      </c>
      <c r="G358" s="64">
        <f t="shared" si="52"/>
        <v>0.0003566062336332854</v>
      </c>
      <c r="H358" s="83">
        <f t="shared" si="46"/>
        <v>105.48000000001048</v>
      </c>
      <c r="I358" s="83">
        <f>J358-140181.33</f>
        <v>81348.19</v>
      </c>
      <c r="J358" s="83">
        <v>221529.52</v>
      </c>
      <c r="K358" s="56">
        <f t="shared" si="53"/>
        <v>0.00038745832584166694</v>
      </c>
      <c r="L358" s="93">
        <f t="shared" si="45"/>
        <v>105.48000000001048</v>
      </c>
    </row>
    <row r="359" spans="1:12" ht="14.25">
      <c r="A359" s="47" t="s">
        <v>141</v>
      </c>
      <c r="B359" s="50" t="s">
        <v>142</v>
      </c>
      <c r="C359" s="82">
        <f>C360</f>
        <v>0</v>
      </c>
      <c r="D359" s="82">
        <f>D360</f>
        <v>0</v>
      </c>
      <c r="E359" s="82">
        <f>E360</f>
        <v>0</v>
      </c>
      <c r="F359" s="82">
        <f>F360</f>
        <v>0</v>
      </c>
      <c r="G359" s="70">
        <f>(F359/$F$286)*100</f>
        <v>0</v>
      </c>
      <c r="H359" s="82">
        <f>D359-F359</f>
        <v>0</v>
      </c>
      <c r="I359" s="82">
        <f>I360</f>
        <v>0</v>
      </c>
      <c r="J359" s="82">
        <f>J360</f>
        <v>0</v>
      </c>
      <c r="K359" s="51">
        <f t="shared" si="53"/>
        <v>0</v>
      </c>
      <c r="L359" s="92">
        <f t="shared" si="45"/>
        <v>0</v>
      </c>
    </row>
    <row r="360" spans="1:12" ht="15">
      <c r="A360" s="68" t="s">
        <v>143</v>
      </c>
      <c r="B360" s="62" t="s">
        <v>144</v>
      </c>
      <c r="C360" s="83">
        <v>0</v>
      </c>
      <c r="D360" s="83">
        <v>0</v>
      </c>
      <c r="E360" s="83">
        <f>F360-0</f>
        <v>0</v>
      </c>
      <c r="F360" s="83">
        <v>0</v>
      </c>
      <c r="G360" s="64">
        <f>(F360/$F$286)*100</f>
        <v>0</v>
      </c>
      <c r="H360" s="83">
        <f t="shared" si="46"/>
        <v>0</v>
      </c>
      <c r="I360" s="83">
        <f>J360-0</f>
        <v>0</v>
      </c>
      <c r="J360" s="83">
        <v>0</v>
      </c>
      <c r="K360" s="56">
        <f>(J360/$J$286)*100</f>
        <v>0</v>
      </c>
      <c r="L360" s="93">
        <f t="shared" si="45"/>
        <v>0</v>
      </c>
    </row>
    <row r="361" spans="1:12" ht="14.25">
      <c r="A361" s="74" t="s">
        <v>149</v>
      </c>
      <c r="B361" s="75" t="s">
        <v>150</v>
      </c>
      <c r="C361" s="82">
        <f>C362</f>
        <v>1561511</v>
      </c>
      <c r="D361" s="82">
        <f>D362</f>
        <v>14106319.62</v>
      </c>
      <c r="E361" s="82">
        <f>E362</f>
        <v>1938024.290000001</v>
      </c>
      <c r="F361" s="82">
        <f>F362</f>
        <v>9872911.06</v>
      </c>
      <c r="G361" s="70">
        <f t="shared" si="52"/>
        <v>0.015892877969956365</v>
      </c>
      <c r="H361" s="82">
        <f aca="true" t="shared" si="56" ref="H361:H368">D361-F361</f>
        <v>4233408.559999999</v>
      </c>
      <c r="I361" s="82">
        <f>I362</f>
        <v>2010706.7399999993</v>
      </c>
      <c r="J361" s="82">
        <f>J362</f>
        <v>9799176.68</v>
      </c>
      <c r="K361" s="51">
        <f t="shared" si="53"/>
        <v>0.017138901357523384</v>
      </c>
      <c r="L361" s="92">
        <f t="shared" si="45"/>
        <v>4307142.9399999995</v>
      </c>
    </row>
    <row r="362" spans="1:12" ht="15">
      <c r="A362" s="68" t="s">
        <v>28</v>
      </c>
      <c r="B362" s="62" t="s">
        <v>33</v>
      </c>
      <c r="C362" s="83">
        <v>1561511</v>
      </c>
      <c r="D362" s="83">
        <v>14106319.62</v>
      </c>
      <c r="E362" s="83">
        <f>F362-7934886.77</f>
        <v>1938024.290000001</v>
      </c>
      <c r="F362" s="83">
        <v>9872911.06</v>
      </c>
      <c r="G362" s="64">
        <f t="shared" si="52"/>
        <v>0.015892877969956365</v>
      </c>
      <c r="H362" s="83">
        <f t="shared" si="56"/>
        <v>4233408.559999999</v>
      </c>
      <c r="I362" s="83">
        <f>J362-7788469.94</f>
        <v>2010706.7399999993</v>
      </c>
      <c r="J362" s="83">
        <v>9799176.68</v>
      </c>
      <c r="K362" s="56">
        <f t="shared" si="53"/>
        <v>0.017138901357523384</v>
      </c>
      <c r="L362" s="93">
        <f t="shared" si="45"/>
        <v>4307142.9399999995</v>
      </c>
    </row>
    <row r="363" spans="1:12" ht="14.25">
      <c r="A363" s="74" t="s">
        <v>158</v>
      </c>
      <c r="B363" s="75" t="s">
        <v>159</v>
      </c>
      <c r="C363" s="82">
        <f>SUM(C364:C367)</f>
        <v>10004611</v>
      </c>
      <c r="D363" s="82">
        <f>SUM(D364:D367)</f>
        <v>7262560.89</v>
      </c>
      <c r="E363" s="82">
        <f>SUM(E364:E367)</f>
        <v>1473154.06</v>
      </c>
      <c r="F363" s="82">
        <f>SUM(F364:F367)</f>
        <v>6567019.7299999995</v>
      </c>
      <c r="G363" s="70">
        <f t="shared" si="52"/>
        <v>0.01057123299915413</v>
      </c>
      <c r="H363" s="82">
        <f t="shared" si="56"/>
        <v>695541.1600000001</v>
      </c>
      <c r="I363" s="82">
        <f>SUM(I364:I366)</f>
        <v>1176963.71</v>
      </c>
      <c r="J363" s="82">
        <f>SUM(J364:J366)</f>
        <v>6167920.94</v>
      </c>
      <c r="K363" s="51">
        <f t="shared" si="53"/>
        <v>0.010787782690704883</v>
      </c>
      <c r="L363" s="92">
        <f t="shared" si="45"/>
        <v>1094639.9499999993</v>
      </c>
    </row>
    <row r="364" spans="1:12" ht="15">
      <c r="A364" s="68" t="s">
        <v>28</v>
      </c>
      <c r="B364" s="62" t="s">
        <v>33</v>
      </c>
      <c r="C364" s="83">
        <v>9989611</v>
      </c>
      <c r="D364" s="83">
        <v>6823641</v>
      </c>
      <c r="E364" s="83">
        <f>F364-5093865.67</f>
        <v>1149234.17</v>
      </c>
      <c r="F364" s="83">
        <v>6243099.84</v>
      </c>
      <c r="G364" s="70">
        <f t="shared" si="52"/>
        <v>0.010049804288561483</v>
      </c>
      <c r="H364" s="83">
        <f t="shared" si="56"/>
        <v>580541.1600000001</v>
      </c>
      <c r="I364" s="83">
        <f>J364-4990957.23</f>
        <v>1176963.71</v>
      </c>
      <c r="J364" s="83">
        <v>6167920.94</v>
      </c>
      <c r="K364" s="56">
        <f t="shared" si="53"/>
        <v>0.010787782690704883</v>
      </c>
      <c r="L364" s="93">
        <f t="shared" si="45"/>
        <v>655720.0599999996</v>
      </c>
    </row>
    <row r="365" spans="1:12" ht="15">
      <c r="A365" s="68" t="s">
        <v>50</v>
      </c>
      <c r="B365" s="62" t="s">
        <v>57</v>
      </c>
      <c r="C365" s="83">
        <v>15000</v>
      </c>
      <c r="D365" s="83">
        <v>115000</v>
      </c>
      <c r="E365" s="83">
        <f>F365-0</f>
        <v>0</v>
      </c>
      <c r="F365" s="83">
        <v>0</v>
      </c>
      <c r="G365" s="70">
        <f t="shared" si="52"/>
        <v>0</v>
      </c>
      <c r="H365" s="83">
        <f t="shared" si="56"/>
        <v>115000</v>
      </c>
      <c r="I365" s="83">
        <f>J365-0</f>
        <v>0</v>
      </c>
      <c r="J365" s="83">
        <v>0</v>
      </c>
      <c r="K365" s="56">
        <f t="shared" si="53"/>
        <v>0</v>
      </c>
      <c r="L365" s="93">
        <f t="shared" si="45"/>
        <v>115000</v>
      </c>
    </row>
    <row r="366" spans="1:12" ht="15">
      <c r="A366" s="68" t="s">
        <v>96</v>
      </c>
      <c r="B366" s="62" t="s">
        <v>102</v>
      </c>
      <c r="C366" s="83">
        <v>0</v>
      </c>
      <c r="D366" s="83">
        <v>323919.89</v>
      </c>
      <c r="E366" s="83">
        <f>F366-0</f>
        <v>323919.89</v>
      </c>
      <c r="F366" s="83">
        <v>323919.89</v>
      </c>
      <c r="G366" s="70">
        <f t="shared" si="52"/>
        <v>0.0005214287105926475</v>
      </c>
      <c r="H366" s="83">
        <f t="shared" si="56"/>
        <v>0</v>
      </c>
      <c r="I366" s="83">
        <f>J366-0</f>
        <v>0</v>
      </c>
      <c r="J366" s="83">
        <v>0</v>
      </c>
      <c r="K366" s="56">
        <f t="shared" si="53"/>
        <v>0</v>
      </c>
      <c r="L366" s="93">
        <f t="shared" si="45"/>
        <v>323919.89</v>
      </c>
    </row>
    <row r="367" spans="1:12" ht="15">
      <c r="A367" s="68" t="s">
        <v>97</v>
      </c>
      <c r="B367" s="62" t="s">
        <v>237</v>
      </c>
      <c r="C367" s="83">
        <v>0</v>
      </c>
      <c r="D367" s="83">
        <v>0</v>
      </c>
      <c r="E367" s="83">
        <f>F367-0</f>
        <v>0</v>
      </c>
      <c r="F367" s="83">
        <v>0</v>
      </c>
      <c r="G367" s="70">
        <f t="shared" si="52"/>
        <v>0</v>
      </c>
      <c r="H367" s="83">
        <f t="shared" si="56"/>
        <v>0</v>
      </c>
      <c r="I367" s="83">
        <f>J367-0</f>
        <v>0</v>
      </c>
      <c r="J367" s="83">
        <v>0</v>
      </c>
      <c r="K367" s="56">
        <f t="shared" si="53"/>
        <v>0</v>
      </c>
      <c r="L367" s="93">
        <f t="shared" si="45"/>
        <v>0</v>
      </c>
    </row>
    <row r="368" spans="1:12" ht="14.25">
      <c r="A368" s="74" t="s">
        <v>162</v>
      </c>
      <c r="B368" s="75" t="s">
        <v>163</v>
      </c>
      <c r="C368" s="82">
        <f>SUM(C369:C371)</f>
        <v>6702086</v>
      </c>
      <c r="D368" s="82">
        <f>SUM(D369:D371)</f>
        <v>4682613.82</v>
      </c>
      <c r="E368" s="82">
        <f>SUM(E369:E371)</f>
        <v>913857.6699999999</v>
      </c>
      <c r="F368" s="82">
        <f>SUM(F369:F371)</f>
        <v>4215142.2</v>
      </c>
      <c r="G368" s="70">
        <f t="shared" si="52"/>
        <v>0.006785307818888972</v>
      </c>
      <c r="H368" s="82">
        <f t="shared" si="56"/>
        <v>467471.6200000001</v>
      </c>
      <c r="I368" s="82">
        <f>SUM(I369:I371)</f>
        <v>861267.5599999999</v>
      </c>
      <c r="J368" s="82">
        <f>SUM(J369:J371)</f>
        <v>4144406.22</v>
      </c>
      <c r="K368" s="51">
        <f t="shared" si="53"/>
        <v>0.007248626258067058</v>
      </c>
      <c r="L368" s="92">
        <f t="shared" si="45"/>
        <v>538207.6000000001</v>
      </c>
    </row>
    <row r="369" spans="1:12" ht="15">
      <c r="A369" s="61" t="s">
        <v>28</v>
      </c>
      <c r="B369" s="53" t="s">
        <v>33</v>
      </c>
      <c r="C369" s="83">
        <v>6600086</v>
      </c>
      <c r="D369" s="83">
        <v>4602613.82</v>
      </c>
      <c r="E369" s="83">
        <f>F369-3255326.97</f>
        <v>892797.1299999999</v>
      </c>
      <c r="F369" s="83">
        <v>4148124.1</v>
      </c>
      <c r="G369" s="64">
        <f t="shared" si="52"/>
        <v>0.006677425708070246</v>
      </c>
      <c r="H369" s="83">
        <f>D369-F369</f>
        <v>454489.7200000002</v>
      </c>
      <c r="I369" s="83">
        <f>J369-3237181.1</f>
        <v>848560.3999999999</v>
      </c>
      <c r="J369" s="83">
        <v>4085741.5</v>
      </c>
      <c r="K369" s="56">
        <f t="shared" si="53"/>
        <v>0.007146020816601873</v>
      </c>
      <c r="L369" s="93">
        <f t="shared" si="45"/>
        <v>516872.3200000003</v>
      </c>
    </row>
    <row r="370" spans="1:12" ht="15">
      <c r="A370" s="61" t="s">
        <v>172</v>
      </c>
      <c r="B370" s="53" t="s">
        <v>173</v>
      </c>
      <c r="C370" s="83">
        <v>0</v>
      </c>
      <c r="D370" s="83">
        <v>0</v>
      </c>
      <c r="E370" s="83">
        <f>F370-0</f>
        <v>0</v>
      </c>
      <c r="F370" s="83">
        <v>0</v>
      </c>
      <c r="G370" s="64">
        <f t="shared" si="52"/>
        <v>0</v>
      </c>
      <c r="H370" s="83">
        <f>D370-F370</f>
        <v>0</v>
      </c>
      <c r="I370" s="83">
        <f>J370-0</f>
        <v>0</v>
      </c>
      <c r="J370" s="83">
        <v>0</v>
      </c>
      <c r="K370" s="56">
        <f t="shared" si="53"/>
        <v>0</v>
      </c>
      <c r="L370" s="93">
        <f t="shared" si="45"/>
        <v>0</v>
      </c>
    </row>
    <row r="371" spans="1:12" ht="15">
      <c r="A371" s="61" t="s">
        <v>272</v>
      </c>
      <c r="B371" s="53" t="s">
        <v>274</v>
      </c>
      <c r="C371" s="83">
        <v>102000</v>
      </c>
      <c r="D371" s="83">
        <v>80000</v>
      </c>
      <c r="E371" s="83">
        <f>F371-45957.56</f>
        <v>21060.540000000008</v>
      </c>
      <c r="F371" s="83">
        <v>67018.1</v>
      </c>
      <c r="G371" s="64">
        <f t="shared" si="52"/>
        <v>0.00010788211081872469</v>
      </c>
      <c r="H371" s="83">
        <f>D371-F371</f>
        <v>12981.899999999994</v>
      </c>
      <c r="I371" s="83">
        <f>J371-45957.56</f>
        <v>12707.160000000003</v>
      </c>
      <c r="J371" s="83">
        <v>58664.72</v>
      </c>
      <c r="K371" s="56">
        <f t="shared" si="53"/>
        <v>0.00010260544146518332</v>
      </c>
      <c r="L371" s="93">
        <f t="shared" si="45"/>
        <v>21335.28</v>
      </c>
    </row>
    <row r="372" spans="1:12" ht="14.25">
      <c r="A372" s="74" t="s">
        <v>175</v>
      </c>
      <c r="B372" s="75" t="s">
        <v>174</v>
      </c>
      <c r="C372" s="82">
        <f>C373</f>
        <v>1571343</v>
      </c>
      <c r="D372" s="82">
        <f>D373</f>
        <v>1176443.54</v>
      </c>
      <c r="E372" s="82">
        <f>E373</f>
        <v>225066.96000000008</v>
      </c>
      <c r="F372" s="82">
        <f>F373</f>
        <v>1176443.54</v>
      </c>
      <c r="G372" s="70">
        <f t="shared" si="52"/>
        <v>0.0018937751496126089</v>
      </c>
      <c r="H372" s="82">
        <f aca="true" t="shared" si="57" ref="H372:H381">D372-F372</f>
        <v>0</v>
      </c>
      <c r="I372" s="82">
        <f>I373</f>
        <v>236012.55999999994</v>
      </c>
      <c r="J372" s="82">
        <f>J373</f>
        <v>1155145.44</v>
      </c>
      <c r="K372" s="51">
        <f t="shared" si="53"/>
        <v>0.002020366036481439</v>
      </c>
      <c r="L372" s="92">
        <f>D372-J372</f>
        <v>21298.100000000093</v>
      </c>
    </row>
    <row r="373" spans="1:12" ht="15">
      <c r="A373" s="68" t="s">
        <v>28</v>
      </c>
      <c r="B373" s="62" t="s">
        <v>33</v>
      </c>
      <c r="C373" s="83">
        <v>1571343</v>
      </c>
      <c r="D373" s="83">
        <v>1176443.54</v>
      </c>
      <c r="E373" s="83">
        <f>F373-951376.58</f>
        <v>225066.96000000008</v>
      </c>
      <c r="F373" s="83">
        <v>1176443.54</v>
      </c>
      <c r="G373" s="64">
        <f t="shared" si="52"/>
        <v>0.0018937751496126089</v>
      </c>
      <c r="H373" s="83">
        <f t="shared" si="57"/>
        <v>0</v>
      </c>
      <c r="I373" s="83">
        <f>J373-919132.88</f>
        <v>236012.55999999994</v>
      </c>
      <c r="J373" s="83">
        <v>1155145.44</v>
      </c>
      <c r="K373" s="56">
        <f t="shared" si="53"/>
        <v>0.002020366036481439</v>
      </c>
      <c r="L373" s="93">
        <f>D373-J373</f>
        <v>21298.100000000093</v>
      </c>
    </row>
    <row r="374" spans="1:12" ht="14.25">
      <c r="A374" s="74" t="s">
        <v>178</v>
      </c>
      <c r="B374" s="75" t="s">
        <v>179</v>
      </c>
      <c r="C374" s="82">
        <f>C375</f>
        <v>3932582</v>
      </c>
      <c r="D374" s="82">
        <f>D375</f>
        <v>4279030.31</v>
      </c>
      <c r="E374" s="82">
        <f>E375</f>
        <v>800411.6499999999</v>
      </c>
      <c r="F374" s="82">
        <f>F375</f>
        <v>3432534.73</v>
      </c>
      <c r="G374" s="70">
        <f t="shared" si="52"/>
        <v>0.0055255086630474634</v>
      </c>
      <c r="H374" s="82">
        <f t="shared" si="57"/>
        <v>846495.5799999996</v>
      </c>
      <c r="I374" s="82">
        <f>I375</f>
        <v>700824.1099999999</v>
      </c>
      <c r="J374" s="82">
        <f>J375</f>
        <v>3303720.25</v>
      </c>
      <c r="K374" s="51">
        <f t="shared" si="53"/>
        <v>0.005778254370407219</v>
      </c>
      <c r="L374" s="92">
        <f>D374-J374</f>
        <v>975310.0599999996</v>
      </c>
    </row>
    <row r="375" spans="1:12" ht="15">
      <c r="A375" s="68" t="s">
        <v>28</v>
      </c>
      <c r="B375" s="62" t="s">
        <v>33</v>
      </c>
      <c r="C375" s="83">
        <v>3932582</v>
      </c>
      <c r="D375" s="83">
        <v>4279030.31</v>
      </c>
      <c r="E375" s="83">
        <f>F375-2632123.08</f>
        <v>800411.6499999999</v>
      </c>
      <c r="F375" s="83">
        <v>3432534.73</v>
      </c>
      <c r="G375" s="64">
        <f t="shared" si="52"/>
        <v>0.0055255086630474634</v>
      </c>
      <c r="H375" s="83">
        <f t="shared" si="57"/>
        <v>846495.5799999996</v>
      </c>
      <c r="I375" s="83">
        <f>J375-2602896.14</f>
        <v>700824.1099999999</v>
      </c>
      <c r="J375" s="83">
        <v>3303720.25</v>
      </c>
      <c r="K375" s="56">
        <f t="shared" si="53"/>
        <v>0.005778254370407219</v>
      </c>
      <c r="L375" s="93">
        <f aca="true" t="shared" si="58" ref="L375:L381">D375-J375</f>
        <v>975310.0599999996</v>
      </c>
    </row>
    <row r="376" spans="1:12" ht="14.25">
      <c r="A376" s="74" t="s">
        <v>189</v>
      </c>
      <c r="B376" s="75" t="s">
        <v>190</v>
      </c>
      <c r="C376" s="82">
        <f>C377</f>
        <v>4748383</v>
      </c>
      <c r="D376" s="82">
        <f>D377</f>
        <v>4776043</v>
      </c>
      <c r="E376" s="82">
        <f>E377</f>
        <v>737036.9500000002</v>
      </c>
      <c r="F376" s="82">
        <f>F377</f>
        <v>3341153.74</v>
      </c>
      <c r="G376" s="70">
        <f t="shared" si="52"/>
        <v>0.005378408490259743</v>
      </c>
      <c r="H376" s="82">
        <f t="shared" si="57"/>
        <v>1434889.2599999998</v>
      </c>
      <c r="I376" s="82">
        <f>I377</f>
        <v>533524.02</v>
      </c>
      <c r="J376" s="82">
        <f>J377</f>
        <v>2916471.12</v>
      </c>
      <c r="K376" s="51">
        <f t="shared" si="53"/>
        <v>0.005100950056321034</v>
      </c>
      <c r="L376" s="92">
        <f t="shared" si="58"/>
        <v>1859571.88</v>
      </c>
    </row>
    <row r="377" spans="1:12" ht="15">
      <c r="A377" s="68" t="s">
        <v>28</v>
      </c>
      <c r="B377" s="62" t="s">
        <v>33</v>
      </c>
      <c r="C377" s="83">
        <v>4748383</v>
      </c>
      <c r="D377" s="83">
        <v>4776043</v>
      </c>
      <c r="E377" s="83">
        <f>F377-2604116.79</f>
        <v>737036.9500000002</v>
      </c>
      <c r="F377" s="83">
        <v>3341153.74</v>
      </c>
      <c r="G377" s="64">
        <f t="shared" si="52"/>
        <v>0.005378408490259743</v>
      </c>
      <c r="H377" s="83">
        <f t="shared" si="57"/>
        <v>1434889.2599999998</v>
      </c>
      <c r="I377" s="83">
        <f>J377-2382947.1</f>
        <v>533524.02</v>
      </c>
      <c r="J377" s="83">
        <v>2916471.12</v>
      </c>
      <c r="K377" s="56">
        <f t="shared" si="53"/>
        <v>0.005100950056321034</v>
      </c>
      <c r="L377" s="93">
        <f>D377-J377</f>
        <v>1859571.88</v>
      </c>
    </row>
    <row r="378" spans="1:12" ht="14.25">
      <c r="A378" s="74" t="s">
        <v>195</v>
      </c>
      <c r="B378" s="75" t="s">
        <v>196</v>
      </c>
      <c r="C378" s="82">
        <f>SUM(C379:C379)</f>
        <v>16343559</v>
      </c>
      <c r="D378" s="82">
        <f>SUM(D379:D380)</f>
        <v>20793813.17</v>
      </c>
      <c r="E378" s="82">
        <f>SUM(E379:E379)</f>
        <v>2216563.09</v>
      </c>
      <c r="F378" s="82">
        <f>SUM(F379:F379)</f>
        <v>10613093.37</v>
      </c>
      <c r="G378" s="70">
        <f t="shared" si="52"/>
        <v>0.01708438339898941</v>
      </c>
      <c r="H378" s="82">
        <f t="shared" si="57"/>
        <v>10180719.800000003</v>
      </c>
      <c r="I378" s="82">
        <f>SUM(I379:I379)</f>
        <v>2069753.2599999998</v>
      </c>
      <c r="J378" s="82">
        <f>SUM(J379:J379)</f>
        <v>9702121.09</v>
      </c>
      <c r="K378" s="51">
        <f t="shared" si="53"/>
        <v>0.01696914973067485</v>
      </c>
      <c r="L378" s="92">
        <f t="shared" si="58"/>
        <v>11091692.080000002</v>
      </c>
    </row>
    <row r="379" spans="1:12" ht="15">
      <c r="A379" s="68" t="s">
        <v>28</v>
      </c>
      <c r="B379" s="62" t="s">
        <v>33</v>
      </c>
      <c r="C379" s="83">
        <v>16343559</v>
      </c>
      <c r="D379" s="83">
        <v>20648113.17</v>
      </c>
      <c r="E379" s="83">
        <f>F379-8396530.28</f>
        <v>2216563.09</v>
      </c>
      <c r="F379" s="83">
        <v>10613093.37</v>
      </c>
      <c r="G379" s="70">
        <f t="shared" si="52"/>
        <v>0.01708438339898941</v>
      </c>
      <c r="H379" s="83">
        <f t="shared" si="57"/>
        <v>10035019.800000003</v>
      </c>
      <c r="I379" s="83">
        <f>J379-7632367.83</f>
        <v>2069753.2599999998</v>
      </c>
      <c r="J379" s="83">
        <v>9702121.09</v>
      </c>
      <c r="K379" s="56">
        <f t="shared" si="53"/>
        <v>0.01696914973067485</v>
      </c>
      <c r="L379" s="93">
        <f t="shared" si="58"/>
        <v>10945992.080000002</v>
      </c>
    </row>
    <row r="380" spans="1:12" ht="15">
      <c r="A380" s="68" t="s">
        <v>83</v>
      </c>
      <c r="B380" s="112" t="s">
        <v>85</v>
      </c>
      <c r="C380" s="99">
        <v>0</v>
      </c>
      <c r="D380" s="99">
        <v>145700</v>
      </c>
      <c r="E380" s="99">
        <f>F380-0</f>
        <v>0</v>
      </c>
      <c r="F380" s="99">
        <v>0</v>
      </c>
      <c r="G380" s="113">
        <f t="shared" si="52"/>
        <v>0</v>
      </c>
      <c r="H380" s="99">
        <f t="shared" si="57"/>
        <v>145700</v>
      </c>
      <c r="I380" s="99">
        <f>J380-0</f>
        <v>0</v>
      </c>
      <c r="J380" s="99">
        <v>0</v>
      </c>
      <c r="K380" s="110">
        <f t="shared" si="53"/>
        <v>0</v>
      </c>
      <c r="L380" s="111">
        <f t="shared" si="58"/>
        <v>145700</v>
      </c>
    </row>
    <row r="381" spans="1:12" ht="14.25">
      <c r="A381" s="74" t="s">
        <v>203</v>
      </c>
      <c r="B381" s="75" t="s">
        <v>204</v>
      </c>
      <c r="C381" s="82">
        <f>SUM(C382:C382)</f>
        <v>1034535</v>
      </c>
      <c r="D381" s="82">
        <f>SUM(D382:D383)</f>
        <v>921998.1</v>
      </c>
      <c r="E381" s="82">
        <f>SUM(E382:E383)</f>
        <v>309593.9</v>
      </c>
      <c r="F381" s="82">
        <f>SUM(F382:F383)</f>
        <v>921156.56</v>
      </c>
      <c r="G381" s="70">
        <f t="shared" si="52"/>
        <v>0.0014828279835942114</v>
      </c>
      <c r="H381" s="82">
        <f t="shared" si="57"/>
        <v>841.5399999999208</v>
      </c>
      <c r="I381" s="82">
        <f>SUM(I382:I383)</f>
        <v>209698.65000000002</v>
      </c>
      <c r="J381" s="82">
        <f>SUM(J382:J383)</f>
        <v>787519.31</v>
      </c>
      <c r="K381" s="51">
        <f t="shared" si="53"/>
        <v>0.0013773826324391654</v>
      </c>
      <c r="L381" s="92">
        <f t="shared" si="58"/>
        <v>134478.78999999992</v>
      </c>
    </row>
    <row r="382" spans="1:12" ht="15">
      <c r="A382" s="68" t="s">
        <v>28</v>
      </c>
      <c r="B382" s="62" t="s">
        <v>33</v>
      </c>
      <c r="C382" s="83">
        <v>1034535</v>
      </c>
      <c r="D382" s="83">
        <v>719546.1</v>
      </c>
      <c r="E382" s="83">
        <f>F382-577820.66</f>
        <v>140883.90000000002</v>
      </c>
      <c r="F382" s="83">
        <v>718704.56</v>
      </c>
      <c r="G382" s="64">
        <f t="shared" si="52"/>
        <v>0.0011569317093120034</v>
      </c>
      <c r="H382" s="83">
        <f>D382-F382</f>
        <v>841.5399999999208</v>
      </c>
      <c r="I382" s="83">
        <f>J382-577820.66</f>
        <v>140883.90000000002</v>
      </c>
      <c r="J382" s="83">
        <v>718704.56</v>
      </c>
      <c r="K382" s="56">
        <f t="shared" si="53"/>
        <v>0.0012570246420990391</v>
      </c>
      <c r="L382" s="93">
        <f>D382-J382</f>
        <v>841.5399999999208</v>
      </c>
    </row>
    <row r="383" spans="1:12" ht="15">
      <c r="A383" s="68" t="s">
        <v>207</v>
      </c>
      <c r="B383" s="62" t="s">
        <v>208</v>
      </c>
      <c r="C383" s="83">
        <v>0</v>
      </c>
      <c r="D383" s="83">
        <v>202452</v>
      </c>
      <c r="E383" s="83">
        <f>F383-33742</f>
        <v>168710</v>
      </c>
      <c r="F383" s="83">
        <v>202452</v>
      </c>
      <c r="G383" s="64">
        <f t="shared" si="52"/>
        <v>0.0003258962742822081</v>
      </c>
      <c r="H383" s="83">
        <f>D383-F383</f>
        <v>0</v>
      </c>
      <c r="I383" s="83">
        <f>J383-0</f>
        <v>68814.75</v>
      </c>
      <c r="J383" s="83">
        <v>68814.75</v>
      </c>
      <c r="K383" s="56">
        <f t="shared" si="53"/>
        <v>0.00012035799034012646</v>
      </c>
      <c r="L383" s="93">
        <f>D383-J383</f>
        <v>133637.25</v>
      </c>
    </row>
    <row r="384" spans="1:12" ht="14.25">
      <c r="A384" s="74" t="s">
        <v>211</v>
      </c>
      <c r="B384" s="75" t="s">
        <v>212</v>
      </c>
      <c r="C384" s="82">
        <f>C385</f>
        <v>706128951</v>
      </c>
      <c r="D384" s="82">
        <f>D385</f>
        <v>1712548233.8</v>
      </c>
      <c r="E384" s="82">
        <f>E385</f>
        <v>298825380.9100001</v>
      </c>
      <c r="F384" s="82">
        <f>F385</f>
        <v>1699773468.78</v>
      </c>
      <c r="G384" s="70">
        <f t="shared" si="52"/>
        <v>2.7362033499256473</v>
      </c>
      <c r="H384" s="82">
        <f>D384-F384</f>
        <v>12774765.01999998</v>
      </c>
      <c r="I384" s="82">
        <f>I385</f>
        <v>298825380.9100001</v>
      </c>
      <c r="J384" s="82">
        <f>J385</f>
        <v>1699773468.78</v>
      </c>
      <c r="K384" s="51">
        <f t="shared" si="53"/>
        <v>2.972928314581198</v>
      </c>
      <c r="L384" s="92">
        <f>D384-J384</f>
        <v>12774765.01999998</v>
      </c>
    </row>
    <row r="385" spans="1:12" ht="15">
      <c r="A385" s="68" t="s">
        <v>39</v>
      </c>
      <c r="B385" s="62" t="s">
        <v>41</v>
      </c>
      <c r="C385" s="83">
        <v>706128951</v>
      </c>
      <c r="D385" s="83">
        <v>1712548233.8</v>
      </c>
      <c r="E385" s="83">
        <f>F385-1400948087.87</f>
        <v>298825380.9100001</v>
      </c>
      <c r="F385" s="83">
        <v>1699773468.78</v>
      </c>
      <c r="G385" s="64">
        <f>(F385/$F$286)*100</f>
        <v>2.7362033499256473</v>
      </c>
      <c r="H385" s="83">
        <f>D385-F385</f>
        <v>12774765.01999998</v>
      </c>
      <c r="I385" s="83">
        <f>J385-1400948087.87</f>
        <v>298825380.9100001</v>
      </c>
      <c r="J385" s="83">
        <v>1699773468.78</v>
      </c>
      <c r="K385" s="56">
        <f>(J385/$J$286)*100</f>
        <v>2.972928314581198</v>
      </c>
      <c r="L385" s="93">
        <f>D385-J385</f>
        <v>12774765.01999998</v>
      </c>
    </row>
    <row r="386" spans="1:12" ht="14.25">
      <c r="A386" s="76" t="s">
        <v>221</v>
      </c>
      <c r="B386" s="77" t="s">
        <v>222</v>
      </c>
      <c r="C386" s="94">
        <v>0</v>
      </c>
      <c r="D386" s="94">
        <v>0</v>
      </c>
      <c r="E386" s="94">
        <f>F386-0</f>
        <v>0</v>
      </c>
      <c r="F386" s="94">
        <v>0</v>
      </c>
      <c r="G386" s="78">
        <f>(F386/$F$286)*100</f>
        <v>0</v>
      </c>
      <c r="H386" s="94">
        <f>D386-F386</f>
        <v>0</v>
      </c>
      <c r="I386" s="94">
        <f>J386-0</f>
        <v>0</v>
      </c>
      <c r="J386" s="94">
        <v>0</v>
      </c>
      <c r="K386" s="78">
        <f>(J386/$J$286)*100</f>
        <v>0</v>
      </c>
      <c r="L386" s="95">
        <f>D386-J386</f>
        <v>0</v>
      </c>
    </row>
    <row r="387" spans="1:12" ht="15.75">
      <c r="A387" s="44" t="s">
        <v>259</v>
      </c>
      <c r="B387" s="26"/>
      <c r="C387" s="26"/>
      <c r="D387" s="26"/>
      <c r="E387" s="26"/>
      <c r="F387" s="45"/>
      <c r="G387" s="38"/>
      <c r="H387" s="26"/>
      <c r="I387" s="26"/>
      <c r="J387" s="26"/>
      <c r="K387" s="26"/>
      <c r="L387" s="79" t="s">
        <v>227</v>
      </c>
    </row>
    <row r="388" spans="1:12" ht="15.75">
      <c r="A388" s="44" t="s">
        <v>260</v>
      </c>
      <c r="B388" s="26"/>
      <c r="C388" s="26"/>
      <c r="D388" s="26"/>
      <c r="E388" s="26"/>
      <c r="F388" s="26"/>
      <c r="G388" s="26"/>
      <c r="H388" s="26"/>
      <c r="I388" s="46"/>
      <c r="J388" s="26"/>
      <c r="K388" s="26"/>
      <c r="L388" s="26"/>
    </row>
    <row r="389" spans="1:12" ht="15.75">
      <c r="A389" s="44" t="s">
        <v>277</v>
      </c>
      <c r="B389" s="26"/>
      <c r="C389" s="26"/>
      <c r="D389" s="26"/>
      <c r="E389" s="26"/>
      <c r="F389" s="26"/>
      <c r="G389" s="26"/>
      <c r="H389" s="26"/>
      <c r="I389" s="26"/>
      <c r="J389" s="46"/>
      <c r="K389" s="26"/>
      <c r="L389" s="26"/>
    </row>
    <row r="390" spans="1:12" ht="15.75">
      <c r="A390" s="44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</row>
    <row r="391" spans="1:12" ht="15.75">
      <c r="A391" s="44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</row>
    <row r="392" spans="1:12" ht="15.75">
      <c r="A392" s="44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</row>
    <row r="393" spans="1:12" ht="15.75">
      <c r="A393" s="44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</row>
    <row r="394" spans="1:12" ht="15.75">
      <c r="A394" s="44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</row>
    <row r="395" spans="1:12" ht="15.75">
      <c r="A395" s="44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</row>
    <row r="396" spans="1:12" ht="15.75">
      <c r="A396" s="44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</row>
    <row r="397" spans="1:12" ht="15.75">
      <c r="A397" s="24"/>
      <c r="B397" s="26"/>
      <c r="C397" s="26"/>
      <c r="D397" s="26"/>
      <c r="E397" s="46"/>
      <c r="F397" s="26"/>
      <c r="G397" s="26"/>
      <c r="H397" s="26"/>
      <c r="I397" s="46"/>
      <c r="J397" s="26"/>
      <c r="K397" s="26"/>
      <c r="L397" s="26"/>
    </row>
    <row r="398" spans="1:12" ht="12.75">
      <c r="A398" s="39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</row>
    <row r="399" spans="1:12" ht="12.75">
      <c r="A399" s="39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</row>
    <row r="400" spans="1:13" ht="15.75">
      <c r="A400" s="121" t="s">
        <v>255</v>
      </c>
      <c r="B400" s="121"/>
      <c r="C400" s="116" t="s">
        <v>257</v>
      </c>
      <c r="D400" s="116"/>
      <c r="E400" s="116"/>
      <c r="F400" s="116"/>
      <c r="G400" s="116"/>
      <c r="H400" s="116"/>
      <c r="I400" s="116" t="s">
        <v>284</v>
      </c>
      <c r="J400" s="116"/>
      <c r="K400" s="116"/>
      <c r="L400" s="116"/>
      <c r="M400" s="106"/>
    </row>
    <row r="401" spans="1:13" ht="16.5">
      <c r="A401" s="121" t="s">
        <v>256</v>
      </c>
      <c r="B401" s="121"/>
      <c r="C401" s="116" t="s">
        <v>258</v>
      </c>
      <c r="D401" s="116"/>
      <c r="E401" s="116"/>
      <c r="F401" s="116"/>
      <c r="G401" s="116"/>
      <c r="H401" s="116"/>
      <c r="I401" s="124" t="s">
        <v>285</v>
      </c>
      <c r="J401" s="124"/>
      <c r="K401" s="124"/>
      <c r="L401" s="124"/>
      <c r="M401" s="107"/>
    </row>
    <row r="402" spans="1:13" ht="15.75">
      <c r="A402" s="121" t="s">
        <v>248</v>
      </c>
      <c r="B402" s="121"/>
      <c r="C402" s="116" t="s">
        <v>249</v>
      </c>
      <c r="D402" s="116"/>
      <c r="E402" s="116"/>
      <c r="F402" s="116"/>
      <c r="G402" s="116"/>
      <c r="H402" s="116"/>
      <c r="I402" s="116" t="s">
        <v>286</v>
      </c>
      <c r="J402" s="116"/>
      <c r="K402" s="116"/>
      <c r="L402" s="116"/>
      <c r="M402" s="106"/>
    </row>
    <row r="403" spans="1:12" ht="12.75">
      <c r="A403" s="39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</row>
    <row r="404" spans="1:12" ht="12.75">
      <c r="A404" s="39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</row>
    <row r="405" spans="1:12" ht="12.7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</row>
    <row r="406" spans="1:12" ht="12.7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</row>
    <row r="407" spans="1:12" ht="12.7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</row>
    <row r="408" spans="1:12" ht="15">
      <c r="A408" s="43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</row>
    <row r="409" spans="1:12" ht="12.75">
      <c r="A409" s="39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</row>
    <row r="410" spans="1:12" ht="12.75">
      <c r="A410" s="39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</row>
    <row r="411" spans="1:12" ht="12.75">
      <c r="A411" s="39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</row>
    <row r="412" spans="1:12" ht="12.75">
      <c r="A412" s="39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</row>
    <row r="413" spans="1:12" ht="12.75">
      <c r="A413" s="39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</row>
    <row r="414" spans="1:12" ht="12.75">
      <c r="A414" s="39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</row>
    <row r="415" spans="1:12" ht="12.75">
      <c r="A415" s="39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</row>
    <row r="416" spans="1:12" ht="12.75">
      <c r="A416" s="39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</row>
    <row r="417" spans="1:12" ht="12.75">
      <c r="A417" s="39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</row>
    <row r="418" spans="1:12" ht="12.75">
      <c r="A418" s="39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</row>
    <row r="419" spans="1:12" ht="12.75">
      <c r="A419" s="39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</row>
    <row r="420" spans="1:12" ht="12.75">
      <c r="A420" s="39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</row>
    <row r="421" spans="1:12" ht="12.75">
      <c r="A421" s="39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</row>
    <row r="422" spans="1:12" ht="12.75">
      <c r="A422" s="39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</row>
    <row r="423" spans="1:12" ht="12.75">
      <c r="A423" s="39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</row>
    <row r="424" spans="1:12" ht="12.75">
      <c r="A424" s="39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</row>
    <row r="425" spans="1:12" ht="12.75">
      <c r="A425" s="39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</row>
    <row r="426" spans="1:12" ht="12.75">
      <c r="A426" s="39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</row>
    <row r="427" spans="1:12" ht="12.75">
      <c r="A427" s="39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</row>
    <row r="428" spans="1:12" ht="12.75">
      <c r="A428" s="39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</row>
    <row r="429" spans="1:12" ht="12.75">
      <c r="A429" s="39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</row>
    <row r="430" spans="1:12" ht="12.75">
      <c r="A430" s="39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</row>
    <row r="431" spans="1:12" ht="12.75">
      <c r="A431" s="39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</row>
    <row r="432" spans="1:12" ht="12.75">
      <c r="A432" s="39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</row>
    <row r="433" spans="1:12" ht="12.75">
      <c r="A433" s="39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</row>
    <row r="434" spans="1:12" ht="12.75">
      <c r="A434" s="39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</row>
    <row r="435" spans="1:12" ht="12.75">
      <c r="A435" s="39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</row>
    <row r="436" spans="1:12" ht="12.75">
      <c r="A436" s="39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</row>
    <row r="437" spans="1:12" ht="12.75">
      <c r="A437" s="39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</row>
    <row r="438" spans="1:12" ht="12.75">
      <c r="A438" s="39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</row>
    <row r="439" spans="1:12" ht="12.75">
      <c r="A439" s="39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</row>
    <row r="440" spans="1:12" ht="12.75">
      <c r="A440" s="39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</row>
    <row r="441" spans="1:12" ht="12.75">
      <c r="A441" s="39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</row>
    <row r="442" spans="1:12" ht="12.75">
      <c r="A442" s="39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</row>
    <row r="443" spans="1:12" ht="12.75">
      <c r="A443" s="39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</row>
    <row r="444" spans="1:12" ht="12.75">
      <c r="A444" s="39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</row>
    <row r="445" spans="1:12" ht="12.75">
      <c r="A445" s="39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</row>
    <row r="446" spans="1:12" ht="12.75">
      <c r="A446" s="39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</row>
    <row r="447" spans="1:12" ht="12.75">
      <c r="A447" s="39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</row>
    <row r="448" spans="1:12" ht="12.75">
      <c r="A448" s="39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</row>
    <row r="449" spans="1:12" ht="12.75">
      <c r="A449" s="39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</row>
    <row r="450" spans="1:12" ht="12.75">
      <c r="A450" s="39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</row>
  </sheetData>
  <sheetProtection/>
  <mergeCells count="33">
    <mergeCell ref="A400:B400"/>
    <mergeCell ref="C400:H400"/>
    <mergeCell ref="I400:L400"/>
    <mergeCell ref="A401:B401"/>
    <mergeCell ref="C401:H401"/>
    <mergeCell ref="I401:L401"/>
    <mergeCell ref="A402:B402"/>
    <mergeCell ref="C402:H402"/>
    <mergeCell ref="I402:L402"/>
    <mergeCell ref="A286:B286"/>
    <mergeCell ref="E299:G299"/>
    <mergeCell ref="I299:K299"/>
    <mergeCell ref="A292:L292"/>
    <mergeCell ref="A293:L293"/>
    <mergeCell ref="A294:L294"/>
    <mergeCell ref="A295:L295"/>
    <mergeCell ref="A147:L147"/>
    <mergeCell ref="A148:L148"/>
    <mergeCell ref="A149:L149"/>
    <mergeCell ref="A150:L150"/>
    <mergeCell ref="A151:L151"/>
    <mergeCell ref="E154:G154"/>
    <mergeCell ref="I154:K154"/>
    <mergeCell ref="N319:O319"/>
    <mergeCell ref="M170:O170"/>
    <mergeCell ref="A4:L4"/>
    <mergeCell ref="A5:L5"/>
    <mergeCell ref="A6:L6"/>
    <mergeCell ref="A7:L7"/>
    <mergeCell ref="A8:L8"/>
    <mergeCell ref="E11:G11"/>
    <mergeCell ref="I11:K11"/>
    <mergeCell ref="A296:L296"/>
  </mergeCells>
  <printOptions horizontalCentered="1" verticalCentered="1"/>
  <pageMargins left="0.2362204724409449" right="0.2362204724409449" top="0" bottom="0" header="0" footer="0"/>
  <pageSetup fitToHeight="0" fitToWidth="1" horizontalDpi="600" verticalDpi="600" orientation="portrait" paperSize="9" scale="38" r:id="rId2"/>
  <rowBreaks count="2" manualBreakCount="2">
    <brk id="142" max="11" man="1"/>
    <brk id="287" max="11" man="1"/>
  </rowBreaks>
  <ignoredErrors>
    <ignoredError sqref="F165 H165 J165 J251 C304 C305 I303:J303 J311 J312 J313 I307 E304 I304" formulaRange="1"/>
    <ignoredError sqref="E171:F171 E26:F26 E286 F285 E282:F282 E29:F29 H27:H28 E35:F35 H30:H32 H34 E91:F91 H92 E97:F97 H96 H98:H100 E137:F137 H182 E221:F221 H222 E240:F240 H241 E257:F257 E270:F270 E276:F276 E322:F322 E328:F328 E332:F332 H329 H331 E334:F334 H333 E349:F349 F361 F372 E384:F384 H382 H326:H327 H368:H369 H384:H386 J361 J384 J349 H337:H339 H334:J334 H332:J332 H328:J328 H322:J322 H171:H172 H285:J286 H282:J282 H207:H208 H210:I210 H221:J221 H240:J240 H242:I242 H270:J270 H273:H275 H276:J276 H277:H281 H26:J26 H29:J29 H35:J35 H68:H71 H82:I82 H91:J91 H95:I95 H97:J97 H136 H137:J137 L26:L32 L34:L40 L56:L66 L313:L318 L326:L329 L357:L358 L381:L382 L384:L386 H36:H40 H58:I58 H101:I101 H138:H141 H184:H190 H223:I223 H236:I236 H73:H76 H108 H224:H226 H219:I219 H283:I284 H81 H237:H238 H265:H269 H174:H177 H381 I383:I384 L273:L283 H211:H216 H228:I230 L68:L71 L73:L76 L81:L85 L88:L89 L91:L92 L95:L106 H102:H106 L114:L116 E59 H59:H66 H109:I109 L123:L125 L136:L141 L171:L172 L174:L177 E177 L179:L182 L184:L190 E181 L192:L194 H192:H194 L202:L203 H202:H203 L210:L216 L205 H205 L240:L246 H243 L249:L253 L262:L263 H262:H263 L331:L335 H335 L366 H366 L368:L369 E78 H56:H57 I78 E165 E374:F374 F376 L308:L311 E370 E366:E368 E363 H54 H372:H379 H179:I181 I257:J257 L341:L342 H341:H342 I197 I204:I208 H249:H253 E210 H231:H234 F357 G247:I248 H357:H358 I59 L42:L45 L47:L49 L78:L79 H78:H79 L108:L109 L111 L118:L119 L121 L127:L134 H127:H134 I200 H196:H200 L197:L200 L207:L208 L219 L221:L226 L228:L234 L236:L238 I251 H257:H258 L257:L258 H260:I260 L260 L265:L271 H271 L322:L324 H323:H324 L337:L339 H344:H347 L344:L347 H360:H364 L361:L364 J351 J357 L54 H42:H45 G46:H46 F50:H52 H47:H49 F47 F44 H313:H318 H308:H311 E308:F308 E312 E311:F311 E305:E306 E313:F313 I374:J374 E251:E255 H83:H85 E118:F118 F112:H113 E117:I117 F114 H118:J118 H111 E116:F116 H169:I169 E235 H305:H306 G312:H312 L372:L379 I24 H88:I89 H116:I116 H114:H115 H119 H123:H125 G235:I235 J171 I170:I171 I173:I174 I177:I178 E357:E361 D378:F378 I363 I365:I368 I370 I372:J372 I376:J376 I378:J378 G120:I120 G122:I122 I231 E244:E248 F245 E43:E56 I43:I53 E88 E111:E115 I111:I115 E169 E179 E208 I233:I234 H244:I246 E274 I274 I305 H349:I352 I357:I361 E372:E373 E375:E376 F49 E120:E122 H121:I121 E228 E350 L349:L352 I355 E355 H354:H355 L354:L355 E352 I373 I375 E109" formula="1"/>
    <ignoredError sqref="A15:A21 A22:B22 A33:B33 A87:B87 A117:B117 A126:B126 A173:B173 A174:A182 A183:B183 A184:A190 A191:B191 A204:B204 A247:B247 A248:A253 A264:B264 A330:B330 M330:IV330 A23:A32 A88:A116 A118:A125 A127:A141 A157:A172 A192:A203 A205:A246 A254:B255 A256:A263 A265:A285 A34:A86 A303:A329 A356:A386 A331:A352 A354:A355" numberStoredAsText="1"/>
    <ignoredError sqref="G384:G386 G326:G329 G262:G263 G202:G203 G192:G194 G179:G182 G174:G177 G273:G286 G171:G172 K174:K177 K282:K284 K273:K280 K262:K263 K202:K203 K192:K194 K171:K172 K249:K253 K240:K246 K179:K182 K286 G136:G141 G95:G106 G91:G92 G81:G85 G73:G76 K136:K141 K123:K125 K95:K106 K91:K92 K81:K85 K56:K66 K42:K45 K34:K40 K73:K76 K384:K386 K357:K358 K341:K342 K331:K335 K326:K329 K313:K318 K308:K310 G210:G216 K210:K216 K68:K71 G68:G71 K88:K89 G88:G89 K114:K116 K184:K190 G184:G190 K205 G205 K26:K32 G26:G32 G34:G40 G249:G253 K47:K49 K78:K79 G78:G79 G108:G109 K108:K109 K111 K118:K119 K121 K127:K134 G127:G134 K196:K200 G196:G200 K207:K208 G207:G208 K219 G219 K221:K226 G221:G226 K228:K234 G228:G234 K236:K238 G236:G238 K257:K258 G257:G258 K260 G260 K265:K271 G266:G271 K322:K324 G322:G324 K337:K339 K344:K347 K361:K364 G361:G364 G344:G347 G337:G339 G368:G369 G381:G382 G357:G358 G366 G331:G335 G341:G342 K54 G54 G56:G66 G47:G49 G42:G45 G308:G311 G313:G318 G305:G306 G111 G118:G119 G114:G116 G123:G125 G169 G372:G379 K372:K379 K366 K368:K369 K381:K382 G240:G246 G121 G349:G352 K349:K352 G354:G355 K354:K355 G165 K165 J177 J181 J363 I165 I306 I313 I312 I308:J308 I311" evalError="1" formula="1"/>
    <ignoredError sqref="G302:G304 G170 K169:K170 K281 K285 K302:K306 K311 G320 G383 K14:K21 K22:K25 G41 G33 G14:G25 K166 G166 G370:G371 G367 G359:G360 G330 G343 G336 G340 G348 G365 G380 K383 K365 K370:K371 K367 K380" evalError="1"/>
    <ignoredError sqref="G165 K165" evalError="1" formulaRange="1"/>
    <ignoredError sqref="J177 J181 J363 I165 I306 I313 I312 I308:J308 I311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2021-11-18T21:15:53Z</cp:lastPrinted>
  <dcterms:created xsi:type="dcterms:W3CDTF">2005-03-08T15:13:02Z</dcterms:created>
  <dcterms:modified xsi:type="dcterms:W3CDTF">2021-11-25T15:08:31Z</dcterms:modified>
  <cp:category/>
  <cp:version/>
  <cp:contentType/>
  <cp:contentStatus/>
</cp:coreProperties>
</file>