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8" windowWidth="7680" windowHeight="7536" activeTab="0"/>
  </bookViews>
  <sheets>
    <sheet name="Anexo II - 4º BIM" sheetId="1" r:id="rId1"/>
  </sheets>
  <definedNames>
    <definedName name="_xlnm.Print_Area" localSheetId="0">'Anexo II - 4º BIM'!$A$1:$L$438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<sst xmlns="http://schemas.openxmlformats.org/spreadsheetml/2006/main" count="781" uniqueCount="287">
  <si>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</si>
  <si>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</si>
  <si>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</si>
  <si>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</si>
  <si>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</si>
  <si>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</si>
  <si>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</si>
  <si>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</si>
  <si>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</si>
  <si>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</si>
  <si>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</si>
  <si>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</si>
  <si>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</si>
  <si>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</si>
  <si>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</si>
  <si>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</si>
  <si>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</si>
  <si>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</si>
  <si>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</si>
  <si>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</si>
  <si>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</si>
  <si>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</si>
  <si>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</si>
  <si>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</si>
  <si>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</si>
  <si>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</si>
  <si>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</si>
  <si>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</si>
  <si>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</si>
  <si>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</si>
  <si>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</si>
  <si>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</si>
  <si>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</si>
  <si>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</si>
  <si>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</si>
  <si>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</si>
  <si>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</si>
  <si>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</si>
  <si>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</si>
  <si>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</si>
  <si>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</si>
  <si>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</si>
  <si>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</si>
  <si>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</si>
  <si>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</si>
  <si>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</si>
  <si>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</si>
  <si>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</si>
  <si>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</si>
  <si>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</si>
  <si>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</si>
  <si>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</si>
  <si>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</si>
  <si>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</si>
  <si>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</si>
  <si>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</si>
  <si>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</si>
  <si>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</si>
  <si>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</si>
  <si>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</si>
  <si>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</si>
  <si>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</si>
  <si>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</si>
  <si>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</si>
  <si>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</si>
  <si>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</si>
  <si>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</si>
  <si>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</si>
  <si>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</si>
  <si>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</si>
  <si>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</si>
  <si>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</si>
  <si>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</si>
  <si>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</si>
  <si>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</si>
  <si>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</si>
  <si>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</si>
  <si>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</si>
  <si>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</si>
  <si>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</si>
  <si>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</si>
  <si>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</si>
  <si>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</si>
  <si>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</si>
  <si>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</si>
  <si>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</si>
  <si>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</si>
  <si>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</si>
  <si>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</si>
  <si>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</si>
  <si>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</si>
  <si>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</si>
  <si>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</si>
  <si>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</si>
  <si>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</si>
  <si>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</si>
  <si>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</si>
  <si>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</si>
  <si>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</si>
  <si>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</si>
  <si>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</si>
  <si>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</si>
  <si>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</si>
  <si>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</si>
  <si>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</si>
  <si>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</si>
  <si>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</si>
  <si>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</si>
  <si>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</si>
  <si>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</si>
  <si>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</si>
  <si>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</si>
  <si>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</si>
  <si>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</si>
  <si>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</si>
  <si>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</si>
  <si>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</si>
  <si>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</si>
  <si>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</si>
  <si>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</si>
  <si>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</si>
  <si>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</si>
  <si>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</si>
  <si>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</si>
  <si>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</si>
  <si>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</si>
  <si>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</si>
  <si>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</si>
  <si>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</si>
  <si>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</si>
  <si>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</si>
  <si>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</si>
  <si>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</si>
  <si>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</si>
  <si>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</si>
  <si>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</si>
  <si>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</si>
  <si>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</si>
  <si>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</si>
  <si>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</si>
  <si>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</si>
  <si>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</si>
  <si>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</si>
  <si>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</si>
  <si>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</si>
  <si>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</si>
  <si>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</si>
  <si>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</si>
  <si>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</si>
  <si>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</si>
  <si>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</si>
  <si>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</si>
  <si>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</si>
  <si>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</si>
  <si>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</si>
  <si>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</si>
  <si>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</si>
  <si>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</si>
  <si>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</si>
  <si>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</si>
  <si>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</si>
  <si>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</si>
  <si>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</si>
  <si>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</si>
  <si>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</si>
  <si>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</si>
  <si>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</si>
  <si>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</si>
  <si>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</si>
  <si>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</si>
  <si>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</si>
  <si>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</si>
  <si>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</si>
  <si>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</si>
  <si>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</si>
  <si>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</si>
  <si>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</si>
  <si>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</si>
  <si>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</si>
  <si>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</si>
  <si>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</si>
  <si>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</si>
  <si>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</si>
  <si>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</si>
  <si>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</si>
  <si>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</si>
  <si>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</si>
  <si>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</si>
  <si>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</si>
  <si>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</si>
  <si>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</si>
  <si>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</si>
  <si>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</si>
  <si>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</si>
  <si>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</si>
  <si>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</si>
  <si>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</si>
  <si>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</si>
  <si>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</si>
  <si>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</si>
  <si>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</si>
  <si>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</si>
  <si>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</si>
  <si>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</si>
  <si>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</si>
  <si>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</si>
  <si>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</si>
  <si>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</si>
  <si>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</si>
  <si>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</si>
  <si>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</si>
  <si>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</si>
  <si>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</si>
  <si>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</si>
  <si>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</si>
  <si>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</si>
  <si>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</si>
  <si>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</si>
  <si>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</si>
  <si>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</si>
  <si>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</si>
  <si>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</si>
  <si>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</si>
  <si>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</si>
  <si>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</si>
  <si>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</si>
  <si>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</si>
  <si>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</si>
  <si>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</si>
  <si>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</si>
  <si>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</si>
  <si>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</si>
  <si>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</si>
  <si>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</si>
  <si>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</si>
  <si>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</si>
  <si>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</si>
  <si>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</si>
  <si>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</si>
  <si>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</si>
  <si>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</si>
  <si>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</si>
  <si>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</si>
  <si>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</si>
  <si>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</si>
  <si>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</si>
  <si>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</si>
  <si>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</si>
  <si>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</si>
  <si>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</si>
  <si>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</si>
  <si>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</si>
  <si>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</si>
  <si>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</si>
  <si>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</si>
  <si>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</si>
  <si>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</si>
  <si>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</si>
  <si>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</si>
  <si>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</si>
  <si>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</si>
  <si>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</si>
  <si>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</si>
  <si>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Assistência ao Portador de Deficiência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</si>
  <si>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</si>
  <si>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</si>
  <si>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</si>
  <si>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</si>
  <si>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</si>
  <si>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</si>
  <si>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</si>
  <si>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</si>
  <si>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</si>
  <si>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</si>
  <si>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</si>
  <si>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</si>
  <si>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</si>
  <si>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 xml:space="preserve">          2 - Imprensa Oficial, CEDAE e AGERIO não constam nos Orçamentos Fiscal e da Seguridade Social no exercício de 2021.</t>
  </si>
  <si>
    <t>753</t>
  </si>
  <si>
    <t>Petróleo</t>
  </si>
  <si>
    <t>25</t>
  </si>
  <si>
    <t>Energia</t>
  </si>
  <si>
    <t>Subsecretário de Estado - ID: 5.015.471-0</t>
  </si>
  <si>
    <t>Carlos César dos Santos Soares</t>
  </si>
  <si>
    <t>Contador - CRC-RJ-105516/ O-5</t>
  </si>
  <si>
    <t>JANEIRO A AGOSTO 2021/BIMESTRE JULHO - AGOSTO</t>
  </si>
  <si>
    <t>Emissão: 20/09/2021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</si>
</sst>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1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9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1" fontId="6" fillId="34" borderId="17" xfId="63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4" borderId="0" xfId="49" applyFont="1" applyFill="1" applyAlignment="1">
      <alignment/>
      <protection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63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49" applyFont="1" applyFill="1" applyAlignment="1">
      <alignment horizontal="center"/>
      <protection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0</xdr:row>
      <xdr:rowOff>85725</xdr:rowOff>
    </xdr:from>
    <xdr:to>
      <xdr:col>5</xdr:col>
      <xdr:colOff>228600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8572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142</xdr:row>
      <xdr:rowOff>66675</xdr:rowOff>
    </xdr:from>
    <xdr:to>
      <xdr:col>5</xdr:col>
      <xdr:colOff>180975</xdr:colOff>
      <xdr:row>145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2605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287</xdr:row>
      <xdr:rowOff>133350</xdr:rowOff>
    </xdr:from>
    <xdr:to>
      <xdr:col>5</xdr:col>
      <xdr:colOff>171450</xdr:colOff>
      <xdr:row>290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4930675"/>
          <a:ext cx="857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8"/>
  <sheetViews>
    <sheetView tabSelected="1" zoomScale="80" zoomScaleNormal="80" zoomScalePageLayoutView="0" workbookViewId="0" topLeftCell="A378">
      <selection activeCell="A413" sqref="A413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">
      <c r="A4" s="115" t="s">
        <v>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4"/>
    </row>
    <row r="5" spans="1:13" s="5" customFormat="1" ht="1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</row>
    <row r="6" spans="1:13" s="5" customFormat="1" ht="1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6"/>
    </row>
    <row r="7" spans="1:13" s="5" customFormat="1" ht="15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4"/>
    </row>
    <row r="8" spans="1:13" s="5" customFormat="1" ht="15">
      <c r="A8" s="115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4"/>
    </row>
    <row r="9" spans="1:12" ht="15">
      <c r="A9" s="24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">
      <c r="A11" s="11"/>
      <c r="B11" s="12"/>
      <c r="C11" s="13" t="s">
        <v>3</v>
      </c>
      <c r="D11" s="13" t="s">
        <v>3</v>
      </c>
      <c r="E11" s="119" t="s">
        <v>4</v>
      </c>
      <c r="F11" s="120"/>
      <c r="G11" s="121"/>
      <c r="H11" s="13" t="s">
        <v>18</v>
      </c>
      <c r="I11" s="119" t="s">
        <v>5</v>
      </c>
      <c r="J11" s="120"/>
      <c r="K11" s="120"/>
      <c r="L11" s="14" t="s">
        <v>18</v>
      </c>
      <c r="M11" s="8"/>
    </row>
    <row r="12" spans="1:13" s="7" customFormat="1" ht="1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80">
        <f>C15+C26+C29+C35+C59+C78+C91+C97+C109+C118+C137+C157+C165+C171+C177+C181+C192+C202+C221+C225+C240+C251+C255+C257+C270+C276+C282</f>
        <v>84698661868</v>
      </c>
      <c r="D14" s="80">
        <f>D15+D26+D29+D35+D59+D78+D91+D97+D109+D118+D137+D157+D165+D171+D177+D181+D192+D202+D221+D225+D240+D251+D255+D257+D270+D276+D282</f>
        <v>90356036394.59999</v>
      </c>
      <c r="E14" s="80">
        <f>E15+E26+E29+E35+E59+E78+E91+E97+E109+E118+E137+E157+E165+E171+E177+E181+E192+E202+E221+E225+E240+E251+E255+E257+E270+E276+E282</f>
        <v>11512972394.4</v>
      </c>
      <c r="F14" s="80">
        <f>F15+F26+F29+F35+F59+F78+F91+F97+F109+F118+F137+F157+F165+F171+F177+F181+F192+F202+F221+F225+F240+F251+F255+F257+F270+F276+F282</f>
        <v>44231887431.82</v>
      </c>
      <c r="G14" s="49">
        <f aca="true" t="shared" si="0" ref="G14:G45">(F14/$F$286)*100</f>
        <v>91.87332352850373</v>
      </c>
      <c r="H14" s="81">
        <f>D14-F14</f>
        <v>46124148962.77999</v>
      </c>
      <c r="I14" s="81">
        <f>I15+I26+I29+I35+I59+I78+I91+I97+I109+I118+I137+I157+I165+I171+I177+I181+I192+I202+I221+I225+I240+I251+I255+I257+I270+I276+I282</f>
        <v>10762868968.029999</v>
      </c>
      <c r="J14" s="81">
        <f>J15+J26+J29+J35+J59+J78+J91+J97+J109+J118+J137+J157+J165+J171+J177+J181+J192+J202+J221+J225+J240+J251+J255+J257+J270+J276+J282</f>
        <v>40393743897.28001</v>
      </c>
      <c r="K14" s="49">
        <f aca="true" t="shared" si="1" ref="K14:K45">(J14/$J$286)*100</f>
        <v>91.54597720295918</v>
      </c>
      <c r="L14" s="98">
        <f>D14-J14</f>
        <v>49962292497.319984</v>
      </c>
      <c r="M14" s="8"/>
    </row>
    <row r="15" spans="1:13" s="7" customFormat="1" ht="15">
      <c r="A15" s="47" t="s">
        <v>25</v>
      </c>
      <c r="B15" s="50" t="s">
        <v>24</v>
      </c>
      <c r="C15" s="82">
        <f>SUM(C16:C25)</f>
        <v>1909992784</v>
      </c>
      <c r="D15" s="82">
        <f>SUM(D16:D25)</f>
        <v>2039227769.59</v>
      </c>
      <c r="E15" s="82">
        <f>SUM(E16:E25)</f>
        <v>433132552.25999993</v>
      </c>
      <c r="F15" s="82">
        <f>SUM(F16:F25)</f>
        <v>1210432055.54</v>
      </c>
      <c r="G15" s="49">
        <f t="shared" si="0"/>
        <v>2.514168449612606</v>
      </c>
      <c r="H15" s="82">
        <f>D15-F15</f>
        <v>828795714.05</v>
      </c>
      <c r="I15" s="82">
        <f>SUM(I16:I25)</f>
        <v>291673165.59</v>
      </c>
      <c r="J15" s="82">
        <f>SUM(J16:J25)</f>
        <v>935998319.2</v>
      </c>
      <c r="K15" s="51">
        <f t="shared" si="1"/>
        <v>2.1212908862667024</v>
      </c>
      <c r="L15" s="85">
        <f>D15-J15</f>
        <v>1103229450.3899999</v>
      </c>
      <c r="M15" s="8"/>
    </row>
    <row r="16" spans="1:13" s="7" customFormat="1" ht="15">
      <c r="A16" s="52" t="s">
        <v>26</v>
      </c>
      <c r="B16" s="53" t="s">
        <v>31</v>
      </c>
      <c r="C16" s="83">
        <v>13496000</v>
      </c>
      <c r="D16" s="83">
        <v>13496000</v>
      </c>
      <c r="E16" s="83">
        <f>F16-2177293.06</f>
        <v>21491.489999999758</v>
      </c>
      <c r="F16" s="83">
        <v>2198784.55</v>
      </c>
      <c r="G16" s="55">
        <f t="shared" si="0"/>
        <v>0.00456705910736926</v>
      </c>
      <c r="H16" s="83">
        <f aca="true" t="shared" si="2" ref="H16:H141">D16-F16</f>
        <v>11297215.45</v>
      </c>
      <c r="I16" s="83">
        <f>J16-976748.95</f>
        <v>975379.44</v>
      </c>
      <c r="J16" s="83">
        <v>1952128.39</v>
      </c>
      <c r="K16" s="56">
        <f t="shared" si="1"/>
        <v>0.00442418760545301</v>
      </c>
      <c r="L16" s="86">
        <f aca="true" t="shared" si="3" ref="L16:L141">D16-J16</f>
        <v>11543871.61</v>
      </c>
      <c r="M16" s="8"/>
    </row>
    <row r="17" spans="1:13" s="7" customFormat="1" ht="15">
      <c r="A17" s="52" t="s">
        <v>27</v>
      </c>
      <c r="B17" s="53" t="s">
        <v>32</v>
      </c>
      <c r="C17" s="83">
        <v>20002425</v>
      </c>
      <c r="D17" s="83">
        <v>20002425</v>
      </c>
      <c r="E17" s="83">
        <f>F17-1558992</f>
        <v>128381.04000000004</v>
      </c>
      <c r="F17" s="83">
        <v>1687373.04</v>
      </c>
      <c r="G17" s="56">
        <f t="shared" si="0"/>
        <v>0.0035048146985848867</v>
      </c>
      <c r="H17" s="83">
        <f t="shared" si="2"/>
        <v>18315051.96</v>
      </c>
      <c r="I17" s="83">
        <f>J17-982875.6</f>
        <v>15675</v>
      </c>
      <c r="J17" s="83">
        <v>998550.6</v>
      </c>
      <c r="K17" s="56">
        <f t="shared" si="1"/>
        <v>0.0022630556527778725</v>
      </c>
      <c r="L17" s="86">
        <f t="shared" si="3"/>
        <v>19003874.4</v>
      </c>
      <c r="M17" s="8"/>
    </row>
    <row r="18" spans="1:13" s="7" customFormat="1" ht="15">
      <c r="A18" s="52" t="s">
        <v>28</v>
      </c>
      <c r="B18" s="53" t="s">
        <v>33</v>
      </c>
      <c r="C18" s="83">
        <v>1842034085</v>
      </c>
      <c r="D18" s="83">
        <v>1971279070.59</v>
      </c>
      <c r="E18" s="83">
        <f>F18-768112559.07</f>
        <v>432701601.65999997</v>
      </c>
      <c r="F18" s="83">
        <v>1200814160.73</v>
      </c>
      <c r="G18" s="56">
        <f t="shared" si="0"/>
        <v>2.49419127900454</v>
      </c>
      <c r="H18" s="83">
        <f t="shared" si="2"/>
        <v>770464909.8599999</v>
      </c>
      <c r="I18" s="83">
        <f>J18-641046700.7</f>
        <v>289734667.62</v>
      </c>
      <c r="J18" s="83">
        <v>930781368.32</v>
      </c>
      <c r="K18" s="56">
        <f t="shared" si="1"/>
        <v>2.1094674992703415</v>
      </c>
      <c r="L18" s="86">
        <f t="shared" si="3"/>
        <v>1040497702.2699999</v>
      </c>
      <c r="M18" s="8"/>
    </row>
    <row r="19" spans="1:13" s="7" customFormat="1" ht="15">
      <c r="A19" s="52" t="s">
        <v>50</v>
      </c>
      <c r="B19" s="53" t="s">
        <v>57</v>
      </c>
      <c r="C19" s="83">
        <v>26553600</v>
      </c>
      <c r="D19" s="83">
        <v>26553600</v>
      </c>
      <c r="E19" s="83">
        <f>F19-4777668.32</f>
        <v>98944.23999999929</v>
      </c>
      <c r="F19" s="83">
        <v>4876612.56</v>
      </c>
      <c r="G19" s="56">
        <f t="shared" si="0"/>
        <v>0.010129131480962663</v>
      </c>
      <c r="H19" s="83">
        <f>D19-F19</f>
        <v>21676987.44</v>
      </c>
      <c r="I19" s="83">
        <f>J19-1052858.13</f>
        <v>905412.78</v>
      </c>
      <c r="J19" s="83">
        <v>1958270.91</v>
      </c>
      <c r="K19" s="56">
        <f t="shared" si="1"/>
        <v>0.0044381086472192475</v>
      </c>
      <c r="L19" s="86">
        <f>D19-J19</f>
        <v>24595329.09</v>
      </c>
      <c r="M19" s="8"/>
    </row>
    <row r="20" spans="1:13" s="7" customFormat="1" ht="15">
      <c r="A20" s="52" t="s">
        <v>29</v>
      </c>
      <c r="B20" s="53" t="s">
        <v>34</v>
      </c>
      <c r="C20" s="83">
        <v>4826900</v>
      </c>
      <c r="D20" s="83">
        <v>4816900</v>
      </c>
      <c r="E20" s="83">
        <f>F20-660610.43</f>
        <v>182133.82999999996</v>
      </c>
      <c r="F20" s="83">
        <v>842744.26</v>
      </c>
      <c r="G20" s="56">
        <f t="shared" si="0"/>
        <v>0.0017504501965943723</v>
      </c>
      <c r="H20" s="83">
        <f t="shared" si="2"/>
        <v>3974155.74</v>
      </c>
      <c r="I20" s="83">
        <f>J20-264498.23</f>
        <v>42030.75</v>
      </c>
      <c r="J20" s="83">
        <v>306528.98</v>
      </c>
      <c r="K20" s="56">
        <f t="shared" si="1"/>
        <v>0.0006946990377144987</v>
      </c>
      <c r="L20" s="86">
        <f t="shared" si="3"/>
        <v>4510371.02</v>
      </c>
      <c r="M20" s="8"/>
    </row>
    <row r="21" spans="1:13" s="7" customFormat="1" ht="15">
      <c r="A21" s="52" t="s">
        <v>164</v>
      </c>
      <c r="B21" s="53" t="s">
        <v>165</v>
      </c>
      <c r="C21" s="83">
        <v>1000000</v>
      </c>
      <c r="D21" s="83">
        <v>1000000</v>
      </c>
      <c r="E21" s="83">
        <f>F21-0</f>
        <v>0</v>
      </c>
      <c r="F21" s="83">
        <v>0</v>
      </c>
      <c r="G21" s="56">
        <f t="shared" si="0"/>
        <v>0</v>
      </c>
      <c r="H21" s="83">
        <f t="shared" si="2"/>
        <v>1000000</v>
      </c>
      <c r="I21" s="83">
        <f>J21-0</f>
        <v>0</v>
      </c>
      <c r="J21" s="83">
        <v>0</v>
      </c>
      <c r="K21" s="56">
        <f t="shared" si="1"/>
        <v>0</v>
      </c>
      <c r="L21" s="86">
        <f t="shared" si="3"/>
        <v>1000000</v>
      </c>
      <c r="M21" s="8"/>
    </row>
    <row r="22" spans="1:13" s="7" customFormat="1" ht="15">
      <c r="A22" s="52" t="s">
        <v>117</v>
      </c>
      <c r="B22" s="53" t="s">
        <v>124</v>
      </c>
      <c r="C22" s="83">
        <v>500000</v>
      </c>
      <c r="D22" s="83">
        <v>500000</v>
      </c>
      <c r="E22" s="83">
        <f>F22-0</f>
        <v>0</v>
      </c>
      <c r="F22" s="83">
        <v>0</v>
      </c>
      <c r="G22" s="56">
        <f t="shared" si="0"/>
        <v>0</v>
      </c>
      <c r="H22" s="83">
        <f t="shared" si="2"/>
        <v>500000</v>
      </c>
      <c r="I22" s="83">
        <f>J22-0</f>
        <v>0</v>
      </c>
      <c r="J22" s="83">
        <v>0</v>
      </c>
      <c r="K22" s="56">
        <f t="shared" si="1"/>
        <v>0</v>
      </c>
      <c r="L22" s="86">
        <f t="shared" si="3"/>
        <v>500000</v>
      </c>
      <c r="M22" s="8"/>
    </row>
    <row r="23" spans="1:13" s="7" customFormat="1" ht="15">
      <c r="A23" s="52" t="s">
        <v>53</v>
      </c>
      <c r="B23" s="53" t="s">
        <v>60</v>
      </c>
      <c r="C23" s="83">
        <v>1349774</v>
      </c>
      <c r="D23" s="83">
        <v>1349774</v>
      </c>
      <c r="E23" s="83">
        <v>0</v>
      </c>
      <c r="F23" s="83">
        <v>0</v>
      </c>
      <c r="G23" s="56">
        <f t="shared" si="0"/>
        <v>0</v>
      </c>
      <c r="H23" s="83">
        <f t="shared" si="2"/>
        <v>1349774</v>
      </c>
      <c r="I23" s="83">
        <f>J23-0</f>
        <v>0</v>
      </c>
      <c r="J23" s="83">
        <v>0</v>
      </c>
      <c r="K23" s="56">
        <f t="shared" si="1"/>
        <v>0</v>
      </c>
      <c r="L23" s="86">
        <f t="shared" si="3"/>
        <v>1349774</v>
      </c>
      <c r="M23" s="8"/>
    </row>
    <row r="24" spans="1:13" s="7" customFormat="1" ht="15">
      <c r="A24" s="52" t="s">
        <v>30</v>
      </c>
      <c r="B24" s="53" t="s">
        <v>35</v>
      </c>
      <c r="C24" s="83">
        <v>130000</v>
      </c>
      <c r="D24" s="83">
        <v>130000</v>
      </c>
      <c r="E24" s="83">
        <f>F24-12380.4</f>
        <v>0</v>
      </c>
      <c r="F24" s="83">
        <v>12380.4</v>
      </c>
      <c r="G24" s="56">
        <f t="shared" si="0"/>
        <v>2.5715124555006717E-05</v>
      </c>
      <c r="H24" s="83">
        <f t="shared" si="2"/>
        <v>117619.6</v>
      </c>
      <c r="I24" s="83">
        <f>J24-1472</f>
        <v>0</v>
      </c>
      <c r="J24" s="83">
        <v>1472</v>
      </c>
      <c r="K24" s="56">
        <f t="shared" si="1"/>
        <v>3.3360531963918787E-06</v>
      </c>
      <c r="L24" s="86">
        <f t="shared" si="3"/>
        <v>128528</v>
      </c>
      <c r="M24" s="8"/>
    </row>
    <row r="25" spans="1:13" s="7" customFormat="1" ht="15">
      <c r="A25" s="52" t="s">
        <v>160</v>
      </c>
      <c r="B25" s="53" t="s">
        <v>161</v>
      </c>
      <c r="C25" s="83">
        <v>100000</v>
      </c>
      <c r="D25" s="83">
        <v>100000</v>
      </c>
      <c r="E25" s="83">
        <f>F25-0</f>
        <v>0</v>
      </c>
      <c r="F25" s="83">
        <v>0</v>
      </c>
      <c r="G25" s="56">
        <f t="shared" si="0"/>
        <v>0</v>
      </c>
      <c r="H25" s="83">
        <f t="shared" si="2"/>
        <v>100000</v>
      </c>
      <c r="I25" s="83">
        <f>J25-0</f>
        <v>0</v>
      </c>
      <c r="J25" s="83">
        <v>0</v>
      </c>
      <c r="K25" s="56">
        <f t="shared" si="1"/>
        <v>0</v>
      </c>
      <c r="L25" s="86">
        <f t="shared" si="3"/>
        <v>100000</v>
      </c>
      <c r="M25" s="8"/>
    </row>
    <row r="26" spans="1:13" s="7" customFormat="1" ht="15">
      <c r="A26" s="47" t="s">
        <v>36</v>
      </c>
      <c r="B26" s="50" t="s">
        <v>37</v>
      </c>
      <c r="C26" s="82">
        <f>SUM(C27:C28)</f>
        <v>4796855554</v>
      </c>
      <c r="D26" s="82">
        <f>SUM(D27:D28)</f>
        <v>4796855554</v>
      </c>
      <c r="E26" s="82">
        <f>SUM(E27:E28)</f>
        <v>739017616.5900002</v>
      </c>
      <c r="F26" s="82">
        <f>SUM(F27:F28)</f>
        <v>3026764467.5</v>
      </c>
      <c r="G26" s="56">
        <f t="shared" si="0"/>
        <v>6.286842531778544</v>
      </c>
      <c r="H26" s="82">
        <f t="shared" si="2"/>
        <v>1770091086.5</v>
      </c>
      <c r="I26" s="82">
        <f>SUM(I27:I28)</f>
        <v>699490419.7000002</v>
      </c>
      <c r="J26" s="82">
        <f>SUM(J27:J28)</f>
        <v>2570061721.7</v>
      </c>
      <c r="K26" s="51">
        <f t="shared" si="1"/>
        <v>5.824634933153328</v>
      </c>
      <c r="L26" s="85">
        <f t="shared" si="3"/>
        <v>2226793832.3</v>
      </c>
      <c r="M26" s="8"/>
    </row>
    <row r="27" spans="1:13" s="7" customFormat="1" ht="15">
      <c r="A27" s="52" t="s">
        <v>38</v>
      </c>
      <c r="B27" s="53" t="s">
        <v>40</v>
      </c>
      <c r="C27" s="83">
        <v>1741611727</v>
      </c>
      <c r="D27" s="83">
        <v>1741611727</v>
      </c>
      <c r="E27" s="83">
        <f>F27-1000200747.56</f>
        <v>268993816.70000005</v>
      </c>
      <c r="F27" s="83">
        <v>1269194564.26</v>
      </c>
      <c r="G27" s="56">
        <f t="shared" si="0"/>
        <v>2.6362230868536862</v>
      </c>
      <c r="H27" s="83">
        <f t="shared" si="2"/>
        <v>472417162.74</v>
      </c>
      <c r="I27" s="83">
        <f>J27-583025198.65</f>
        <v>229466619.81000006</v>
      </c>
      <c r="J27" s="83">
        <v>812491818.46</v>
      </c>
      <c r="K27" s="56">
        <f t="shared" si="1"/>
        <v>1.841383103271558</v>
      </c>
      <c r="L27" s="86">
        <f t="shared" si="3"/>
        <v>929119908.54</v>
      </c>
      <c r="M27" s="8"/>
    </row>
    <row r="28" spans="1:13" s="7" customFormat="1" ht="15">
      <c r="A28" s="52" t="s">
        <v>28</v>
      </c>
      <c r="B28" s="53" t="s">
        <v>33</v>
      </c>
      <c r="C28" s="83">
        <v>3055243827</v>
      </c>
      <c r="D28" s="83">
        <v>3055243827</v>
      </c>
      <c r="E28" s="83">
        <f>F28-1287546103.35</f>
        <v>470023799.8900001</v>
      </c>
      <c r="F28" s="83">
        <v>1757569903.24</v>
      </c>
      <c r="G28" s="56">
        <f t="shared" si="0"/>
        <v>3.6506194449248577</v>
      </c>
      <c r="H28" s="83">
        <f t="shared" si="2"/>
        <v>1297673923.76</v>
      </c>
      <c r="I28" s="83">
        <f>J28-1287546103.35</f>
        <v>470023799.8900001</v>
      </c>
      <c r="J28" s="83">
        <v>1757569903.24</v>
      </c>
      <c r="K28" s="56">
        <f t="shared" si="1"/>
        <v>3.9832518298817705</v>
      </c>
      <c r="L28" s="86">
        <f t="shared" si="3"/>
        <v>1297673923.76</v>
      </c>
      <c r="M28" s="8"/>
    </row>
    <row r="29" spans="1:13" s="7" customFormat="1" ht="15">
      <c r="A29" s="47" t="s">
        <v>42</v>
      </c>
      <c r="B29" s="50" t="s">
        <v>43</v>
      </c>
      <c r="C29" s="82">
        <f>SUM(C30:C34)</f>
        <v>2838148651</v>
      </c>
      <c r="D29" s="82">
        <f>SUM(D30:D34)</f>
        <v>3285294468.32</v>
      </c>
      <c r="E29" s="82">
        <f>SUM(E30:E34)</f>
        <v>188190463.8399997</v>
      </c>
      <c r="F29" s="82">
        <f>SUM(F30:F34)</f>
        <v>2241599903.0499997</v>
      </c>
      <c r="G29" s="51">
        <f t="shared" si="0"/>
        <v>4.655990170707063</v>
      </c>
      <c r="H29" s="82">
        <f t="shared" si="2"/>
        <v>1043694565.2700005</v>
      </c>
      <c r="I29" s="82">
        <f>SUM(I30:I34)</f>
        <v>413642421.21999997</v>
      </c>
      <c r="J29" s="82">
        <f>SUM(J30:J34)</f>
        <v>1607630211.41</v>
      </c>
      <c r="K29" s="51">
        <f t="shared" si="1"/>
        <v>3.6434374357272294</v>
      </c>
      <c r="L29" s="85">
        <f t="shared" si="3"/>
        <v>1677664256.91</v>
      </c>
      <c r="M29" s="8"/>
    </row>
    <row r="30" spans="1:13" s="7" customFormat="1" ht="15">
      <c r="A30" s="52" t="s">
        <v>44</v>
      </c>
      <c r="B30" s="53" t="s">
        <v>45</v>
      </c>
      <c r="C30" s="83">
        <v>40540840</v>
      </c>
      <c r="D30" s="83">
        <v>132987519</v>
      </c>
      <c r="E30" s="83">
        <f>F30-9093361.93</f>
        <v>2773910.210000001</v>
      </c>
      <c r="F30" s="83">
        <v>11867272.14</v>
      </c>
      <c r="G30" s="56">
        <f t="shared" si="0"/>
        <v>0.024649315143958284</v>
      </c>
      <c r="H30" s="83">
        <f t="shared" si="2"/>
        <v>121120246.86</v>
      </c>
      <c r="I30" s="83">
        <f>J30-1368288.38</f>
        <v>1245566.3000000003</v>
      </c>
      <c r="J30" s="83">
        <v>2613854.68</v>
      </c>
      <c r="K30" s="56">
        <f t="shared" si="1"/>
        <v>0.005923884687580075</v>
      </c>
      <c r="L30" s="86">
        <f t="shared" si="3"/>
        <v>130373664.32</v>
      </c>
      <c r="M30" s="8"/>
    </row>
    <row r="31" spans="1:13" s="7" customFormat="1" ht="15">
      <c r="A31" s="52" t="s">
        <v>229</v>
      </c>
      <c r="B31" s="53" t="s">
        <v>230</v>
      </c>
      <c r="C31" s="83">
        <v>3025630</v>
      </c>
      <c r="D31" s="83">
        <v>3057537.03</v>
      </c>
      <c r="E31" s="83">
        <f>F31-330000</f>
        <v>0</v>
      </c>
      <c r="F31" s="83">
        <v>330000</v>
      </c>
      <c r="G31" s="56">
        <f t="shared" si="0"/>
        <v>0.0006854375547762768</v>
      </c>
      <c r="H31" s="83">
        <f>D31-F31</f>
        <v>2727537.03</v>
      </c>
      <c r="I31" s="83">
        <f>J31-20001.86</f>
        <v>6567.279999999999</v>
      </c>
      <c r="J31" s="83">
        <v>26569.14</v>
      </c>
      <c r="K31" s="56">
        <f t="shared" si="1"/>
        <v>6.0214717678249535E-05</v>
      </c>
      <c r="L31" s="86">
        <f>D31-J31</f>
        <v>3030967.8899999997</v>
      </c>
      <c r="M31" s="8"/>
    </row>
    <row r="32" spans="1:13" s="7" customFormat="1" ht="15">
      <c r="A32" s="52" t="s">
        <v>28</v>
      </c>
      <c r="B32" s="53" t="s">
        <v>33</v>
      </c>
      <c r="C32" s="83">
        <v>2699180000</v>
      </c>
      <c r="D32" s="83">
        <v>2904236773.53</v>
      </c>
      <c r="E32" s="83">
        <f>F32-1980938762.68</f>
        <v>170271327.5599997</v>
      </c>
      <c r="F32" s="83">
        <v>2151210090.24</v>
      </c>
      <c r="G32" s="56">
        <f t="shared" si="0"/>
        <v>4.468242982012603</v>
      </c>
      <c r="H32" s="83">
        <f t="shared" si="2"/>
        <v>753026683.2900004</v>
      </c>
      <c r="I32" s="83">
        <f>J32-1135854274.73</f>
        <v>398602765.77</v>
      </c>
      <c r="J32" s="83">
        <v>1534457040.5</v>
      </c>
      <c r="K32" s="56">
        <f t="shared" si="1"/>
        <v>3.4776021159551953</v>
      </c>
      <c r="L32" s="86">
        <f>D32-J32</f>
        <v>1369779733.0300002</v>
      </c>
      <c r="M32" s="8"/>
    </row>
    <row r="33" spans="1:13" s="7" customFormat="1" ht="15">
      <c r="A33" s="52" t="s">
        <v>50</v>
      </c>
      <c r="B33" s="53" t="s">
        <v>269</v>
      </c>
      <c r="C33" s="83">
        <v>25811359</v>
      </c>
      <c r="D33" s="83">
        <v>72155311.83</v>
      </c>
      <c r="E33" s="83">
        <f>F33-8903711.78</f>
        <v>1888350.3200000003</v>
      </c>
      <c r="F33" s="83">
        <v>10792062.1</v>
      </c>
      <c r="G33" s="56">
        <f t="shared" si="0"/>
        <v>0.02241601411156888</v>
      </c>
      <c r="H33" s="83">
        <f t="shared" si="2"/>
        <v>61363249.73</v>
      </c>
      <c r="I33" s="83">
        <f>J33-3547398.57</f>
        <v>1347125.8300000005</v>
      </c>
      <c r="J33" s="83">
        <v>4894524.4</v>
      </c>
      <c r="K33" s="56">
        <f t="shared" si="1"/>
        <v>0.01109265881075954</v>
      </c>
      <c r="L33" s="86">
        <f>D33-J33</f>
        <v>67260787.42999999</v>
      </c>
      <c r="M33" s="8"/>
    </row>
    <row r="34" spans="1:13" s="7" customFormat="1" ht="15">
      <c r="A34" s="52" t="s">
        <v>29</v>
      </c>
      <c r="B34" s="53" t="s">
        <v>34</v>
      </c>
      <c r="C34" s="83">
        <v>69590822</v>
      </c>
      <c r="D34" s="83">
        <v>172857326.93</v>
      </c>
      <c r="E34" s="83">
        <f>F34-54143602.82</f>
        <v>13256875.749999993</v>
      </c>
      <c r="F34" s="83">
        <v>67400478.57</v>
      </c>
      <c r="G34" s="56">
        <f t="shared" si="0"/>
        <v>0.1399964218841565</v>
      </c>
      <c r="H34" s="83">
        <f t="shared" si="2"/>
        <v>105456848.36000001</v>
      </c>
      <c r="I34" s="83">
        <f>J34-53197826.65</f>
        <v>12440396.04</v>
      </c>
      <c r="J34" s="83">
        <v>65638222.69</v>
      </c>
      <c r="K34" s="56">
        <f t="shared" si="1"/>
        <v>0.14875856155601658</v>
      </c>
      <c r="L34" s="86">
        <f t="shared" si="3"/>
        <v>107219104.24000001</v>
      </c>
      <c r="M34" s="8"/>
    </row>
    <row r="35" spans="1:13" s="7" customFormat="1" ht="15">
      <c r="A35" s="47" t="s">
        <v>46</v>
      </c>
      <c r="B35" s="50" t="s">
        <v>47</v>
      </c>
      <c r="C35" s="82">
        <f>SUM(C36:C58)</f>
        <v>5494260961</v>
      </c>
      <c r="D35" s="82">
        <f>SUM(D36:D58)</f>
        <v>5493254339.900001</v>
      </c>
      <c r="E35" s="82">
        <f>SUM(E36:E58)</f>
        <v>390067515.8000002</v>
      </c>
      <c r="F35" s="82">
        <f>SUM(F36:F58)</f>
        <v>1623255133.88</v>
      </c>
      <c r="G35" s="51">
        <f t="shared" si="0"/>
        <v>3.3716364537719548</v>
      </c>
      <c r="H35" s="82">
        <f t="shared" si="2"/>
        <v>3869999206.0200005</v>
      </c>
      <c r="I35" s="82">
        <f>SUM(I36:I58)</f>
        <v>352027800.99000007</v>
      </c>
      <c r="J35" s="82">
        <f>SUM(J36:J58)</f>
        <v>1529591851.2400002</v>
      </c>
      <c r="K35" s="51">
        <f t="shared" si="1"/>
        <v>3.4665759405599004</v>
      </c>
      <c r="L35" s="85">
        <f t="shared" si="3"/>
        <v>3963662488.6600003</v>
      </c>
      <c r="M35" s="8"/>
    </row>
    <row r="36" spans="1:13" s="7" customFormat="1" ht="15">
      <c r="A36" s="52" t="s">
        <v>48</v>
      </c>
      <c r="B36" s="53" t="s">
        <v>55</v>
      </c>
      <c r="C36" s="83">
        <v>228494912</v>
      </c>
      <c r="D36" s="83">
        <v>228494912</v>
      </c>
      <c r="E36" s="83">
        <f>F36-0</f>
        <v>1480</v>
      </c>
      <c r="F36" s="83">
        <v>1480</v>
      </c>
      <c r="G36" s="56">
        <f t="shared" si="0"/>
        <v>3.0740835789966353E-06</v>
      </c>
      <c r="H36" s="83">
        <f t="shared" si="2"/>
        <v>228493432</v>
      </c>
      <c r="I36" s="83">
        <f aca="true" t="shared" si="4" ref="I36:I58">J36-0</f>
        <v>1480</v>
      </c>
      <c r="J36" s="83">
        <v>1480</v>
      </c>
      <c r="K36" s="56">
        <f t="shared" si="1"/>
        <v>3.354183920285312E-06</v>
      </c>
      <c r="L36" s="86">
        <f t="shared" si="3"/>
        <v>228493432</v>
      </c>
      <c r="M36" s="8"/>
    </row>
    <row r="37" spans="1:13" s="7" customFormat="1" ht="15">
      <c r="A37" s="52" t="s">
        <v>28</v>
      </c>
      <c r="B37" s="53" t="s">
        <v>33</v>
      </c>
      <c r="C37" s="83">
        <v>3903399115</v>
      </c>
      <c r="D37" s="83">
        <v>3459657319.76</v>
      </c>
      <c r="E37" s="83">
        <f>F37-650024106.93</f>
        <v>190676640.5100001</v>
      </c>
      <c r="F37" s="83">
        <v>840700747.44</v>
      </c>
      <c r="G37" s="56">
        <f t="shared" si="0"/>
        <v>1.746205650375339</v>
      </c>
      <c r="H37" s="83">
        <f t="shared" si="2"/>
        <v>2618956572.32</v>
      </c>
      <c r="I37" s="83">
        <f>J37-606679508.78</f>
        <v>174582583.74</v>
      </c>
      <c r="J37" s="83">
        <v>781262092.52</v>
      </c>
      <c r="K37" s="56">
        <f t="shared" si="1"/>
        <v>1.7706059109858379</v>
      </c>
      <c r="L37" s="86">
        <f t="shared" si="3"/>
        <v>2678395227.2400002</v>
      </c>
      <c r="M37" s="8"/>
    </row>
    <row r="38" spans="1:13" s="7" customFormat="1" ht="15">
      <c r="A38" s="52" t="s">
        <v>39</v>
      </c>
      <c r="B38" s="53" t="s">
        <v>41</v>
      </c>
      <c r="C38" s="83">
        <v>91426191</v>
      </c>
      <c r="D38" s="83">
        <v>128701820.74</v>
      </c>
      <c r="E38" s="83">
        <f>F38-4992337.4</f>
        <v>0</v>
      </c>
      <c r="F38" s="83">
        <v>4992337.4</v>
      </c>
      <c r="G38" s="56">
        <f t="shared" si="0"/>
        <v>0.010369501636588351</v>
      </c>
      <c r="H38" s="83">
        <f t="shared" si="2"/>
        <v>123709483.33999999</v>
      </c>
      <c r="I38" s="83">
        <f>J38-2225081.11</f>
        <v>188102.89000000013</v>
      </c>
      <c r="J38" s="83">
        <v>2413184</v>
      </c>
      <c r="K38" s="56">
        <f t="shared" si="1"/>
        <v>0.0054690966010066165</v>
      </c>
      <c r="L38" s="86">
        <f t="shared" si="3"/>
        <v>126288636.74</v>
      </c>
      <c r="M38" s="8"/>
    </row>
    <row r="39" spans="1:13" s="7" customFormat="1" ht="15">
      <c r="A39" s="52" t="s">
        <v>232</v>
      </c>
      <c r="B39" s="53" t="s">
        <v>231</v>
      </c>
      <c r="C39" s="83">
        <v>235819</v>
      </c>
      <c r="D39" s="83">
        <v>293754</v>
      </c>
      <c r="E39" s="83">
        <f>F39-0</f>
        <v>0</v>
      </c>
      <c r="F39" s="83">
        <v>0</v>
      </c>
      <c r="G39" s="56">
        <f t="shared" si="0"/>
        <v>0</v>
      </c>
      <c r="H39" s="83">
        <f t="shared" si="2"/>
        <v>293754</v>
      </c>
      <c r="I39" s="83">
        <f t="shared" si="4"/>
        <v>0</v>
      </c>
      <c r="J39" s="83">
        <v>0</v>
      </c>
      <c r="K39" s="56">
        <f t="shared" si="1"/>
        <v>0</v>
      </c>
      <c r="L39" s="86">
        <f t="shared" si="3"/>
        <v>293754</v>
      </c>
      <c r="M39" s="8"/>
    </row>
    <row r="40" spans="1:13" s="7" customFormat="1" ht="15">
      <c r="A40" s="52" t="s">
        <v>49</v>
      </c>
      <c r="B40" s="53" t="s">
        <v>56</v>
      </c>
      <c r="C40" s="83">
        <v>4835506</v>
      </c>
      <c r="D40" s="83">
        <v>6124187.48</v>
      </c>
      <c r="E40" s="83">
        <f>F40-850396.41</f>
        <v>552950.11</v>
      </c>
      <c r="F40" s="83">
        <v>1403346.52</v>
      </c>
      <c r="G40" s="56">
        <f t="shared" si="0"/>
        <v>0.0029148679005230227</v>
      </c>
      <c r="H40" s="83">
        <f t="shared" si="2"/>
        <v>4720840.960000001</v>
      </c>
      <c r="I40" s="83">
        <f>J40-307112.74</f>
        <v>174840.97999999998</v>
      </c>
      <c r="J40" s="83">
        <v>481953.72</v>
      </c>
      <c r="K40" s="56">
        <f t="shared" si="1"/>
        <v>0.0010922712283416823</v>
      </c>
      <c r="L40" s="86">
        <f t="shared" si="3"/>
        <v>5642233.760000001</v>
      </c>
      <c r="M40" s="8"/>
    </row>
    <row r="41" spans="1:13" s="7" customFormat="1" ht="15">
      <c r="A41" s="52" t="s">
        <v>50</v>
      </c>
      <c r="B41" s="53" t="s">
        <v>57</v>
      </c>
      <c r="C41" s="83">
        <v>54861031</v>
      </c>
      <c r="D41" s="83">
        <v>59315898.06</v>
      </c>
      <c r="E41" s="83">
        <f>F41-8921750.61</f>
        <v>223516.70000000112</v>
      </c>
      <c r="F41" s="83">
        <v>9145267.31</v>
      </c>
      <c r="G41" s="56">
        <f t="shared" si="0"/>
        <v>0.01899548382649036</v>
      </c>
      <c r="H41" s="83">
        <f t="shared" si="2"/>
        <v>50170630.75</v>
      </c>
      <c r="I41" s="83">
        <f>J41-1649715.24</f>
        <v>2427380.25</v>
      </c>
      <c r="J41" s="83">
        <v>4077095.49</v>
      </c>
      <c r="K41" s="56">
        <f t="shared" si="1"/>
        <v>0.009240086577044438</v>
      </c>
      <c r="L41" s="86">
        <f t="shared" si="3"/>
        <v>55238802.57</v>
      </c>
      <c r="M41" s="8"/>
    </row>
    <row r="42" spans="1:13" s="7" customFormat="1" ht="15">
      <c r="A42" s="52" t="s">
        <v>51</v>
      </c>
      <c r="B42" s="53" t="s">
        <v>58</v>
      </c>
      <c r="C42" s="83">
        <v>4405000</v>
      </c>
      <c r="D42" s="83">
        <v>4405000</v>
      </c>
      <c r="E42" s="83">
        <f>F42-0</f>
        <v>0</v>
      </c>
      <c r="F42" s="83">
        <v>0</v>
      </c>
      <c r="G42" s="56">
        <f t="shared" si="0"/>
        <v>0</v>
      </c>
      <c r="H42" s="83">
        <f t="shared" si="2"/>
        <v>4405000</v>
      </c>
      <c r="I42" s="83">
        <f t="shared" si="4"/>
        <v>0</v>
      </c>
      <c r="J42" s="83">
        <v>0</v>
      </c>
      <c r="K42" s="56">
        <f t="shared" si="1"/>
        <v>0</v>
      </c>
      <c r="L42" s="86">
        <f t="shared" si="3"/>
        <v>4405000</v>
      </c>
      <c r="M42" s="8"/>
    </row>
    <row r="43" spans="1:13" s="7" customFormat="1" ht="15">
      <c r="A43" s="52" t="s">
        <v>29</v>
      </c>
      <c r="B43" s="53" t="s">
        <v>34</v>
      </c>
      <c r="C43" s="83">
        <v>3341354</v>
      </c>
      <c r="D43" s="83">
        <v>5887423.07</v>
      </c>
      <c r="E43" s="83">
        <f>F43-1191523.3</f>
        <v>208577.93999999994</v>
      </c>
      <c r="F43" s="83">
        <v>1400101.24</v>
      </c>
      <c r="G43" s="56">
        <f t="shared" si="0"/>
        <v>0.0029081271829843425</v>
      </c>
      <c r="H43" s="83">
        <f t="shared" si="2"/>
        <v>4487321.83</v>
      </c>
      <c r="I43" s="83">
        <f>J43-870939.3</f>
        <v>368543.1599999999</v>
      </c>
      <c r="J43" s="83">
        <v>1239482.46</v>
      </c>
      <c r="K43" s="56">
        <f t="shared" si="1"/>
        <v>0.002809089281626813</v>
      </c>
      <c r="L43" s="86">
        <f t="shared" si="3"/>
        <v>4647940.61</v>
      </c>
      <c r="M43" s="8"/>
    </row>
    <row r="44" spans="1:13" s="7" customFormat="1" ht="15">
      <c r="A44" s="52" t="s">
        <v>233</v>
      </c>
      <c r="B44" s="53" t="s">
        <v>234</v>
      </c>
      <c r="C44" s="83">
        <v>0</v>
      </c>
      <c r="D44" s="83">
        <v>0</v>
      </c>
      <c r="E44" s="83">
        <f>F44-0</f>
        <v>0</v>
      </c>
      <c r="F44" s="83">
        <v>0</v>
      </c>
      <c r="G44" s="56">
        <f t="shared" si="0"/>
        <v>0</v>
      </c>
      <c r="H44" s="83">
        <f t="shared" si="2"/>
        <v>0</v>
      </c>
      <c r="I44" s="83">
        <f t="shared" si="4"/>
        <v>0</v>
      </c>
      <c r="J44" s="83">
        <v>0</v>
      </c>
      <c r="K44" s="56">
        <f t="shared" si="1"/>
        <v>0</v>
      </c>
      <c r="L44" s="86">
        <f t="shared" si="3"/>
        <v>0</v>
      </c>
      <c r="M44" s="8"/>
    </row>
    <row r="45" spans="1:13" s="7" customFormat="1" ht="15">
      <c r="A45" s="52" t="s">
        <v>236</v>
      </c>
      <c r="B45" s="53" t="s">
        <v>235</v>
      </c>
      <c r="C45" s="83">
        <v>13812741</v>
      </c>
      <c r="D45" s="83">
        <v>13904574.27</v>
      </c>
      <c r="E45" s="83">
        <f>F45-1253800.83</f>
        <v>139402.24</v>
      </c>
      <c r="F45" s="83">
        <v>1393203.07</v>
      </c>
      <c r="G45" s="56">
        <f t="shared" si="0"/>
        <v>0.002893799107901824</v>
      </c>
      <c r="H45" s="83">
        <f t="shared" si="2"/>
        <v>12511371.2</v>
      </c>
      <c r="I45" s="83">
        <f>J45-780393.68</f>
        <v>210185.0099999999</v>
      </c>
      <c r="J45" s="83">
        <v>990578.69</v>
      </c>
      <c r="K45" s="56">
        <f t="shared" si="1"/>
        <v>0.0022449885903887087</v>
      </c>
      <c r="L45" s="86">
        <f t="shared" si="3"/>
        <v>12913995.58</v>
      </c>
      <c r="M45" s="8"/>
    </row>
    <row r="46" spans="1:13" s="7" customFormat="1" ht="15">
      <c r="A46" s="52" t="s">
        <v>164</v>
      </c>
      <c r="B46" s="53" t="s">
        <v>165</v>
      </c>
      <c r="C46" s="83">
        <v>4312026</v>
      </c>
      <c r="D46" s="83">
        <v>36829771.13</v>
      </c>
      <c r="E46" s="83">
        <f>F46-150000</f>
        <v>25000000</v>
      </c>
      <c r="F46" s="83">
        <v>25150000</v>
      </c>
      <c r="G46" s="56">
        <f aca="true" t="shared" si="5" ref="G46:G77">(F46/$F$286)*100</f>
        <v>0.05223865000794958</v>
      </c>
      <c r="H46" s="83">
        <f t="shared" si="2"/>
        <v>11679771.130000003</v>
      </c>
      <c r="I46" s="83">
        <f>J46-96116.64</f>
        <v>180680.88</v>
      </c>
      <c r="J46" s="83">
        <v>276797.52</v>
      </c>
      <c r="K46" s="56">
        <f aca="true" t="shared" si="6" ref="K46:K77">(J46/$J$286)*100</f>
        <v>0.0006273174261884137</v>
      </c>
      <c r="L46" s="86">
        <f t="shared" si="3"/>
        <v>36552973.61</v>
      </c>
      <c r="M46" s="8"/>
    </row>
    <row r="47" spans="1:13" s="7" customFormat="1" ht="15">
      <c r="A47" s="52" t="s">
        <v>66</v>
      </c>
      <c r="B47" s="53" t="s">
        <v>74</v>
      </c>
      <c r="C47" s="83">
        <v>807000</v>
      </c>
      <c r="D47" s="83">
        <v>807000</v>
      </c>
      <c r="E47" s="83">
        <f aca="true" t="shared" si="7" ref="E47:E52">F47-0</f>
        <v>0</v>
      </c>
      <c r="F47" s="83">
        <v>0</v>
      </c>
      <c r="G47" s="56">
        <f t="shared" si="5"/>
        <v>0</v>
      </c>
      <c r="H47" s="83">
        <f t="shared" si="2"/>
        <v>807000</v>
      </c>
      <c r="I47" s="83">
        <f t="shared" si="4"/>
        <v>0</v>
      </c>
      <c r="J47" s="83">
        <v>0</v>
      </c>
      <c r="K47" s="56">
        <f t="shared" si="6"/>
        <v>0</v>
      </c>
      <c r="L47" s="86">
        <f t="shared" si="3"/>
        <v>807000</v>
      </c>
      <c r="M47" s="8"/>
    </row>
    <row r="48" spans="1:13" s="7" customFormat="1" ht="15">
      <c r="A48" s="52" t="s">
        <v>53</v>
      </c>
      <c r="B48" s="53" t="s">
        <v>60</v>
      </c>
      <c r="C48" s="83">
        <v>5000</v>
      </c>
      <c r="D48" s="83">
        <v>20016400</v>
      </c>
      <c r="E48" s="83">
        <f t="shared" si="7"/>
        <v>0</v>
      </c>
      <c r="F48" s="83">
        <v>0</v>
      </c>
      <c r="G48" s="56">
        <f t="shared" si="5"/>
        <v>0</v>
      </c>
      <c r="H48" s="83">
        <f t="shared" si="2"/>
        <v>20016400</v>
      </c>
      <c r="I48" s="83">
        <f t="shared" si="4"/>
        <v>0</v>
      </c>
      <c r="J48" s="83">
        <v>0</v>
      </c>
      <c r="K48" s="56">
        <f t="shared" si="6"/>
        <v>0</v>
      </c>
      <c r="L48" s="86">
        <f t="shared" si="3"/>
        <v>20016400</v>
      </c>
      <c r="M48" s="8"/>
    </row>
    <row r="49" spans="1:13" s="7" customFormat="1" ht="15">
      <c r="A49" s="102" t="s">
        <v>135</v>
      </c>
      <c r="B49" s="53" t="s">
        <v>136</v>
      </c>
      <c r="C49" s="83">
        <v>0</v>
      </c>
      <c r="D49" s="83">
        <v>0</v>
      </c>
      <c r="E49" s="83">
        <f t="shared" si="7"/>
        <v>0</v>
      </c>
      <c r="F49" s="83">
        <v>0</v>
      </c>
      <c r="G49" s="56">
        <f t="shared" si="5"/>
        <v>0</v>
      </c>
      <c r="H49" s="83">
        <f t="shared" si="2"/>
        <v>0</v>
      </c>
      <c r="I49" s="83">
        <f t="shared" si="4"/>
        <v>0</v>
      </c>
      <c r="J49" s="83">
        <v>0</v>
      </c>
      <c r="K49" s="56">
        <f t="shared" si="6"/>
        <v>0</v>
      </c>
      <c r="L49" s="86">
        <f aca="true" t="shared" si="8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3">
        <v>30000</v>
      </c>
      <c r="D50" s="83">
        <v>8030000</v>
      </c>
      <c r="E50" s="83">
        <f t="shared" si="7"/>
        <v>0</v>
      </c>
      <c r="F50" s="83">
        <v>0</v>
      </c>
      <c r="G50" s="56">
        <f t="shared" si="5"/>
        <v>0</v>
      </c>
      <c r="H50" s="83">
        <f t="shared" si="2"/>
        <v>8030000</v>
      </c>
      <c r="I50" s="83">
        <f t="shared" si="4"/>
        <v>0</v>
      </c>
      <c r="J50" s="83">
        <v>0</v>
      </c>
      <c r="K50" s="56">
        <f t="shared" si="6"/>
        <v>0</v>
      </c>
      <c r="L50" s="86">
        <f t="shared" si="8"/>
        <v>8030000</v>
      </c>
      <c r="M50" s="8"/>
    </row>
    <row r="51" spans="1:13" s="7" customFormat="1" ht="15">
      <c r="A51" s="52" t="s">
        <v>139</v>
      </c>
      <c r="B51" s="53" t="s">
        <v>140</v>
      </c>
      <c r="C51" s="83">
        <v>314500</v>
      </c>
      <c r="D51" s="83">
        <v>5000</v>
      </c>
      <c r="E51" s="83">
        <f t="shared" si="7"/>
        <v>0</v>
      </c>
      <c r="F51" s="83">
        <v>0</v>
      </c>
      <c r="G51" s="56">
        <f t="shared" si="5"/>
        <v>0</v>
      </c>
      <c r="H51" s="83">
        <f t="shared" si="2"/>
        <v>5000</v>
      </c>
      <c r="I51" s="83">
        <f t="shared" si="4"/>
        <v>0</v>
      </c>
      <c r="J51" s="83">
        <v>0</v>
      </c>
      <c r="K51" s="56">
        <f t="shared" si="6"/>
        <v>0</v>
      </c>
      <c r="L51" s="86">
        <f t="shared" si="8"/>
        <v>5000</v>
      </c>
      <c r="M51" s="8"/>
    </row>
    <row r="52" spans="1:13" s="7" customFormat="1" ht="15">
      <c r="A52" s="52" t="s">
        <v>143</v>
      </c>
      <c r="B52" s="53" t="s">
        <v>144</v>
      </c>
      <c r="C52" s="83">
        <v>8017000</v>
      </c>
      <c r="D52" s="83">
        <v>339309944</v>
      </c>
      <c r="E52" s="83">
        <f t="shared" si="7"/>
        <v>0</v>
      </c>
      <c r="F52" s="83">
        <v>0</v>
      </c>
      <c r="G52" s="56">
        <f t="shared" si="5"/>
        <v>0</v>
      </c>
      <c r="H52" s="83">
        <f t="shared" si="2"/>
        <v>339309944</v>
      </c>
      <c r="I52" s="83">
        <f t="shared" si="4"/>
        <v>0</v>
      </c>
      <c r="J52" s="83">
        <v>0</v>
      </c>
      <c r="K52" s="56">
        <f t="shared" si="6"/>
        <v>0</v>
      </c>
      <c r="L52" s="86">
        <f t="shared" si="8"/>
        <v>339309944</v>
      </c>
      <c r="M52" s="8"/>
    </row>
    <row r="53" spans="1:13" s="7" customFormat="1" ht="15">
      <c r="A53" s="52" t="s">
        <v>96</v>
      </c>
      <c r="B53" s="53" t="s">
        <v>102</v>
      </c>
      <c r="C53" s="83">
        <v>8112438</v>
      </c>
      <c r="D53" s="83">
        <v>13630007.39</v>
      </c>
      <c r="E53" s="83">
        <f>F53-3855430.19</f>
        <v>1695748.52</v>
      </c>
      <c r="F53" s="83">
        <v>5551178.71</v>
      </c>
      <c r="G53" s="56">
        <f t="shared" si="5"/>
        <v>0.011530261700328868</v>
      </c>
      <c r="H53" s="83">
        <f t="shared" si="2"/>
        <v>8078828.680000001</v>
      </c>
      <c r="I53" s="83">
        <f>J53-3006910.35</f>
        <v>2324804.3000000003</v>
      </c>
      <c r="J53" s="83">
        <v>5331714.65</v>
      </c>
      <c r="K53" s="56">
        <f t="shared" si="6"/>
        <v>0.012083480774715969</v>
      </c>
      <c r="L53" s="86">
        <f t="shared" si="8"/>
        <v>8298292.74</v>
      </c>
      <c r="M53" s="8"/>
    </row>
    <row r="54" spans="1:13" s="7" customFormat="1" ht="15">
      <c r="A54" s="52" t="s">
        <v>97</v>
      </c>
      <c r="B54" s="53" t="s">
        <v>237</v>
      </c>
      <c r="C54" s="83">
        <v>11783077</v>
      </c>
      <c r="D54" s="83">
        <v>11773077</v>
      </c>
      <c r="E54" s="83">
        <f>F54-0</f>
        <v>0</v>
      </c>
      <c r="F54" s="83">
        <v>0</v>
      </c>
      <c r="G54" s="56">
        <f t="shared" si="5"/>
        <v>0</v>
      </c>
      <c r="H54" s="83">
        <f t="shared" si="2"/>
        <v>11773077</v>
      </c>
      <c r="I54" s="83">
        <f t="shared" si="4"/>
        <v>0</v>
      </c>
      <c r="J54" s="83">
        <v>0</v>
      </c>
      <c r="K54" s="56">
        <f t="shared" si="6"/>
        <v>0</v>
      </c>
      <c r="L54" s="86">
        <f t="shared" si="8"/>
        <v>11773077</v>
      </c>
      <c r="M54" s="8"/>
    </row>
    <row r="55" spans="1:13" s="7" customFormat="1" ht="15">
      <c r="A55" s="52" t="s">
        <v>180</v>
      </c>
      <c r="B55" s="53" t="s">
        <v>181</v>
      </c>
      <c r="C55" s="83">
        <v>250000</v>
      </c>
      <c r="D55" s="83">
        <v>250000</v>
      </c>
      <c r="E55" s="83">
        <f>F55-0</f>
        <v>0</v>
      </c>
      <c r="F55" s="83">
        <v>0</v>
      </c>
      <c r="G55" s="56">
        <f t="shared" si="5"/>
        <v>0</v>
      </c>
      <c r="H55" s="83">
        <f t="shared" si="2"/>
        <v>250000</v>
      </c>
      <c r="I55" s="83">
        <v>0</v>
      </c>
      <c r="J55" s="83">
        <v>0</v>
      </c>
      <c r="K55" s="56">
        <f t="shared" si="6"/>
        <v>0</v>
      </c>
      <c r="L55" s="86">
        <f t="shared" si="8"/>
        <v>250000</v>
      </c>
      <c r="M55" s="8"/>
    </row>
    <row r="56" spans="1:13" s="7" customFormat="1" ht="15">
      <c r="A56" s="52" t="s">
        <v>54</v>
      </c>
      <c r="B56" s="53" t="s">
        <v>61</v>
      </c>
      <c r="C56" s="83">
        <v>1155818251</v>
      </c>
      <c r="D56" s="83">
        <v>1155818251</v>
      </c>
      <c r="E56" s="83">
        <f>F56-561948272.41</f>
        <v>171569199.7800001</v>
      </c>
      <c r="F56" s="83">
        <v>733517472.19</v>
      </c>
      <c r="G56" s="56">
        <f t="shared" si="5"/>
        <v>1.5235770379502704</v>
      </c>
      <c r="H56" s="83">
        <f t="shared" si="2"/>
        <v>422300778.80999994</v>
      </c>
      <c r="I56" s="83">
        <f>J56-561948272.41</f>
        <v>171569199.7800001</v>
      </c>
      <c r="J56" s="83">
        <v>733517472.19</v>
      </c>
      <c r="K56" s="56">
        <f t="shared" si="6"/>
        <v>1.662400344910829</v>
      </c>
      <c r="L56" s="86">
        <f t="shared" si="8"/>
        <v>422300778.80999994</v>
      </c>
      <c r="M56" s="8"/>
    </row>
    <row r="57" spans="1:13" s="7" customFormat="1" ht="15">
      <c r="A57" s="52" t="s">
        <v>185</v>
      </c>
      <c r="B57" s="53" t="s">
        <v>186</v>
      </c>
      <c r="C57" s="83">
        <v>0</v>
      </c>
      <c r="D57" s="83">
        <v>0</v>
      </c>
      <c r="E57" s="83">
        <f>F57-0</f>
        <v>0</v>
      </c>
      <c r="F57" s="83">
        <v>0</v>
      </c>
      <c r="G57" s="56">
        <f t="shared" si="5"/>
        <v>0</v>
      </c>
      <c r="H57" s="83">
        <f t="shared" si="2"/>
        <v>0</v>
      </c>
      <c r="I57" s="83">
        <f t="shared" si="4"/>
        <v>0</v>
      </c>
      <c r="J57" s="83">
        <v>0</v>
      </c>
      <c r="K57" s="56">
        <f t="shared" si="6"/>
        <v>0</v>
      </c>
      <c r="L57" s="86">
        <f t="shared" si="3"/>
        <v>0</v>
      </c>
      <c r="M57" s="8"/>
    </row>
    <row r="58" spans="1:13" s="7" customFormat="1" ht="15">
      <c r="A58" s="52" t="s">
        <v>209</v>
      </c>
      <c r="B58" s="53" t="s">
        <v>210</v>
      </c>
      <c r="C58" s="83">
        <v>0</v>
      </c>
      <c r="D58" s="83">
        <v>0</v>
      </c>
      <c r="E58" s="83">
        <f>F58-0</f>
        <v>0</v>
      </c>
      <c r="F58" s="83">
        <v>0</v>
      </c>
      <c r="G58" s="56">
        <f t="shared" si="5"/>
        <v>0</v>
      </c>
      <c r="H58" s="83">
        <f>D58-F58</f>
        <v>0</v>
      </c>
      <c r="I58" s="83">
        <f t="shared" si="4"/>
        <v>0</v>
      </c>
      <c r="J58" s="83">
        <v>0</v>
      </c>
      <c r="K58" s="56">
        <f t="shared" si="6"/>
        <v>0</v>
      </c>
      <c r="L58" s="86">
        <f>D58-J58</f>
        <v>0</v>
      </c>
      <c r="M58" s="8"/>
    </row>
    <row r="59" spans="1:13" s="7" customFormat="1" ht="15">
      <c r="A59" s="104" t="s">
        <v>63</v>
      </c>
      <c r="B59" s="105" t="s">
        <v>62</v>
      </c>
      <c r="C59" s="82">
        <f>SUM(C60:C77)</f>
        <v>11098430521</v>
      </c>
      <c r="D59" s="82">
        <f>SUM(D60:D77)</f>
        <v>12237829216.570002</v>
      </c>
      <c r="E59" s="82">
        <f>SUM(E60:E77)</f>
        <v>1594870642.4199998</v>
      </c>
      <c r="F59" s="82">
        <f>SUM(F60:F77)</f>
        <v>6612788291.719999</v>
      </c>
      <c r="G59" s="51">
        <f t="shared" si="5"/>
        <v>13.735313445241662</v>
      </c>
      <c r="H59" s="82">
        <f t="shared" si="2"/>
        <v>5625040924.850002</v>
      </c>
      <c r="I59" s="82">
        <f>SUM(I60:I77)</f>
        <v>1518211848.4899993</v>
      </c>
      <c r="J59" s="82">
        <f>SUM(J60:J77)</f>
        <v>6136688116.36</v>
      </c>
      <c r="K59" s="51">
        <f t="shared" si="6"/>
        <v>13.907824732230184</v>
      </c>
      <c r="L59" s="85">
        <f t="shared" si="3"/>
        <v>6101141100.210002</v>
      </c>
      <c r="M59" s="8"/>
    </row>
    <row r="60" spans="1:13" s="7" customFormat="1" ht="15">
      <c r="A60" s="52" t="s">
        <v>28</v>
      </c>
      <c r="B60" s="53" t="s">
        <v>33</v>
      </c>
      <c r="C60" s="83">
        <v>9619482989</v>
      </c>
      <c r="D60" s="83">
        <v>10086679210.26</v>
      </c>
      <c r="E60" s="83">
        <f>F60-4502979643.98</f>
        <v>1374510324.88</v>
      </c>
      <c r="F60" s="83">
        <v>5877489968.86</v>
      </c>
      <c r="G60" s="56">
        <f t="shared" si="5"/>
        <v>12.208037431749979</v>
      </c>
      <c r="H60" s="83">
        <f t="shared" si="2"/>
        <v>4209189241.4000006</v>
      </c>
      <c r="I60" s="83">
        <f>J60-4299721907.77</f>
        <v>1356157326.2999992</v>
      </c>
      <c r="J60" s="83">
        <v>5655879234.07</v>
      </c>
      <c r="K60" s="56">
        <f t="shared" si="6"/>
        <v>12.818148095941353</v>
      </c>
      <c r="L60" s="86">
        <f t="shared" si="3"/>
        <v>4430799976.190001</v>
      </c>
      <c r="M60" s="8"/>
    </row>
    <row r="61" spans="1:13" s="7" customFormat="1" ht="15">
      <c r="A61" s="52" t="s">
        <v>49</v>
      </c>
      <c r="B61" s="53" t="s">
        <v>56</v>
      </c>
      <c r="C61" s="83">
        <v>214216173</v>
      </c>
      <c r="D61" s="83">
        <v>223556777</v>
      </c>
      <c r="E61" s="83">
        <f>F61-71486540.68</f>
        <v>37141031.5</v>
      </c>
      <c r="F61" s="83">
        <v>108627572.18</v>
      </c>
      <c r="G61" s="56">
        <f t="shared" si="5"/>
        <v>0.22562853774649305</v>
      </c>
      <c r="H61" s="83">
        <f t="shared" si="2"/>
        <v>114929204.82</v>
      </c>
      <c r="I61" s="83">
        <f>J61-61449373.59</f>
        <v>22062535.239999995</v>
      </c>
      <c r="J61" s="83">
        <v>83511908.83</v>
      </c>
      <c r="K61" s="56">
        <f t="shared" si="6"/>
        <v>0.18926642010129663</v>
      </c>
      <c r="L61" s="86">
        <f t="shared" si="3"/>
        <v>140044868.17000002</v>
      </c>
      <c r="M61" s="8"/>
    </row>
    <row r="62" spans="1:13" s="7" customFormat="1" ht="15">
      <c r="A62" s="102" t="s">
        <v>50</v>
      </c>
      <c r="B62" s="103" t="s">
        <v>57</v>
      </c>
      <c r="C62" s="83">
        <v>83880086</v>
      </c>
      <c r="D62" s="83">
        <v>91657019</v>
      </c>
      <c r="E62" s="83">
        <f>F62-13260070.45</f>
        <v>1636100</v>
      </c>
      <c r="F62" s="83">
        <v>14896170.45</v>
      </c>
      <c r="G62" s="56">
        <f t="shared" si="5"/>
        <v>0.03094058984478373</v>
      </c>
      <c r="H62" s="83">
        <f>D62-F62</f>
        <v>76760848.55</v>
      </c>
      <c r="I62" s="83">
        <f>J62-7987185.44</f>
        <v>2588325.21</v>
      </c>
      <c r="J62" s="83">
        <v>10575510.65</v>
      </c>
      <c r="K62" s="56">
        <f t="shared" si="6"/>
        <v>0.023967707953402754</v>
      </c>
      <c r="L62" s="86">
        <f t="shared" si="3"/>
        <v>81081508.35</v>
      </c>
      <c r="M62" s="8"/>
    </row>
    <row r="63" spans="1:13" s="7" customFormat="1" ht="15">
      <c r="A63" s="52" t="s">
        <v>29</v>
      </c>
      <c r="B63" s="53" t="s">
        <v>34</v>
      </c>
      <c r="C63" s="83">
        <v>14867754</v>
      </c>
      <c r="D63" s="83">
        <v>16941857</v>
      </c>
      <c r="E63" s="83">
        <f>F63-1221968.82</f>
        <v>11054573</v>
      </c>
      <c r="F63" s="83">
        <v>12276541.82</v>
      </c>
      <c r="G63" s="56">
        <f t="shared" si="5"/>
        <v>0.0254994024430591</v>
      </c>
      <c r="H63" s="83">
        <f t="shared" si="2"/>
        <v>4665315.18</v>
      </c>
      <c r="I63" s="83">
        <f>J63-245101.04</f>
        <v>797205.6</v>
      </c>
      <c r="J63" s="83">
        <v>1042306.64</v>
      </c>
      <c r="K63" s="56">
        <f t="shared" si="6"/>
        <v>0.0023622217377666298</v>
      </c>
      <c r="L63" s="86">
        <f t="shared" si="3"/>
        <v>15899550.36</v>
      </c>
      <c r="M63" s="8"/>
    </row>
    <row r="64" spans="1:13" s="7" customFormat="1" ht="15">
      <c r="A64" s="52" t="s">
        <v>64</v>
      </c>
      <c r="B64" s="53" t="s">
        <v>72</v>
      </c>
      <c r="C64" s="83">
        <v>396826057</v>
      </c>
      <c r="D64" s="83">
        <v>601299942.12</v>
      </c>
      <c r="E64" s="83">
        <f>F64-149171779.59</f>
        <v>39755831.56999999</v>
      </c>
      <c r="F64" s="83">
        <v>188927611.16</v>
      </c>
      <c r="G64" s="56">
        <f t="shared" si="5"/>
        <v>0.39241842370676855</v>
      </c>
      <c r="H64" s="83">
        <f t="shared" si="2"/>
        <v>412372330.96000004</v>
      </c>
      <c r="I64" s="83">
        <f>J64-72376867.67</f>
        <v>43735454.980000004</v>
      </c>
      <c r="J64" s="83">
        <v>116112322.65</v>
      </c>
      <c r="K64" s="56">
        <f t="shared" si="6"/>
        <v>0.26315005782406087</v>
      </c>
      <c r="L64" s="86">
        <f t="shared" si="3"/>
        <v>485187619.47</v>
      </c>
      <c r="M64" s="8"/>
    </row>
    <row r="65" spans="1:13" s="7" customFormat="1" ht="15">
      <c r="A65" s="52" t="s">
        <v>65</v>
      </c>
      <c r="B65" s="53" t="s">
        <v>73</v>
      </c>
      <c r="C65" s="83">
        <v>69139058</v>
      </c>
      <c r="D65" s="83">
        <v>119932822.53</v>
      </c>
      <c r="E65" s="83">
        <f>F65-40231306.6</f>
        <v>30957994.490000002</v>
      </c>
      <c r="F65" s="83">
        <v>71189301.09</v>
      </c>
      <c r="G65" s="56">
        <f t="shared" si="5"/>
        <v>0.1478661226223083</v>
      </c>
      <c r="H65" s="83">
        <f t="shared" si="2"/>
        <v>48743521.44</v>
      </c>
      <c r="I65" s="83">
        <f>J65-31275975.6</f>
        <v>24832585.339999996</v>
      </c>
      <c r="J65" s="83">
        <v>56108560.94</v>
      </c>
      <c r="K65" s="56">
        <f t="shared" si="6"/>
        <v>0.1271611033076328</v>
      </c>
      <c r="L65" s="86">
        <f t="shared" si="3"/>
        <v>63824261.59</v>
      </c>
      <c r="M65" s="8"/>
    </row>
    <row r="66" spans="1:13" s="7" customFormat="1" ht="15">
      <c r="A66" s="52" t="s">
        <v>66</v>
      </c>
      <c r="B66" s="53" t="s">
        <v>74</v>
      </c>
      <c r="C66" s="83">
        <v>20320379</v>
      </c>
      <c r="D66" s="83">
        <v>43825208.95</v>
      </c>
      <c r="E66" s="83">
        <f>F66-18148380.53</f>
        <v>269700</v>
      </c>
      <c r="F66" s="83">
        <v>18418080.53</v>
      </c>
      <c r="G66" s="56">
        <f t="shared" si="5"/>
        <v>0.038255891158047735</v>
      </c>
      <c r="H66" s="83">
        <f t="shared" si="2"/>
        <v>25407128.42</v>
      </c>
      <c r="I66" s="83">
        <f>J66-6849946.83</f>
        <v>2865040.7799999993</v>
      </c>
      <c r="J66" s="83">
        <v>9714987.61</v>
      </c>
      <c r="K66" s="56">
        <f t="shared" si="6"/>
        <v>0.02201746974813043</v>
      </c>
      <c r="L66" s="86">
        <f t="shared" si="3"/>
        <v>34110221.34</v>
      </c>
      <c r="M66" s="8"/>
    </row>
    <row r="67" spans="1:13" s="7" customFormat="1" ht="15">
      <c r="A67" s="52" t="s">
        <v>82</v>
      </c>
      <c r="B67" s="53" t="s">
        <v>84</v>
      </c>
      <c r="C67" s="83">
        <v>0</v>
      </c>
      <c r="D67" s="83">
        <v>0</v>
      </c>
      <c r="E67" s="83">
        <f>F67-0</f>
        <v>0</v>
      </c>
      <c r="F67" s="83">
        <v>0</v>
      </c>
      <c r="G67" s="56">
        <f t="shared" si="5"/>
        <v>0</v>
      </c>
      <c r="H67" s="83">
        <f t="shared" si="2"/>
        <v>0</v>
      </c>
      <c r="I67" s="83">
        <f>J67-0</f>
        <v>0</v>
      </c>
      <c r="J67" s="83">
        <v>0</v>
      </c>
      <c r="K67" s="56">
        <f t="shared" si="6"/>
        <v>0</v>
      </c>
      <c r="L67" s="86">
        <f t="shared" si="3"/>
        <v>0</v>
      </c>
      <c r="M67" s="8"/>
    </row>
    <row r="68" spans="1:13" s="7" customFormat="1" ht="15">
      <c r="A68" s="52" t="s">
        <v>67</v>
      </c>
      <c r="B68" s="53" t="s">
        <v>75</v>
      </c>
      <c r="C68" s="83">
        <v>175320029</v>
      </c>
      <c r="D68" s="83">
        <v>453683192.24</v>
      </c>
      <c r="E68" s="83">
        <f>F68-58443858.02</f>
        <v>23973175.29999999</v>
      </c>
      <c r="F68" s="83">
        <v>82417033.32</v>
      </c>
      <c r="G68" s="56">
        <f t="shared" si="5"/>
        <v>0.17118705997204764</v>
      </c>
      <c r="H68" s="83">
        <f t="shared" si="2"/>
        <v>371266158.92</v>
      </c>
      <c r="I68" s="83">
        <f>J68-21992823.21</f>
        <v>14524146.469999999</v>
      </c>
      <c r="J68" s="83">
        <v>36516969.68</v>
      </c>
      <c r="K68" s="56">
        <f t="shared" si="6"/>
        <v>0.08275988683662316</v>
      </c>
      <c r="L68" s="86">
        <f t="shared" si="3"/>
        <v>417166222.56</v>
      </c>
      <c r="M68" s="8"/>
    </row>
    <row r="69" spans="1:13" s="7" customFormat="1" ht="15">
      <c r="A69" s="52" t="s">
        <v>68</v>
      </c>
      <c r="B69" s="53" t="s">
        <v>76</v>
      </c>
      <c r="C69" s="83">
        <v>250000000</v>
      </c>
      <c r="D69" s="83">
        <v>301740183.67</v>
      </c>
      <c r="E69" s="83">
        <f>F69-106509200.66</f>
        <v>27119359.83</v>
      </c>
      <c r="F69" s="83">
        <v>133628560.49</v>
      </c>
      <c r="G69" s="56">
        <f t="shared" si="5"/>
        <v>0.27755767803193754</v>
      </c>
      <c r="H69" s="83">
        <f t="shared" si="2"/>
        <v>168111623.18</v>
      </c>
      <c r="I69" s="83">
        <f>J69-67277239.57</f>
        <v>20454687.41000001</v>
      </c>
      <c r="J69" s="83">
        <v>87731926.98</v>
      </c>
      <c r="K69" s="56">
        <f t="shared" si="6"/>
        <v>0.19883041808916296</v>
      </c>
      <c r="L69" s="86">
        <f t="shared" si="3"/>
        <v>214008256.69</v>
      </c>
      <c r="M69" s="8"/>
    </row>
    <row r="70" spans="1:13" s="7" customFormat="1" ht="15">
      <c r="A70" s="52" t="s">
        <v>238</v>
      </c>
      <c r="B70" s="53" t="s">
        <v>239</v>
      </c>
      <c r="C70" s="83">
        <v>21677049</v>
      </c>
      <c r="D70" s="83">
        <v>22280769</v>
      </c>
      <c r="E70" s="83">
        <f>F70-7327035.53</f>
        <v>3099993.7800000003</v>
      </c>
      <c r="F70" s="83">
        <v>10427029.31</v>
      </c>
      <c r="G70" s="56">
        <f t="shared" si="5"/>
        <v>0.02165781052674839</v>
      </c>
      <c r="H70" s="83">
        <f>D70-F70</f>
        <v>11853739.69</v>
      </c>
      <c r="I70" s="83">
        <f>J70-7000649.21</f>
        <v>3050785.2600000007</v>
      </c>
      <c r="J70" s="83">
        <v>10051434.47</v>
      </c>
      <c r="K70" s="56">
        <f t="shared" si="6"/>
        <v>0.022779972888564544</v>
      </c>
      <c r="L70" s="86">
        <f t="shared" si="3"/>
        <v>12229334.53</v>
      </c>
      <c r="M70" s="8"/>
    </row>
    <row r="71" spans="1:13" s="7" customFormat="1" ht="15">
      <c r="A71" s="52" t="s">
        <v>106</v>
      </c>
      <c r="B71" s="53" t="s">
        <v>108</v>
      </c>
      <c r="C71" s="83">
        <v>251000</v>
      </c>
      <c r="D71" s="83">
        <v>502000</v>
      </c>
      <c r="E71" s="83">
        <f>F71-0</f>
        <v>0</v>
      </c>
      <c r="F71" s="83">
        <v>0</v>
      </c>
      <c r="G71" s="56">
        <f t="shared" si="5"/>
        <v>0</v>
      </c>
      <c r="H71" s="83">
        <f>D71-F71</f>
        <v>502000</v>
      </c>
      <c r="I71" s="83">
        <f>J71-0</f>
        <v>0</v>
      </c>
      <c r="J71" s="83">
        <v>0</v>
      </c>
      <c r="K71" s="56">
        <f t="shared" si="6"/>
        <v>0</v>
      </c>
      <c r="L71" s="86">
        <f t="shared" si="3"/>
        <v>502000</v>
      </c>
      <c r="M71" s="8"/>
    </row>
    <row r="72" spans="1:13" s="7" customFormat="1" ht="15">
      <c r="A72" s="52" t="s">
        <v>115</v>
      </c>
      <c r="B72" s="53" t="s">
        <v>122</v>
      </c>
      <c r="C72" s="83">
        <v>10000</v>
      </c>
      <c r="D72" s="83">
        <v>10000</v>
      </c>
      <c r="E72" s="83">
        <f>F72-0</f>
        <v>0</v>
      </c>
      <c r="F72" s="83">
        <v>0</v>
      </c>
      <c r="G72" s="56">
        <f t="shared" si="5"/>
        <v>0</v>
      </c>
      <c r="H72" s="83">
        <f>D72-F72</f>
        <v>10000</v>
      </c>
      <c r="I72" s="83">
        <f>J72-0</f>
        <v>0</v>
      </c>
      <c r="J72" s="83">
        <v>0</v>
      </c>
      <c r="K72" s="56">
        <f t="shared" si="6"/>
        <v>0</v>
      </c>
      <c r="L72" s="86">
        <f t="shared" si="3"/>
        <v>10000</v>
      </c>
      <c r="M72" s="8"/>
    </row>
    <row r="73" spans="1:13" s="7" customFormat="1" ht="15">
      <c r="A73" s="52" t="s">
        <v>69</v>
      </c>
      <c r="B73" s="53" t="s">
        <v>77</v>
      </c>
      <c r="C73" s="83">
        <v>77679732</v>
      </c>
      <c r="D73" s="83">
        <v>116378755.21</v>
      </c>
      <c r="E73" s="83">
        <f>F73-2942859.36</f>
        <v>15203758.14</v>
      </c>
      <c r="F73" s="83">
        <v>18146617.5</v>
      </c>
      <c r="G73" s="56">
        <f t="shared" si="5"/>
        <v>0.037692039777758764</v>
      </c>
      <c r="H73" s="83">
        <f t="shared" si="2"/>
        <v>98232137.71</v>
      </c>
      <c r="I73" s="83">
        <f>J73-2459399.75</f>
        <v>4485120.22</v>
      </c>
      <c r="J73" s="83">
        <v>6944519.97</v>
      </c>
      <c r="K73" s="56">
        <f t="shared" si="6"/>
        <v>0.015738646768563673</v>
      </c>
      <c r="L73" s="86">
        <f t="shared" si="3"/>
        <v>109434235.24</v>
      </c>
      <c r="M73" s="8"/>
    </row>
    <row r="74" spans="1:13" s="7" customFormat="1" ht="15">
      <c r="A74" s="52" t="s">
        <v>53</v>
      </c>
      <c r="B74" s="53" t="s">
        <v>60</v>
      </c>
      <c r="C74" s="83">
        <v>138683765</v>
      </c>
      <c r="D74" s="83">
        <v>120157711</v>
      </c>
      <c r="E74" s="83">
        <f>F74-30773881.89</f>
        <v>28050627.369999997</v>
      </c>
      <c r="F74" s="83">
        <v>58824509.26</v>
      </c>
      <c r="G74" s="56">
        <f t="shared" si="5"/>
        <v>0.12218341753966319</v>
      </c>
      <c r="H74" s="83">
        <f t="shared" si="2"/>
        <v>61333201.74</v>
      </c>
      <c r="I74" s="83">
        <f>J74-25309542.87</f>
        <v>21887118.81</v>
      </c>
      <c r="J74" s="83">
        <v>47196661.68</v>
      </c>
      <c r="K74" s="56">
        <f t="shared" si="6"/>
        <v>0.10696370520148783</v>
      </c>
      <c r="L74" s="86">
        <f t="shared" si="3"/>
        <v>72961049.32</v>
      </c>
      <c r="M74" s="8"/>
    </row>
    <row r="75" spans="1:13" s="7" customFormat="1" ht="15">
      <c r="A75" s="52" t="s">
        <v>70</v>
      </c>
      <c r="B75" s="53" t="s">
        <v>78</v>
      </c>
      <c r="C75" s="83">
        <v>7135200</v>
      </c>
      <c r="D75" s="83">
        <v>9090225.05</v>
      </c>
      <c r="E75" s="83">
        <f>F75-1909713.19</f>
        <v>2097672.56</v>
      </c>
      <c r="F75" s="83">
        <v>4007385.75</v>
      </c>
      <c r="G75" s="56">
        <f t="shared" si="5"/>
        <v>0.008323674816743322</v>
      </c>
      <c r="H75" s="83">
        <f t="shared" si="2"/>
        <v>5082839.300000001</v>
      </c>
      <c r="I75" s="83">
        <f>J75-1707606.12</f>
        <v>206505.97999999998</v>
      </c>
      <c r="J75" s="83">
        <v>1914112.1</v>
      </c>
      <c r="K75" s="56">
        <f t="shared" si="6"/>
        <v>0.004338029748272671</v>
      </c>
      <c r="L75" s="86">
        <f t="shared" si="3"/>
        <v>7176112.950000001</v>
      </c>
      <c r="M75" s="8"/>
    </row>
    <row r="76" spans="1:13" s="7" customFormat="1" ht="15">
      <c r="A76" s="52" t="s">
        <v>71</v>
      </c>
      <c r="B76" s="53" t="s">
        <v>79</v>
      </c>
      <c r="C76" s="83">
        <v>8931250</v>
      </c>
      <c r="D76" s="83">
        <v>30073543.54</v>
      </c>
      <c r="E76" s="83">
        <f>F76-13511410</f>
        <v>500</v>
      </c>
      <c r="F76" s="83">
        <v>13511910</v>
      </c>
      <c r="G76" s="56">
        <f t="shared" si="5"/>
        <v>0.028065365305324615</v>
      </c>
      <c r="H76" s="83">
        <f t="shared" si="2"/>
        <v>16561633.54</v>
      </c>
      <c r="I76" s="83">
        <f>J76-12822649.2</f>
        <v>565010.8900000006</v>
      </c>
      <c r="J76" s="83">
        <v>13387660.09</v>
      </c>
      <c r="K76" s="56">
        <f t="shared" si="6"/>
        <v>0.030340996083867172</v>
      </c>
      <c r="L76" s="86">
        <f t="shared" si="3"/>
        <v>16685883.45</v>
      </c>
      <c r="M76" s="8"/>
    </row>
    <row r="77" spans="1:13" s="7" customFormat="1" ht="15">
      <c r="A77" s="52" t="s">
        <v>199</v>
      </c>
      <c r="B77" s="53" t="s">
        <v>200</v>
      </c>
      <c r="C77" s="83">
        <v>10000</v>
      </c>
      <c r="D77" s="83">
        <v>20000</v>
      </c>
      <c r="E77" s="83">
        <f>F77-0</f>
        <v>0</v>
      </c>
      <c r="F77" s="83">
        <v>0</v>
      </c>
      <c r="G77" s="56">
        <f t="shared" si="5"/>
        <v>0</v>
      </c>
      <c r="H77" s="83">
        <f t="shared" si="2"/>
        <v>20000</v>
      </c>
      <c r="I77" s="83">
        <f>J77-0</f>
        <v>0</v>
      </c>
      <c r="J77" s="83">
        <v>0</v>
      </c>
      <c r="K77" s="56">
        <f t="shared" si="6"/>
        <v>0</v>
      </c>
      <c r="L77" s="86">
        <f t="shared" si="3"/>
        <v>20000</v>
      </c>
      <c r="M77" s="8"/>
    </row>
    <row r="78" spans="1:13" s="7" customFormat="1" ht="15">
      <c r="A78" s="47" t="s">
        <v>81</v>
      </c>
      <c r="B78" s="50" t="s">
        <v>80</v>
      </c>
      <c r="C78" s="82">
        <f>SUM(C79:C90)</f>
        <v>268131587</v>
      </c>
      <c r="D78" s="82">
        <f>SUM(D79:D90)</f>
        <v>723504973.64</v>
      </c>
      <c r="E78" s="82">
        <f>SUM(E79:E90)</f>
        <v>232046445.84</v>
      </c>
      <c r="F78" s="82">
        <f>SUM(F79:F90)</f>
        <v>436564419.65</v>
      </c>
      <c r="G78" s="51">
        <f aca="true" t="shared" si="9" ref="G78:G85">(F78/$F$286)*100</f>
        <v>0.9067807524461223</v>
      </c>
      <c r="H78" s="82">
        <f>D78-F78</f>
        <v>286940553.99</v>
      </c>
      <c r="I78" s="82">
        <f>SUM(I79:I90)</f>
        <v>245962080.16000003</v>
      </c>
      <c r="J78" s="82">
        <f>SUM(J79:J90)</f>
        <v>408781865.91</v>
      </c>
      <c r="K78" s="51">
        <f aca="true" t="shared" si="10" ref="K78:K109">(J78/$J$286)*100</f>
        <v>0.9264388929321277</v>
      </c>
      <c r="L78" s="85">
        <f>D78-J78</f>
        <v>314723107.72999996</v>
      </c>
      <c r="M78" s="8"/>
    </row>
    <row r="79" spans="1:13" s="7" customFormat="1" ht="15">
      <c r="A79" s="52" t="s">
        <v>28</v>
      </c>
      <c r="B79" s="53" t="s">
        <v>33</v>
      </c>
      <c r="C79" s="83">
        <v>85098655</v>
      </c>
      <c r="D79" s="83">
        <v>115300621.22</v>
      </c>
      <c r="E79" s="83">
        <f>F79-64216544.39</f>
        <v>16133854.700000003</v>
      </c>
      <c r="F79" s="83">
        <v>80350399.09</v>
      </c>
      <c r="G79" s="56">
        <f t="shared" si="9"/>
        <v>0.16689448811378055</v>
      </c>
      <c r="H79" s="83">
        <f t="shared" si="2"/>
        <v>34950222.129999995</v>
      </c>
      <c r="I79" s="83">
        <f>J79-34885355.73</f>
        <v>40202521.07</v>
      </c>
      <c r="J79" s="83">
        <v>75087876.8</v>
      </c>
      <c r="K79" s="56">
        <f t="shared" si="10"/>
        <v>0.1701746952506247</v>
      </c>
      <c r="L79" s="86">
        <f t="shared" si="3"/>
        <v>40212744.42</v>
      </c>
      <c r="M79" s="8"/>
    </row>
    <row r="80" spans="1:13" s="7" customFormat="1" ht="15">
      <c r="A80" s="52" t="s">
        <v>164</v>
      </c>
      <c r="B80" s="53" t="s">
        <v>165</v>
      </c>
      <c r="C80" s="83">
        <v>20000</v>
      </c>
      <c r="D80" s="83">
        <v>20000</v>
      </c>
      <c r="E80" s="83">
        <f>F80-0</f>
        <v>0</v>
      </c>
      <c r="F80" s="83">
        <v>0</v>
      </c>
      <c r="G80" s="56">
        <f t="shared" si="9"/>
        <v>0</v>
      </c>
      <c r="H80" s="83">
        <f t="shared" si="2"/>
        <v>20000</v>
      </c>
      <c r="I80" s="83">
        <f>J80-0</f>
        <v>0</v>
      </c>
      <c r="J80" s="83">
        <v>0</v>
      </c>
      <c r="K80" s="56">
        <f t="shared" si="10"/>
        <v>0</v>
      </c>
      <c r="L80" s="86">
        <f t="shared" si="3"/>
        <v>20000</v>
      </c>
      <c r="M80" s="8"/>
    </row>
    <row r="81" spans="1:13" s="7" customFormat="1" ht="15">
      <c r="A81" s="52" t="s">
        <v>64</v>
      </c>
      <c r="B81" s="53" t="s">
        <v>72</v>
      </c>
      <c r="C81" s="83">
        <v>0</v>
      </c>
      <c r="D81" s="83">
        <v>0</v>
      </c>
      <c r="E81" s="83">
        <f aca="true" t="shared" si="11" ref="E81:E90">F81-0</f>
        <v>0</v>
      </c>
      <c r="F81" s="83">
        <v>0</v>
      </c>
      <c r="G81" s="56">
        <f t="shared" si="9"/>
        <v>0</v>
      </c>
      <c r="H81" s="83">
        <f t="shared" si="2"/>
        <v>0</v>
      </c>
      <c r="I81" s="83">
        <v>0</v>
      </c>
      <c r="J81" s="83">
        <v>0</v>
      </c>
      <c r="K81" s="56">
        <f t="shared" si="10"/>
        <v>0</v>
      </c>
      <c r="L81" s="86">
        <f t="shared" si="3"/>
        <v>0</v>
      </c>
      <c r="M81" s="8"/>
    </row>
    <row r="82" spans="1:13" s="7" customFormat="1" ht="15">
      <c r="A82" s="52" t="s">
        <v>52</v>
      </c>
      <c r="B82" s="53" t="s">
        <v>59</v>
      </c>
      <c r="C82" s="83">
        <v>666576</v>
      </c>
      <c r="D82" s="83">
        <v>671576</v>
      </c>
      <c r="E82" s="83">
        <f t="shared" si="11"/>
        <v>0</v>
      </c>
      <c r="F82" s="83">
        <v>0</v>
      </c>
      <c r="G82" s="56">
        <f t="shared" si="9"/>
        <v>0</v>
      </c>
      <c r="H82" s="83">
        <f t="shared" si="2"/>
        <v>671576</v>
      </c>
      <c r="I82" s="83">
        <f aca="true" t="shared" si="12" ref="I82:I90">J82-0</f>
        <v>0</v>
      </c>
      <c r="J82" s="83">
        <v>0</v>
      </c>
      <c r="K82" s="56">
        <f t="shared" si="10"/>
        <v>0</v>
      </c>
      <c r="L82" s="86">
        <f t="shared" si="3"/>
        <v>671576</v>
      </c>
      <c r="M82" s="8"/>
    </row>
    <row r="83" spans="1:13" s="7" customFormat="1" ht="15">
      <c r="A83" s="52" t="s">
        <v>131</v>
      </c>
      <c r="B83" s="53" t="s">
        <v>132</v>
      </c>
      <c r="C83" s="83">
        <v>5000</v>
      </c>
      <c r="D83" s="83">
        <v>31715574.13</v>
      </c>
      <c r="E83" s="83">
        <f>F83-31710579.13</f>
        <v>0</v>
      </c>
      <c r="F83" s="83">
        <v>31710579.13</v>
      </c>
      <c r="G83" s="56">
        <f t="shared" si="9"/>
        <v>0.0658655206648692</v>
      </c>
      <c r="H83" s="83">
        <f>D83-F83</f>
        <v>4995</v>
      </c>
      <c r="I83" s="83">
        <f>J83-31710579.13</f>
        <v>0</v>
      </c>
      <c r="J83" s="83">
        <v>31710579.13</v>
      </c>
      <c r="K83" s="56">
        <f t="shared" si="10"/>
        <v>0.07186696933836555</v>
      </c>
      <c r="L83" s="86">
        <f t="shared" si="3"/>
        <v>4995</v>
      </c>
      <c r="M83" s="8"/>
    </row>
    <row r="84" spans="1:13" s="7" customFormat="1" ht="15">
      <c r="A84" s="52" t="s">
        <v>82</v>
      </c>
      <c r="B84" s="53" t="s">
        <v>84</v>
      </c>
      <c r="C84" s="83">
        <v>65120994</v>
      </c>
      <c r="D84" s="83">
        <v>96776699.22</v>
      </c>
      <c r="E84" s="83">
        <f>F84-13703640</f>
        <v>3506499.2399999984</v>
      </c>
      <c r="F84" s="83">
        <v>17210139.24</v>
      </c>
      <c r="G84" s="56">
        <f t="shared" si="9"/>
        <v>0.03574689623643894</v>
      </c>
      <c r="H84" s="83">
        <f t="shared" si="2"/>
        <v>79566559.98</v>
      </c>
      <c r="I84" s="83">
        <f>J84-10957171.38</f>
        <v>4939811.619999999</v>
      </c>
      <c r="J84" s="83">
        <v>15896983</v>
      </c>
      <c r="K84" s="56">
        <f t="shared" si="10"/>
        <v>0.03602797618895201</v>
      </c>
      <c r="L84" s="86">
        <f t="shared" si="3"/>
        <v>80879716.22</v>
      </c>
      <c r="M84" s="8"/>
    </row>
    <row r="85" spans="1:13" s="7" customFormat="1" ht="15">
      <c r="A85" s="52" t="s">
        <v>83</v>
      </c>
      <c r="B85" s="53" t="s">
        <v>85</v>
      </c>
      <c r="C85" s="83">
        <v>111929585</v>
      </c>
      <c r="D85" s="83">
        <v>413576126.07</v>
      </c>
      <c r="E85" s="83">
        <f>F85-86275890.29</f>
        <v>193851577</v>
      </c>
      <c r="F85" s="83">
        <v>280127467.29</v>
      </c>
      <c r="G85" s="56">
        <f t="shared" si="9"/>
        <v>0.5818481400149367</v>
      </c>
      <c r="H85" s="83">
        <f t="shared" si="2"/>
        <v>133448658.77999997</v>
      </c>
      <c r="I85" s="83">
        <f>J85-80567520.95</f>
        <v>188984973.22000003</v>
      </c>
      <c r="J85" s="83">
        <v>269552494.17</v>
      </c>
      <c r="K85" s="56">
        <f t="shared" si="10"/>
        <v>0.6108977308228476</v>
      </c>
      <c r="L85" s="86">
        <f t="shared" si="3"/>
        <v>144023631.89999998</v>
      </c>
      <c r="M85" s="8"/>
    </row>
    <row r="86" spans="1:13" s="7" customFormat="1" ht="15">
      <c r="A86" s="52" t="s">
        <v>67</v>
      </c>
      <c r="B86" s="53" t="s">
        <v>75</v>
      </c>
      <c r="C86" s="83">
        <v>538146</v>
      </c>
      <c r="D86" s="83">
        <v>538146</v>
      </c>
      <c r="E86" s="83">
        <f>F86-0</f>
        <v>0</v>
      </c>
      <c r="F86" s="83">
        <v>0</v>
      </c>
      <c r="G86" s="56">
        <f aca="true" t="shared" si="13" ref="G86:G117">(F86/$F$286)*100</f>
        <v>0</v>
      </c>
      <c r="H86" s="83">
        <f t="shared" si="2"/>
        <v>538146</v>
      </c>
      <c r="I86" s="99">
        <f>J86-0</f>
        <v>0</v>
      </c>
      <c r="J86" s="99">
        <v>0</v>
      </c>
      <c r="K86" s="56">
        <f t="shared" si="10"/>
        <v>0</v>
      </c>
      <c r="L86" s="86">
        <f t="shared" si="3"/>
        <v>538146</v>
      </c>
      <c r="M86" s="8"/>
    </row>
    <row r="87" spans="1:13" s="7" customFormat="1" ht="15">
      <c r="A87" s="52" t="s">
        <v>93</v>
      </c>
      <c r="B87" s="53" t="s">
        <v>99</v>
      </c>
      <c r="C87" s="83">
        <v>0</v>
      </c>
      <c r="D87" s="83">
        <v>0</v>
      </c>
      <c r="E87" s="83">
        <f t="shared" si="11"/>
        <v>0</v>
      </c>
      <c r="F87" s="83">
        <v>0</v>
      </c>
      <c r="G87" s="56">
        <f t="shared" si="13"/>
        <v>0</v>
      </c>
      <c r="H87" s="83">
        <f t="shared" si="2"/>
        <v>0</v>
      </c>
      <c r="I87" s="83">
        <f t="shared" si="12"/>
        <v>0</v>
      </c>
      <c r="J87" s="83">
        <v>0</v>
      </c>
      <c r="K87" s="56">
        <f t="shared" si="10"/>
        <v>0</v>
      </c>
      <c r="L87" s="86">
        <f t="shared" si="3"/>
        <v>0</v>
      </c>
      <c r="M87" s="8"/>
    </row>
    <row r="88" spans="1:13" s="7" customFormat="1" ht="15">
      <c r="A88" s="52" t="s">
        <v>68</v>
      </c>
      <c r="B88" s="53" t="s">
        <v>76</v>
      </c>
      <c r="C88" s="83">
        <v>3949485</v>
      </c>
      <c r="D88" s="83">
        <v>64098085</v>
      </c>
      <c r="E88" s="83">
        <f>F88-8611320</f>
        <v>18554514.9</v>
      </c>
      <c r="F88" s="83">
        <v>27165834.9</v>
      </c>
      <c r="G88" s="56">
        <f t="shared" si="13"/>
        <v>0.05642570741609709</v>
      </c>
      <c r="H88" s="83">
        <f>D88-F88</f>
        <v>36932250.1</v>
      </c>
      <c r="I88" s="83">
        <f>J88-4699158.56</f>
        <v>11834774.25</v>
      </c>
      <c r="J88" s="83">
        <v>16533932.81</v>
      </c>
      <c r="K88" s="56">
        <f t="shared" si="10"/>
        <v>0.03747152133133767</v>
      </c>
      <c r="L88" s="86">
        <f t="shared" si="3"/>
        <v>47564152.19</v>
      </c>
      <c r="M88" s="8"/>
    </row>
    <row r="89" spans="1:13" s="7" customFormat="1" ht="15">
      <c r="A89" s="52" t="s">
        <v>53</v>
      </c>
      <c r="B89" s="53" t="s">
        <v>60</v>
      </c>
      <c r="C89" s="83">
        <v>753146</v>
      </c>
      <c r="D89" s="83">
        <v>758146</v>
      </c>
      <c r="E89" s="83">
        <f t="shared" si="11"/>
        <v>0</v>
      </c>
      <c r="F89" s="83">
        <v>0</v>
      </c>
      <c r="G89" s="56">
        <f t="shared" si="13"/>
        <v>0</v>
      </c>
      <c r="H89" s="83">
        <f t="shared" si="2"/>
        <v>758146</v>
      </c>
      <c r="I89" s="83">
        <f t="shared" si="12"/>
        <v>0</v>
      </c>
      <c r="J89" s="83">
        <v>0</v>
      </c>
      <c r="K89" s="56">
        <f t="shared" si="10"/>
        <v>0</v>
      </c>
      <c r="L89" s="86">
        <f t="shared" si="3"/>
        <v>758146</v>
      </c>
      <c r="M89" s="8"/>
    </row>
    <row r="90" spans="1:13" s="7" customFormat="1" ht="15">
      <c r="A90" s="52" t="s">
        <v>96</v>
      </c>
      <c r="B90" s="53" t="s">
        <v>102</v>
      </c>
      <c r="C90" s="83">
        <v>50000</v>
      </c>
      <c r="D90" s="83">
        <v>50000</v>
      </c>
      <c r="E90" s="83">
        <f t="shared" si="11"/>
        <v>0</v>
      </c>
      <c r="F90" s="83">
        <v>0</v>
      </c>
      <c r="G90" s="56">
        <f t="shared" si="13"/>
        <v>0</v>
      </c>
      <c r="H90" s="83">
        <f t="shared" si="2"/>
        <v>50000</v>
      </c>
      <c r="I90" s="83">
        <f t="shared" si="12"/>
        <v>0</v>
      </c>
      <c r="J90" s="83">
        <v>0</v>
      </c>
      <c r="K90" s="56">
        <f t="shared" si="10"/>
        <v>0</v>
      </c>
      <c r="L90" s="86">
        <f t="shared" si="3"/>
        <v>50000</v>
      </c>
      <c r="M90" s="8"/>
    </row>
    <row r="91" spans="1:13" s="7" customFormat="1" ht="15">
      <c r="A91" s="47" t="s">
        <v>87</v>
      </c>
      <c r="B91" s="50" t="s">
        <v>86</v>
      </c>
      <c r="C91" s="82">
        <f>SUM(C92:C96)</f>
        <v>25193648990</v>
      </c>
      <c r="D91" s="82">
        <f>SUM(D92:D96)</f>
        <v>26517767030.75</v>
      </c>
      <c r="E91" s="82">
        <f>SUM(E92:E96)</f>
        <v>4243414086.3499994</v>
      </c>
      <c r="F91" s="82">
        <f>SUM(F92:F96)</f>
        <v>16376423889.98</v>
      </c>
      <c r="G91" s="51">
        <f t="shared" si="13"/>
        <v>34.01519983978089</v>
      </c>
      <c r="H91" s="82">
        <f t="shared" si="2"/>
        <v>10141343140.77</v>
      </c>
      <c r="I91" s="82">
        <f>SUM(I92:I96)</f>
        <v>4135743459.05</v>
      </c>
      <c r="J91" s="82">
        <f>SUM(J92:J96)</f>
        <v>16074701907.07</v>
      </c>
      <c r="K91" s="51">
        <f t="shared" si="10"/>
        <v>36.43074774329313</v>
      </c>
      <c r="L91" s="85">
        <f t="shared" si="3"/>
        <v>10443065123.68</v>
      </c>
      <c r="M91" s="8"/>
    </row>
    <row r="92" spans="1:13" s="7" customFormat="1" ht="15">
      <c r="A92" s="52" t="s">
        <v>28</v>
      </c>
      <c r="B92" s="53" t="s">
        <v>33</v>
      </c>
      <c r="C92" s="83">
        <v>11131796818</v>
      </c>
      <c r="D92" s="83">
        <v>13845400252.99</v>
      </c>
      <c r="E92" s="83">
        <f>F92-5321101798.8</f>
        <v>2101876490.63</v>
      </c>
      <c r="F92" s="83">
        <v>7422978289.43</v>
      </c>
      <c r="G92" s="56">
        <f t="shared" si="13"/>
        <v>15.418145720800878</v>
      </c>
      <c r="H92" s="83">
        <f t="shared" si="2"/>
        <v>6422421963.559999</v>
      </c>
      <c r="I92" s="83">
        <f>J92-5268139052.8</f>
        <v>2034782269.2399998</v>
      </c>
      <c r="J92" s="83">
        <v>7302921322.04</v>
      </c>
      <c r="K92" s="56">
        <f t="shared" si="10"/>
        <v>16.550906263172514</v>
      </c>
      <c r="L92" s="86">
        <f>D92-J92</f>
        <v>6542478930.95</v>
      </c>
      <c r="M92" s="8"/>
    </row>
    <row r="93" spans="1:13" s="7" customFormat="1" ht="15">
      <c r="A93" s="52" t="s">
        <v>39</v>
      </c>
      <c r="B93" s="53" t="s">
        <v>41</v>
      </c>
      <c r="C93" s="83">
        <v>760000</v>
      </c>
      <c r="D93" s="83">
        <v>760000</v>
      </c>
      <c r="E93" s="83">
        <f>F93-0</f>
        <v>0</v>
      </c>
      <c r="F93" s="83">
        <v>0</v>
      </c>
      <c r="G93" s="56">
        <f t="shared" si="13"/>
        <v>0</v>
      </c>
      <c r="H93" s="83">
        <f t="shared" si="2"/>
        <v>760000</v>
      </c>
      <c r="I93" s="83">
        <f>J93-0</f>
        <v>0</v>
      </c>
      <c r="J93" s="83">
        <v>0</v>
      </c>
      <c r="K93" s="56">
        <f t="shared" si="10"/>
        <v>0</v>
      </c>
      <c r="L93" s="86">
        <f>D93-J93</f>
        <v>760000</v>
      </c>
      <c r="M93" s="8"/>
    </row>
    <row r="94" spans="1:13" s="7" customFormat="1" ht="15">
      <c r="A94" s="52" t="s">
        <v>232</v>
      </c>
      <c r="B94" s="53" t="s">
        <v>231</v>
      </c>
      <c r="C94" s="83">
        <v>4000000</v>
      </c>
      <c r="D94" s="83">
        <v>4000000</v>
      </c>
      <c r="E94" s="83">
        <f>F94-0</f>
        <v>0</v>
      </c>
      <c r="F94" s="83">
        <v>0</v>
      </c>
      <c r="G94" s="56">
        <f t="shared" si="13"/>
        <v>0</v>
      </c>
      <c r="H94" s="83">
        <f t="shared" si="2"/>
        <v>4000000</v>
      </c>
      <c r="I94" s="83">
        <f>J94-0</f>
        <v>0</v>
      </c>
      <c r="J94" s="83">
        <v>0</v>
      </c>
      <c r="K94" s="56">
        <f t="shared" si="10"/>
        <v>0</v>
      </c>
      <c r="L94" s="86">
        <f>D94-J94</f>
        <v>4000000</v>
      </c>
      <c r="M94" s="8"/>
    </row>
    <row r="95" spans="1:13" s="7" customFormat="1" ht="15">
      <c r="A95" s="52" t="s">
        <v>49</v>
      </c>
      <c r="B95" s="53" t="s">
        <v>56</v>
      </c>
      <c r="C95" s="83">
        <v>0</v>
      </c>
      <c r="D95" s="83">
        <v>0</v>
      </c>
      <c r="E95" s="83">
        <f>F95-0</f>
        <v>0</v>
      </c>
      <c r="F95" s="83">
        <v>0</v>
      </c>
      <c r="G95" s="56">
        <f t="shared" si="13"/>
        <v>0</v>
      </c>
      <c r="H95" s="83">
        <f t="shared" si="2"/>
        <v>0</v>
      </c>
      <c r="I95" s="83">
        <f>J95-0</f>
        <v>0</v>
      </c>
      <c r="J95" s="83">
        <v>0</v>
      </c>
      <c r="K95" s="56">
        <f t="shared" si="10"/>
        <v>0</v>
      </c>
      <c r="L95" s="86">
        <f t="shared" si="3"/>
        <v>0</v>
      </c>
      <c r="M95" s="8"/>
    </row>
    <row r="96" spans="1:13" s="7" customFormat="1" ht="15">
      <c r="A96" s="52" t="s">
        <v>88</v>
      </c>
      <c r="B96" s="53" t="s">
        <v>89</v>
      </c>
      <c r="C96" s="83">
        <v>14057092172</v>
      </c>
      <c r="D96" s="83">
        <v>12667606777.76</v>
      </c>
      <c r="E96" s="83">
        <f>F96-6811908004.83</f>
        <v>2141537595.7199993</v>
      </c>
      <c r="F96" s="83">
        <v>8953445600.55</v>
      </c>
      <c r="G96" s="56">
        <f t="shared" si="13"/>
        <v>18.597054118980015</v>
      </c>
      <c r="H96" s="83">
        <f t="shared" si="2"/>
        <v>3714161177.210001</v>
      </c>
      <c r="I96" s="83">
        <f>J96-6670819395.22</f>
        <v>2100961189.8100004</v>
      </c>
      <c r="J96" s="83">
        <v>8771780585.03</v>
      </c>
      <c r="K96" s="56">
        <f t="shared" si="10"/>
        <v>19.87984148012062</v>
      </c>
      <c r="L96" s="86">
        <f t="shared" si="3"/>
        <v>3895826192.7299995</v>
      </c>
      <c r="M96" s="8"/>
    </row>
    <row r="97" spans="1:13" s="7" customFormat="1" ht="15">
      <c r="A97" s="47" t="s">
        <v>90</v>
      </c>
      <c r="B97" s="50" t="s">
        <v>91</v>
      </c>
      <c r="C97" s="82">
        <f>SUM(C98:C108)</f>
        <v>6405887795</v>
      </c>
      <c r="D97" s="82">
        <f>SUM(D98:D108)</f>
        <v>7329951628.06</v>
      </c>
      <c r="E97" s="82">
        <f>SUM(E98:E108)</f>
        <v>1340585709.5299995</v>
      </c>
      <c r="F97" s="82">
        <f>SUM(F98:F108)</f>
        <v>4267082029.14</v>
      </c>
      <c r="G97" s="51">
        <f t="shared" si="13"/>
        <v>8.863085672980349</v>
      </c>
      <c r="H97" s="82">
        <f t="shared" si="2"/>
        <v>3062869598.9200006</v>
      </c>
      <c r="I97" s="82">
        <f>SUM(I98:I108)</f>
        <v>1224663331.95</v>
      </c>
      <c r="J97" s="82">
        <f>SUM(J98:J108)</f>
        <v>3753521806.0299997</v>
      </c>
      <c r="K97" s="51">
        <f t="shared" si="10"/>
        <v>8.506758436639265</v>
      </c>
      <c r="L97" s="85">
        <f t="shared" si="3"/>
        <v>3576429822.0300007</v>
      </c>
      <c r="M97" s="8"/>
    </row>
    <row r="98" spans="1:13" s="7" customFormat="1" ht="15">
      <c r="A98" s="52" t="s">
        <v>28</v>
      </c>
      <c r="B98" s="53" t="s">
        <v>33</v>
      </c>
      <c r="C98" s="83">
        <v>1006922747</v>
      </c>
      <c r="D98" s="83">
        <v>1024710284.4</v>
      </c>
      <c r="E98" s="83">
        <f>F98-351604089.75</f>
        <v>139891280.43</v>
      </c>
      <c r="F98" s="83">
        <v>491495370.18</v>
      </c>
      <c r="G98" s="56">
        <f t="shared" si="13"/>
        <v>1.020876923394061</v>
      </c>
      <c r="H98" s="83">
        <f t="shared" si="2"/>
        <v>533214914.21999997</v>
      </c>
      <c r="I98" s="83">
        <f>J98-325493816.55</f>
        <v>138791150.14999998</v>
      </c>
      <c r="J98" s="83">
        <v>464284966.7</v>
      </c>
      <c r="K98" s="56">
        <f t="shared" si="10"/>
        <v>1.0522278173887445</v>
      </c>
      <c r="L98" s="86">
        <f t="shared" si="3"/>
        <v>560425317.7</v>
      </c>
      <c r="M98" s="8"/>
    </row>
    <row r="99" spans="1:13" s="7" customFormat="1" ht="15">
      <c r="A99" s="52" t="s">
        <v>29</v>
      </c>
      <c r="B99" s="53" t="s">
        <v>34</v>
      </c>
      <c r="C99" s="83">
        <v>19943579</v>
      </c>
      <c r="D99" s="83">
        <v>19943579</v>
      </c>
      <c r="E99" s="83">
        <f>F99-5531253.4</f>
        <v>3757529.6500000004</v>
      </c>
      <c r="F99" s="83">
        <v>9288783.05</v>
      </c>
      <c r="G99" s="56">
        <f t="shared" si="13"/>
        <v>0.019293578001937355</v>
      </c>
      <c r="H99" s="83">
        <f t="shared" si="2"/>
        <v>10654795.95</v>
      </c>
      <c r="I99" s="83">
        <f>J99-5400518.63</f>
        <v>1935706.0700000003</v>
      </c>
      <c r="J99" s="83">
        <v>7336224.7</v>
      </c>
      <c r="K99" s="56">
        <f t="shared" si="10"/>
        <v>0.01662638305698645</v>
      </c>
      <c r="L99" s="86">
        <f t="shared" si="3"/>
        <v>12607354.3</v>
      </c>
      <c r="M99" s="8"/>
    </row>
    <row r="100" spans="1:13" s="7" customFormat="1" ht="15">
      <c r="A100" s="52" t="s">
        <v>65</v>
      </c>
      <c r="B100" s="53" t="s">
        <v>73</v>
      </c>
      <c r="C100" s="83">
        <v>132911151</v>
      </c>
      <c r="D100" s="83">
        <v>132911151</v>
      </c>
      <c r="E100" s="83">
        <f>F100-56425070.41</f>
        <v>17151844.86</v>
      </c>
      <c r="F100" s="83">
        <v>73576915.27</v>
      </c>
      <c r="G100" s="56">
        <f t="shared" si="13"/>
        <v>0.1528253966383336</v>
      </c>
      <c r="H100" s="83">
        <f t="shared" si="2"/>
        <v>59334235.730000004</v>
      </c>
      <c r="I100" s="83">
        <f>J100-56425070.41</f>
        <v>17151844.86</v>
      </c>
      <c r="J100" s="83">
        <v>73576915.27</v>
      </c>
      <c r="K100" s="56">
        <f t="shared" si="10"/>
        <v>0.16675034196137084</v>
      </c>
      <c r="L100" s="86">
        <f t="shared" si="3"/>
        <v>59334235.730000004</v>
      </c>
      <c r="M100" s="8"/>
    </row>
    <row r="101" spans="1:13" s="7" customFormat="1" ht="15">
      <c r="A101" s="52" t="s">
        <v>83</v>
      </c>
      <c r="B101" s="53" t="s">
        <v>85</v>
      </c>
      <c r="C101" s="83">
        <v>0</v>
      </c>
      <c r="D101" s="83"/>
      <c r="E101" s="83">
        <f>F101-0</f>
        <v>0</v>
      </c>
      <c r="F101" s="83">
        <v>0</v>
      </c>
      <c r="G101" s="56">
        <f t="shared" si="13"/>
        <v>0</v>
      </c>
      <c r="H101" s="83">
        <f t="shared" si="2"/>
        <v>0</v>
      </c>
      <c r="I101" s="83">
        <f>J101-0</f>
        <v>0</v>
      </c>
      <c r="J101" s="83">
        <v>0</v>
      </c>
      <c r="K101" s="56">
        <f t="shared" si="10"/>
        <v>0</v>
      </c>
      <c r="L101" s="86">
        <f t="shared" si="3"/>
        <v>0</v>
      </c>
      <c r="M101" s="8"/>
    </row>
    <row r="102" spans="1:13" s="7" customFormat="1" ht="15">
      <c r="A102" s="52" t="s">
        <v>92</v>
      </c>
      <c r="B102" s="53" t="s">
        <v>98</v>
      </c>
      <c r="C102" s="83">
        <v>219279646</v>
      </c>
      <c r="D102" s="83">
        <v>377405342.74</v>
      </c>
      <c r="E102" s="83">
        <f>F102-157750168</f>
        <v>73177596.12</v>
      </c>
      <c r="F102" s="83">
        <v>230927764.12</v>
      </c>
      <c r="G102" s="56">
        <f t="shared" si="13"/>
        <v>0.47965624838898674</v>
      </c>
      <c r="H102" s="83">
        <f t="shared" si="2"/>
        <v>146477578.62</v>
      </c>
      <c r="I102" s="83">
        <f>J102-157750168</f>
        <v>73072596.12</v>
      </c>
      <c r="J102" s="83">
        <v>230822764.12</v>
      </c>
      <c r="K102" s="56">
        <f t="shared" si="10"/>
        <v>0.5231229755723741</v>
      </c>
      <c r="L102" s="86">
        <f t="shared" si="3"/>
        <v>146582578.62</v>
      </c>
      <c r="M102" s="8"/>
    </row>
    <row r="103" spans="1:13" s="7" customFormat="1" ht="15">
      <c r="A103" s="52" t="s">
        <v>67</v>
      </c>
      <c r="B103" s="53" t="s">
        <v>75</v>
      </c>
      <c r="C103" s="83">
        <v>4566998330</v>
      </c>
      <c r="D103" s="83">
        <v>5276297001.26</v>
      </c>
      <c r="E103" s="83">
        <f>F103-2251240533.51</f>
        <v>1086174096.2999997</v>
      </c>
      <c r="F103" s="83">
        <v>3337414629.81</v>
      </c>
      <c r="G103" s="56">
        <f t="shared" si="13"/>
        <v>6.932088857974361</v>
      </c>
      <c r="H103" s="83">
        <f t="shared" si="2"/>
        <v>1938882371.4500003</v>
      </c>
      <c r="I103" s="83">
        <f>J103-1889072261.2</f>
        <v>981857500.6699998</v>
      </c>
      <c r="J103" s="83">
        <v>2870929761.87</v>
      </c>
      <c r="K103" s="56">
        <f t="shared" si="10"/>
        <v>6.5065043537384435</v>
      </c>
      <c r="L103" s="86">
        <f t="shared" si="3"/>
        <v>2405367239.3900003</v>
      </c>
      <c r="M103" s="8"/>
    </row>
    <row r="104" spans="1:13" s="7" customFormat="1" ht="15">
      <c r="A104" s="52" t="s">
        <v>93</v>
      </c>
      <c r="B104" s="53" t="s">
        <v>99</v>
      </c>
      <c r="C104" s="83">
        <v>400758042</v>
      </c>
      <c r="D104" s="83">
        <v>404547470.66</v>
      </c>
      <c r="E104" s="83">
        <f>F104-69207354.81</f>
        <v>9534344.230000004</v>
      </c>
      <c r="F104" s="83">
        <v>78741699.04</v>
      </c>
      <c r="G104" s="56">
        <f t="shared" si="13"/>
        <v>0.16355308378456698</v>
      </c>
      <c r="H104" s="83">
        <f t="shared" si="2"/>
        <v>325805771.62</v>
      </c>
      <c r="I104" s="83">
        <f>J104-62102099.03</f>
        <v>11037900.909999996</v>
      </c>
      <c r="J104" s="83">
        <v>73139999.94</v>
      </c>
      <c r="K104" s="56">
        <f t="shared" si="10"/>
        <v>0.16576014305974102</v>
      </c>
      <c r="L104" s="86">
        <f t="shared" si="3"/>
        <v>331407470.72</v>
      </c>
      <c r="M104" s="8"/>
    </row>
    <row r="105" spans="1:13" s="7" customFormat="1" ht="15">
      <c r="A105" s="52" t="s">
        <v>94</v>
      </c>
      <c r="B105" s="53" t="s">
        <v>100</v>
      </c>
      <c r="C105" s="83">
        <v>12241567</v>
      </c>
      <c r="D105" s="83">
        <v>12241567</v>
      </c>
      <c r="E105" s="83">
        <f>F105-404270.16</f>
        <v>71938.60000000003</v>
      </c>
      <c r="F105" s="83">
        <v>476208.76</v>
      </c>
      <c r="G105" s="56">
        <f t="shared" si="13"/>
        <v>0.0009891253576286149</v>
      </c>
      <c r="H105" s="83">
        <f t="shared" si="2"/>
        <v>11765358.24</v>
      </c>
      <c r="I105" s="83">
        <f>J105-269876.18</f>
        <v>97821.26000000001</v>
      </c>
      <c r="J105" s="83">
        <v>367697.44</v>
      </c>
      <c r="K105" s="56">
        <f t="shared" si="10"/>
        <v>0.0008333275951203199</v>
      </c>
      <c r="L105" s="86">
        <f t="shared" si="3"/>
        <v>11873869.56</v>
      </c>
      <c r="M105" s="8"/>
    </row>
    <row r="106" spans="1:13" s="7" customFormat="1" ht="15">
      <c r="A106" s="52" t="s">
        <v>95</v>
      </c>
      <c r="B106" s="53" t="s">
        <v>101</v>
      </c>
      <c r="C106" s="83">
        <v>45392587</v>
      </c>
      <c r="D106" s="83">
        <v>80455086</v>
      </c>
      <c r="E106" s="83">
        <f>F106-34333579.57</f>
        <v>10827079.339999996</v>
      </c>
      <c r="F106" s="83">
        <v>45160658.91</v>
      </c>
      <c r="G106" s="56">
        <f t="shared" si="13"/>
        <v>0.09380245944047234</v>
      </c>
      <c r="H106" s="83">
        <f t="shared" si="2"/>
        <v>35294427.09</v>
      </c>
      <c r="I106" s="83">
        <f>J106-32344664.08</f>
        <v>718811.9100000001</v>
      </c>
      <c r="J106" s="83">
        <v>33063475.99</v>
      </c>
      <c r="K106" s="56">
        <f t="shared" si="10"/>
        <v>0.0749330942664848</v>
      </c>
      <c r="L106" s="86">
        <f t="shared" si="3"/>
        <v>47391610.010000005</v>
      </c>
      <c r="M106" s="8"/>
    </row>
    <row r="107" spans="1:13" s="7" customFormat="1" ht="15">
      <c r="A107" s="52" t="s">
        <v>68</v>
      </c>
      <c r="B107" s="53" t="s">
        <v>76</v>
      </c>
      <c r="C107" s="83">
        <v>1125146</v>
      </c>
      <c r="D107" s="83">
        <v>1125146</v>
      </c>
      <c r="E107" s="83">
        <f>F107-0</f>
        <v>0</v>
      </c>
      <c r="F107" s="83">
        <v>0</v>
      </c>
      <c r="G107" s="56">
        <f t="shared" si="13"/>
        <v>0</v>
      </c>
      <c r="H107" s="83">
        <f t="shared" si="2"/>
        <v>1125146</v>
      </c>
      <c r="I107" s="83">
        <f>J107-0</f>
        <v>0</v>
      </c>
      <c r="J107" s="83">
        <v>0</v>
      </c>
      <c r="K107" s="56">
        <f t="shared" si="10"/>
        <v>0</v>
      </c>
      <c r="L107" s="86">
        <f t="shared" si="3"/>
        <v>1125146</v>
      </c>
      <c r="M107" s="8"/>
    </row>
    <row r="108" spans="1:13" s="7" customFormat="1" ht="15">
      <c r="A108" s="52" t="s">
        <v>97</v>
      </c>
      <c r="B108" s="53" t="s">
        <v>241</v>
      </c>
      <c r="C108" s="83">
        <v>315000</v>
      </c>
      <c r="D108" s="83">
        <v>315000</v>
      </c>
      <c r="E108" s="83">
        <f>F108-0</f>
        <v>0</v>
      </c>
      <c r="F108" s="83">
        <v>0</v>
      </c>
      <c r="G108" s="56">
        <f t="shared" si="13"/>
        <v>0</v>
      </c>
      <c r="H108" s="83">
        <f t="shared" si="2"/>
        <v>315000</v>
      </c>
      <c r="I108" s="83">
        <f>J108-0</f>
        <v>0</v>
      </c>
      <c r="J108" s="83">
        <v>0</v>
      </c>
      <c r="K108" s="56">
        <f t="shared" si="10"/>
        <v>0</v>
      </c>
      <c r="L108" s="86">
        <f t="shared" si="3"/>
        <v>315000</v>
      </c>
      <c r="M108" s="8"/>
    </row>
    <row r="109" spans="1:17" s="7" customFormat="1" ht="15">
      <c r="A109" s="47" t="s">
        <v>104</v>
      </c>
      <c r="B109" s="50" t="s">
        <v>103</v>
      </c>
      <c r="C109" s="82">
        <f>SUM(C110:C117)</f>
        <v>88292717</v>
      </c>
      <c r="D109" s="82">
        <f>SUM(D110:D117)</f>
        <v>97808489.6</v>
      </c>
      <c r="E109" s="82">
        <f>SUM(E111:E117)</f>
        <v>2373810.1999999997</v>
      </c>
      <c r="F109" s="82">
        <f>SUM(F111:F117)</f>
        <v>8530900.19</v>
      </c>
      <c r="G109" s="51">
        <f t="shared" si="13"/>
        <v>0.017719392019012348</v>
      </c>
      <c r="H109" s="82">
        <f t="shared" si="2"/>
        <v>89277589.41</v>
      </c>
      <c r="I109" s="82">
        <f>SUM(I111:I117)</f>
        <v>1842065.73</v>
      </c>
      <c r="J109" s="82">
        <f>SUM(J111:J117)</f>
        <v>7974140.62</v>
      </c>
      <c r="K109" s="51">
        <f t="shared" si="10"/>
        <v>0.0180721177335797</v>
      </c>
      <c r="L109" s="85">
        <f t="shared" si="3"/>
        <v>89834348.97999999</v>
      </c>
      <c r="M109" s="8"/>
      <c r="N109" s="87"/>
      <c r="O109" s="87"/>
      <c r="P109" s="87"/>
      <c r="Q109" s="87"/>
    </row>
    <row r="110" spans="1:17" s="7" customFormat="1" ht="15">
      <c r="A110" s="52" t="s">
        <v>48</v>
      </c>
      <c r="B110" s="53" t="s">
        <v>55</v>
      </c>
      <c r="C110" s="83">
        <v>5000</v>
      </c>
      <c r="D110" s="83">
        <v>10000</v>
      </c>
      <c r="E110" s="82">
        <f aca="true" t="shared" si="14" ref="E110:E117">F110-0</f>
        <v>0</v>
      </c>
      <c r="F110" s="82">
        <v>0</v>
      </c>
      <c r="G110" s="51">
        <f t="shared" si="13"/>
        <v>0</v>
      </c>
      <c r="H110" s="83">
        <f t="shared" si="2"/>
        <v>10000</v>
      </c>
      <c r="I110" s="82">
        <f aca="true" t="shared" si="15" ref="I110:I117">J110-0</f>
        <v>0</v>
      </c>
      <c r="J110" s="82">
        <v>0</v>
      </c>
      <c r="K110" s="51">
        <f aca="true" t="shared" si="16" ref="K110:K141">(J110/$J$286)*100</f>
        <v>0</v>
      </c>
      <c r="L110" s="86">
        <f t="shared" si="3"/>
        <v>10000</v>
      </c>
      <c r="M110" s="8"/>
      <c r="N110" s="87"/>
      <c r="O110" s="87"/>
      <c r="P110" s="87"/>
      <c r="Q110" s="87"/>
    </row>
    <row r="111" spans="1:13" s="7" customFormat="1" ht="15">
      <c r="A111" s="52" t="s">
        <v>28</v>
      </c>
      <c r="B111" s="53" t="s">
        <v>33</v>
      </c>
      <c r="C111" s="83">
        <v>12725717</v>
      </c>
      <c r="D111" s="83">
        <v>12413717</v>
      </c>
      <c r="E111" s="83">
        <f>F111-6126392.84</f>
        <v>2156652.05</v>
      </c>
      <c r="F111" s="83">
        <v>8283044.89</v>
      </c>
      <c r="G111" s="56">
        <f t="shared" si="13"/>
        <v>0.017204575865162833</v>
      </c>
      <c r="H111" s="83">
        <f t="shared" si="2"/>
        <v>4130672.1100000003</v>
      </c>
      <c r="I111" s="83">
        <f>J111-6101377.74</f>
        <v>1825778.58</v>
      </c>
      <c r="J111" s="83">
        <v>7927156.32</v>
      </c>
      <c r="K111" s="56">
        <f t="shared" si="16"/>
        <v>0.017965635312251413</v>
      </c>
      <c r="L111" s="86">
        <f t="shared" si="3"/>
        <v>4486560.68</v>
      </c>
      <c r="M111" s="8"/>
    </row>
    <row r="112" spans="1:13" s="7" customFormat="1" ht="15">
      <c r="A112" s="52" t="s">
        <v>50</v>
      </c>
      <c r="B112" s="53" t="s">
        <v>57</v>
      </c>
      <c r="C112" s="83">
        <v>5025000</v>
      </c>
      <c r="D112" s="83">
        <v>5050000</v>
      </c>
      <c r="E112" s="83">
        <f t="shared" si="14"/>
        <v>0</v>
      </c>
      <c r="F112" s="83">
        <v>0</v>
      </c>
      <c r="G112" s="56">
        <f t="shared" si="13"/>
        <v>0</v>
      </c>
      <c r="H112" s="83">
        <f t="shared" si="2"/>
        <v>5050000</v>
      </c>
      <c r="I112" s="83">
        <f t="shared" si="15"/>
        <v>0</v>
      </c>
      <c r="J112" s="83">
        <v>0</v>
      </c>
      <c r="K112" s="56">
        <f t="shared" si="16"/>
        <v>0</v>
      </c>
      <c r="L112" s="86">
        <f t="shared" si="3"/>
        <v>5050000</v>
      </c>
      <c r="M112" s="8"/>
    </row>
    <row r="113" spans="1:13" s="7" customFormat="1" ht="15">
      <c r="A113" s="52" t="s">
        <v>131</v>
      </c>
      <c r="B113" s="53" t="s">
        <v>132</v>
      </c>
      <c r="C113" s="83">
        <v>4525000</v>
      </c>
      <c r="D113" s="83">
        <v>4545000</v>
      </c>
      <c r="E113" s="83">
        <f t="shared" si="14"/>
        <v>0</v>
      </c>
      <c r="F113" s="83">
        <v>0</v>
      </c>
      <c r="G113" s="56">
        <f t="shared" si="13"/>
        <v>0</v>
      </c>
      <c r="H113" s="83">
        <f t="shared" si="2"/>
        <v>4545000</v>
      </c>
      <c r="I113" s="83">
        <f t="shared" si="15"/>
        <v>0</v>
      </c>
      <c r="J113" s="83">
        <v>0</v>
      </c>
      <c r="K113" s="56">
        <f t="shared" si="16"/>
        <v>0</v>
      </c>
      <c r="L113" s="86">
        <f t="shared" si="3"/>
        <v>4545000</v>
      </c>
      <c r="M113" s="8"/>
    </row>
    <row r="114" spans="1:13" s="7" customFormat="1" ht="15">
      <c r="A114" s="52" t="s">
        <v>242</v>
      </c>
      <c r="B114" s="53" t="s">
        <v>243</v>
      </c>
      <c r="C114" s="83">
        <v>0</v>
      </c>
      <c r="D114" s="83">
        <v>0</v>
      </c>
      <c r="E114" s="83">
        <f t="shared" si="14"/>
        <v>0</v>
      </c>
      <c r="F114" s="83">
        <v>0</v>
      </c>
      <c r="G114" s="56">
        <f t="shared" si="13"/>
        <v>0</v>
      </c>
      <c r="H114" s="83">
        <f>D114-F114</f>
        <v>0</v>
      </c>
      <c r="I114" s="83">
        <f t="shared" si="15"/>
        <v>0</v>
      </c>
      <c r="J114" s="83">
        <v>0</v>
      </c>
      <c r="K114" s="56">
        <f t="shared" si="16"/>
        <v>0</v>
      </c>
      <c r="L114" s="86">
        <f>D114-J114</f>
        <v>0</v>
      </c>
      <c r="M114" s="8"/>
    </row>
    <row r="115" spans="1:13" s="7" customFormat="1" ht="15">
      <c r="A115" s="52" t="s">
        <v>105</v>
      </c>
      <c r="B115" s="53" t="s">
        <v>107</v>
      </c>
      <c r="C115" s="83">
        <v>55225000</v>
      </c>
      <c r="D115" s="83">
        <v>63599859.51</v>
      </c>
      <c r="E115" s="83">
        <f>F115-30697.15</f>
        <v>217158.15</v>
      </c>
      <c r="F115" s="83">
        <v>247855.3</v>
      </c>
      <c r="G115" s="56">
        <f t="shared" si="13"/>
        <v>0.0005148161538495168</v>
      </c>
      <c r="H115" s="83">
        <f t="shared" si="2"/>
        <v>63352004.21</v>
      </c>
      <c r="I115" s="83">
        <f>J115-30697.15</f>
        <v>16287.150000000001</v>
      </c>
      <c r="J115" s="83">
        <v>46984.3</v>
      </c>
      <c r="K115" s="56">
        <f t="shared" si="16"/>
        <v>0.00010648242132828461</v>
      </c>
      <c r="L115" s="86">
        <f t="shared" si="3"/>
        <v>63552875.21</v>
      </c>
      <c r="M115" s="8"/>
    </row>
    <row r="116" spans="1:13" s="7" customFormat="1" ht="15">
      <c r="A116" s="52" t="s">
        <v>106</v>
      </c>
      <c r="B116" s="53" t="s">
        <v>108</v>
      </c>
      <c r="C116" s="83">
        <v>10787000</v>
      </c>
      <c r="D116" s="83">
        <v>12189913.09</v>
      </c>
      <c r="E116" s="83">
        <f t="shared" si="14"/>
        <v>0</v>
      </c>
      <c r="F116" s="83">
        <v>0</v>
      </c>
      <c r="G116" s="56">
        <f t="shared" si="13"/>
        <v>0</v>
      </c>
      <c r="H116" s="83">
        <f t="shared" si="2"/>
        <v>12189913.09</v>
      </c>
      <c r="I116" s="83">
        <f t="shared" si="15"/>
        <v>0</v>
      </c>
      <c r="J116" s="83">
        <v>0</v>
      </c>
      <c r="K116" s="56">
        <f t="shared" si="16"/>
        <v>0</v>
      </c>
      <c r="L116" s="86">
        <f t="shared" si="3"/>
        <v>12189913.09</v>
      </c>
      <c r="M116" s="8"/>
    </row>
    <row r="117" spans="1:13" s="7" customFormat="1" ht="15">
      <c r="A117" s="52" t="s">
        <v>53</v>
      </c>
      <c r="B117" s="53" t="s">
        <v>60</v>
      </c>
      <c r="C117" s="83">
        <v>0</v>
      </c>
      <c r="D117" s="83">
        <v>0</v>
      </c>
      <c r="E117" s="83">
        <f t="shared" si="14"/>
        <v>0</v>
      </c>
      <c r="F117" s="83">
        <v>0</v>
      </c>
      <c r="G117" s="56">
        <f t="shared" si="13"/>
        <v>0</v>
      </c>
      <c r="H117" s="83">
        <f t="shared" si="2"/>
        <v>0</v>
      </c>
      <c r="I117" s="83">
        <f t="shared" si="15"/>
        <v>0</v>
      </c>
      <c r="J117" s="83">
        <v>0</v>
      </c>
      <c r="K117" s="56">
        <f t="shared" si="16"/>
        <v>0</v>
      </c>
      <c r="L117" s="86">
        <f t="shared" si="3"/>
        <v>0</v>
      </c>
      <c r="M117" s="8"/>
    </row>
    <row r="118" spans="1:13" s="7" customFormat="1" ht="15">
      <c r="A118" s="47" t="s">
        <v>109</v>
      </c>
      <c r="B118" s="50" t="s">
        <v>110</v>
      </c>
      <c r="C118" s="82">
        <f>SUM(C119:C136)</f>
        <v>7592137807</v>
      </c>
      <c r="D118" s="82">
        <f>SUM(D119:D136)</f>
        <v>8875201217.94</v>
      </c>
      <c r="E118" s="82">
        <f>SUM(E119:E136)</f>
        <v>1162777938.91</v>
      </c>
      <c r="F118" s="82">
        <f>SUM(F119:F136)</f>
        <v>4148111702.19</v>
      </c>
      <c r="G118" s="51">
        <f aca="true" t="shared" si="17" ref="G118:G141">(F118/$F$286)*100</f>
        <v>8.615974369963554</v>
      </c>
      <c r="H118" s="82">
        <f t="shared" si="2"/>
        <v>4727089515.75</v>
      </c>
      <c r="I118" s="82">
        <f>SUM(I119:I136)</f>
        <v>966355920.07</v>
      </c>
      <c r="J118" s="82">
        <f>SUM(J119:J136)</f>
        <v>3697680161.2000003</v>
      </c>
      <c r="K118" s="51">
        <f t="shared" si="16"/>
        <v>8.380202256118272</v>
      </c>
      <c r="L118" s="85">
        <f t="shared" si="3"/>
        <v>5177521056.74</v>
      </c>
      <c r="M118" s="8"/>
    </row>
    <row r="119" spans="1:13" s="7" customFormat="1" ht="15">
      <c r="A119" s="52" t="s">
        <v>28</v>
      </c>
      <c r="B119" s="53" t="s">
        <v>33</v>
      </c>
      <c r="C119" s="83">
        <v>2372777065</v>
      </c>
      <c r="D119" s="83">
        <v>2613497152.2</v>
      </c>
      <c r="E119" s="83">
        <f>F119-902060431.45</f>
        <v>413735064.6299999</v>
      </c>
      <c r="F119" s="83">
        <v>1315795496.08</v>
      </c>
      <c r="G119" s="56">
        <f t="shared" si="17"/>
        <v>2.7330171133900403</v>
      </c>
      <c r="H119" s="83">
        <f t="shared" si="2"/>
        <v>1297701656.12</v>
      </c>
      <c r="I119" s="83">
        <f>J119-871718302.23</f>
        <v>342052171.05999994</v>
      </c>
      <c r="J119" s="83">
        <v>1213770473.29</v>
      </c>
      <c r="K119" s="56">
        <f t="shared" si="16"/>
        <v>2.7508171651529807</v>
      </c>
      <c r="L119" s="86">
        <f t="shared" si="3"/>
        <v>1399726678.9099998</v>
      </c>
      <c r="M119" s="8"/>
    </row>
    <row r="120" spans="1:13" s="7" customFormat="1" ht="15">
      <c r="A120" s="52" t="s">
        <v>50</v>
      </c>
      <c r="B120" s="53" t="s">
        <v>57</v>
      </c>
      <c r="C120" s="83">
        <v>4041463</v>
      </c>
      <c r="D120" s="83">
        <v>4041463</v>
      </c>
      <c r="E120" s="83">
        <f>F120-0</f>
        <v>0</v>
      </c>
      <c r="F120" s="83">
        <v>0</v>
      </c>
      <c r="G120" s="56">
        <f t="shared" si="17"/>
        <v>0</v>
      </c>
      <c r="H120" s="83">
        <f t="shared" si="2"/>
        <v>4041463</v>
      </c>
      <c r="I120" s="83">
        <f>J120-0</f>
        <v>0</v>
      </c>
      <c r="J120" s="83">
        <v>0</v>
      </c>
      <c r="K120" s="56">
        <f t="shared" si="16"/>
        <v>0</v>
      </c>
      <c r="L120" s="86">
        <f t="shared" si="3"/>
        <v>4041463</v>
      </c>
      <c r="M120" s="8"/>
    </row>
    <row r="121" spans="1:13" s="7" customFormat="1" ht="15">
      <c r="A121" s="52" t="s">
        <v>29</v>
      </c>
      <c r="B121" s="53" t="s">
        <v>34</v>
      </c>
      <c r="C121" s="83">
        <v>67089128</v>
      </c>
      <c r="D121" s="83">
        <v>83706774.62</v>
      </c>
      <c r="E121" s="83">
        <f>F121-1406920</f>
        <v>3416479</v>
      </c>
      <c r="F121" s="83">
        <v>4823399</v>
      </c>
      <c r="G121" s="56">
        <f t="shared" si="17"/>
        <v>0.010018602473546481</v>
      </c>
      <c r="H121" s="83">
        <f t="shared" si="2"/>
        <v>78883375.62</v>
      </c>
      <c r="I121" s="83">
        <f>J121-1406920</f>
        <v>185546</v>
      </c>
      <c r="J121" s="83">
        <v>1592466</v>
      </c>
      <c r="K121" s="56">
        <f t="shared" si="16"/>
        <v>0.0036090701694601827</v>
      </c>
      <c r="L121" s="86">
        <f t="shared" si="3"/>
        <v>82114308.62</v>
      </c>
      <c r="M121" s="8"/>
    </row>
    <row r="122" spans="1:13" s="7" customFormat="1" ht="15">
      <c r="A122" s="52" t="s">
        <v>131</v>
      </c>
      <c r="B122" s="53" t="s">
        <v>132</v>
      </c>
      <c r="C122" s="83">
        <v>50000</v>
      </c>
      <c r="D122" s="83">
        <v>50000</v>
      </c>
      <c r="E122" s="83">
        <f>F122-0</f>
        <v>0</v>
      </c>
      <c r="F122" s="83">
        <v>0</v>
      </c>
      <c r="G122" s="56">
        <f t="shared" si="17"/>
        <v>0</v>
      </c>
      <c r="H122" s="83">
        <f t="shared" si="2"/>
        <v>50000</v>
      </c>
      <c r="I122" s="83">
        <f>J122-0</f>
        <v>0</v>
      </c>
      <c r="J122" s="83">
        <v>0</v>
      </c>
      <c r="K122" s="56">
        <f t="shared" si="16"/>
        <v>0</v>
      </c>
      <c r="L122" s="86">
        <f t="shared" si="3"/>
        <v>50000</v>
      </c>
      <c r="M122" s="8"/>
    </row>
    <row r="123" spans="1:13" s="7" customFormat="1" ht="15">
      <c r="A123" s="52" t="s">
        <v>82</v>
      </c>
      <c r="B123" s="53" t="s">
        <v>84</v>
      </c>
      <c r="C123" s="83">
        <v>71660613</v>
      </c>
      <c r="D123" s="83">
        <v>71560613</v>
      </c>
      <c r="E123" s="83">
        <f>F123-23506416.91</f>
        <v>21457552.52</v>
      </c>
      <c r="F123" s="83">
        <v>44963969.43</v>
      </c>
      <c r="G123" s="56">
        <f t="shared" si="17"/>
        <v>0.09339391896707412</v>
      </c>
      <c r="H123" s="83">
        <f t="shared" si="2"/>
        <v>26596643.57</v>
      </c>
      <c r="I123" s="83">
        <f>J123-23086175.53</f>
        <v>8353157.079999998</v>
      </c>
      <c r="J123" s="83">
        <v>31439332.61</v>
      </c>
      <c r="K123" s="56">
        <f t="shared" si="16"/>
        <v>0.07125223236821869</v>
      </c>
      <c r="L123" s="86">
        <f t="shared" si="3"/>
        <v>40121280.39</v>
      </c>
      <c r="M123" s="8"/>
    </row>
    <row r="124" spans="1:13" s="7" customFormat="1" ht="15">
      <c r="A124" s="52" t="s">
        <v>67</v>
      </c>
      <c r="B124" s="53" t="s">
        <v>75</v>
      </c>
      <c r="C124" s="83">
        <v>14275821</v>
      </c>
      <c r="D124" s="83">
        <v>14075821</v>
      </c>
      <c r="E124" s="83">
        <f>F124-3435996.3</f>
        <v>1053025.6000000006</v>
      </c>
      <c r="F124" s="83">
        <v>4489021.9</v>
      </c>
      <c r="G124" s="56">
        <f t="shared" si="17"/>
        <v>0.009324073316585323</v>
      </c>
      <c r="H124" s="83">
        <f t="shared" si="2"/>
        <v>9586799.1</v>
      </c>
      <c r="I124" s="83">
        <f>J124-560400</f>
        <v>1224304.96</v>
      </c>
      <c r="J124" s="83">
        <v>1784704.96</v>
      </c>
      <c r="K124" s="56">
        <f t="shared" si="16"/>
        <v>0.004044749107625299</v>
      </c>
      <c r="L124" s="86">
        <f t="shared" si="3"/>
        <v>12291116.04</v>
      </c>
      <c r="M124" s="8"/>
    </row>
    <row r="125" spans="1:13" s="7" customFormat="1" ht="15">
      <c r="A125" s="52" t="s">
        <v>68</v>
      </c>
      <c r="B125" s="53" t="s">
        <v>76</v>
      </c>
      <c r="C125" s="83">
        <v>362133745</v>
      </c>
      <c r="D125" s="83">
        <v>370421999.06</v>
      </c>
      <c r="E125" s="83">
        <f>F125-158317758.46</f>
        <v>144052526.70000002</v>
      </c>
      <c r="F125" s="83">
        <v>302370285.16</v>
      </c>
      <c r="G125" s="56">
        <f t="shared" si="17"/>
        <v>0.6280483299911392</v>
      </c>
      <c r="H125" s="83">
        <f t="shared" si="2"/>
        <v>68051713.89999998</v>
      </c>
      <c r="I125" s="83">
        <f>J125-127192088.73</f>
        <v>59267153.04000001</v>
      </c>
      <c r="J125" s="83">
        <v>186459241.77</v>
      </c>
      <c r="K125" s="56">
        <f t="shared" si="16"/>
        <v>0.42258012873886863</v>
      </c>
      <c r="L125" s="86">
        <f t="shared" si="3"/>
        <v>183962757.29</v>
      </c>
      <c r="M125" s="8"/>
    </row>
    <row r="126" spans="1:13" s="7" customFormat="1" ht="15">
      <c r="A126" s="52" t="s">
        <v>238</v>
      </c>
      <c r="B126" s="53" t="s">
        <v>239</v>
      </c>
      <c r="C126" s="83">
        <v>2465498</v>
      </c>
      <c r="D126" s="83">
        <v>2465498</v>
      </c>
      <c r="E126" s="83">
        <f>F126-0</f>
        <v>0</v>
      </c>
      <c r="F126" s="83">
        <v>0</v>
      </c>
      <c r="G126" s="56">
        <f t="shared" si="17"/>
        <v>0</v>
      </c>
      <c r="H126" s="83">
        <f t="shared" si="2"/>
        <v>2465498</v>
      </c>
      <c r="I126" s="83">
        <f>J126-0</f>
        <v>0</v>
      </c>
      <c r="J126" s="83">
        <v>0</v>
      </c>
      <c r="K126" s="56">
        <f t="shared" si="16"/>
        <v>0</v>
      </c>
      <c r="L126" s="86">
        <f t="shared" si="3"/>
        <v>2465498</v>
      </c>
      <c r="M126" s="8"/>
    </row>
    <row r="127" spans="1:13" s="7" customFormat="1" ht="15">
      <c r="A127" s="52" t="s">
        <v>111</v>
      </c>
      <c r="B127" s="53" t="s">
        <v>118</v>
      </c>
      <c r="C127" s="83">
        <v>1020266224</v>
      </c>
      <c r="D127" s="83">
        <v>971473688.72</v>
      </c>
      <c r="E127" s="83">
        <f>F127-434046587.33</f>
        <v>129823078.29000002</v>
      </c>
      <c r="F127" s="83">
        <v>563869665.62</v>
      </c>
      <c r="G127" s="56">
        <f t="shared" si="17"/>
        <v>1.1712043782275443</v>
      </c>
      <c r="H127" s="83">
        <f t="shared" si="2"/>
        <v>407604023.1</v>
      </c>
      <c r="I127" s="83">
        <f>J127-434046587.33</f>
        <v>129823078.29000002</v>
      </c>
      <c r="J127" s="83">
        <v>563869665.62</v>
      </c>
      <c r="K127" s="56">
        <f t="shared" si="16"/>
        <v>1.2779206524049054</v>
      </c>
      <c r="L127" s="86">
        <f t="shared" si="3"/>
        <v>407604023.1</v>
      </c>
      <c r="M127" s="8"/>
    </row>
    <row r="128" spans="1:13" s="7" customFormat="1" ht="15">
      <c r="A128" s="52" t="s">
        <v>112</v>
      </c>
      <c r="B128" s="53" t="s">
        <v>119</v>
      </c>
      <c r="C128" s="83">
        <v>1967630518</v>
      </c>
      <c r="D128" s="83">
        <v>2240645911.59</v>
      </c>
      <c r="E128" s="83">
        <f>F128-965394085.98</f>
        <v>286443158.1700001</v>
      </c>
      <c r="F128" s="83">
        <v>1251837244.15</v>
      </c>
      <c r="G128" s="56">
        <f t="shared" si="17"/>
        <v>2.600170483660755</v>
      </c>
      <c r="H128" s="83">
        <f t="shared" si="2"/>
        <v>988808667.44</v>
      </c>
      <c r="I128" s="83">
        <f>J128-965325529.98</f>
        <v>286477436.1700001</v>
      </c>
      <c r="J128" s="83">
        <v>1251802966.15</v>
      </c>
      <c r="K128" s="56">
        <f t="shared" si="16"/>
        <v>2.837011743530939</v>
      </c>
      <c r="L128" s="86">
        <f t="shared" si="3"/>
        <v>988842945.44</v>
      </c>
      <c r="M128" s="8"/>
    </row>
    <row r="129" spans="1:13" s="7" customFormat="1" ht="15">
      <c r="A129" s="52" t="s">
        <v>113</v>
      </c>
      <c r="B129" s="53" t="s">
        <v>120</v>
      </c>
      <c r="C129" s="83">
        <v>94611461</v>
      </c>
      <c r="D129" s="83">
        <v>164108132.51</v>
      </c>
      <c r="E129" s="83">
        <f>F129-2442613.94</f>
        <v>7926367.890000001</v>
      </c>
      <c r="F129" s="83">
        <v>10368981.83</v>
      </c>
      <c r="G129" s="56">
        <f t="shared" si="17"/>
        <v>0.021537241063863163</v>
      </c>
      <c r="H129" s="83">
        <f t="shared" si="2"/>
        <v>153739150.67999998</v>
      </c>
      <c r="I129" s="83">
        <f>J129-401586.87</f>
        <v>311200.62</v>
      </c>
      <c r="J129" s="83">
        <v>712787.49</v>
      </c>
      <c r="K129" s="56">
        <f t="shared" si="16"/>
        <v>0.001615419146985492</v>
      </c>
      <c r="L129" s="86">
        <f t="shared" si="3"/>
        <v>163395345.01999998</v>
      </c>
      <c r="M129" s="8"/>
    </row>
    <row r="130" spans="1:13" s="7" customFormat="1" ht="15">
      <c r="A130" s="52" t="s">
        <v>114</v>
      </c>
      <c r="B130" s="53" t="s">
        <v>121</v>
      </c>
      <c r="C130" s="83">
        <v>366912851</v>
      </c>
      <c r="D130" s="83">
        <v>384478025.68</v>
      </c>
      <c r="E130" s="83">
        <f>F130-105822834.76</f>
        <v>37805290.89999999</v>
      </c>
      <c r="F130" s="83">
        <v>143628125.66</v>
      </c>
      <c r="G130" s="56">
        <f t="shared" si="17"/>
        <v>0.29832760984694007</v>
      </c>
      <c r="H130" s="83">
        <f t="shared" si="2"/>
        <v>240849900.02</v>
      </c>
      <c r="I130" s="83">
        <f>J130-84461336.57</f>
        <v>42234782.72000001</v>
      </c>
      <c r="J130" s="83">
        <v>126696119.29</v>
      </c>
      <c r="K130" s="56">
        <f t="shared" si="16"/>
        <v>0.2871365446520729</v>
      </c>
      <c r="L130" s="86">
        <f t="shared" si="3"/>
        <v>257781906.39</v>
      </c>
      <c r="M130" s="8"/>
    </row>
    <row r="131" spans="1:13" s="7" customFormat="1" ht="15">
      <c r="A131" s="52" t="s">
        <v>115</v>
      </c>
      <c r="B131" s="53" t="s">
        <v>122</v>
      </c>
      <c r="C131" s="83">
        <v>11227300</v>
      </c>
      <c r="D131" s="83">
        <v>17795397</v>
      </c>
      <c r="E131" s="83">
        <f>F131-4270715.13</f>
        <v>2922959.4699999997</v>
      </c>
      <c r="F131" s="83">
        <v>7193674.6</v>
      </c>
      <c r="G131" s="56">
        <f t="shared" si="17"/>
        <v>0.014941862811152154</v>
      </c>
      <c r="H131" s="83">
        <f t="shared" si="2"/>
        <v>10601722.4</v>
      </c>
      <c r="I131" s="83">
        <f>J131-3132940.68</f>
        <v>3334957.72</v>
      </c>
      <c r="J131" s="83">
        <v>6467898.4</v>
      </c>
      <c r="K131" s="56">
        <f t="shared" si="16"/>
        <v>0.014658460007648044</v>
      </c>
      <c r="L131" s="86">
        <f t="shared" si="3"/>
        <v>11327498.6</v>
      </c>
      <c r="M131" s="8"/>
    </row>
    <row r="132" spans="1:13" s="7" customFormat="1" ht="15">
      <c r="A132" s="52" t="s">
        <v>116</v>
      </c>
      <c r="B132" s="53" t="s">
        <v>123</v>
      </c>
      <c r="C132" s="83">
        <v>30194872</v>
      </c>
      <c r="D132" s="83">
        <v>25965480.3</v>
      </c>
      <c r="E132" s="83">
        <f>F132-2314730</f>
        <v>0</v>
      </c>
      <c r="F132" s="83">
        <v>2314730</v>
      </c>
      <c r="G132" s="56">
        <f t="shared" si="17"/>
        <v>0.004807887488385731</v>
      </c>
      <c r="H132" s="83">
        <f t="shared" si="2"/>
        <v>23650750.3</v>
      </c>
      <c r="I132" s="83">
        <f>J132-0</f>
        <v>60929.05</v>
      </c>
      <c r="J132" s="83">
        <v>60929.05</v>
      </c>
      <c r="K132" s="56">
        <f t="shared" si="16"/>
        <v>0.00013808597282990529</v>
      </c>
      <c r="L132" s="86">
        <f t="shared" si="3"/>
        <v>25904551.25</v>
      </c>
      <c r="M132" s="8"/>
    </row>
    <row r="133" spans="1:13" s="7" customFormat="1" ht="15">
      <c r="A133" s="52" t="s">
        <v>251</v>
      </c>
      <c r="B133" s="53" t="s">
        <v>252</v>
      </c>
      <c r="C133" s="83">
        <v>897353191</v>
      </c>
      <c r="D133" s="83">
        <v>1727764133.67</v>
      </c>
      <c r="E133" s="83">
        <f>F133-317353315.37</f>
        <v>91171146.49000001</v>
      </c>
      <c r="F133" s="83">
        <v>408524461.86</v>
      </c>
      <c r="G133" s="56">
        <f t="shared" si="17"/>
        <v>0.8485394187988266</v>
      </c>
      <c r="H133" s="83">
        <f t="shared" si="2"/>
        <v>1319239671.81</v>
      </c>
      <c r="I133" s="83">
        <f>J133-155051155.56</f>
        <v>70062407.85999998</v>
      </c>
      <c r="J133" s="83">
        <v>225113563.42</v>
      </c>
      <c r="K133" s="56">
        <f t="shared" si="16"/>
        <v>0.5101839828793864</v>
      </c>
      <c r="L133" s="86">
        <f t="shared" si="3"/>
        <v>1502650570.25</v>
      </c>
      <c r="M133" s="8"/>
    </row>
    <row r="134" spans="1:13" s="7" customFormat="1" ht="15">
      <c r="A134" s="52" t="s">
        <v>117</v>
      </c>
      <c r="B134" s="53" t="s">
        <v>124</v>
      </c>
      <c r="C134" s="83">
        <v>791500</v>
      </c>
      <c r="D134" s="83">
        <v>721500</v>
      </c>
      <c r="E134" s="83">
        <f>F134-37367.65</f>
        <v>5568.75</v>
      </c>
      <c r="F134" s="83">
        <v>42936.4</v>
      </c>
      <c r="G134" s="56">
        <f t="shared" si="17"/>
        <v>8.918248796029131E-05</v>
      </c>
      <c r="H134" s="83">
        <f t="shared" si="2"/>
        <v>678563.6</v>
      </c>
      <c r="I134" s="83">
        <f>J134-17227.65</f>
        <v>3075</v>
      </c>
      <c r="J134" s="83">
        <v>20302.65</v>
      </c>
      <c r="K134" s="56">
        <f t="shared" si="16"/>
        <v>4.601271768187879E-05</v>
      </c>
      <c r="L134" s="86">
        <f t="shared" si="3"/>
        <v>701197.35</v>
      </c>
      <c r="M134" s="8"/>
    </row>
    <row r="135" spans="1:13" s="7" customFormat="1" ht="15">
      <c r="A135" s="52" t="s">
        <v>96</v>
      </c>
      <c r="B135" s="53" t="s">
        <v>102</v>
      </c>
      <c r="C135" s="83">
        <v>5000</v>
      </c>
      <c r="D135" s="83">
        <v>5000</v>
      </c>
      <c r="E135" s="83">
        <f>F135-0</f>
        <v>0</v>
      </c>
      <c r="F135" s="83">
        <v>0</v>
      </c>
      <c r="G135" s="56">
        <f t="shared" si="17"/>
        <v>0</v>
      </c>
      <c r="H135" s="83">
        <f t="shared" si="2"/>
        <v>5000</v>
      </c>
      <c r="I135" s="83">
        <f>J135-0</f>
        <v>0</v>
      </c>
      <c r="J135" s="83">
        <v>0</v>
      </c>
      <c r="K135" s="56">
        <f t="shared" si="16"/>
        <v>0</v>
      </c>
      <c r="L135" s="86">
        <f t="shared" si="3"/>
        <v>5000</v>
      </c>
      <c r="M135" s="8"/>
    </row>
    <row r="136" spans="1:13" s="7" customFormat="1" ht="15">
      <c r="A136" s="52" t="s">
        <v>97</v>
      </c>
      <c r="B136" s="53" t="s">
        <v>241</v>
      </c>
      <c r="C136" s="83">
        <v>308651557</v>
      </c>
      <c r="D136" s="83">
        <v>182424627.59</v>
      </c>
      <c r="E136" s="83">
        <f>F136-64923990</f>
        <v>22965720.5</v>
      </c>
      <c r="F136" s="83">
        <v>87889710.5</v>
      </c>
      <c r="G136" s="56">
        <f t="shared" si="17"/>
        <v>0.18255426743974199</v>
      </c>
      <c r="H136" s="83">
        <f>D136-F136</f>
        <v>94534917.09</v>
      </c>
      <c r="I136" s="83">
        <f>J136-64923990</f>
        <v>22965720.5</v>
      </c>
      <c r="J136" s="83">
        <v>87889710.5</v>
      </c>
      <c r="K136" s="56">
        <f t="shared" si="16"/>
        <v>0.19918800926866975</v>
      </c>
      <c r="L136" s="86">
        <f>D136-J136</f>
        <v>94534917.09</v>
      </c>
      <c r="M136" s="8"/>
    </row>
    <row r="137" spans="1:13" s="7" customFormat="1" ht="15">
      <c r="A137" s="47" t="s">
        <v>125</v>
      </c>
      <c r="B137" s="50" t="s">
        <v>126</v>
      </c>
      <c r="C137" s="82">
        <f>SUM(C138:C141)</f>
        <v>198792518</v>
      </c>
      <c r="D137" s="82">
        <f>SUM(D138:D141)</f>
        <v>324578667.07</v>
      </c>
      <c r="E137" s="82">
        <f>SUM(E138:E141)</f>
        <v>25362505.240000002</v>
      </c>
      <c r="F137" s="82">
        <f>SUM(F138:F141)</f>
        <v>80300172.38</v>
      </c>
      <c r="G137" s="51">
        <f t="shared" si="17"/>
        <v>0.16679016304321428</v>
      </c>
      <c r="H137" s="82">
        <f t="shared" si="2"/>
        <v>244278494.69</v>
      </c>
      <c r="I137" s="82">
        <f>SUM(I138:I141)</f>
        <v>21962497.58</v>
      </c>
      <c r="J137" s="82">
        <f>SUM(J138:J141)</f>
        <v>60058973.05</v>
      </c>
      <c r="K137" s="51">
        <f t="shared" si="16"/>
        <v>0.13611408221159388</v>
      </c>
      <c r="L137" s="85">
        <f t="shared" si="3"/>
        <v>264519694.01999998</v>
      </c>
      <c r="M137" s="8"/>
    </row>
    <row r="138" spans="1:13" s="7" customFormat="1" ht="15">
      <c r="A138" s="52" t="s">
        <v>28</v>
      </c>
      <c r="B138" s="53" t="s">
        <v>33</v>
      </c>
      <c r="C138" s="83">
        <v>104057254</v>
      </c>
      <c r="D138" s="83">
        <v>107786486.6</v>
      </c>
      <c r="E138" s="83">
        <f>F138-38270746.37</f>
        <v>12435861.420000002</v>
      </c>
      <c r="F138" s="83">
        <v>50706607.79</v>
      </c>
      <c r="G138" s="56">
        <f t="shared" si="17"/>
        <v>0.10532185834720396</v>
      </c>
      <c r="H138" s="83">
        <f t="shared" si="2"/>
        <v>57079878.809999995</v>
      </c>
      <c r="I138" s="83">
        <f>J138-35990197.93</f>
        <v>12595010.049999997</v>
      </c>
      <c r="J138" s="83">
        <v>48585207.98</v>
      </c>
      <c r="K138" s="56">
        <f t="shared" si="16"/>
        <v>0.11011062389880652</v>
      </c>
      <c r="L138" s="86">
        <f t="shared" si="3"/>
        <v>59201278.62</v>
      </c>
      <c r="M138" s="8"/>
    </row>
    <row r="139" spans="1:13" s="7" customFormat="1" ht="15">
      <c r="A139" s="52" t="s">
        <v>127</v>
      </c>
      <c r="B139" s="53" t="s">
        <v>128</v>
      </c>
      <c r="C139" s="83">
        <v>26088038</v>
      </c>
      <c r="D139" s="83">
        <v>26199865.33</v>
      </c>
      <c r="E139" s="83">
        <f>F139-0</f>
        <v>4867.49</v>
      </c>
      <c r="F139" s="83">
        <v>4867.49</v>
      </c>
      <c r="G139" s="56">
        <f t="shared" si="17"/>
        <v>1.011018316211509E-05</v>
      </c>
      <c r="H139" s="83">
        <f t="shared" si="2"/>
        <v>26194997.84</v>
      </c>
      <c r="I139" s="83">
        <f>J139-0</f>
        <v>3916.39</v>
      </c>
      <c r="J139" s="83">
        <v>3916.39</v>
      </c>
      <c r="K139" s="56">
        <f t="shared" si="16"/>
        <v>8.875873218625807E-06</v>
      </c>
      <c r="L139" s="86">
        <f t="shared" si="3"/>
        <v>26195948.939999998</v>
      </c>
      <c r="M139" s="8"/>
    </row>
    <row r="140" spans="1:13" s="7" customFormat="1" ht="15">
      <c r="A140" s="52" t="s">
        <v>117</v>
      </c>
      <c r="B140" s="53" t="s">
        <v>124</v>
      </c>
      <c r="C140" s="83">
        <v>68647226</v>
      </c>
      <c r="D140" s="83">
        <v>190592315.14</v>
      </c>
      <c r="E140" s="83">
        <f>F140-16666920.77</f>
        <v>12921776.330000002</v>
      </c>
      <c r="F140" s="83">
        <v>29588697.1</v>
      </c>
      <c r="G140" s="56">
        <f t="shared" si="17"/>
        <v>0.06145819451284822</v>
      </c>
      <c r="H140" s="83">
        <f t="shared" si="2"/>
        <v>161003618.04</v>
      </c>
      <c r="I140" s="83">
        <f>J140-2106277.54</f>
        <v>9363571.14</v>
      </c>
      <c r="J140" s="83">
        <v>11469848.68</v>
      </c>
      <c r="K140" s="56">
        <f t="shared" si="16"/>
        <v>0.025994582439568727</v>
      </c>
      <c r="L140" s="86">
        <f>D140-J140</f>
        <v>179122466.45999998</v>
      </c>
      <c r="M140" s="8"/>
    </row>
    <row r="141" spans="1:13" s="7" customFormat="1" ht="15">
      <c r="A141" s="58" t="s">
        <v>185</v>
      </c>
      <c r="B141" s="59" t="s">
        <v>186</v>
      </c>
      <c r="C141" s="84">
        <v>0</v>
      </c>
      <c r="D141" s="84">
        <v>0</v>
      </c>
      <c r="E141" s="84">
        <f>F141-0</f>
        <v>0</v>
      </c>
      <c r="F141" s="84">
        <v>0</v>
      </c>
      <c r="G141" s="60">
        <f t="shared" si="17"/>
        <v>0</v>
      </c>
      <c r="H141" s="84">
        <f t="shared" si="2"/>
        <v>0</v>
      </c>
      <c r="I141" s="84">
        <f>J141-0</f>
        <v>0</v>
      </c>
      <c r="J141" s="84">
        <v>0</v>
      </c>
      <c r="K141" s="60">
        <f t="shared" si="16"/>
        <v>0</v>
      </c>
      <c r="L141" s="88">
        <f t="shared" si="3"/>
        <v>0</v>
      </c>
      <c r="M141" s="8"/>
    </row>
    <row r="142" spans="1:13" s="7" customFormat="1" ht="15">
      <c r="A142" s="61"/>
      <c r="B142" s="62"/>
      <c r="C142" s="63"/>
      <c r="D142" s="63"/>
      <c r="E142" s="63"/>
      <c r="F142" s="63"/>
      <c r="G142" s="64"/>
      <c r="H142" s="63"/>
      <c r="I142" s="63"/>
      <c r="J142" s="63"/>
      <c r="K142" s="64"/>
      <c r="L142" s="65" t="s">
        <v>228</v>
      </c>
      <c r="M142" s="8"/>
    </row>
    <row r="143" spans="1:13" s="7" customFormat="1" ht="13.5" customHeight="1">
      <c r="A143" s="31"/>
      <c r="B143" s="28"/>
      <c r="C143" s="32"/>
      <c r="D143" s="32"/>
      <c r="E143" s="32"/>
      <c r="F143" s="32"/>
      <c r="G143" s="33"/>
      <c r="H143" s="32"/>
      <c r="I143" s="32"/>
      <c r="J143" s="32"/>
      <c r="K143" s="33"/>
      <c r="L143" s="32"/>
      <c r="M143" s="8"/>
    </row>
    <row r="144" spans="1:13" s="7" customFormat="1" ht="15.75">
      <c r="A144" s="31"/>
      <c r="B144" s="28"/>
      <c r="C144" s="32"/>
      <c r="D144" s="32"/>
      <c r="E144" s="32"/>
      <c r="F144" s="32"/>
      <c r="G144" s="33"/>
      <c r="H144" s="32"/>
      <c r="I144" s="32"/>
      <c r="J144" s="32"/>
      <c r="K144" s="33"/>
      <c r="L144" s="32"/>
      <c r="M144" s="8"/>
    </row>
    <row r="145" spans="1:13" s="7" customFormat="1" ht="15.75">
      <c r="A145" s="31"/>
      <c r="B145" s="28"/>
      <c r="C145" s="32"/>
      <c r="D145" s="32"/>
      <c r="E145" s="32"/>
      <c r="F145" s="32"/>
      <c r="G145" s="33"/>
      <c r="H145" s="32"/>
      <c r="I145" s="32"/>
      <c r="J145" s="32"/>
      <c r="K145" s="33"/>
      <c r="L145" s="32"/>
      <c r="M145" s="8"/>
    </row>
    <row r="146" spans="1:13" s="7" customFormat="1" ht="17.25" customHeight="1">
      <c r="A146" s="31"/>
      <c r="B146" s="28"/>
      <c r="C146" s="32"/>
      <c r="D146" s="32"/>
      <c r="E146" s="32"/>
      <c r="F146" s="32"/>
      <c r="G146" s="33"/>
      <c r="H146" s="32"/>
      <c r="I146" s="32"/>
      <c r="J146" s="32"/>
      <c r="K146" s="33"/>
      <c r="L146" s="25" t="s">
        <v>157</v>
      </c>
      <c r="M146" s="8"/>
    </row>
    <row r="147" spans="1:13" s="7" customFormat="1" ht="15">
      <c r="A147" s="115" t="s">
        <v>14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8"/>
    </row>
    <row r="148" spans="1:13" s="7" customFormat="1" ht="15">
      <c r="A148" s="115" t="s">
        <v>0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8"/>
    </row>
    <row r="149" spans="1:13" s="7" customFormat="1" ht="15">
      <c r="A149" s="122" t="s">
        <v>1</v>
      </c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8"/>
    </row>
    <row r="150" spans="1:13" s="7" customFormat="1" ht="15">
      <c r="A150" s="115" t="s">
        <v>2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8"/>
    </row>
    <row r="151" spans="1:13" s="7" customFormat="1" ht="15">
      <c r="A151" s="115" t="str">
        <f>A8</f>
        <v>JANEIRO A AGOSTO 2021/BIMESTRE JULHO - AGOSTO</v>
      </c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8"/>
    </row>
    <row r="152" spans="1:13" s="7" customFormat="1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5" t="str">
        <f>L9</f>
        <v>Emissão: 20/09/2021</v>
      </c>
      <c r="M152" s="8"/>
    </row>
    <row r="153" spans="1:13" s="7" customFormat="1" ht="15">
      <c r="A153" s="27" t="s">
        <v>240</v>
      </c>
      <c r="B153" s="26"/>
      <c r="C153" s="28"/>
      <c r="D153" s="26"/>
      <c r="E153" s="26"/>
      <c r="F153" s="29"/>
      <c r="G153" s="29"/>
      <c r="H153" s="29"/>
      <c r="I153" s="26"/>
      <c r="J153" s="26"/>
      <c r="K153" s="25"/>
      <c r="L153" s="30">
        <v>1</v>
      </c>
      <c r="M153" s="8"/>
    </row>
    <row r="154" spans="1:13" s="7" customFormat="1" ht="13.5" customHeight="1">
      <c r="A154" s="11"/>
      <c r="B154" s="12"/>
      <c r="C154" s="13" t="s">
        <v>3</v>
      </c>
      <c r="D154" s="13" t="s">
        <v>3</v>
      </c>
      <c r="E154" s="119" t="s">
        <v>4</v>
      </c>
      <c r="F154" s="120"/>
      <c r="G154" s="121"/>
      <c r="H154" s="13" t="s">
        <v>18</v>
      </c>
      <c r="I154" s="119" t="s">
        <v>5</v>
      </c>
      <c r="J154" s="120"/>
      <c r="K154" s="121"/>
      <c r="L154" s="14" t="s">
        <v>18</v>
      </c>
      <c r="M154" s="8"/>
    </row>
    <row r="155" spans="1:13" s="7" customFormat="1" ht="14.25" customHeight="1">
      <c r="A155" s="15" t="s">
        <v>23</v>
      </c>
      <c r="B155" s="16" t="s">
        <v>6</v>
      </c>
      <c r="C155" s="16" t="s">
        <v>7</v>
      </c>
      <c r="D155" s="16" t="s">
        <v>8</v>
      </c>
      <c r="E155" s="16" t="s">
        <v>9</v>
      </c>
      <c r="F155" s="16" t="s">
        <v>10</v>
      </c>
      <c r="G155" s="16" t="s">
        <v>11</v>
      </c>
      <c r="H155" s="17"/>
      <c r="I155" s="16" t="s">
        <v>9</v>
      </c>
      <c r="J155" s="16" t="s">
        <v>10</v>
      </c>
      <c r="K155" s="16" t="s">
        <v>11</v>
      </c>
      <c r="L155" s="18"/>
      <c r="M155" s="8"/>
    </row>
    <row r="156" spans="1:13" s="7" customFormat="1" ht="13.5" customHeight="1">
      <c r="A156" s="19"/>
      <c r="B156" s="20"/>
      <c r="C156" s="20"/>
      <c r="D156" s="21" t="s">
        <v>12</v>
      </c>
      <c r="E156" s="21"/>
      <c r="F156" s="21" t="s">
        <v>13</v>
      </c>
      <c r="G156" s="21" t="s">
        <v>17</v>
      </c>
      <c r="H156" s="22" t="s">
        <v>19</v>
      </c>
      <c r="I156" s="21"/>
      <c r="J156" s="21" t="s">
        <v>20</v>
      </c>
      <c r="K156" s="21" t="s">
        <v>21</v>
      </c>
      <c r="L156" s="23" t="s">
        <v>22</v>
      </c>
      <c r="M156" s="8"/>
    </row>
    <row r="157" spans="1:13" s="7" customFormat="1" ht="15">
      <c r="A157" s="47" t="s">
        <v>129</v>
      </c>
      <c r="B157" s="50" t="s">
        <v>130</v>
      </c>
      <c r="C157" s="82">
        <f>SUM(C158:C164)</f>
        <v>220339809</v>
      </c>
      <c r="D157" s="82">
        <f>SUM(D158:D164)</f>
        <v>274098721.28999996</v>
      </c>
      <c r="E157" s="82">
        <f>SUM(E158:E164)</f>
        <v>62214762.14</v>
      </c>
      <c r="F157" s="82">
        <f>SUM(F158:F164)</f>
        <v>164756833.05</v>
      </c>
      <c r="G157" s="51">
        <f aca="true" t="shared" si="18" ref="G157:G188">(F157/$F$286)*100</f>
        <v>0.34221369932871293</v>
      </c>
      <c r="H157" s="82">
        <f aca="true" t="shared" si="19" ref="H157:H164">D157-F157</f>
        <v>109341888.23999995</v>
      </c>
      <c r="I157" s="82">
        <f>SUM(I158:I164)</f>
        <v>40993323.21999999</v>
      </c>
      <c r="J157" s="82">
        <f>SUM(J158:J164)</f>
        <v>142520953.26999998</v>
      </c>
      <c r="K157" s="51">
        <f aca="true" t="shared" si="20" ref="K157:K188">(J157/$J$286)*100</f>
        <v>0.32300100659592457</v>
      </c>
      <c r="L157" s="85">
        <f aca="true" t="shared" si="21" ref="L157:L164">D157-J157</f>
        <v>131577768.01999998</v>
      </c>
      <c r="M157" s="8"/>
    </row>
    <row r="158" spans="1:13" s="7" customFormat="1" ht="15">
      <c r="A158" s="52" t="s">
        <v>28</v>
      </c>
      <c r="B158" s="53" t="s">
        <v>33</v>
      </c>
      <c r="C158" s="83">
        <v>13272176</v>
      </c>
      <c r="D158" s="83">
        <v>13284156</v>
      </c>
      <c r="E158" s="83">
        <f>F158-5881514.66</f>
        <v>1869711.0899999999</v>
      </c>
      <c r="F158" s="83">
        <v>7751225.75</v>
      </c>
      <c r="G158" s="56">
        <f t="shared" si="18"/>
        <v>0.01609994310484519</v>
      </c>
      <c r="H158" s="83">
        <f t="shared" si="19"/>
        <v>5532930.25</v>
      </c>
      <c r="I158" s="83">
        <f>J158-5869137.6</f>
        <v>1879962.0900000008</v>
      </c>
      <c r="J158" s="83">
        <v>7749099.69</v>
      </c>
      <c r="K158" s="56">
        <f t="shared" si="20"/>
        <v>0.017562098362760747</v>
      </c>
      <c r="L158" s="86">
        <f t="shared" si="21"/>
        <v>5535056.31</v>
      </c>
      <c r="M158" s="8"/>
    </row>
    <row r="159" spans="1:13" s="7" customFormat="1" ht="15">
      <c r="A159" s="52" t="s">
        <v>49</v>
      </c>
      <c r="B159" s="53" t="s">
        <v>56</v>
      </c>
      <c r="C159" s="83">
        <v>196504700</v>
      </c>
      <c r="D159" s="83">
        <v>243824073.2</v>
      </c>
      <c r="E159" s="83">
        <f>F159-94475951.43</f>
        <v>58935790</v>
      </c>
      <c r="F159" s="83">
        <v>153411741.43</v>
      </c>
      <c r="G159" s="56">
        <f t="shared" si="18"/>
        <v>0.3186489967265141</v>
      </c>
      <c r="H159" s="83">
        <f t="shared" si="19"/>
        <v>90412331.76999998</v>
      </c>
      <c r="I159" s="83">
        <f>J159-93490476.43</f>
        <v>38515002.50999999</v>
      </c>
      <c r="J159" s="83">
        <v>132005478.94</v>
      </c>
      <c r="K159" s="56">
        <f t="shared" si="20"/>
        <v>0.2991693613852091</v>
      </c>
      <c r="L159" s="86">
        <f t="shared" si="21"/>
        <v>111818594.25999999</v>
      </c>
      <c r="M159" s="8"/>
    </row>
    <row r="160" spans="1:13" s="7" customFormat="1" ht="15">
      <c r="A160" s="52" t="s">
        <v>52</v>
      </c>
      <c r="B160" s="53" t="s">
        <v>59</v>
      </c>
      <c r="C160" s="83">
        <v>0</v>
      </c>
      <c r="D160" s="83">
        <v>0</v>
      </c>
      <c r="E160" s="83">
        <f>F160-0</f>
        <v>0</v>
      </c>
      <c r="F160" s="83">
        <v>0</v>
      </c>
      <c r="G160" s="56">
        <f t="shared" si="18"/>
        <v>0</v>
      </c>
      <c r="H160" s="83">
        <f t="shared" si="19"/>
        <v>0</v>
      </c>
      <c r="I160" s="83">
        <f>J160-0</f>
        <v>0</v>
      </c>
      <c r="J160" s="83">
        <v>0</v>
      </c>
      <c r="K160" s="56">
        <f t="shared" si="20"/>
        <v>0</v>
      </c>
      <c r="L160" s="86">
        <f t="shared" si="21"/>
        <v>0</v>
      </c>
      <c r="M160" s="8"/>
    </row>
    <row r="161" spans="1:13" s="7" customFormat="1" ht="15">
      <c r="A161" s="52" t="s">
        <v>131</v>
      </c>
      <c r="B161" s="53" t="s">
        <v>132</v>
      </c>
      <c r="C161" s="83">
        <v>11576</v>
      </c>
      <c r="D161" s="83">
        <v>11576</v>
      </c>
      <c r="E161" s="83">
        <f>F161-0</f>
        <v>0</v>
      </c>
      <c r="F161" s="83">
        <v>0</v>
      </c>
      <c r="G161" s="56">
        <f t="shared" si="18"/>
        <v>0</v>
      </c>
      <c r="H161" s="83">
        <f t="shared" si="19"/>
        <v>11576</v>
      </c>
      <c r="I161" s="83">
        <f>J161-0</f>
        <v>0</v>
      </c>
      <c r="J161" s="83">
        <v>0</v>
      </c>
      <c r="K161" s="56">
        <f t="shared" si="20"/>
        <v>0</v>
      </c>
      <c r="L161" s="86">
        <f t="shared" si="21"/>
        <v>11576</v>
      </c>
      <c r="M161" s="8"/>
    </row>
    <row r="162" spans="1:13" s="7" customFormat="1" ht="15">
      <c r="A162" s="52" t="s">
        <v>251</v>
      </c>
      <c r="B162" s="53" t="s">
        <v>252</v>
      </c>
      <c r="C162" s="83">
        <v>0</v>
      </c>
      <c r="D162" s="83">
        <v>0</v>
      </c>
      <c r="E162" s="83">
        <f>F162-0</f>
        <v>0</v>
      </c>
      <c r="F162" s="83">
        <v>0</v>
      </c>
      <c r="G162" s="56">
        <f t="shared" si="18"/>
        <v>0</v>
      </c>
      <c r="H162" s="83">
        <f t="shared" si="19"/>
        <v>0</v>
      </c>
      <c r="I162" s="83">
        <f>J162-0</f>
        <v>0</v>
      </c>
      <c r="J162" s="83">
        <v>0</v>
      </c>
      <c r="K162" s="56">
        <f t="shared" si="20"/>
        <v>0</v>
      </c>
      <c r="L162" s="86">
        <f t="shared" si="21"/>
        <v>0</v>
      </c>
      <c r="M162" s="8"/>
    </row>
    <row r="163" spans="1:13" s="7" customFormat="1" ht="15">
      <c r="A163" s="52" t="s">
        <v>127</v>
      </c>
      <c r="B163" s="53" t="s">
        <v>270</v>
      </c>
      <c r="C163" s="83">
        <v>0</v>
      </c>
      <c r="D163" s="83">
        <v>0</v>
      </c>
      <c r="E163" s="83">
        <f>F163-0</f>
        <v>0</v>
      </c>
      <c r="F163" s="83">
        <v>0</v>
      </c>
      <c r="G163" s="56">
        <f t="shared" si="18"/>
        <v>0</v>
      </c>
      <c r="H163" s="83">
        <f t="shared" si="19"/>
        <v>0</v>
      </c>
      <c r="I163" s="83">
        <f>J163-0</f>
        <v>0</v>
      </c>
      <c r="J163" s="83">
        <v>0</v>
      </c>
      <c r="K163" s="56">
        <f t="shared" si="20"/>
        <v>0</v>
      </c>
      <c r="L163" s="86">
        <f t="shared" si="21"/>
        <v>0</v>
      </c>
      <c r="M163" s="8"/>
    </row>
    <row r="164" spans="1:13" s="7" customFormat="1" ht="15">
      <c r="A164" s="61" t="s">
        <v>53</v>
      </c>
      <c r="B164" s="66" t="s">
        <v>60</v>
      </c>
      <c r="C164" s="86">
        <v>10551357</v>
      </c>
      <c r="D164" s="86">
        <v>16978916.09</v>
      </c>
      <c r="E164" s="86">
        <f>F164-2184604.82</f>
        <v>1409261.0500000003</v>
      </c>
      <c r="F164" s="86">
        <v>3593865.87</v>
      </c>
      <c r="G164" s="67">
        <f t="shared" si="18"/>
        <v>0.007464759497353687</v>
      </c>
      <c r="H164" s="86">
        <f t="shared" si="19"/>
        <v>13385050.219999999</v>
      </c>
      <c r="I164" s="86">
        <f>J164-2168016.02</f>
        <v>598358.6200000001</v>
      </c>
      <c r="J164" s="86">
        <v>2766374.64</v>
      </c>
      <c r="K164" s="67">
        <f t="shared" si="20"/>
        <v>0.006269546847954778</v>
      </c>
      <c r="L164" s="86">
        <f t="shared" si="21"/>
        <v>14212541.45</v>
      </c>
      <c r="M164" s="8"/>
    </row>
    <row r="165" spans="1:13" s="7" customFormat="1" ht="15">
      <c r="A165" s="47" t="s">
        <v>133</v>
      </c>
      <c r="B165" s="50" t="s">
        <v>134</v>
      </c>
      <c r="C165" s="82">
        <f>SUM(C166:C170)</f>
        <v>151959996</v>
      </c>
      <c r="D165" s="82">
        <f>SUM(D166:D170)</f>
        <v>1623490873.3</v>
      </c>
      <c r="E165" s="82">
        <f>SUM(E166:E169)</f>
        <v>8886462.59</v>
      </c>
      <c r="F165" s="82">
        <f>SUM(F166:F169)</f>
        <v>30530175.310000002</v>
      </c>
      <c r="G165" s="51">
        <f t="shared" si="18"/>
        <v>0.06341372336781048</v>
      </c>
      <c r="H165" s="82">
        <f aca="true" t="shared" si="22" ref="H165:H184">D165-F165</f>
        <v>1592960697.99</v>
      </c>
      <c r="I165" s="82">
        <f>SUM(I166:I169)</f>
        <v>9462277.939999998</v>
      </c>
      <c r="J165" s="82">
        <f>SUM(J166:J169)</f>
        <v>26665970.72</v>
      </c>
      <c r="K165" s="51">
        <f t="shared" si="20"/>
        <v>0.060434169059339835</v>
      </c>
      <c r="L165" s="85">
        <f aca="true" t="shared" si="23" ref="L165:L184">D165-J165</f>
        <v>1596824902.58</v>
      </c>
      <c r="M165" s="8"/>
    </row>
    <row r="166" spans="1:13" s="7" customFormat="1" ht="15">
      <c r="A166" s="52" t="s">
        <v>28</v>
      </c>
      <c r="B166" s="53" t="s">
        <v>33</v>
      </c>
      <c r="C166" s="83">
        <v>46495439</v>
      </c>
      <c r="D166" s="83">
        <v>47860969.19</v>
      </c>
      <c r="E166" s="83">
        <f>F166-17117778.14</f>
        <v>6221151.18</v>
      </c>
      <c r="F166" s="83">
        <v>23338929.32</v>
      </c>
      <c r="G166" s="56">
        <f t="shared" si="18"/>
        <v>0.048476904982415615</v>
      </c>
      <c r="H166" s="83">
        <f t="shared" si="22"/>
        <v>24522039.869999997</v>
      </c>
      <c r="I166" s="83">
        <f>J166-16151243.15</f>
        <v>5872479.799999999</v>
      </c>
      <c r="J166" s="83">
        <v>22023722.95</v>
      </c>
      <c r="K166" s="56">
        <f t="shared" si="20"/>
        <v>0.0499132549889923</v>
      </c>
      <c r="L166" s="86">
        <f t="shared" si="23"/>
        <v>25837246.24</v>
      </c>
      <c r="M166" s="8"/>
    </row>
    <row r="167" spans="1:13" s="7" customFormat="1" ht="15">
      <c r="A167" s="52" t="s">
        <v>50</v>
      </c>
      <c r="B167" s="53" t="s">
        <v>57</v>
      </c>
      <c r="C167" s="83">
        <v>1331380</v>
      </c>
      <c r="D167" s="83">
        <v>2662760</v>
      </c>
      <c r="E167" s="83">
        <f>F167-0</f>
        <v>0</v>
      </c>
      <c r="F167" s="83">
        <v>0</v>
      </c>
      <c r="G167" s="56">
        <f t="shared" si="18"/>
        <v>0</v>
      </c>
      <c r="H167" s="83">
        <f t="shared" si="22"/>
        <v>2662760</v>
      </c>
      <c r="I167" s="83">
        <f>J167-0</f>
        <v>0</v>
      </c>
      <c r="J167" s="83">
        <v>0</v>
      </c>
      <c r="K167" s="56">
        <f t="shared" si="20"/>
        <v>0</v>
      </c>
      <c r="L167" s="86">
        <f t="shared" si="23"/>
        <v>2662760</v>
      </c>
      <c r="M167" s="8"/>
    </row>
    <row r="168" spans="1:13" s="7" customFormat="1" ht="15">
      <c r="A168" s="52" t="s">
        <v>29</v>
      </c>
      <c r="B168" s="53" t="s">
        <v>34</v>
      </c>
      <c r="C168" s="83">
        <v>645620</v>
      </c>
      <c r="D168" s="83">
        <v>220620.79</v>
      </c>
      <c r="E168" s="83">
        <f>F168-0</f>
        <v>0</v>
      </c>
      <c r="F168" s="83">
        <v>0</v>
      </c>
      <c r="G168" s="56">
        <f t="shared" si="18"/>
        <v>0</v>
      </c>
      <c r="H168" s="83">
        <f t="shared" si="22"/>
        <v>220620.79</v>
      </c>
      <c r="I168" s="83">
        <f>J168-0</f>
        <v>0</v>
      </c>
      <c r="J168" s="83">
        <v>0</v>
      </c>
      <c r="K168" s="56">
        <f t="shared" si="20"/>
        <v>0</v>
      </c>
      <c r="L168" s="86">
        <f t="shared" si="23"/>
        <v>220620.79</v>
      </c>
      <c r="M168" s="8"/>
    </row>
    <row r="169" spans="1:13" s="7" customFormat="1" ht="15">
      <c r="A169" s="52" t="s">
        <v>135</v>
      </c>
      <c r="B169" s="53" t="s">
        <v>136</v>
      </c>
      <c r="C169" s="83">
        <v>103487557</v>
      </c>
      <c r="D169" s="83">
        <v>1572746523.32</v>
      </c>
      <c r="E169" s="83">
        <f>F169-4525934.58</f>
        <v>2665311.41</v>
      </c>
      <c r="F169" s="83">
        <v>7191245.99</v>
      </c>
      <c r="G169" s="56">
        <f t="shared" si="18"/>
        <v>0.014936818385394868</v>
      </c>
      <c r="H169" s="83">
        <f t="shared" si="22"/>
        <v>1565555277.33</v>
      </c>
      <c r="I169" s="83">
        <f>J169-1052449.63</f>
        <v>3589798.1399999997</v>
      </c>
      <c r="J169" s="83">
        <v>4642247.77</v>
      </c>
      <c r="K169" s="56">
        <f t="shared" si="20"/>
        <v>0.010520914070347533</v>
      </c>
      <c r="L169" s="86">
        <f t="shared" si="23"/>
        <v>1568104275.55</v>
      </c>
      <c r="M169" s="8"/>
    </row>
    <row r="170" spans="1:15" s="7" customFormat="1" ht="15">
      <c r="A170" s="52" t="s">
        <v>261</v>
      </c>
      <c r="B170" s="53" t="s">
        <v>262</v>
      </c>
      <c r="C170" s="83">
        <v>0</v>
      </c>
      <c r="D170" s="83">
        <v>0</v>
      </c>
      <c r="E170" s="83">
        <f>F170-0</f>
        <v>0</v>
      </c>
      <c r="F170" s="83">
        <v>0</v>
      </c>
      <c r="G170" s="56">
        <f t="shared" si="18"/>
        <v>0</v>
      </c>
      <c r="H170" s="83">
        <f t="shared" si="22"/>
        <v>0</v>
      </c>
      <c r="I170" s="83">
        <f>J170-0</f>
        <v>0</v>
      </c>
      <c r="J170" s="83">
        <v>0</v>
      </c>
      <c r="K170" s="56">
        <f t="shared" si="20"/>
        <v>0</v>
      </c>
      <c r="L170" s="86">
        <f t="shared" si="23"/>
        <v>0</v>
      </c>
      <c r="M170" s="124"/>
      <c r="N170" s="124"/>
      <c r="O170" s="124"/>
    </row>
    <row r="171" spans="1:13" s="7" customFormat="1" ht="15">
      <c r="A171" s="47" t="s">
        <v>138</v>
      </c>
      <c r="B171" s="50" t="s">
        <v>137</v>
      </c>
      <c r="C171" s="82">
        <f>SUM(C172:C176)</f>
        <v>184563290</v>
      </c>
      <c r="D171" s="82">
        <f>SUM(D172:D176)</f>
        <v>225071844.66</v>
      </c>
      <c r="E171" s="82">
        <f>SUM(E172:E176)</f>
        <v>55812037.760000005</v>
      </c>
      <c r="F171" s="82">
        <f>SUM(F172:F176)</f>
        <v>113456038.22</v>
      </c>
      <c r="G171" s="51">
        <f t="shared" si="18"/>
        <v>0.23565766488521395</v>
      </c>
      <c r="H171" s="82">
        <f t="shared" si="22"/>
        <v>111615806.44</v>
      </c>
      <c r="I171" s="82">
        <f>SUM(I172:I176)</f>
        <v>29325452.76</v>
      </c>
      <c r="J171" s="82">
        <f>SUM(J172:J176)</f>
        <v>78278970.49000001</v>
      </c>
      <c r="K171" s="51">
        <f t="shared" si="20"/>
        <v>0.17740680007705847</v>
      </c>
      <c r="L171" s="85">
        <f t="shared" si="23"/>
        <v>146792874.17</v>
      </c>
      <c r="M171" s="8"/>
    </row>
    <row r="172" spans="1:13" s="7" customFormat="1" ht="15">
      <c r="A172" s="52" t="s">
        <v>28</v>
      </c>
      <c r="B172" s="53" t="s">
        <v>33</v>
      </c>
      <c r="C172" s="83">
        <v>61131477</v>
      </c>
      <c r="D172" s="83">
        <v>62170031.66</v>
      </c>
      <c r="E172" s="83">
        <f>F172-29419175.92</f>
        <v>9810909.82</v>
      </c>
      <c r="F172" s="83">
        <v>39230085.74</v>
      </c>
      <c r="G172" s="56">
        <f t="shared" si="18"/>
        <v>0.08148416376754329</v>
      </c>
      <c r="H172" s="83">
        <f t="shared" si="22"/>
        <v>22939945.919999994</v>
      </c>
      <c r="I172" s="83">
        <f>J172-29400170.96</f>
        <v>9755126.04</v>
      </c>
      <c r="J172" s="83">
        <v>39155297</v>
      </c>
      <c r="K172" s="56">
        <f t="shared" si="20"/>
        <v>0.08873923485905118</v>
      </c>
      <c r="L172" s="86">
        <f t="shared" si="23"/>
        <v>23014734.659999996</v>
      </c>
      <c r="M172" s="8"/>
    </row>
    <row r="173" spans="1:13" s="7" customFormat="1" ht="15">
      <c r="A173" s="52" t="s">
        <v>50</v>
      </c>
      <c r="B173" s="53" t="s">
        <v>57</v>
      </c>
      <c r="C173" s="83">
        <v>1902000</v>
      </c>
      <c r="D173" s="83">
        <v>1902000</v>
      </c>
      <c r="E173" s="83">
        <f>F173-0</f>
        <v>0</v>
      </c>
      <c r="F173" s="83">
        <v>0</v>
      </c>
      <c r="G173" s="56">
        <f t="shared" si="18"/>
        <v>0</v>
      </c>
      <c r="H173" s="83">
        <f t="shared" si="22"/>
        <v>1902000</v>
      </c>
      <c r="I173" s="83">
        <f>J173-0</f>
        <v>0</v>
      </c>
      <c r="J173" s="83">
        <v>0</v>
      </c>
      <c r="K173" s="56">
        <f t="shared" si="20"/>
        <v>0</v>
      </c>
      <c r="L173" s="86">
        <f t="shared" si="23"/>
        <v>1902000</v>
      </c>
      <c r="M173" s="8"/>
    </row>
    <row r="174" spans="1:13" s="7" customFormat="1" ht="15">
      <c r="A174" s="52" t="s">
        <v>67</v>
      </c>
      <c r="B174" s="53" t="s">
        <v>75</v>
      </c>
      <c r="C174" s="83">
        <v>0</v>
      </c>
      <c r="D174" s="83"/>
      <c r="E174" s="83">
        <f>F174-0</f>
        <v>0</v>
      </c>
      <c r="F174" s="83">
        <v>0</v>
      </c>
      <c r="G174" s="56">
        <f t="shared" si="18"/>
        <v>0</v>
      </c>
      <c r="H174" s="83">
        <f t="shared" si="22"/>
        <v>0</v>
      </c>
      <c r="I174" s="83">
        <f>J174-0</f>
        <v>0</v>
      </c>
      <c r="J174" s="83">
        <v>0</v>
      </c>
      <c r="K174" s="56">
        <f t="shared" si="20"/>
        <v>0</v>
      </c>
      <c r="L174" s="86">
        <f t="shared" si="23"/>
        <v>0</v>
      </c>
      <c r="M174" s="8"/>
    </row>
    <row r="175" spans="1:13" s="7" customFormat="1" ht="15">
      <c r="A175" s="52" t="s">
        <v>135</v>
      </c>
      <c r="B175" s="53" t="s">
        <v>136</v>
      </c>
      <c r="C175" s="83">
        <v>29726727</v>
      </c>
      <c r="D175" s="83">
        <v>73276727</v>
      </c>
      <c r="E175" s="83">
        <f>F175-9800168.4</f>
        <v>37289403.06</v>
      </c>
      <c r="F175" s="83">
        <v>47089571.46</v>
      </c>
      <c r="G175" s="56">
        <f t="shared" si="18"/>
        <v>0.09780897186971257</v>
      </c>
      <c r="H175" s="83">
        <f t="shared" si="22"/>
        <v>26187155.54</v>
      </c>
      <c r="I175" s="83">
        <f>J175-7696413.81</f>
        <v>12705475.040000003</v>
      </c>
      <c r="J175" s="83">
        <v>20401888.85</v>
      </c>
      <c r="K175" s="56">
        <f t="shared" si="20"/>
        <v>0.04623762670548528</v>
      </c>
      <c r="L175" s="86">
        <f t="shared" si="23"/>
        <v>52874838.15</v>
      </c>
      <c r="M175" s="8"/>
    </row>
    <row r="176" spans="1:13" s="7" customFormat="1" ht="15">
      <c r="A176" s="52" t="s">
        <v>139</v>
      </c>
      <c r="B176" s="53" t="s">
        <v>140</v>
      </c>
      <c r="C176" s="83">
        <v>91803086</v>
      </c>
      <c r="D176" s="83">
        <v>87723086</v>
      </c>
      <c r="E176" s="83">
        <f>F176-18424656.14</f>
        <v>8711724.879999999</v>
      </c>
      <c r="F176" s="83">
        <v>27136381.02</v>
      </c>
      <c r="G176" s="56">
        <f t="shared" si="18"/>
        <v>0.05636452924795808</v>
      </c>
      <c r="H176" s="83">
        <f t="shared" si="22"/>
        <v>60586704.980000004</v>
      </c>
      <c r="I176" s="83">
        <f>J176-11856932.96</f>
        <v>6864851.68</v>
      </c>
      <c r="J176" s="83">
        <v>18721784.64</v>
      </c>
      <c r="K176" s="56">
        <f t="shared" si="20"/>
        <v>0.042429938512522</v>
      </c>
      <c r="L176" s="86">
        <f t="shared" si="23"/>
        <v>69001301.36</v>
      </c>
      <c r="M176" s="8"/>
    </row>
    <row r="177" spans="1:13" s="7" customFormat="1" ht="15">
      <c r="A177" s="47" t="s">
        <v>141</v>
      </c>
      <c r="B177" s="50" t="s">
        <v>142</v>
      </c>
      <c r="C177" s="82">
        <f>SUM(C178:C180)</f>
        <v>289393511</v>
      </c>
      <c r="D177" s="82">
        <f>SUM(D178:D180)</f>
        <v>308383971.09</v>
      </c>
      <c r="E177" s="82">
        <f>SUM(E178:E180)</f>
        <v>84592664.38</v>
      </c>
      <c r="F177" s="82">
        <f>SUM(F178:F180)</f>
        <v>134287148.7</v>
      </c>
      <c r="G177" s="51">
        <f t="shared" si="18"/>
        <v>0.2789256207357766</v>
      </c>
      <c r="H177" s="82">
        <f t="shared" si="22"/>
        <v>174096822.39</v>
      </c>
      <c r="I177" s="82">
        <f>SUM(I179:I180)</f>
        <v>12038419.2</v>
      </c>
      <c r="J177" s="82">
        <f>SUM(J179:J180)</f>
        <v>43710967.39</v>
      </c>
      <c r="K177" s="51">
        <f t="shared" si="20"/>
        <v>0.09906393510787409</v>
      </c>
      <c r="L177" s="85">
        <f t="shared" si="23"/>
        <v>264673003.7</v>
      </c>
      <c r="M177" s="8"/>
    </row>
    <row r="178" spans="1:13" s="7" customFormat="1" ht="15">
      <c r="A178" s="52" t="s">
        <v>51</v>
      </c>
      <c r="B178" s="53" t="s">
        <v>58</v>
      </c>
      <c r="C178" s="83">
        <v>0</v>
      </c>
      <c r="D178" s="83">
        <v>0</v>
      </c>
      <c r="E178" s="82">
        <f>F178-0</f>
        <v>0</v>
      </c>
      <c r="F178" s="82">
        <v>0</v>
      </c>
      <c r="G178" s="51">
        <f t="shared" si="18"/>
        <v>0</v>
      </c>
      <c r="H178" s="83">
        <f t="shared" si="22"/>
        <v>0</v>
      </c>
      <c r="I178" s="82">
        <f>J178-0</f>
        <v>0</v>
      </c>
      <c r="J178" s="82">
        <v>0</v>
      </c>
      <c r="K178" s="51">
        <f t="shared" si="20"/>
        <v>0</v>
      </c>
      <c r="L178" s="86">
        <f t="shared" si="23"/>
        <v>0</v>
      </c>
      <c r="M178" s="8"/>
    </row>
    <row r="179" spans="1:13" s="7" customFormat="1" ht="15">
      <c r="A179" s="52" t="s">
        <v>143</v>
      </c>
      <c r="B179" s="53" t="s">
        <v>144</v>
      </c>
      <c r="C179" s="83">
        <v>289393511</v>
      </c>
      <c r="D179" s="83">
        <v>308383971.09</v>
      </c>
      <c r="E179" s="83">
        <f>F179-49694484.32</f>
        <v>84592664.38</v>
      </c>
      <c r="F179" s="83">
        <v>134287148.7</v>
      </c>
      <c r="G179" s="56">
        <f t="shared" si="18"/>
        <v>0.2789256207357766</v>
      </c>
      <c r="H179" s="83">
        <f t="shared" si="22"/>
        <v>174096822.39</v>
      </c>
      <c r="I179" s="83">
        <f>J179-31672548.19</f>
        <v>12038419.2</v>
      </c>
      <c r="J179" s="83">
        <v>43710967.39</v>
      </c>
      <c r="K179" s="56">
        <f t="shared" si="20"/>
        <v>0.09906393510787409</v>
      </c>
      <c r="L179" s="86">
        <f t="shared" si="23"/>
        <v>264673003.7</v>
      </c>
      <c r="M179" s="8"/>
    </row>
    <row r="180" spans="1:15" s="7" customFormat="1" ht="15">
      <c r="A180" s="52" t="s">
        <v>147</v>
      </c>
      <c r="B180" s="53" t="s">
        <v>148</v>
      </c>
      <c r="C180" s="83">
        <v>0</v>
      </c>
      <c r="D180" s="83">
        <v>0</v>
      </c>
      <c r="E180" s="83">
        <f>F180-0</f>
        <v>0</v>
      </c>
      <c r="F180" s="83">
        <v>0</v>
      </c>
      <c r="G180" s="56">
        <f t="shared" si="18"/>
        <v>0</v>
      </c>
      <c r="H180" s="83">
        <f t="shared" si="22"/>
        <v>0</v>
      </c>
      <c r="I180" s="83">
        <f>J180-0</f>
        <v>0</v>
      </c>
      <c r="J180" s="83">
        <v>0</v>
      </c>
      <c r="K180" s="56">
        <f t="shared" si="20"/>
        <v>0</v>
      </c>
      <c r="L180" s="86">
        <f t="shared" si="23"/>
        <v>0</v>
      </c>
      <c r="M180" s="8"/>
      <c r="O180" s="9"/>
    </row>
    <row r="181" spans="1:15" s="7" customFormat="1" ht="15">
      <c r="A181" s="47" t="s">
        <v>149</v>
      </c>
      <c r="B181" s="50" t="s">
        <v>150</v>
      </c>
      <c r="C181" s="82">
        <f>SUM(C182:C191)</f>
        <v>1325515588</v>
      </c>
      <c r="D181" s="82">
        <f>SUM(D182:D191)</f>
        <v>1684688529.42</v>
      </c>
      <c r="E181" s="82">
        <f>SUM(E182:E191)</f>
        <v>57803401.319999985</v>
      </c>
      <c r="F181" s="82">
        <f>SUM(F182:F191)</f>
        <v>200823650.30999997</v>
      </c>
      <c r="G181" s="51">
        <f t="shared" si="18"/>
        <v>0.4171274903325226</v>
      </c>
      <c r="H181" s="82">
        <f t="shared" si="22"/>
        <v>1483864879.1100001</v>
      </c>
      <c r="I181" s="82">
        <f>SUM(I182:I190)</f>
        <v>71625414.06</v>
      </c>
      <c r="J181" s="82">
        <f>SUM(J182:J190)</f>
        <v>165708769.04999998</v>
      </c>
      <c r="K181" s="51">
        <f t="shared" si="20"/>
        <v>0.3755524922957989</v>
      </c>
      <c r="L181" s="85">
        <f t="shared" si="23"/>
        <v>1518979760.3700001</v>
      </c>
      <c r="M181" s="8"/>
      <c r="O181" s="10"/>
    </row>
    <row r="182" spans="1:13" s="7" customFormat="1" ht="15">
      <c r="A182" s="52" t="s">
        <v>28</v>
      </c>
      <c r="B182" s="53" t="s">
        <v>33</v>
      </c>
      <c r="C182" s="83">
        <v>180982882</v>
      </c>
      <c r="D182" s="83">
        <v>190501659.21</v>
      </c>
      <c r="E182" s="83">
        <f>F182-71416069.95</f>
        <v>21870069.14999999</v>
      </c>
      <c r="F182" s="83">
        <v>93286139.1</v>
      </c>
      <c r="G182" s="56">
        <f t="shared" si="18"/>
        <v>0.1937631002400716</v>
      </c>
      <c r="H182" s="83">
        <f t="shared" si="22"/>
        <v>97215520.11000001</v>
      </c>
      <c r="I182" s="83">
        <f>J182-63652704.29</f>
        <v>21814160.85</v>
      </c>
      <c r="J182" s="83">
        <v>85466865.14</v>
      </c>
      <c r="K182" s="56">
        <f t="shared" si="20"/>
        <v>0.19369701673633874</v>
      </c>
      <c r="L182" s="86">
        <f t="shared" si="23"/>
        <v>105034794.07000001</v>
      </c>
      <c r="M182" s="8"/>
    </row>
    <row r="183" spans="1:13" s="7" customFormat="1" ht="15">
      <c r="A183" s="52" t="s">
        <v>29</v>
      </c>
      <c r="B183" s="53" t="s">
        <v>34</v>
      </c>
      <c r="C183" s="83">
        <v>150000</v>
      </c>
      <c r="D183" s="83">
        <v>186931.14</v>
      </c>
      <c r="E183" s="83">
        <f>F183-0</f>
        <v>0</v>
      </c>
      <c r="F183" s="83">
        <v>0</v>
      </c>
      <c r="G183" s="56">
        <f t="shared" si="18"/>
        <v>0</v>
      </c>
      <c r="H183" s="83">
        <f t="shared" si="22"/>
        <v>186931.14</v>
      </c>
      <c r="I183" s="83">
        <f>J183-0</f>
        <v>0</v>
      </c>
      <c r="J183" s="83">
        <v>0</v>
      </c>
      <c r="K183" s="56">
        <f t="shared" si="20"/>
        <v>0</v>
      </c>
      <c r="L183" s="86">
        <f t="shared" si="23"/>
        <v>186931.14</v>
      </c>
      <c r="M183" s="8"/>
    </row>
    <row r="184" spans="1:13" s="7" customFormat="1" ht="15">
      <c r="A184" s="52" t="s">
        <v>151</v>
      </c>
      <c r="B184" s="53" t="s">
        <v>152</v>
      </c>
      <c r="C184" s="83">
        <v>0</v>
      </c>
      <c r="D184" s="83">
        <v>0</v>
      </c>
      <c r="E184" s="83">
        <f>F184-0</f>
        <v>0</v>
      </c>
      <c r="F184" s="83">
        <v>0</v>
      </c>
      <c r="G184" s="56">
        <f t="shared" si="18"/>
        <v>0</v>
      </c>
      <c r="H184" s="83">
        <f t="shared" si="22"/>
        <v>0</v>
      </c>
      <c r="I184" s="83">
        <f>J184-0</f>
        <v>0</v>
      </c>
      <c r="J184" s="83">
        <v>0</v>
      </c>
      <c r="K184" s="56">
        <f t="shared" si="20"/>
        <v>0</v>
      </c>
      <c r="L184" s="86">
        <f t="shared" si="23"/>
        <v>0</v>
      </c>
      <c r="M184" s="8"/>
    </row>
    <row r="185" spans="1:13" s="7" customFormat="1" ht="15">
      <c r="A185" s="52" t="s">
        <v>153</v>
      </c>
      <c r="B185" s="53" t="s">
        <v>154</v>
      </c>
      <c r="C185" s="83">
        <v>738596580</v>
      </c>
      <c r="D185" s="83">
        <v>754112671.66</v>
      </c>
      <c r="E185" s="83">
        <f>F185-8213628.14</f>
        <v>4474860.55</v>
      </c>
      <c r="F185" s="83">
        <v>12688488.69</v>
      </c>
      <c r="G185" s="56">
        <f t="shared" si="18"/>
        <v>0.026355050489333464</v>
      </c>
      <c r="H185" s="83">
        <f aca="true" t="shared" si="24" ref="H185:H191">D185-F185</f>
        <v>741424182.9699999</v>
      </c>
      <c r="I185" s="83">
        <f>J185-2728665.55</f>
        <v>3133646.46</v>
      </c>
      <c r="J185" s="83">
        <v>5862312.01</v>
      </c>
      <c r="K185" s="56">
        <f t="shared" si="20"/>
        <v>0.013285995053809101</v>
      </c>
      <c r="L185" s="86">
        <f aca="true" t="shared" si="25" ref="L185:L191">D185-J185</f>
        <v>748250359.65</v>
      </c>
      <c r="M185" s="8"/>
    </row>
    <row r="186" spans="1:13" s="7" customFormat="1" ht="15">
      <c r="A186" s="52" t="s">
        <v>30</v>
      </c>
      <c r="B186" s="53" t="s">
        <v>35</v>
      </c>
      <c r="C186" s="83">
        <v>18002886</v>
      </c>
      <c r="D186" s="83">
        <v>19388431.49</v>
      </c>
      <c r="E186" s="83">
        <f>F186-2602200.94</f>
        <v>1079076.15</v>
      </c>
      <c r="F186" s="83">
        <v>3681277.09</v>
      </c>
      <c r="G186" s="56">
        <f t="shared" si="18"/>
        <v>0.0076463199000712965</v>
      </c>
      <c r="H186" s="83">
        <f t="shared" si="24"/>
        <v>15707154.399999999</v>
      </c>
      <c r="I186" s="83">
        <f>J186-1067150.97</f>
        <v>358784.1300000001</v>
      </c>
      <c r="J186" s="83">
        <v>1425935.1</v>
      </c>
      <c r="K186" s="56">
        <f t="shared" si="20"/>
        <v>0.0032316544485070466</v>
      </c>
      <c r="L186" s="86">
        <f t="shared" si="25"/>
        <v>17962496.389999997</v>
      </c>
      <c r="M186" s="8"/>
    </row>
    <row r="187" spans="1:13" s="7" customFormat="1" ht="15">
      <c r="A187" s="52" t="s">
        <v>145</v>
      </c>
      <c r="B187" s="53" t="s">
        <v>146</v>
      </c>
      <c r="C187" s="83">
        <v>298035157</v>
      </c>
      <c r="D187" s="83">
        <v>512562803.48</v>
      </c>
      <c r="E187" s="83">
        <f>F187-54499747.93</f>
        <v>4360084.079999998</v>
      </c>
      <c r="F187" s="83">
        <v>58859832.01</v>
      </c>
      <c r="G187" s="56">
        <f t="shared" si="18"/>
        <v>0.12225678584083885</v>
      </c>
      <c r="H187" s="83">
        <f t="shared" si="24"/>
        <v>453702971.47</v>
      </c>
      <c r="I187" s="83">
        <f>J187-21032077.91</f>
        <v>20987518.48</v>
      </c>
      <c r="J187" s="83">
        <v>42019596.39</v>
      </c>
      <c r="K187" s="56">
        <f t="shared" si="20"/>
        <v>0.0952307125325789</v>
      </c>
      <c r="L187" s="86">
        <f t="shared" si="25"/>
        <v>470543207.09000003</v>
      </c>
      <c r="M187" s="8"/>
    </row>
    <row r="188" spans="1:13" s="7" customFormat="1" ht="15">
      <c r="A188" s="68" t="s">
        <v>147</v>
      </c>
      <c r="B188" s="53" t="s">
        <v>148</v>
      </c>
      <c r="C188" s="83">
        <v>77447033</v>
      </c>
      <c r="D188" s="83">
        <v>194777641.91</v>
      </c>
      <c r="E188" s="83">
        <f>F188-4861049.72</f>
        <v>26018078.6</v>
      </c>
      <c r="F188" s="83">
        <v>30879128.32</v>
      </c>
      <c r="G188" s="56">
        <f t="shared" si="18"/>
        <v>0.06413852790692023</v>
      </c>
      <c r="H188" s="83">
        <f t="shared" si="24"/>
        <v>163898513.59</v>
      </c>
      <c r="I188" s="83">
        <f>J188-4861049.72</f>
        <v>25119243.740000002</v>
      </c>
      <c r="J188" s="83">
        <v>29980293.46</v>
      </c>
      <c r="K188" s="56">
        <f t="shared" si="20"/>
        <v>0.06794555287092359</v>
      </c>
      <c r="L188" s="86">
        <f t="shared" si="25"/>
        <v>164797348.45</v>
      </c>
      <c r="M188" s="8"/>
    </row>
    <row r="189" spans="1:13" s="7" customFormat="1" ht="15">
      <c r="A189" s="68" t="s">
        <v>160</v>
      </c>
      <c r="B189" s="53" t="s">
        <v>161</v>
      </c>
      <c r="C189" s="89">
        <v>2977333</v>
      </c>
      <c r="D189" s="83">
        <v>3804173.53</v>
      </c>
      <c r="E189" s="83">
        <f>F189-1425415.41</f>
        <v>0</v>
      </c>
      <c r="F189" s="83">
        <v>1425415.41</v>
      </c>
      <c r="G189" s="56">
        <f aca="true" t="shared" si="26" ref="G189:G220">(F189/$F$286)*100</f>
        <v>0.0029607068277903758</v>
      </c>
      <c r="H189" s="83">
        <f t="shared" si="24"/>
        <v>2378758.12</v>
      </c>
      <c r="I189" s="83">
        <f>J189-739779.65</f>
        <v>211613.11</v>
      </c>
      <c r="J189" s="83">
        <v>951392.76</v>
      </c>
      <c r="K189" s="56">
        <f aca="true" t="shared" si="27" ref="K189:K220">(J189/$J$286)*100</f>
        <v>0.002156179930721529</v>
      </c>
      <c r="L189" s="86">
        <f t="shared" si="25"/>
        <v>2852780.7699999996</v>
      </c>
      <c r="M189" s="8"/>
    </row>
    <row r="190" spans="1:13" s="7" customFormat="1" ht="15">
      <c r="A190" s="68" t="s">
        <v>97</v>
      </c>
      <c r="B190" s="53" t="s">
        <v>237</v>
      </c>
      <c r="C190" s="89">
        <v>9323717</v>
      </c>
      <c r="D190" s="83">
        <v>9354217</v>
      </c>
      <c r="E190" s="83">
        <f>F190-2136.9</f>
        <v>1232.79</v>
      </c>
      <c r="F190" s="83">
        <v>3369.69</v>
      </c>
      <c r="G190" s="56">
        <f t="shared" si="26"/>
        <v>6.999127496830522E-06</v>
      </c>
      <c r="H190" s="83">
        <f t="shared" si="24"/>
        <v>9350847.31</v>
      </c>
      <c r="I190" s="83">
        <f>J190-1926.9</f>
        <v>447.28999999999996</v>
      </c>
      <c r="J190" s="83">
        <v>2374.19</v>
      </c>
      <c r="K190" s="56">
        <f t="shared" si="27"/>
        <v>5.380722920069045E-06</v>
      </c>
      <c r="L190" s="86">
        <f t="shared" si="25"/>
        <v>9351842.81</v>
      </c>
      <c r="M190" s="8"/>
    </row>
    <row r="191" spans="1:13" s="7" customFormat="1" ht="15">
      <c r="A191" s="61" t="s">
        <v>201</v>
      </c>
      <c r="B191" s="53" t="s">
        <v>202</v>
      </c>
      <c r="C191" s="89">
        <v>0</v>
      </c>
      <c r="D191" s="83">
        <v>0</v>
      </c>
      <c r="E191" s="83">
        <f>F191-0</f>
        <v>0</v>
      </c>
      <c r="F191" s="83">
        <v>0</v>
      </c>
      <c r="G191" s="56">
        <f t="shared" si="26"/>
        <v>0</v>
      </c>
      <c r="H191" s="83">
        <f t="shared" si="24"/>
        <v>0</v>
      </c>
      <c r="I191" s="83">
        <f>J191-0</f>
        <v>0</v>
      </c>
      <c r="J191" s="83">
        <v>0</v>
      </c>
      <c r="K191" s="56">
        <f t="shared" si="27"/>
        <v>0</v>
      </c>
      <c r="L191" s="86">
        <f t="shared" si="25"/>
        <v>0</v>
      </c>
      <c r="M191" s="8"/>
    </row>
    <row r="192" spans="1:12" ht="15">
      <c r="A192" s="47" t="s">
        <v>158</v>
      </c>
      <c r="B192" s="50" t="s">
        <v>159</v>
      </c>
      <c r="C192" s="82">
        <f>SUM(C193:C201)</f>
        <v>426391194</v>
      </c>
      <c r="D192" s="82">
        <f>SUM(D193:D201)</f>
        <v>661154763.6099999</v>
      </c>
      <c r="E192" s="82">
        <f>SUM(E193:E201)</f>
        <v>62376259.050000004</v>
      </c>
      <c r="F192" s="82">
        <f>SUM(F193:F201)</f>
        <v>230588892.42</v>
      </c>
      <c r="G192" s="51">
        <f t="shared" si="26"/>
        <v>0.4789523835725295</v>
      </c>
      <c r="H192" s="82">
        <f>D192-F192</f>
        <v>430565871.18999994</v>
      </c>
      <c r="I192" s="82">
        <f>SUM(I193:I201)</f>
        <v>56903987.57</v>
      </c>
      <c r="J192" s="82">
        <f>SUM(J193:J201)</f>
        <v>210316475.82000002</v>
      </c>
      <c r="K192" s="51">
        <f t="shared" si="27"/>
        <v>0.4766487441665667</v>
      </c>
      <c r="L192" s="85">
        <f>D192-J192</f>
        <v>450838287.78999984</v>
      </c>
    </row>
    <row r="193" spans="1:12" ht="15">
      <c r="A193" s="52" t="s">
        <v>28</v>
      </c>
      <c r="B193" s="53" t="s">
        <v>33</v>
      </c>
      <c r="C193" s="83">
        <v>90890718</v>
      </c>
      <c r="D193" s="83">
        <v>136157041.46</v>
      </c>
      <c r="E193" s="83">
        <f>F193-50148291.8</f>
        <v>13876402.990000002</v>
      </c>
      <c r="F193" s="83">
        <v>64024694.79</v>
      </c>
      <c r="G193" s="56">
        <f t="shared" si="26"/>
        <v>0.1329846370974395</v>
      </c>
      <c r="H193" s="83">
        <f aca="true" t="shared" si="28" ref="H193:H276">D193-F193</f>
        <v>72132346.67000002</v>
      </c>
      <c r="I193" s="83">
        <f>J193-49220828.29</f>
        <v>13296293.939999998</v>
      </c>
      <c r="J193" s="83">
        <v>62517122.23</v>
      </c>
      <c r="K193" s="56">
        <f t="shared" si="27"/>
        <v>0.1416850852205253</v>
      </c>
      <c r="L193" s="86">
        <f>D193-J193</f>
        <v>73639919.23000002</v>
      </c>
    </row>
    <row r="194" spans="1:12" ht="15">
      <c r="A194" s="52" t="s">
        <v>50</v>
      </c>
      <c r="B194" s="53" t="s">
        <v>57</v>
      </c>
      <c r="C194" s="83">
        <v>140907934</v>
      </c>
      <c r="D194" s="83">
        <v>130093881.84</v>
      </c>
      <c r="E194" s="83">
        <f>F194-15309134.35</f>
        <v>12070397.9</v>
      </c>
      <c r="F194" s="83">
        <v>27379532.25</v>
      </c>
      <c r="G194" s="56">
        <f t="shared" si="26"/>
        <v>0.056869574655630944</v>
      </c>
      <c r="H194" s="83">
        <f t="shared" si="28"/>
        <v>102714349.59</v>
      </c>
      <c r="I194" s="83">
        <f>J194-6083084.99</f>
        <v>7102593.869999999</v>
      </c>
      <c r="J194" s="83">
        <v>13185678.86</v>
      </c>
      <c r="K194" s="56">
        <f t="shared" si="27"/>
        <v>0.0298832378447689</v>
      </c>
      <c r="L194" s="86">
        <f aca="true" t="shared" si="29" ref="L194:L274">D194-J194</f>
        <v>116908202.98</v>
      </c>
    </row>
    <row r="195" spans="1:12" ht="15">
      <c r="A195" s="52" t="s">
        <v>29</v>
      </c>
      <c r="B195" s="53" t="s">
        <v>34</v>
      </c>
      <c r="C195" s="83">
        <v>290941</v>
      </c>
      <c r="D195" s="83">
        <v>540580</v>
      </c>
      <c r="E195" s="83">
        <f aca="true" t="shared" si="30" ref="E195:E201">F195-0</f>
        <v>420700</v>
      </c>
      <c r="F195" s="83">
        <v>420700</v>
      </c>
      <c r="G195" s="56">
        <f t="shared" si="26"/>
        <v>0.0008738290281647869</v>
      </c>
      <c r="H195" s="83">
        <f t="shared" si="28"/>
        <v>119880</v>
      </c>
      <c r="I195" s="83">
        <f aca="true" t="shared" si="31" ref="I195:I201">J195-0</f>
        <v>20112</v>
      </c>
      <c r="J195" s="83">
        <v>20112</v>
      </c>
      <c r="K195" s="56">
        <f t="shared" si="27"/>
        <v>4.558063986809338E-05</v>
      </c>
      <c r="L195" s="86">
        <f t="shared" si="29"/>
        <v>520468</v>
      </c>
    </row>
    <row r="196" spans="1:12" ht="15">
      <c r="A196" s="52" t="s">
        <v>114</v>
      </c>
      <c r="B196" s="53" t="s">
        <v>121</v>
      </c>
      <c r="C196" s="83">
        <v>82257852</v>
      </c>
      <c r="D196" s="83">
        <v>118110406.72</v>
      </c>
      <c r="E196" s="83">
        <f>F196-35845620.56</f>
        <v>11946054.869999997</v>
      </c>
      <c r="F196" s="83">
        <v>47791675.43</v>
      </c>
      <c r="G196" s="56">
        <f t="shared" si="26"/>
        <v>0.09926730044060808</v>
      </c>
      <c r="H196" s="83">
        <f t="shared" si="28"/>
        <v>70318731.28999999</v>
      </c>
      <c r="I196" s="83">
        <f>J196-35815090.56</f>
        <v>11899694.869999997</v>
      </c>
      <c r="J196" s="83">
        <v>47714785.43</v>
      </c>
      <c r="K196" s="56">
        <f t="shared" si="27"/>
        <v>0.10813795003322291</v>
      </c>
      <c r="L196" s="86">
        <f t="shared" si="29"/>
        <v>70395621.28999999</v>
      </c>
    </row>
    <row r="197" spans="1:12" ht="15">
      <c r="A197" s="52" t="s">
        <v>116</v>
      </c>
      <c r="B197" s="53" t="s">
        <v>123</v>
      </c>
      <c r="C197" s="83">
        <v>0</v>
      </c>
      <c r="D197" s="83">
        <v>0</v>
      </c>
      <c r="E197" s="83">
        <f t="shared" si="30"/>
        <v>0</v>
      </c>
      <c r="F197" s="83">
        <v>0</v>
      </c>
      <c r="G197" s="56">
        <f t="shared" si="26"/>
        <v>0</v>
      </c>
      <c r="H197" s="83">
        <f t="shared" si="28"/>
        <v>0</v>
      </c>
      <c r="I197" s="83">
        <f t="shared" si="31"/>
        <v>0</v>
      </c>
      <c r="J197" s="83">
        <v>0</v>
      </c>
      <c r="K197" s="56">
        <f t="shared" si="27"/>
        <v>0</v>
      </c>
      <c r="L197" s="86">
        <f t="shared" si="29"/>
        <v>0</v>
      </c>
    </row>
    <row r="198" spans="1:12" ht="15">
      <c r="A198" s="52" t="s">
        <v>96</v>
      </c>
      <c r="B198" s="53" t="s">
        <v>102</v>
      </c>
      <c r="C198" s="83">
        <v>45440641</v>
      </c>
      <c r="D198" s="83">
        <v>168449547.16</v>
      </c>
      <c r="E198" s="83">
        <f>F198-57778580.37</f>
        <v>19837751.410000004</v>
      </c>
      <c r="F198" s="83">
        <v>77616331.78</v>
      </c>
      <c r="G198" s="56">
        <f t="shared" si="26"/>
        <v>0.1612156020181437</v>
      </c>
      <c r="H198" s="83">
        <f t="shared" si="28"/>
        <v>90833215.38</v>
      </c>
      <c r="I198" s="83">
        <f>J198-54212478.12</f>
        <v>20460322.78000001</v>
      </c>
      <c r="J198" s="83">
        <v>74672800.9</v>
      </c>
      <c r="K198" s="56">
        <f t="shared" si="27"/>
        <v>0.16923399193340988</v>
      </c>
      <c r="L198" s="86">
        <f t="shared" si="29"/>
        <v>93776746.25999999</v>
      </c>
    </row>
    <row r="199" spans="1:12" ht="15">
      <c r="A199" s="52" t="s">
        <v>160</v>
      </c>
      <c r="B199" s="53" t="s">
        <v>161</v>
      </c>
      <c r="C199" s="83">
        <v>55033108</v>
      </c>
      <c r="D199" s="83">
        <v>96233306.43</v>
      </c>
      <c r="E199" s="83">
        <f>F199-9131006.29</f>
        <v>4224951.880000001</v>
      </c>
      <c r="F199" s="83">
        <v>13355958.17</v>
      </c>
      <c r="G199" s="56">
        <f t="shared" si="26"/>
        <v>0.027741440332542534</v>
      </c>
      <c r="H199" s="83">
        <f t="shared" si="28"/>
        <v>82877348.26</v>
      </c>
      <c r="I199" s="83">
        <f>J199-8081006.29</f>
        <v>4124970.1100000003</v>
      </c>
      <c r="J199" s="83">
        <v>12205976.4</v>
      </c>
      <c r="K199" s="56">
        <f t="shared" si="27"/>
        <v>0.027662898494771628</v>
      </c>
      <c r="L199" s="86">
        <f t="shared" si="29"/>
        <v>84027330.03</v>
      </c>
    </row>
    <row r="200" spans="1:12" ht="15">
      <c r="A200" s="52" t="s">
        <v>97</v>
      </c>
      <c r="B200" s="53" t="s">
        <v>241</v>
      </c>
      <c r="C200" s="83">
        <v>11565000</v>
      </c>
      <c r="D200" s="83">
        <v>11565000</v>
      </c>
      <c r="E200" s="83">
        <f t="shared" si="30"/>
        <v>0</v>
      </c>
      <c r="F200" s="83">
        <v>0</v>
      </c>
      <c r="G200" s="56">
        <f t="shared" si="26"/>
        <v>0</v>
      </c>
      <c r="H200" s="83">
        <f t="shared" si="28"/>
        <v>11565000</v>
      </c>
      <c r="I200" s="83">
        <f t="shared" si="31"/>
        <v>0</v>
      </c>
      <c r="J200" s="83">
        <v>0</v>
      </c>
      <c r="K200" s="56">
        <f t="shared" si="27"/>
        <v>0</v>
      </c>
      <c r="L200" s="86">
        <f t="shared" si="29"/>
        <v>11565000</v>
      </c>
    </row>
    <row r="201" spans="1:12" ht="15">
      <c r="A201" s="52" t="s">
        <v>187</v>
      </c>
      <c r="B201" s="53" t="s">
        <v>188</v>
      </c>
      <c r="C201" s="83">
        <v>5000</v>
      </c>
      <c r="D201" s="83">
        <v>5000</v>
      </c>
      <c r="E201" s="83">
        <f t="shared" si="30"/>
        <v>0</v>
      </c>
      <c r="F201" s="83">
        <v>0</v>
      </c>
      <c r="G201" s="56">
        <f t="shared" si="26"/>
        <v>0</v>
      </c>
      <c r="H201" s="83">
        <f t="shared" si="28"/>
        <v>5000</v>
      </c>
      <c r="I201" s="83">
        <f t="shared" si="31"/>
        <v>0</v>
      </c>
      <c r="J201" s="83">
        <v>0</v>
      </c>
      <c r="K201" s="56">
        <f t="shared" si="27"/>
        <v>0</v>
      </c>
      <c r="L201" s="86">
        <f t="shared" si="29"/>
        <v>5000</v>
      </c>
    </row>
    <row r="202" spans="1:12" ht="15">
      <c r="A202" s="47" t="s">
        <v>162</v>
      </c>
      <c r="B202" s="50" t="s">
        <v>163</v>
      </c>
      <c r="C202" s="82">
        <f>SUM(C203:C220)</f>
        <v>391799992</v>
      </c>
      <c r="D202" s="82">
        <f>SUM(D203:D220)</f>
        <v>461943381.14</v>
      </c>
      <c r="E202" s="82">
        <f>SUM(E203:E220)</f>
        <v>64459238.980000004</v>
      </c>
      <c r="F202" s="82">
        <f>SUM(F203:F220)</f>
        <v>214033467.94</v>
      </c>
      <c r="G202" s="51">
        <f t="shared" si="26"/>
        <v>0.4445653845608492</v>
      </c>
      <c r="H202" s="82">
        <f t="shared" si="28"/>
        <v>247909913.2</v>
      </c>
      <c r="I202" s="82">
        <f>SUM(I203:I220)</f>
        <v>52489443.349999994</v>
      </c>
      <c r="J202" s="82">
        <f>SUM(J203:J220)</f>
        <v>199754727.95000002</v>
      </c>
      <c r="K202" s="51">
        <f t="shared" si="27"/>
        <v>0.45271222735868727</v>
      </c>
      <c r="L202" s="85">
        <f t="shared" si="29"/>
        <v>262188653.18999997</v>
      </c>
    </row>
    <row r="203" spans="1:12" ht="15">
      <c r="A203" s="52" t="s">
        <v>28</v>
      </c>
      <c r="B203" s="53" t="s">
        <v>33</v>
      </c>
      <c r="C203" s="83">
        <v>334376926</v>
      </c>
      <c r="D203" s="83">
        <v>338398152.88</v>
      </c>
      <c r="E203" s="83">
        <f>F203-146455649.18</f>
        <v>53910128.370000005</v>
      </c>
      <c r="F203" s="83">
        <v>200365777.55</v>
      </c>
      <c r="G203" s="56">
        <f t="shared" si="26"/>
        <v>0.41617645037793766</v>
      </c>
      <c r="H203" s="83">
        <f t="shared" si="28"/>
        <v>138032375.32999998</v>
      </c>
      <c r="I203" s="83">
        <f>J203-144284612.61</f>
        <v>52276678.69</v>
      </c>
      <c r="J203" s="83">
        <v>196561291.3</v>
      </c>
      <c r="K203" s="56">
        <f t="shared" si="27"/>
        <v>0.44547481258714683</v>
      </c>
      <c r="L203" s="86">
        <f t="shared" si="29"/>
        <v>141836861.57999998</v>
      </c>
    </row>
    <row r="204" spans="1:12" ht="15">
      <c r="A204" s="52" t="s">
        <v>50</v>
      </c>
      <c r="B204" s="53" t="s">
        <v>57</v>
      </c>
      <c r="C204" s="83">
        <v>29000</v>
      </c>
      <c r="D204" s="83">
        <v>58000</v>
      </c>
      <c r="E204" s="83">
        <f aca="true" t="shared" si="32" ref="E204:E209">F204-0</f>
        <v>0</v>
      </c>
      <c r="F204" s="83">
        <v>0</v>
      </c>
      <c r="G204" s="56">
        <f t="shared" si="26"/>
        <v>0</v>
      </c>
      <c r="H204" s="83">
        <f t="shared" si="28"/>
        <v>58000</v>
      </c>
      <c r="I204" s="83">
        <f aca="true" t="shared" si="33" ref="I204:I219">J204-0</f>
        <v>0</v>
      </c>
      <c r="J204" s="83">
        <v>0</v>
      </c>
      <c r="K204" s="56">
        <f t="shared" si="27"/>
        <v>0</v>
      </c>
      <c r="L204" s="86">
        <f t="shared" si="29"/>
        <v>58000</v>
      </c>
    </row>
    <row r="205" spans="1:12" ht="15">
      <c r="A205" s="52" t="s">
        <v>51</v>
      </c>
      <c r="B205" s="53" t="s">
        <v>58</v>
      </c>
      <c r="C205" s="83">
        <v>0</v>
      </c>
      <c r="D205" s="83">
        <v>0</v>
      </c>
      <c r="E205" s="83">
        <f t="shared" si="32"/>
        <v>0</v>
      </c>
      <c r="F205" s="83">
        <v>0</v>
      </c>
      <c r="G205" s="56">
        <f t="shared" si="26"/>
        <v>0</v>
      </c>
      <c r="H205" s="83">
        <f t="shared" si="28"/>
        <v>0</v>
      </c>
      <c r="I205" s="83">
        <f t="shared" si="33"/>
        <v>0</v>
      </c>
      <c r="J205" s="83">
        <v>0</v>
      </c>
      <c r="K205" s="56">
        <f t="shared" si="27"/>
        <v>0</v>
      </c>
      <c r="L205" s="86">
        <f t="shared" si="29"/>
        <v>0</v>
      </c>
    </row>
    <row r="206" spans="1:12" ht="15">
      <c r="A206" s="52" t="s">
        <v>29</v>
      </c>
      <c r="B206" s="53" t="s">
        <v>264</v>
      </c>
      <c r="C206" s="83">
        <v>0</v>
      </c>
      <c r="D206" s="83">
        <v>0</v>
      </c>
      <c r="E206" s="54">
        <f t="shared" si="32"/>
        <v>0</v>
      </c>
      <c r="F206" s="54">
        <v>0</v>
      </c>
      <c r="G206" s="56">
        <f t="shared" si="26"/>
        <v>0</v>
      </c>
      <c r="H206" s="83">
        <f t="shared" si="28"/>
        <v>0</v>
      </c>
      <c r="I206" s="83">
        <f t="shared" si="33"/>
        <v>0</v>
      </c>
      <c r="J206" s="83">
        <v>0</v>
      </c>
      <c r="K206" s="56">
        <f t="shared" si="27"/>
        <v>0</v>
      </c>
      <c r="L206" s="86">
        <f t="shared" si="29"/>
        <v>0</v>
      </c>
    </row>
    <row r="207" spans="1:12" ht="15">
      <c r="A207" s="52" t="s">
        <v>94</v>
      </c>
      <c r="B207" s="53" t="s">
        <v>100</v>
      </c>
      <c r="C207" s="54">
        <v>0</v>
      </c>
      <c r="D207" s="54">
        <v>0</v>
      </c>
      <c r="E207" s="54">
        <f t="shared" si="32"/>
        <v>0</v>
      </c>
      <c r="F207" s="54">
        <v>0</v>
      </c>
      <c r="G207" s="56">
        <f t="shared" si="26"/>
        <v>0</v>
      </c>
      <c r="H207" s="83">
        <f t="shared" si="28"/>
        <v>0</v>
      </c>
      <c r="I207" s="83">
        <f t="shared" si="33"/>
        <v>0</v>
      </c>
      <c r="J207" s="83">
        <v>0</v>
      </c>
      <c r="K207" s="56">
        <f t="shared" si="27"/>
        <v>0</v>
      </c>
      <c r="L207" s="86">
        <f t="shared" si="29"/>
        <v>0</v>
      </c>
    </row>
    <row r="208" spans="1:12" ht="15">
      <c r="A208" s="52" t="s">
        <v>68</v>
      </c>
      <c r="B208" s="53" t="s">
        <v>76</v>
      </c>
      <c r="C208" s="83">
        <v>775206</v>
      </c>
      <c r="D208" s="83">
        <v>635206</v>
      </c>
      <c r="E208" s="83">
        <f>F208-365</f>
        <v>0</v>
      </c>
      <c r="F208" s="83">
        <v>365</v>
      </c>
      <c r="G208" s="56">
        <f t="shared" si="26"/>
        <v>7.581354772525486E-07</v>
      </c>
      <c r="H208" s="83">
        <f t="shared" si="28"/>
        <v>634841</v>
      </c>
      <c r="I208" s="83">
        <f>J208-365</f>
        <v>0</v>
      </c>
      <c r="J208" s="83">
        <v>365</v>
      </c>
      <c r="K208" s="56">
        <f t="shared" si="27"/>
        <v>8.272142776379319E-07</v>
      </c>
      <c r="L208" s="86">
        <f t="shared" si="29"/>
        <v>634841</v>
      </c>
    </row>
    <row r="209" spans="1:12" ht="15">
      <c r="A209" s="52" t="s">
        <v>106</v>
      </c>
      <c r="B209" s="53" t="s">
        <v>108</v>
      </c>
      <c r="C209" s="83">
        <v>100000</v>
      </c>
      <c r="D209" s="83">
        <v>100000</v>
      </c>
      <c r="E209" s="83">
        <f t="shared" si="32"/>
        <v>0</v>
      </c>
      <c r="F209" s="83">
        <v>0</v>
      </c>
      <c r="G209" s="56">
        <f t="shared" si="26"/>
        <v>0</v>
      </c>
      <c r="H209" s="83">
        <f t="shared" si="28"/>
        <v>100000</v>
      </c>
      <c r="I209" s="83">
        <f>J209-0</f>
        <v>0</v>
      </c>
      <c r="J209" s="83">
        <v>0</v>
      </c>
      <c r="K209" s="56">
        <f t="shared" si="27"/>
        <v>0</v>
      </c>
      <c r="L209" s="86">
        <f t="shared" si="29"/>
        <v>100000</v>
      </c>
    </row>
    <row r="210" spans="1:12" ht="15">
      <c r="A210" s="52" t="s">
        <v>135</v>
      </c>
      <c r="B210" s="53" t="s">
        <v>136</v>
      </c>
      <c r="C210" s="54">
        <v>0</v>
      </c>
      <c r="D210" s="83">
        <v>0</v>
      </c>
      <c r="E210" s="54">
        <f aca="true" t="shared" si="34" ref="E210:E219">F210-0</f>
        <v>0</v>
      </c>
      <c r="F210" s="54">
        <v>0</v>
      </c>
      <c r="G210" s="56">
        <f t="shared" si="26"/>
        <v>0</v>
      </c>
      <c r="H210" s="54">
        <f t="shared" si="28"/>
        <v>0</v>
      </c>
      <c r="I210" s="83">
        <f t="shared" si="33"/>
        <v>0</v>
      </c>
      <c r="J210" s="54">
        <v>0</v>
      </c>
      <c r="K210" s="56">
        <f t="shared" si="27"/>
        <v>0</v>
      </c>
      <c r="L210" s="86">
        <f t="shared" si="29"/>
        <v>0</v>
      </c>
    </row>
    <row r="211" spans="1:12" ht="15">
      <c r="A211" s="52" t="s">
        <v>96</v>
      </c>
      <c r="B211" s="53" t="s">
        <v>102</v>
      </c>
      <c r="C211" s="83">
        <v>87800</v>
      </c>
      <c r="D211" s="83">
        <v>125600</v>
      </c>
      <c r="E211" s="54">
        <f>F211-0</f>
        <v>0</v>
      </c>
      <c r="F211" s="54">
        <v>0</v>
      </c>
      <c r="G211" s="56">
        <f t="shared" si="26"/>
        <v>0</v>
      </c>
      <c r="H211" s="83">
        <f t="shared" si="28"/>
        <v>125600</v>
      </c>
      <c r="I211" s="83">
        <f>J211-0</f>
        <v>0</v>
      </c>
      <c r="J211" s="54">
        <v>0</v>
      </c>
      <c r="K211" s="56">
        <f t="shared" si="27"/>
        <v>0</v>
      </c>
      <c r="L211" s="86">
        <f t="shared" si="29"/>
        <v>125600</v>
      </c>
    </row>
    <row r="212" spans="1:12" ht="15">
      <c r="A212" s="52" t="s">
        <v>155</v>
      </c>
      <c r="B212" s="53" t="s">
        <v>156</v>
      </c>
      <c r="C212" s="54">
        <v>0</v>
      </c>
      <c r="D212" s="83">
        <v>0</v>
      </c>
      <c r="E212" s="54">
        <f t="shared" si="34"/>
        <v>0</v>
      </c>
      <c r="F212" s="54">
        <v>0</v>
      </c>
      <c r="G212" s="56">
        <f t="shared" si="26"/>
        <v>0</v>
      </c>
      <c r="H212" s="83">
        <f t="shared" si="28"/>
        <v>0</v>
      </c>
      <c r="I212" s="83">
        <f t="shared" si="33"/>
        <v>0</v>
      </c>
      <c r="J212" s="54">
        <v>0</v>
      </c>
      <c r="K212" s="56">
        <f t="shared" si="27"/>
        <v>0</v>
      </c>
      <c r="L212" s="86">
        <f t="shared" si="29"/>
        <v>0</v>
      </c>
    </row>
    <row r="213" spans="1:12" ht="15">
      <c r="A213" s="52" t="s">
        <v>166</v>
      </c>
      <c r="B213" s="53" t="s">
        <v>167</v>
      </c>
      <c r="C213" s="54">
        <v>0</v>
      </c>
      <c r="D213" s="83">
        <v>0</v>
      </c>
      <c r="E213" s="54">
        <f t="shared" si="34"/>
        <v>0</v>
      </c>
      <c r="F213" s="54">
        <v>0</v>
      </c>
      <c r="G213" s="56">
        <f t="shared" si="26"/>
        <v>0</v>
      </c>
      <c r="H213" s="83">
        <f t="shared" si="28"/>
        <v>0</v>
      </c>
      <c r="I213" s="83">
        <f t="shared" si="33"/>
        <v>0</v>
      </c>
      <c r="J213" s="54">
        <v>0</v>
      </c>
      <c r="K213" s="56">
        <f t="shared" si="27"/>
        <v>0</v>
      </c>
      <c r="L213" s="86">
        <f t="shared" si="29"/>
        <v>0</v>
      </c>
    </row>
    <row r="214" spans="1:12" ht="15">
      <c r="A214" s="52" t="s">
        <v>168</v>
      </c>
      <c r="B214" s="53" t="s">
        <v>169</v>
      </c>
      <c r="C214" s="54">
        <v>0</v>
      </c>
      <c r="D214" s="83">
        <v>0</v>
      </c>
      <c r="E214" s="54">
        <f t="shared" si="34"/>
        <v>0</v>
      </c>
      <c r="F214" s="54">
        <v>0</v>
      </c>
      <c r="G214" s="56">
        <f t="shared" si="26"/>
        <v>0</v>
      </c>
      <c r="H214" s="83">
        <f t="shared" si="28"/>
        <v>0</v>
      </c>
      <c r="I214" s="83">
        <f t="shared" si="33"/>
        <v>0</v>
      </c>
      <c r="J214" s="54">
        <v>0</v>
      </c>
      <c r="K214" s="56">
        <f t="shared" si="27"/>
        <v>0</v>
      </c>
      <c r="L214" s="86">
        <f t="shared" si="29"/>
        <v>0</v>
      </c>
    </row>
    <row r="215" spans="1:12" ht="15">
      <c r="A215" s="52" t="s">
        <v>170</v>
      </c>
      <c r="B215" s="53" t="s">
        <v>171</v>
      </c>
      <c r="C215" s="83">
        <v>700039</v>
      </c>
      <c r="D215" s="83">
        <v>340039</v>
      </c>
      <c r="E215" s="54">
        <f t="shared" si="34"/>
        <v>0</v>
      </c>
      <c r="F215" s="54">
        <v>0</v>
      </c>
      <c r="G215" s="56">
        <f t="shared" si="26"/>
        <v>0</v>
      </c>
      <c r="H215" s="83">
        <f t="shared" si="28"/>
        <v>340039</v>
      </c>
      <c r="I215" s="83">
        <f t="shared" si="33"/>
        <v>0</v>
      </c>
      <c r="J215" s="54">
        <v>0</v>
      </c>
      <c r="K215" s="56">
        <f t="shared" si="27"/>
        <v>0</v>
      </c>
      <c r="L215" s="86">
        <f t="shared" si="29"/>
        <v>340039</v>
      </c>
    </row>
    <row r="216" spans="1:12" ht="15">
      <c r="A216" s="52" t="s">
        <v>172</v>
      </c>
      <c r="B216" s="53" t="s">
        <v>173</v>
      </c>
      <c r="C216" s="83">
        <v>2141298</v>
      </c>
      <c r="D216" s="83">
        <v>2802168.93</v>
      </c>
      <c r="E216" s="83">
        <f>F216-61260.57</f>
        <v>89973.91999999998</v>
      </c>
      <c r="F216" s="83">
        <v>151234.49</v>
      </c>
      <c r="G216" s="56">
        <f t="shared" si="26"/>
        <v>0.0003141266637073857</v>
      </c>
      <c r="H216" s="83">
        <f t="shared" si="28"/>
        <v>2650934.4400000004</v>
      </c>
      <c r="I216" s="83">
        <f>J216-56580.37</f>
        <v>66105.12</v>
      </c>
      <c r="J216" s="54">
        <v>122685.49</v>
      </c>
      <c r="K216" s="56">
        <f t="shared" si="27"/>
        <v>0.00027804709311508413</v>
      </c>
      <c r="L216" s="86">
        <f t="shared" si="29"/>
        <v>2679483.44</v>
      </c>
    </row>
    <row r="217" spans="1:13" ht="15">
      <c r="A217" s="52" t="s">
        <v>271</v>
      </c>
      <c r="B217" s="53" t="s">
        <v>273</v>
      </c>
      <c r="C217" s="83">
        <v>46675253</v>
      </c>
      <c r="D217" s="83">
        <v>46909212.42</v>
      </c>
      <c r="E217" s="83">
        <f>F217-2524405.78</f>
        <v>30647.360000000335</v>
      </c>
      <c r="F217" s="83">
        <v>2555053.14</v>
      </c>
      <c r="G217" s="56">
        <f t="shared" si="26"/>
        <v>0.005307058716984995</v>
      </c>
      <c r="H217" s="83">
        <f t="shared" si="28"/>
        <v>44354159.28</v>
      </c>
      <c r="I217" s="83">
        <f>J217-2521925.78</f>
        <v>30647.360000000335</v>
      </c>
      <c r="J217" s="83">
        <v>2552573.14</v>
      </c>
      <c r="K217" s="56">
        <f t="shared" si="27"/>
        <v>0.0057849998523920206</v>
      </c>
      <c r="L217" s="57">
        <f t="shared" si="29"/>
        <v>44356639.28</v>
      </c>
      <c r="M217" s="106"/>
    </row>
    <row r="218" spans="1:13" ht="15">
      <c r="A218" s="52" t="s">
        <v>272</v>
      </c>
      <c r="B218" s="53" t="s">
        <v>274</v>
      </c>
      <c r="C218" s="83">
        <v>3254248</v>
      </c>
      <c r="D218" s="83">
        <v>13576060.26</v>
      </c>
      <c r="E218" s="83">
        <f>F218-516276.12</f>
        <v>102995.5</v>
      </c>
      <c r="F218" s="83">
        <v>619271.62</v>
      </c>
      <c r="G218" s="56">
        <f t="shared" si="26"/>
        <v>0.0012862788635004353</v>
      </c>
      <c r="H218" s="83">
        <f t="shared" si="28"/>
        <v>12956788.64</v>
      </c>
      <c r="I218" s="83">
        <f>J218-385528.53</f>
        <v>105973.07999999996</v>
      </c>
      <c r="J218" s="83">
        <v>491501.61</v>
      </c>
      <c r="K218" s="56">
        <f t="shared" si="27"/>
        <v>0.0011139099980110425</v>
      </c>
      <c r="L218" s="57">
        <f t="shared" si="29"/>
        <v>13084558.65</v>
      </c>
      <c r="M218" s="106"/>
    </row>
    <row r="219" spans="1:12" ht="15">
      <c r="A219" s="52" t="s">
        <v>244</v>
      </c>
      <c r="B219" s="53" t="s">
        <v>245</v>
      </c>
      <c r="C219" s="54">
        <v>0</v>
      </c>
      <c r="D219" s="83">
        <v>0</v>
      </c>
      <c r="E219" s="54">
        <f t="shared" si="34"/>
        <v>0</v>
      </c>
      <c r="F219" s="54">
        <v>0</v>
      </c>
      <c r="G219" s="56">
        <f t="shared" si="26"/>
        <v>0</v>
      </c>
      <c r="H219" s="54">
        <f t="shared" si="28"/>
        <v>0</v>
      </c>
      <c r="I219" s="83">
        <f t="shared" si="33"/>
        <v>0</v>
      </c>
      <c r="J219" s="54">
        <v>0</v>
      </c>
      <c r="K219" s="56">
        <f t="shared" si="27"/>
        <v>0</v>
      </c>
      <c r="L219" s="57">
        <f t="shared" si="29"/>
        <v>0</v>
      </c>
    </row>
    <row r="220" spans="1:12" ht="15">
      <c r="A220" s="52" t="s">
        <v>71</v>
      </c>
      <c r="B220" s="53" t="s">
        <v>79</v>
      </c>
      <c r="C220" s="54">
        <v>3660222</v>
      </c>
      <c r="D220" s="83">
        <v>58998941.65</v>
      </c>
      <c r="E220" s="54">
        <f>F220-16272.31</f>
        <v>10325493.83</v>
      </c>
      <c r="F220" s="54">
        <v>10341766.14</v>
      </c>
      <c r="G220" s="56">
        <f t="shared" si="26"/>
        <v>0.0214807118032415</v>
      </c>
      <c r="H220" s="54">
        <f t="shared" si="28"/>
        <v>48657175.51</v>
      </c>
      <c r="I220" s="83">
        <f>J220-16272.31</f>
        <v>10039.1</v>
      </c>
      <c r="J220" s="83">
        <v>26311.41</v>
      </c>
      <c r="K220" s="56">
        <f t="shared" si="27"/>
        <v>5.9630613744617686E-05</v>
      </c>
      <c r="L220" s="57">
        <f t="shared" si="29"/>
        <v>58972630.24</v>
      </c>
    </row>
    <row r="221" spans="1:12" ht="15">
      <c r="A221" s="47" t="s">
        <v>175</v>
      </c>
      <c r="B221" s="50" t="s">
        <v>174</v>
      </c>
      <c r="C221" s="82">
        <f>SUM(C222:C224)</f>
        <v>23867445</v>
      </c>
      <c r="D221" s="82">
        <f>SUM(D222:D224)</f>
        <v>89497918.62</v>
      </c>
      <c r="E221" s="82">
        <f>SUM(E222:E224)</f>
        <v>4480601.37</v>
      </c>
      <c r="F221" s="82">
        <f>SUM(F222:F224)</f>
        <v>9729972.969999999</v>
      </c>
      <c r="G221" s="51">
        <f aca="true" t="shared" si="35" ref="G221:G239">(F221/$F$286)*100</f>
        <v>0.020209966304836565</v>
      </c>
      <c r="H221" s="82">
        <f t="shared" si="28"/>
        <v>79767945.65</v>
      </c>
      <c r="I221" s="82">
        <f>SUM(I222:I224)</f>
        <v>1710419.8999999992</v>
      </c>
      <c r="J221" s="82">
        <f>SUM(J222:J224)</f>
        <v>6266042.369999999</v>
      </c>
      <c r="K221" s="51">
        <f aca="true" t="shared" si="36" ref="K221:K252">(J221/$J$286)*100</f>
        <v>0.014200985514378695</v>
      </c>
      <c r="L221" s="85">
        <f t="shared" si="29"/>
        <v>83231876.25</v>
      </c>
    </row>
    <row r="222" spans="1:12" ht="15">
      <c r="A222" s="52" t="s">
        <v>28</v>
      </c>
      <c r="B222" s="53" t="s">
        <v>33</v>
      </c>
      <c r="C222" s="83">
        <v>10931758</v>
      </c>
      <c r="D222" s="83">
        <v>21463497.6</v>
      </c>
      <c r="E222" s="83">
        <f>F222-4557444.84</f>
        <v>1713841.4699999997</v>
      </c>
      <c r="F222" s="83">
        <v>6271286.31</v>
      </c>
      <c r="G222" s="56">
        <f t="shared" si="35"/>
        <v>0.01302598531402527</v>
      </c>
      <c r="H222" s="83">
        <f t="shared" si="28"/>
        <v>15192211.290000003</v>
      </c>
      <c r="I222" s="83">
        <f>J222-4504219.57</f>
        <v>1700271.4499999993</v>
      </c>
      <c r="J222" s="83">
        <v>6204491.02</v>
      </c>
      <c r="K222" s="56">
        <f t="shared" si="36"/>
        <v>0.014061489197863928</v>
      </c>
      <c r="L222" s="86">
        <f t="shared" si="29"/>
        <v>15259006.580000002</v>
      </c>
    </row>
    <row r="223" spans="1:12" ht="15">
      <c r="A223" s="52" t="s">
        <v>139</v>
      </c>
      <c r="B223" s="53" t="s">
        <v>140</v>
      </c>
      <c r="C223" s="83">
        <v>1147562</v>
      </c>
      <c r="D223" s="83">
        <v>1147562</v>
      </c>
      <c r="E223" s="83">
        <f>F223-0</f>
        <v>0</v>
      </c>
      <c r="F223" s="83">
        <v>0</v>
      </c>
      <c r="G223" s="56">
        <f t="shared" si="35"/>
        <v>0</v>
      </c>
      <c r="H223" s="83">
        <f t="shared" si="28"/>
        <v>1147562</v>
      </c>
      <c r="I223" s="83">
        <f>J223-0</f>
        <v>0</v>
      </c>
      <c r="J223" s="83">
        <v>0</v>
      </c>
      <c r="K223" s="56">
        <f t="shared" si="36"/>
        <v>0</v>
      </c>
      <c r="L223" s="86">
        <f t="shared" si="29"/>
        <v>1147562</v>
      </c>
    </row>
    <row r="224" spans="1:12" ht="15">
      <c r="A224" s="52" t="s">
        <v>176</v>
      </c>
      <c r="B224" s="53" t="s">
        <v>177</v>
      </c>
      <c r="C224" s="83">
        <v>11788125</v>
      </c>
      <c r="D224" s="83">
        <v>66886859.02</v>
      </c>
      <c r="E224" s="83">
        <f>F224-691926.76</f>
        <v>2766759.9000000004</v>
      </c>
      <c r="F224" s="83">
        <v>3458686.66</v>
      </c>
      <c r="G224" s="56">
        <f t="shared" si="35"/>
        <v>0.007183980990811296</v>
      </c>
      <c r="H224" s="83">
        <f t="shared" si="28"/>
        <v>63428172.36</v>
      </c>
      <c r="I224" s="83">
        <f>J224-51402.9</f>
        <v>10148.449999999997</v>
      </c>
      <c r="J224" s="83">
        <v>61551.35</v>
      </c>
      <c r="K224" s="56">
        <f t="shared" si="36"/>
        <v>0.00013949631651476578</v>
      </c>
      <c r="L224" s="86">
        <f t="shared" si="29"/>
        <v>66825307.67</v>
      </c>
    </row>
    <row r="225" spans="1:12" ht="15">
      <c r="A225" s="47" t="s">
        <v>178</v>
      </c>
      <c r="B225" s="50" t="s">
        <v>179</v>
      </c>
      <c r="C225" s="82">
        <f>SUM(C226:C239)</f>
        <v>120609356</v>
      </c>
      <c r="D225" s="82">
        <f>SUM(D226:D239)</f>
        <v>149812000.18</v>
      </c>
      <c r="E225" s="82">
        <f>SUM(E226:E239)</f>
        <v>12673875.4</v>
      </c>
      <c r="F225" s="82">
        <f>SUM(F226:F239)</f>
        <v>46690962.63</v>
      </c>
      <c r="G225" s="51">
        <f t="shared" si="35"/>
        <v>0.09698102804623551</v>
      </c>
      <c r="H225" s="82">
        <f t="shared" si="28"/>
        <v>103121037.55000001</v>
      </c>
      <c r="I225" s="82">
        <f>SUM(I226:I239)</f>
        <v>12119248.299999999</v>
      </c>
      <c r="J225" s="82">
        <f>SUM(J226:J239)</f>
        <v>44680582.95</v>
      </c>
      <c r="K225" s="51">
        <f t="shared" si="36"/>
        <v>0.1012614141080163</v>
      </c>
      <c r="L225" s="85">
        <f t="shared" si="29"/>
        <v>105131417.23</v>
      </c>
    </row>
    <row r="226" spans="1:12" ht="15">
      <c r="A226" s="52" t="s">
        <v>28</v>
      </c>
      <c r="B226" s="53" t="s">
        <v>33</v>
      </c>
      <c r="C226" s="83">
        <v>70382648</v>
      </c>
      <c r="D226" s="83">
        <v>80921120.49</v>
      </c>
      <c r="E226" s="83">
        <f>F226-33635873.71</f>
        <v>12467758.75</v>
      </c>
      <c r="F226" s="83">
        <v>46103632.46</v>
      </c>
      <c r="G226" s="56">
        <f t="shared" si="35"/>
        <v>0.0957610942414745</v>
      </c>
      <c r="H226" s="83">
        <f t="shared" si="28"/>
        <v>34817488.029999994</v>
      </c>
      <c r="I226" s="83">
        <f>J226-32363248.64</f>
        <v>12012097.399999999</v>
      </c>
      <c r="J226" s="83">
        <v>44375346.04</v>
      </c>
      <c r="K226" s="56">
        <f t="shared" si="36"/>
        <v>0.1005696433408544</v>
      </c>
      <c r="L226" s="86">
        <f t="shared" si="29"/>
        <v>36545774.449999996</v>
      </c>
    </row>
    <row r="227" spans="1:12" ht="15">
      <c r="A227" s="52" t="s">
        <v>232</v>
      </c>
      <c r="B227" s="53" t="s">
        <v>231</v>
      </c>
      <c r="C227" s="83">
        <v>5000</v>
      </c>
      <c r="D227" s="83">
        <v>5000</v>
      </c>
      <c r="E227" s="83">
        <f>F227-0</f>
        <v>0</v>
      </c>
      <c r="F227" s="83">
        <v>0</v>
      </c>
      <c r="G227" s="56">
        <f t="shared" si="35"/>
        <v>0</v>
      </c>
      <c r="H227" s="83">
        <f t="shared" si="28"/>
        <v>5000</v>
      </c>
      <c r="I227" s="83">
        <f>J227-0</f>
        <v>0</v>
      </c>
      <c r="J227" s="83">
        <v>0</v>
      </c>
      <c r="K227" s="56">
        <f t="shared" si="36"/>
        <v>0</v>
      </c>
      <c r="L227" s="86">
        <f t="shared" si="29"/>
        <v>5000</v>
      </c>
    </row>
    <row r="228" spans="1:12" ht="15">
      <c r="A228" s="52" t="s">
        <v>49</v>
      </c>
      <c r="B228" s="53" t="s">
        <v>56</v>
      </c>
      <c r="C228" s="83">
        <v>110000</v>
      </c>
      <c r="D228" s="83">
        <v>260000</v>
      </c>
      <c r="E228" s="83">
        <f>F228-49335</f>
        <v>126000</v>
      </c>
      <c r="F228" s="83">
        <v>175335</v>
      </c>
      <c r="G228" s="56">
        <f t="shared" si="35"/>
        <v>0.00036418543535363183</v>
      </c>
      <c r="H228" s="83">
        <f t="shared" si="28"/>
        <v>84665</v>
      </c>
      <c r="I228" s="83">
        <f>J228-49335</f>
        <v>0</v>
      </c>
      <c r="J228" s="83">
        <v>49335</v>
      </c>
      <c r="K228" s="56">
        <f t="shared" si="36"/>
        <v>0.00011180990791032155</v>
      </c>
      <c r="L228" s="86">
        <f t="shared" si="29"/>
        <v>210665</v>
      </c>
    </row>
    <row r="229" spans="1:12" ht="15">
      <c r="A229" s="52" t="s">
        <v>51</v>
      </c>
      <c r="B229" s="53" t="s">
        <v>58</v>
      </c>
      <c r="C229" s="83">
        <v>0</v>
      </c>
      <c r="D229" s="83">
        <v>0</v>
      </c>
      <c r="E229" s="83">
        <f aca="true" t="shared" si="37" ref="E229:E238">F229-0</f>
        <v>0</v>
      </c>
      <c r="F229" s="83">
        <v>0</v>
      </c>
      <c r="G229" s="56">
        <f t="shared" si="35"/>
        <v>0</v>
      </c>
      <c r="H229" s="83">
        <f t="shared" si="28"/>
        <v>0</v>
      </c>
      <c r="I229" s="83">
        <f aca="true" t="shared" si="38" ref="I229:I238">J229-0</f>
        <v>0</v>
      </c>
      <c r="J229" s="83">
        <v>0</v>
      </c>
      <c r="K229" s="56">
        <f t="shared" si="36"/>
        <v>0</v>
      </c>
      <c r="L229" s="86">
        <f t="shared" si="29"/>
        <v>0</v>
      </c>
    </row>
    <row r="230" spans="1:12" ht="15">
      <c r="A230" s="52" t="s">
        <v>160</v>
      </c>
      <c r="B230" s="53" t="s">
        <v>161</v>
      </c>
      <c r="C230" s="83">
        <v>0</v>
      </c>
      <c r="D230" s="83">
        <v>0</v>
      </c>
      <c r="E230" s="83">
        <f t="shared" si="37"/>
        <v>0</v>
      </c>
      <c r="F230" s="83">
        <v>0</v>
      </c>
      <c r="G230" s="56">
        <f t="shared" si="35"/>
        <v>0</v>
      </c>
      <c r="H230" s="83">
        <f>D230-F230</f>
        <v>0</v>
      </c>
      <c r="I230" s="83">
        <f t="shared" si="38"/>
        <v>0</v>
      </c>
      <c r="J230" s="83">
        <v>0</v>
      </c>
      <c r="K230" s="56">
        <f t="shared" si="36"/>
        <v>0</v>
      </c>
      <c r="L230" s="86">
        <f>D230-J230</f>
        <v>0</v>
      </c>
    </row>
    <row r="231" spans="1:12" ht="15">
      <c r="A231" s="52" t="s">
        <v>97</v>
      </c>
      <c r="B231" s="53" t="s">
        <v>241</v>
      </c>
      <c r="C231" s="83">
        <v>0</v>
      </c>
      <c r="D231" s="83">
        <v>0</v>
      </c>
      <c r="E231" s="83">
        <f>F231-0</f>
        <v>0</v>
      </c>
      <c r="F231" s="83">
        <v>0</v>
      </c>
      <c r="G231" s="56">
        <f t="shared" si="35"/>
        <v>0</v>
      </c>
      <c r="H231" s="83">
        <f>D231-F231</f>
        <v>0</v>
      </c>
      <c r="I231" s="83">
        <f>J231-0</f>
        <v>0</v>
      </c>
      <c r="J231" s="83">
        <v>0</v>
      </c>
      <c r="K231" s="56">
        <f t="shared" si="36"/>
        <v>0</v>
      </c>
      <c r="L231" s="86">
        <f>D231-J231</f>
        <v>0</v>
      </c>
    </row>
    <row r="232" spans="1:13" ht="15">
      <c r="A232" s="52" t="s">
        <v>180</v>
      </c>
      <c r="B232" s="53" t="s">
        <v>181</v>
      </c>
      <c r="C232" s="83">
        <v>1587120</v>
      </c>
      <c r="D232" s="83">
        <v>20099791.69</v>
      </c>
      <c r="E232" s="83">
        <f>F232-29025.52</f>
        <v>80116.65</v>
      </c>
      <c r="F232" s="83">
        <v>109142.17</v>
      </c>
      <c r="G232" s="56">
        <f t="shared" si="35"/>
        <v>0.00022669740038720217</v>
      </c>
      <c r="H232" s="83">
        <f>D232-F232</f>
        <v>19990649.52</v>
      </c>
      <c r="I232" s="83">
        <f>J232-28925.52</f>
        <v>50881.47</v>
      </c>
      <c r="J232" s="83">
        <v>79806.99</v>
      </c>
      <c r="K232" s="56">
        <f t="shared" si="36"/>
        <v>0.00018086981255700725</v>
      </c>
      <c r="L232" s="86">
        <f>D232-J232</f>
        <v>20019984.700000003</v>
      </c>
      <c r="M232" s="106"/>
    </row>
    <row r="233" spans="1:13" ht="15">
      <c r="A233" s="52" t="s">
        <v>182</v>
      </c>
      <c r="B233" s="53" t="s">
        <v>183</v>
      </c>
      <c r="C233" s="83">
        <v>24425</v>
      </c>
      <c r="D233" s="83">
        <v>25925</v>
      </c>
      <c r="E233" s="83">
        <f>F233-2852</f>
        <v>0</v>
      </c>
      <c r="F233" s="83">
        <v>2852</v>
      </c>
      <c r="G233" s="56">
        <f t="shared" si="35"/>
        <v>5.9238421400664895E-06</v>
      </c>
      <c r="H233" s="83">
        <f>D233-F233</f>
        <v>23073</v>
      </c>
      <c r="I233" s="83">
        <f>J233-2852</f>
        <v>0</v>
      </c>
      <c r="J233" s="83">
        <v>2852</v>
      </c>
      <c r="K233" s="56">
        <f t="shared" si="36"/>
        <v>6.463603068009264E-06</v>
      </c>
      <c r="L233" s="86">
        <f>D233-J233</f>
        <v>23073</v>
      </c>
      <c r="M233" s="106"/>
    </row>
    <row r="234" spans="1:12" ht="15">
      <c r="A234" s="52" t="s">
        <v>184</v>
      </c>
      <c r="B234" s="53" t="s">
        <v>250</v>
      </c>
      <c r="C234" s="83">
        <v>30000</v>
      </c>
      <c r="D234" s="83">
        <v>30000</v>
      </c>
      <c r="E234" s="83">
        <f>F234-0</f>
        <v>0</v>
      </c>
      <c r="F234" s="83">
        <v>0</v>
      </c>
      <c r="G234" s="56">
        <f t="shared" si="35"/>
        <v>0</v>
      </c>
      <c r="H234" s="83">
        <f t="shared" si="28"/>
        <v>30000</v>
      </c>
      <c r="I234" s="83">
        <f>J234-0</f>
        <v>0</v>
      </c>
      <c r="J234" s="83">
        <v>0</v>
      </c>
      <c r="K234" s="56">
        <f t="shared" si="36"/>
        <v>0</v>
      </c>
      <c r="L234" s="86">
        <f t="shared" si="29"/>
        <v>30000</v>
      </c>
    </row>
    <row r="235" spans="1:12" ht="15">
      <c r="A235" s="52" t="s">
        <v>191</v>
      </c>
      <c r="B235" s="53" t="s">
        <v>192</v>
      </c>
      <c r="C235" s="83">
        <v>48460163</v>
      </c>
      <c r="D235" s="83">
        <v>48460163</v>
      </c>
      <c r="E235" s="83">
        <f>F235-300001</f>
        <v>0</v>
      </c>
      <c r="F235" s="83">
        <v>300001</v>
      </c>
      <c r="G235" s="56">
        <f t="shared" si="35"/>
        <v>0.0006231271268801146</v>
      </c>
      <c r="H235" s="83">
        <f t="shared" si="28"/>
        <v>48160162</v>
      </c>
      <c r="I235" s="83">
        <f>J235-116973.49</f>
        <v>56269.43000000001</v>
      </c>
      <c r="J235" s="83">
        <v>173242.92</v>
      </c>
      <c r="K235" s="56">
        <f t="shared" si="36"/>
        <v>0.00039262744362653703</v>
      </c>
      <c r="L235" s="86">
        <f t="shared" si="29"/>
        <v>48286920.08</v>
      </c>
    </row>
    <row r="236" spans="1:12" ht="15">
      <c r="A236" s="52" t="s">
        <v>185</v>
      </c>
      <c r="B236" s="53" t="s">
        <v>186</v>
      </c>
      <c r="C236" s="83">
        <v>0</v>
      </c>
      <c r="D236" s="83">
        <v>0</v>
      </c>
      <c r="E236" s="83">
        <f t="shared" si="37"/>
        <v>0</v>
      </c>
      <c r="F236" s="83">
        <v>0</v>
      </c>
      <c r="G236" s="56">
        <f t="shared" si="35"/>
        <v>0</v>
      </c>
      <c r="H236" s="83">
        <f t="shared" si="28"/>
        <v>0</v>
      </c>
      <c r="I236" s="83">
        <f t="shared" si="38"/>
        <v>0</v>
      </c>
      <c r="J236" s="83">
        <v>0</v>
      </c>
      <c r="K236" s="56">
        <f t="shared" si="36"/>
        <v>0</v>
      </c>
      <c r="L236" s="86">
        <f t="shared" si="29"/>
        <v>0</v>
      </c>
    </row>
    <row r="237" spans="1:12" ht="15">
      <c r="A237" s="52" t="s">
        <v>187</v>
      </c>
      <c r="B237" s="53" t="s">
        <v>188</v>
      </c>
      <c r="C237" s="83">
        <v>0</v>
      </c>
      <c r="D237" s="83">
        <v>0</v>
      </c>
      <c r="E237" s="83">
        <f t="shared" si="37"/>
        <v>0</v>
      </c>
      <c r="F237" s="83">
        <v>0</v>
      </c>
      <c r="G237" s="56">
        <f t="shared" si="35"/>
        <v>0</v>
      </c>
      <c r="H237" s="83">
        <f>D237-F237</f>
        <v>0</v>
      </c>
      <c r="I237" s="83">
        <f t="shared" si="38"/>
        <v>0</v>
      </c>
      <c r="J237" s="83">
        <v>0</v>
      </c>
      <c r="K237" s="56">
        <f t="shared" si="36"/>
        <v>0</v>
      </c>
      <c r="L237" s="86">
        <f>D237-J237</f>
        <v>0</v>
      </c>
    </row>
    <row r="238" spans="1:12" ht="15">
      <c r="A238" s="52" t="s">
        <v>253</v>
      </c>
      <c r="B238" s="53" t="s">
        <v>254</v>
      </c>
      <c r="C238" s="83">
        <v>0</v>
      </c>
      <c r="D238" s="83">
        <v>0</v>
      </c>
      <c r="E238" s="83">
        <f t="shared" si="37"/>
        <v>0</v>
      </c>
      <c r="F238" s="83">
        <v>0</v>
      </c>
      <c r="G238" s="56">
        <f t="shared" si="35"/>
        <v>0</v>
      </c>
      <c r="H238" s="83">
        <f t="shared" si="28"/>
        <v>0</v>
      </c>
      <c r="I238" s="83">
        <f t="shared" si="38"/>
        <v>0</v>
      </c>
      <c r="J238" s="83">
        <v>0</v>
      </c>
      <c r="K238" s="56">
        <f t="shared" si="36"/>
        <v>0</v>
      </c>
      <c r="L238" s="86">
        <f t="shared" si="29"/>
        <v>0</v>
      </c>
    </row>
    <row r="239" spans="1:12" ht="15">
      <c r="A239" s="52" t="s">
        <v>278</v>
      </c>
      <c r="B239" s="53" t="s">
        <v>279</v>
      </c>
      <c r="C239" s="83">
        <v>10000</v>
      </c>
      <c r="D239" s="99">
        <v>10000</v>
      </c>
      <c r="E239" s="99">
        <f>F239-0</f>
        <v>0</v>
      </c>
      <c r="F239" s="99">
        <v>0</v>
      </c>
      <c r="G239" s="56">
        <f t="shared" si="35"/>
        <v>0</v>
      </c>
      <c r="H239" s="83">
        <f t="shared" si="28"/>
        <v>10000</v>
      </c>
      <c r="I239" s="83">
        <f>J239-0</f>
        <v>0</v>
      </c>
      <c r="J239" s="83">
        <v>0</v>
      </c>
      <c r="K239" s="56">
        <f t="shared" si="36"/>
        <v>0</v>
      </c>
      <c r="L239" s="86">
        <f t="shared" si="29"/>
        <v>10000</v>
      </c>
    </row>
    <row r="240" spans="1:12" ht="15">
      <c r="A240" s="47" t="s">
        <v>189</v>
      </c>
      <c r="B240" s="50" t="s">
        <v>190</v>
      </c>
      <c r="C240" s="82">
        <f>SUM(C241:C250)</f>
        <v>412323855</v>
      </c>
      <c r="D240" s="82">
        <f>SUM(D241:D250)</f>
        <v>447298090.83000004</v>
      </c>
      <c r="E240" s="82">
        <f>SUM(E241:E250)</f>
        <v>40547722.44</v>
      </c>
      <c r="F240" s="82">
        <f>SUM(F241:F250)</f>
        <v>110993100.9</v>
      </c>
      <c r="G240" s="51">
        <f aca="true" t="shared" si="39" ref="G240:G273">(F240/$F$286)*100</f>
        <v>0.2305419384179775</v>
      </c>
      <c r="H240" s="82">
        <f t="shared" si="28"/>
        <v>336304989.93000007</v>
      </c>
      <c r="I240" s="82">
        <f>SUM(I241:I250)</f>
        <v>34186108.529999994</v>
      </c>
      <c r="J240" s="82">
        <f>SUM(J241:J250)</f>
        <v>96272018.29</v>
      </c>
      <c r="K240" s="51">
        <f t="shared" si="36"/>
        <v>0.21818517278495375</v>
      </c>
      <c r="L240" s="85">
        <f t="shared" si="29"/>
        <v>351026072.54</v>
      </c>
    </row>
    <row r="241" spans="1:12" ht="15">
      <c r="A241" s="52" t="s">
        <v>28</v>
      </c>
      <c r="B241" s="53" t="s">
        <v>33</v>
      </c>
      <c r="C241" s="83">
        <v>92519470</v>
      </c>
      <c r="D241" s="83">
        <v>97290301.55</v>
      </c>
      <c r="E241" s="83">
        <f>F241-37216557.73</f>
        <v>16617873.410000004</v>
      </c>
      <c r="F241" s="83">
        <v>53834431.14</v>
      </c>
      <c r="G241" s="56">
        <f t="shared" si="39"/>
        <v>0.11181860861628318</v>
      </c>
      <c r="H241" s="83">
        <f t="shared" si="28"/>
        <v>43455870.41</v>
      </c>
      <c r="I241" s="83">
        <f>J241-32708828.37</f>
        <v>13514254.95</v>
      </c>
      <c r="J241" s="83">
        <v>46223083.32</v>
      </c>
      <c r="K241" s="56">
        <f t="shared" si="36"/>
        <v>0.10475724514726503</v>
      </c>
      <c r="L241" s="86">
        <f t="shared" si="29"/>
        <v>51067218.23</v>
      </c>
    </row>
    <row r="242" spans="1:12" ht="15">
      <c r="A242" s="52" t="s">
        <v>39</v>
      </c>
      <c r="B242" s="53" t="s">
        <v>41</v>
      </c>
      <c r="C242" s="83">
        <v>5000</v>
      </c>
      <c r="D242" s="83">
        <v>5000</v>
      </c>
      <c r="E242" s="83">
        <f aca="true" t="shared" si="40" ref="E242:E248">F242-0</f>
        <v>0</v>
      </c>
      <c r="F242" s="83">
        <v>0</v>
      </c>
      <c r="G242" s="56">
        <f t="shared" si="39"/>
        <v>0</v>
      </c>
      <c r="H242" s="83">
        <f t="shared" si="28"/>
        <v>5000</v>
      </c>
      <c r="I242" s="83">
        <f aca="true" t="shared" si="41" ref="I242:I248">J242-0</f>
        <v>0</v>
      </c>
      <c r="J242" s="83">
        <v>0</v>
      </c>
      <c r="K242" s="56">
        <f t="shared" si="36"/>
        <v>0</v>
      </c>
      <c r="L242" s="86">
        <f t="shared" si="29"/>
        <v>5000</v>
      </c>
    </row>
    <row r="243" spans="1:12" ht="15">
      <c r="A243" s="52" t="s">
        <v>131</v>
      </c>
      <c r="B243" s="53" t="s">
        <v>132</v>
      </c>
      <c r="C243" s="83">
        <v>1164010</v>
      </c>
      <c r="D243" s="83">
        <v>1164010</v>
      </c>
      <c r="E243" s="83">
        <f>F243-0</f>
        <v>0</v>
      </c>
      <c r="F243" s="83">
        <v>0</v>
      </c>
      <c r="G243" s="56">
        <f t="shared" si="39"/>
        <v>0</v>
      </c>
      <c r="H243" s="83">
        <f>D243-F243</f>
        <v>1164010</v>
      </c>
      <c r="I243" s="83">
        <f>J243-0</f>
        <v>0</v>
      </c>
      <c r="J243" s="83">
        <v>0</v>
      </c>
      <c r="K243" s="56">
        <f t="shared" si="36"/>
        <v>0</v>
      </c>
      <c r="L243" s="86">
        <f>D243-J243</f>
        <v>1164010</v>
      </c>
    </row>
    <row r="244" spans="1:12" ht="15">
      <c r="A244" s="52" t="s">
        <v>83</v>
      </c>
      <c r="B244" s="53" t="s">
        <v>85</v>
      </c>
      <c r="C244" s="83">
        <v>11012515</v>
      </c>
      <c r="D244" s="83">
        <v>11012515</v>
      </c>
      <c r="E244" s="83">
        <f>F244-563221.24</f>
        <v>268532.32999999996</v>
      </c>
      <c r="F244" s="83">
        <v>831753.57</v>
      </c>
      <c r="G244" s="56">
        <f t="shared" si="39"/>
        <v>0.0017276216157492085</v>
      </c>
      <c r="H244" s="83">
        <f>D244-F244</f>
        <v>10180761.43</v>
      </c>
      <c r="I244" s="83">
        <f>J244-563221.24</f>
        <v>268532.32999999996</v>
      </c>
      <c r="J244" s="83">
        <v>831753.57</v>
      </c>
      <c r="K244" s="56">
        <f t="shared" si="36"/>
        <v>0.001885036790631016</v>
      </c>
      <c r="L244" s="86">
        <f>D244-J244</f>
        <v>10180761.43</v>
      </c>
    </row>
    <row r="245" spans="1:12" ht="15">
      <c r="A245" s="52" t="s">
        <v>53</v>
      </c>
      <c r="B245" s="53" t="s">
        <v>60</v>
      </c>
      <c r="C245" s="83">
        <v>0</v>
      </c>
      <c r="D245" s="83">
        <v>0</v>
      </c>
      <c r="E245" s="83">
        <f t="shared" si="40"/>
        <v>0</v>
      </c>
      <c r="F245" s="83">
        <v>0</v>
      </c>
      <c r="G245" s="56">
        <f t="shared" si="39"/>
        <v>0</v>
      </c>
      <c r="H245" s="83">
        <f t="shared" si="28"/>
        <v>0</v>
      </c>
      <c r="I245" s="83">
        <f t="shared" si="41"/>
        <v>0</v>
      </c>
      <c r="J245" s="83">
        <v>0</v>
      </c>
      <c r="K245" s="56">
        <f t="shared" si="36"/>
        <v>0</v>
      </c>
      <c r="L245" s="86">
        <f t="shared" si="29"/>
        <v>0</v>
      </c>
    </row>
    <row r="246" spans="1:12" ht="15">
      <c r="A246" s="52" t="s">
        <v>191</v>
      </c>
      <c r="B246" s="53" t="s">
        <v>192</v>
      </c>
      <c r="C246" s="83">
        <v>19923393</v>
      </c>
      <c r="D246" s="83">
        <v>24843617.33</v>
      </c>
      <c r="E246" s="83">
        <f>F246-7063495.49</f>
        <v>3022657.5199999996</v>
      </c>
      <c r="F246" s="83">
        <v>10086153.01</v>
      </c>
      <c r="G246" s="56">
        <f t="shared" si="39"/>
        <v>0.020949781988708435</v>
      </c>
      <c r="H246" s="83">
        <f t="shared" si="28"/>
        <v>14757464.319999998</v>
      </c>
      <c r="I246" s="83">
        <f>J246-5833008.69</f>
        <v>1240469.1899999995</v>
      </c>
      <c r="J246" s="83">
        <v>7073477.88</v>
      </c>
      <c r="K246" s="56">
        <f t="shared" si="36"/>
        <v>0.016030909301074217</v>
      </c>
      <c r="L246" s="86">
        <f t="shared" si="29"/>
        <v>17770139.45</v>
      </c>
    </row>
    <row r="247" spans="1:12" ht="15">
      <c r="A247" s="52" t="s">
        <v>244</v>
      </c>
      <c r="B247" s="53" t="s">
        <v>245</v>
      </c>
      <c r="C247" s="83">
        <v>0</v>
      </c>
      <c r="D247" s="83">
        <v>0</v>
      </c>
      <c r="E247" s="83">
        <f t="shared" si="40"/>
        <v>0</v>
      </c>
      <c r="F247" s="83">
        <v>0</v>
      </c>
      <c r="G247" s="56">
        <f t="shared" si="39"/>
        <v>0</v>
      </c>
      <c r="H247" s="83">
        <f t="shared" si="28"/>
        <v>0</v>
      </c>
      <c r="I247" s="83">
        <f t="shared" si="41"/>
        <v>0</v>
      </c>
      <c r="J247" s="83">
        <v>0</v>
      </c>
      <c r="K247" s="56">
        <f t="shared" si="36"/>
        <v>0</v>
      </c>
      <c r="L247" s="86">
        <f t="shared" si="29"/>
        <v>0</v>
      </c>
    </row>
    <row r="248" spans="1:12" ht="15">
      <c r="A248" s="52" t="s">
        <v>275</v>
      </c>
      <c r="B248" s="53" t="s">
        <v>276</v>
      </c>
      <c r="C248" s="83">
        <v>260000</v>
      </c>
      <c r="D248" s="83">
        <v>270000</v>
      </c>
      <c r="E248" s="83">
        <f t="shared" si="40"/>
        <v>0</v>
      </c>
      <c r="F248" s="83">
        <v>0</v>
      </c>
      <c r="G248" s="56">
        <f t="shared" si="39"/>
        <v>0</v>
      </c>
      <c r="H248" s="83">
        <f t="shared" si="28"/>
        <v>270000</v>
      </c>
      <c r="I248" s="83">
        <f t="shared" si="41"/>
        <v>0</v>
      </c>
      <c r="J248" s="83">
        <v>0</v>
      </c>
      <c r="K248" s="56">
        <f t="shared" si="36"/>
        <v>0</v>
      </c>
      <c r="L248" s="86">
        <f t="shared" si="29"/>
        <v>270000</v>
      </c>
    </row>
    <row r="249" spans="1:12" ht="15">
      <c r="A249" s="52" t="s">
        <v>54</v>
      </c>
      <c r="B249" s="53" t="s">
        <v>61</v>
      </c>
      <c r="C249" s="83">
        <v>148474599</v>
      </c>
      <c r="D249" s="83">
        <v>151169012.8</v>
      </c>
      <c r="E249" s="83">
        <f>F249-25482130.84</f>
        <v>18411714.279999997</v>
      </c>
      <c r="F249" s="83">
        <v>43893845.12</v>
      </c>
      <c r="G249" s="56">
        <f t="shared" si="39"/>
        <v>0.09117118142054972</v>
      </c>
      <c r="H249" s="83">
        <f t="shared" si="28"/>
        <v>107275167.68</v>
      </c>
      <c r="I249" s="83">
        <f>J249-22860878.3</f>
        <v>18994940.16</v>
      </c>
      <c r="J249" s="83">
        <v>41855818.46</v>
      </c>
      <c r="K249" s="56">
        <f t="shared" si="36"/>
        <v>0.09485953597899538</v>
      </c>
      <c r="L249" s="86">
        <f t="shared" si="29"/>
        <v>109313194.34</v>
      </c>
    </row>
    <row r="250" spans="1:12" ht="15">
      <c r="A250" s="52" t="s">
        <v>185</v>
      </c>
      <c r="B250" s="53" t="s">
        <v>186</v>
      </c>
      <c r="C250" s="83">
        <v>138964868</v>
      </c>
      <c r="D250" s="83">
        <v>161543634.15</v>
      </c>
      <c r="E250" s="83">
        <f>F250-119973.16</f>
        <v>2226944.9</v>
      </c>
      <c r="F250" s="83">
        <v>2346918.06</v>
      </c>
      <c r="G250" s="56">
        <f t="shared" si="39"/>
        <v>0.004874744776686919</v>
      </c>
      <c r="H250" s="83">
        <f t="shared" si="28"/>
        <v>159196716.09</v>
      </c>
      <c r="I250" s="83">
        <f>J250-119973.16</f>
        <v>167911.9</v>
      </c>
      <c r="J250" s="83">
        <v>287885.06</v>
      </c>
      <c r="K250" s="56">
        <f t="shared" si="36"/>
        <v>0.0006524455669880895</v>
      </c>
      <c r="L250" s="86">
        <f t="shared" si="29"/>
        <v>161255749.09</v>
      </c>
    </row>
    <row r="251" spans="1:12" ht="15">
      <c r="A251" s="47" t="s">
        <v>193</v>
      </c>
      <c r="B251" s="50" t="s">
        <v>194</v>
      </c>
      <c r="C251" s="82">
        <f>SUM(C252:C254)</f>
        <v>0</v>
      </c>
      <c r="D251" s="82">
        <f>SUM(D252:D254)</f>
        <v>0</v>
      </c>
      <c r="E251" s="82">
        <f>SUM(E252:E254)</f>
        <v>0</v>
      </c>
      <c r="F251" s="82">
        <f>SUM(F252:F254)</f>
        <v>0</v>
      </c>
      <c r="G251" s="51">
        <f t="shared" si="39"/>
        <v>0</v>
      </c>
      <c r="H251" s="82">
        <f t="shared" si="28"/>
        <v>0</v>
      </c>
      <c r="I251" s="82">
        <f>SUM(I252:I254)</f>
        <v>0</v>
      </c>
      <c r="J251" s="82">
        <f>SUM(J252:J254)</f>
        <v>0</v>
      </c>
      <c r="K251" s="51">
        <f t="shared" si="36"/>
        <v>0</v>
      </c>
      <c r="L251" s="85">
        <f t="shared" si="29"/>
        <v>0</v>
      </c>
    </row>
    <row r="252" spans="1:12" ht="15">
      <c r="A252" s="52" t="s">
        <v>28</v>
      </c>
      <c r="B252" s="53" t="s">
        <v>33</v>
      </c>
      <c r="C252" s="83">
        <v>0</v>
      </c>
      <c r="D252" s="83">
        <v>0</v>
      </c>
      <c r="E252" s="83">
        <f>F252-0</f>
        <v>0</v>
      </c>
      <c r="F252" s="83">
        <v>0</v>
      </c>
      <c r="G252" s="56">
        <f t="shared" si="39"/>
        <v>0</v>
      </c>
      <c r="H252" s="83">
        <f t="shared" si="28"/>
        <v>0</v>
      </c>
      <c r="I252" s="83">
        <f>J252-0</f>
        <v>0</v>
      </c>
      <c r="J252" s="83">
        <v>0</v>
      </c>
      <c r="K252" s="56">
        <f t="shared" si="36"/>
        <v>0</v>
      </c>
      <c r="L252" s="86">
        <f t="shared" si="29"/>
        <v>0</v>
      </c>
    </row>
    <row r="253" spans="1:12" ht="15">
      <c r="A253" s="52" t="s">
        <v>164</v>
      </c>
      <c r="B253" s="53" t="s">
        <v>165</v>
      </c>
      <c r="C253" s="83">
        <v>0</v>
      </c>
      <c r="D253" s="83">
        <v>0</v>
      </c>
      <c r="E253" s="83">
        <f>F253-0</f>
        <v>0</v>
      </c>
      <c r="F253" s="83">
        <v>0</v>
      </c>
      <c r="G253" s="56">
        <f t="shared" si="39"/>
        <v>0</v>
      </c>
      <c r="H253" s="83">
        <f t="shared" si="28"/>
        <v>0</v>
      </c>
      <c r="I253" s="83">
        <f>J253-0</f>
        <v>0</v>
      </c>
      <c r="J253" s="83">
        <v>0</v>
      </c>
      <c r="K253" s="56">
        <f aca="true" t="shared" si="42" ref="K253:K273">(J253/$J$286)*100</f>
        <v>0</v>
      </c>
      <c r="L253" s="86">
        <f t="shared" si="29"/>
        <v>0</v>
      </c>
    </row>
    <row r="254" spans="1:12" ht="15">
      <c r="A254" s="52" t="s">
        <v>117</v>
      </c>
      <c r="B254" s="53" t="s">
        <v>124</v>
      </c>
      <c r="C254" s="83">
        <v>0</v>
      </c>
      <c r="D254" s="83">
        <v>0</v>
      </c>
      <c r="E254" s="83">
        <f>F254-0</f>
        <v>0</v>
      </c>
      <c r="F254" s="83">
        <v>0</v>
      </c>
      <c r="G254" s="56">
        <f t="shared" si="39"/>
        <v>0</v>
      </c>
      <c r="H254" s="83">
        <f t="shared" si="28"/>
        <v>0</v>
      </c>
      <c r="I254" s="83">
        <f>J254-0</f>
        <v>0</v>
      </c>
      <c r="J254" s="83">
        <v>0</v>
      </c>
      <c r="K254" s="56">
        <f t="shared" si="42"/>
        <v>0</v>
      </c>
      <c r="L254" s="86">
        <f t="shared" si="29"/>
        <v>0</v>
      </c>
    </row>
    <row r="255" spans="1:12" ht="15">
      <c r="A255" s="47" t="s">
        <v>280</v>
      </c>
      <c r="B255" s="50" t="s">
        <v>281</v>
      </c>
      <c r="C255" s="82">
        <f>C256</f>
        <v>614700</v>
      </c>
      <c r="D255" s="82">
        <f>D256</f>
        <v>619826.9</v>
      </c>
      <c r="E255" s="82">
        <f>E256</f>
        <v>5055.1</v>
      </c>
      <c r="F255" s="82">
        <f>F256</f>
        <v>9555.1</v>
      </c>
      <c r="G255" s="51">
        <f t="shared" si="39"/>
        <v>1.9846740544372128E-05</v>
      </c>
      <c r="H255" s="82">
        <f t="shared" si="28"/>
        <v>610271.8</v>
      </c>
      <c r="I255" s="82">
        <f>I256</f>
        <v>5055.099999999999</v>
      </c>
      <c r="J255" s="82">
        <f>J256</f>
        <v>7927.98</v>
      </c>
      <c r="K255" s="51">
        <f t="shared" si="42"/>
        <v>1.796750205158348E-05</v>
      </c>
      <c r="L255" s="85">
        <f t="shared" si="29"/>
        <v>611898.92</v>
      </c>
    </row>
    <row r="256" spans="1:12" ht="15">
      <c r="A256" s="52" t="s">
        <v>187</v>
      </c>
      <c r="B256" s="53" t="s">
        <v>188</v>
      </c>
      <c r="C256" s="83">
        <v>614700</v>
      </c>
      <c r="D256" s="83">
        <v>619826.9</v>
      </c>
      <c r="E256" s="83">
        <f>F256-4500</f>
        <v>5055.1</v>
      </c>
      <c r="F256" s="83">
        <v>9555.1</v>
      </c>
      <c r="G256" s="83">
        <f t="shared" si="39"/>
        <v>1.9846740544372128E-05</v>
      </c>
      <c r="H256" s="83">
        <f t="shared" si="28"/>
        <v>610271.8</v>
      </c>
      <c r="I256" s="83">
        <f>J256-2872.88</f>
        <v>5055.099999999999</v>
      </c>
      <c r="J256" s="83">
        <v>7927.98</v>
      </c>
      <c r="K256" s="56">
        <f t="shared" si="42"/>
        <v>1.796750205158348E-05</v>
      </c>
      <c r="L256" s="86">
        <f t="shared" si="29"/>
        <v>611898.92</v>
      </c>
    </row>
    <row r="257" spans="1:12" ht="15">
      <c r="A257" s="47" t="s">
        <v>195</v>
      </c>
      <c r="B257" s="50" t="s">
        <v>196</v>
      </c>
      <c r="C257" s="82">
        <f>SUM(C258:C269)</f>
        <v>1342460224</v>
      </c>
      <c r="D257" s="82">
        <f>SUM(D258:D269)</f>
        <v>2257348075.96</v>
      </c>
      <c r="E257" s="82">
        <f>SUM(E258:E269)</f>
        <v>381867432.44000006</v>
      </c>
      <c r="F257" s="82">
        <f>SUM(F258:F269)</f>
        <v>800838969.54</v>
      </c>
      <c r="G257" s="51">
        <f t="shared" si="39"/>
        <v>1.6634094092456082</v>
      </c>
      <c r="H257" s="82">
        <f t="shared" si="28"/>
        <v>1456509106.42</v>
      </c>
      <c r="I257" s="82">
        <f>SUM(I258:I269)</f>
        <v>155622421.56</v>
      </c>
      <c r="J257" s="82">
        <f>SUM(J258:J269)</f>
        <v>454436886.15</v>
      </c>
      <c r="K257" s="51">
        <f t="shared" si="42"/>
        <v>1.0299087137222007</v>
      </c>
      <c r="L257" s="85">
        <f t="shared" si="29"/>
        <v>1802911189.81</v>
      </c>
    </row>
    <row r="258" spans="1:12" ht="15">
      <c r="A258" s="52" t="s">
        <v>28</v>
      </c>
      <c r="B258" s="53" t="s">
        <v>33</v>
      </c>
      <c r="C258" s="83">
        <v>332356479</v>
      </c>
      <c r="D258" s="83">
        <v>344542849.49</v>
      </c>
      <c r="E258" s="83">
        <f>F258-126989511.66</f>
        <v>47645675.28</v>
      </c>
      <c r="F258" s="83">
        <v>174635186.94</v>
      </c>
      <c r="G258" s="56">
        <f t="shared" si="39"/>
        <v>0.3627318651940957</v>
      </c>
      <c r="H258" s="83">
        <f t="shared" si="28"/>
        <v>169907662.55</v>
      </c>
      <c r="I258" s="83">
        <f>J258-116958659.1</f>
        <v>43210272.110000014</v>
      </c>
      <c r="J258" s="83">
        <v>160168931.21</v>
      </c>
      <c r="K258" s="56">
        <f t="shared" si="42"/>
        <v>0.3629973335093692</v>
      </c>
      <c r="L258" s="86">
        <f t="shared" si="29"/>
        <v>184373918.28</v>
      </c>
    </row>
    <row r="259" spans="1:12" ht="15">
      <c r="A259" s="52" t="s">
        <v>29</v>
      </c>
      <c r="B259" s="53" t="s">
        <v>34</v>
      </c>
      <c r="C259" s="83">
        <v>18500</v>
      </c>
      <c r="D259" s="83">
        <v>18500</v>
      </c>
      <c r="E259" s="83">
        <f>F259-0</f>
        <v>0</v>
      </c>
      <c r="F259" s="83">
        <v>0</v>
      </c>
      <c r="G259" s="56">
        <f t="shared" si="39"/>
        <v>0</v>
      </c>
      <c r="H259" s="83">
        <f t="shared" si="28"/>
        <v>18500</v>
      </c>
      <c r="I259" s="83">
        <f>J259-0</f>
        <v>0</v>
      </c>
      <c r="J259" s="83">
        <v>0</v>
      </c>
      <c r="K259" s="56">
        <f t="shared" si="42"/>
        <v>0</v>
      </c>
      <c r="L259" s="86">
        <f t="shared" si="29"/>
        <v>18500</v>
      </c>
    </row>
    <row r="260" spans="1:12" ht="15">
      <c r="A260" s="52" t="s">
        <v>131</v>
      </c>
      <c r="B260" s="53" t="s">
        <v>263</v>
      </c>
      <c r="C260" s="83">
        <v>0</v>
      </c>
      <c r="D260" s="83">
        <v>0</v>
      </c>
      <c r="E260" s="83">
        <f aca="true" t="shared" si="43" ref="E260:E268">F260-0</f>
        <v>0</v>
      </c>
      <c r="F260" s="83">
        <v>0</v>
      </c>
      <c r="G260" s="56">
        <f t="shared" si="39"/>
        <v>0</v>
      </c>
      <c r="H260" s="83">
        <f t="shared" si="28"/>
        <v>0</v>
      </c>
      <c r="I260" s="83">
        <f aca="true" t="shared" si="44" ref="I260:I268">J260-0</f>
        <v>0</v>
      </c>
      <c r="J260" s="83">
        <v>0</v>
      </c>
      <c r="K260" s="56">
        <f t="shared" si="42"/>
        <v>0</v>
      </c>
      <c r="L260" s="86">
        <f t="shared" si="29"/>
        <v>0</v>
      </c>
    </row>
    <row r="261" spans="1:12" ht="15">
      <c r="A261" s="52" t="s">
        <v>83</v>
      </c>
      <c r="B261" s="53" t="s">
        <v>85</v>
      </c>
      <c r="C261" s="83">
        <v>20168</v>
      </c>
      <c r="D261" s="83">
        <v>20168</v>
      </c>
      <c r="E261" s="83">
        <f>F261-0</f>
        <v>0</v>
      </c>
      <c r="F261" s="83">
        <v>0</v>
      </c>
      <c r="G261" s="56">
        <f t="shared" si="39"/>
        <v>0</v>
      </c>
      <c r="H261" s="83">
        <f t="shared" si="28"/>
        <v>20168</v>
      </c>
      <c r="I261" s="83">
        <f>J261-0</f>
        <v>0</v>
      </c>
      <c r="J261" s="83">
        <v>0</v>
      </c>
      <c r="K261" s="56">
        <f t="shared" si="42"/>
        <v>0</v>
      </c>
      <c r="L261" s="86">
        <f t="shared" si="29"/>
        <v>20168</v>
      </c>
    </row>
    <row r="262" spans="1:12" ht="15">
      <c r="A262" s="52" t="s">
        <v>135</v>
      </c>
      <c r="B262" s="53" t="s">
        <v>136</v>
      </c>
      <c r="C262" s="83">
        <v>20820000</v>
      </c>
      <c r="D262" s="83">
        <v>35522816.04</v>
      </c>
      <c r="E262" s="83">
        <f>F262-8054068.81</f>
        <v>-1464536.5899999999</v>
      </c>
      <c r="F262" s="83">
        <v>6589532.22</v>
      </c>
      <c r="G262" s="56">
        <f t="shared" si="39"/>
        <v>0.013687008642413002</v>
      </c>
      <c r="H262" s="83">
        <f t="shared" si="28"/>
        <v>28933283.82</v>
      </c>
      <c r="I262" s="83">
        <f>J262-3558080.69</f>
        <v>535463.4100000001</v>
      </c>
      <c r="J262" s="83">
        <v>4093544.1</v>
      </c>
      <c r="K262" s="56">
        <f t="shared" si="42"/>
        <v>0.009277364727837035</v>
      </c>
      <c r="L262" s="86">
        <f t="shared" si="29"/>
        <v>31429271.939999998</v>
      </c>
    </row>
    <row r="263" spans="1:12" ht="15">
      <c r="A263" s="52" t="s">
        <v>151</v>
      </c>
      <c r="B263" s="53" t="s">
        <v>152</v>
      </c>
      <c r="C263" s="83">
        <v>462995268</v>
      </c>
      <c r="D263" s="83">
        <v>332484111.73</v>
      </c>
      <c r="E263" s="83">
        <f>F263-123476478.19</f>
        <v>59105096.150000006</v>
      </c>
      <c r="F263" s="83">
        <v>182581574.34</v>
      </c>
      <c r="G263" s="56">
        <f t="shared" si="39"/>
        <v>0.37923717534185636</v>
      </c>
      <c r="H263" s="83">
        <f t="shared" si="28"/>
        <v>149902537.39000002</v>
      </c>
      <c r="I263" s="83">
        <f>J263-122151464.04</f>
        <v>57427470.55</v>
      </c>
      <c r="J263" s="83">
        <v>179578934.59</v>
      </c>
      <c r="K263" s="56">
        <f t="shared" si="42"/>
        <v>0.40698701001604454</v>
      </c>
      <c r="L263" s="86">
        <f t="shared" si="29"/>
        <v>152905177.14000002</v>
      </c>
    </row>
    <row r="264" spans="1:12" ht="15">
      <c r="A264" s="52" t="s">
        <v>145</v>
      </c>
      <c r="B264" s="53" t="s">
        <v>146</v>
      </c>
      <c r="C264" s="83">
        <v>0</v>
      </c>
      <c r="D264" s="83">
        <v>0</v>
      </c>
      <c r="E264" s="83">
        <f t="shared" si="43"/>
        <v>0</v>
      </c>
      <c r="F264" s="83">
        <v>0</v>
      </c>
      <c r="G264" s="56">
        <f t="shared" si="39"/>
        <v>0</v>
      </c>
      <c r="H264" s="83">
        <f t="shared" si="28"/>
        <v>0</v>
      </c>
      <c r="I264" s="83">
        <f t="shared" si="44"/>
        <v>0</v>
      </c>
      <c r="J264" s="83">
        <v>0</v>
      </c>
      <c r="K264" s="56">
        <f t="shared" si="42"/>
        <v>0</v>
      </c>
      <c r="L264" s="86">
        <f t="shared" si="29"/>
        <v>0</v>
      </c>
    </row>
    <row r="265" spans="1:12" ht="15">
      <c r="A265" s="52" t="s">
        <v>70</v>
      </c>
      <c r="B265" s="53" t="s">
        <v>78</v>
      </c>
      <c r="C265" s="83">
        <v>29034000</v>
      </c>
      <c r="D265" s="83">
        <v>29044000</v>
      </c>
      <c r="E265" s="83">
        <f t="shared" si="43"/>
        <v>0</v>
      </c>
      <c r="F265" s="83">
        <v>0</v>
      </c>
      <c r="G265" s="56">
        <f t="shared" si="39"/>
        <v>0</v>
      </c>
      <c r="H265" s="83">
        <f t="shared" si="28"/>
        <v>29044000</v>
      </c>
      <c r="I265" s="83">
        <f t="shared" si="44"/>
        <v>0</v>
      </c>
      <c r="J265" s="83">
        <v>0</v>
      </c>
      <c r="K265" s="56">
        <f t="shared" si="42"/>
        <v>0</v>
      </c>
      <c r="L265" s="86">
        <f t="shared" si="29"/>
        <v>29044000</v>
      </c>
    </row>
    <row r="266" spans="1:12" ht="15">
      <c r="A266" s="52" t="s">
        <v>71</v>
      </c>
      <c r="B266" s="53" t="s">
        <v>79</v>
      </c>
      <c r="C266" s="83">
        <v>254572311</v>
      </c>
      <c r="D266" s="83">
        <v>1273137132.7</v>
      </c>
      <c r="E266" s="83">
        <f>F266-159450045.2</f>
        <v>276634697.6</v>
      </c>
      <c r="F266" s="83">
        <v>436084742.8</v>
      </c>
      <c r="G266" s="56">
        <f t="shared" si="39"/>
        <v>0.9057844235759804</v>
      </c>
      <c r="H266" s="83">
        <f t="shared" si="28"/>
        <v>837052389.9000001</v>
      </c>
      <c r="I266" s="83">
        <f>J266-55905591.4</f>
        <v>54321341.64000001</v>
      </c>
      <c r="J266" s="83">
        <v>110226933.04</v>
      </c>
      <c r="K266" s="56">
        <f t="shared" si="42"/>
        <v>0.2498117610710364</v>
      </c>
      <c r="L266" s="86">
        <f t="shared" si="29"/>
        <v>1162910199.66</v>
      </c>
    </row>
    <row r="267" spans="1:12" ht="15">
      <c r="A267" s="52" t="s">
        <v>197</v>
      </c>
      <c r="B267" s="53" t="s">
        <v>198</v>
      </c>
      <c r="C267" s="83">
        <v>219809276</v>
      </c>
      <c r="D267" s="83">
        <v>219839276</v>
      </c>
      <c r="E267" s="83">
        <f>F267-1001433.24</f>
        <v>-53500</v>
      </c>
      <c r="F267" s="83">
        <v>947933.24</v>
      </c>
      <c r="G267" s="56">
        <f t="shared" si="39"/>
        <v>0.0019689364912628894</v>
      </c>
      <c r="H267" s="83">
        <f t="shared" si="28"/>
        <v>218891342.76</v>
      </c>
      <c r="I267" s="83">
        <f>J267-240669.36</f>
        <v>127873.85000000003</v>
      </c>
      <c r="J267" s="83">
        <v>368543.21</v>
      </c>
      <c r="K267" s="56">
        <f t="shared" si="42"/>
        <v>0.0008352443979137387</v>
      </c>
      <c r="L267" s="86">
        <f t="shared" si="29"/>
        <v>219470732.79</v>
      </c>
    </row>
    <row r="268" spans="1:12" ht="15">
      <c r="A268" s="52" t="s">
        <v>199</v>
      </c>
      <c r="B268" s="53" t="s">
        <v>200</v>
      </c>
      <c r="C268" s="83">
        <v>140000</v>
      </c>
      <c r="D268" s="83">
        <v>40000</v>
      </c>
      <c r="E268" s="83">
        <f t="shared" si="43"/>
        <v>0</v>
      </c>
      <c r="F268" s="83">
        <v>0</v>
      </c>
      <c r="G268" s="56">
        <f t="shared" si="39"/>
        <v>0</v>
      </c>
      <c r="H268" s="83">
        <f t="shared" si="28"/>
        <v>40000</v>
      </c>
      <c r="I268" s="83">
        <f t="shared" si="44"/>
        <v>0</v>
      </c>
      <c r="J268" s="83">
        <v>0</v>
      </c>
      <c r="K268" s="56">
        <f t="shared" si="42"/>
        <v>0</v>
      </c>
      <c r="L268" s="86">
        <f t="shared" si="29"/>
        <v>40000</v>
      </c>
    </row>
    <row r="269" spans="1:12" ht="15">
      <c r="A269" s="52" t="s">
        <v>201</v>
      </c>
      <c r="B269" s="53" t="s">
        <v>202</v>
      </c>
      <c r="C269" s="83">
        <v>22694222</v>
      </c>
      <c r="D269" s="83">
        <v>22699222</v>
      </c>
      <c r="E269" s="83">
        <f>F269-0</f>
        <v>0</v>
      </c>
      <c r="F269" s="83">
        <v>0</v>
      </c>
      <c r="G269" s="56">
        <f t="shared" si="39"/>
        <v>0</v>
      </c>
      <c r="H269" s="83">
        <f t="shared" si="28"/>
        <v>22699222</v>
      </c>
      <c r="I269" s="83">
        <f>J269-0</f>
        <v>0</v>
      </c>
      <c r="J269" s="83">
        <v>0</v>
      </c>
      <c r="K269" s="56">
        <f t="shared" si="42"/>
        <v>0</v>
      </c>
      <c r="L269" s="86">
        <f t="shared" si="29"/>
        <v>22699222</v>
      </c>
    </row>
    <row r="270" spans="1:12" ht="15">
      <c r="A270" s="47" t="s">
        <v>203</v>
      </c>
      <c r="B270" s="50" t="s">
        <v>204</v>
      </c>
      <c r="C270" s="82">
        <f>SUM(C271:C275)</f>
        <v>70564945</v>
      </c>
      <c r="D270" s="82">
        <f>SUM(D271:D275)</f>
        <v>78234027</v>
      </c>
      <c r="E270" s="82">
        <f>SUM(E271:E275)</f>
        <v>3277224.6099999985</v>
      </c>
      <c r="F270" s="82">
        <f>SUM(F271:F275)</f>
        <v>10990984.86</v>
      </c>
      <c r="G270" s="51">
        <f t="shared" si="39"/>
        <v>0.02282919329400448</v>
      </c>
      <c r="H270" s="82">
        <f t="shared" si="28"/>
        <v>67243042.14</v>
      </c>
      <c r="I270" s="82">
        <f>SUM(I271:I275)</f>
        <v>2951037.2500000005</v>
      </c>
      <c r="J270" s="82">
        <f>SUM(J271:J275)</f>
        <v>10129816.41</v>
      </c>
      <c r="K270" s="51">
        <f t="shared" si="42"/>
        <v>0.022957613052611008</v>
      </c>
      <c r="L270" s="85">
        <f t="shared" si="29"/>
        <v>68104210.59</v>
      </c>
    </row>
    <row r="271" spans="1:12" ht="15">
      <c r="A271" s="52" t="s">
        <v>28</v>
      </c>
      <c r="B271" s="53" t="s">
        <v>33</v>
      </c>
      <c r="C271" s="83">
        <v>15834260</v>
      </c>
      <c r="D271" s="83">
        <v>16574260</v>
      </c>
      <c r="E271" s="83">
        <f>F271-7113954.32</f>
        <v>3047477.219999999</v>
      </c>
      <c r="F271" s="83">
        <v>10161431.54</v>
      </c>
      <c r="G271" s="56">
        <f t="shared" si="39"/>
        <v>0.021106141781224653</v>
      </c>
      <c r="H271" s="83">
        <f t="shared" si="28"/>
        <v>6412828.460000001</v>
      </c>
      <c r="I271" s="83">
        <f>J271-6807802.38</f>
        <v>2631305.8600000003</v>
      </c>
      <c r="J271" s="83">
        <v>9439108.24</v>
      </c>
      <c r="K271" s="56">
        <f t="shared" si="42"/>
        <v>0.02139223316245986</v>
      </c>
      <c r="L271" s="86">
        <f t="shared" si="29"/>
        <v>7135151.76</v>
      </c>
    </row>
    <row r="272" spans="1:12" ht="15">
      <c r="A272" s="52" t="s">
        <v>53</v>
      </c>
      <c r="B272" s="53" t="s">
        <v>60</v>
      </c>
      <c r="C272" s="83">
        <v>5923</v>
      </c>
      <c r="D272" s="83">
        <v>5923</v>
      </c>
      <c r="E272" s="83">
        <f>F272-0</f>
        <v>0</v>
      </c>
      <c r="F272" s="83">
        <v>0</v>
      </c>
      <c r="G272" s="56">
        <f t="shared" si="39"/>
        <v>0</v>
      </c>
      <c r="H272" s="83">
        <f t="shared" si="28"/>
        <v>5923</v>
      </c>
      <c r="I272" s="83">
        <f>J272-0</f>
        <v>0</v>
      </c>
      <c r="J272" s="83">
        <v>0</v>
      </c>
      <c r="K272" s="56">
        <f t="shared" si="42"/>
        <v>0</v>
      </c>
      <c r="L272" s="86">
        <f t="shared" si="29"/>
        <v>5923</v>
      </c>
    </row>
    <row r="273" spans="1:12" ht="15">
      <c r="A273" s="52" t="s">
        <v>205</v>
      </c>
      <c r="B273" s="53" t="s">
        <v>206</v>
      </c>
      <c r="C273" s="83">
        <v>2992857</v>
      </c>
      <c r="D273" s="83">
        <v>3292857</v>
      </c>
      <c r="E273" s="83">
        <f>F273-0</f>
        <v>0</v>
      </c>
      <c r="F273" s="83">
        <v>0</v>
      </c>
      <c r="G273" s="56">
        <f t="shared" si="39"/>
        <v>0</v>
      </c>
      <c r="H273" s="83">
        <f t="shared" si="28"/>
        <v>3292857</v>
      </c>
      <c r="I273" s="83">
        <f>J273-0</f>
        <v>0</v>
      </c>
      <c r="J273" s="83">
        <v>0</v>
      </c>
      <c r="K273" s="56">
        <f t="shared" si="42"/>
        <v>0</v>
      </c>
      <c r="L273" s="86">
        <f t="shared" si="29"/>
        <v>3292857</v>
      </c>
    </row>
    <row r="274" spans="1:12" ht="15">
      <c r="A274" s="52" t="s">
        <v>207</v>
      </c>
      <c r="B274" s="53" t="s">
        <v>208</v>
      </c>
      <c r="C274" s="83">
        <v>51731905</v>
      </c>
      <c r="D274" s="83">
        <v>58360987</v>
      </c>
      <c r="E274" s="83">
        <f>F274-599805.93</f>
        <v>229747.3899999999</v>
      </c>
      <c r="F274" s="83">
        <v>829553.32</v>
      </c>
      <c r="G274" s="56">
        <f aca="true" t="shared" si="45" ref="G274:G285">(F274/$F$286)*100</f>
        <v>0.0017230515127798249</v>
      </c>
      <c r="H274" s="83">
        <f t="shared" si="28"/>
        <v>57531433.68</v>
      </c>
      <c r="I274" s="83">
        <f>J274-370976.78</f>
        <v>319731.39</v>
      </c>
      <c r="J274" s="83">
        <v>690708.17</v>
      </c>
      <c r="K274" s="56">
        <f aca="true" t="shared" si="46" ref="K274:K285">(J274/$J$286)*100</f>
        <v>0.0015653798901511446</v>
      </c>
      <c r="L274" s="86">
        <f t="shared" si="29"/>
        <v>57670278.83</v>
      </c>
    </row>
    <row r="275" spans="1:12" ht="15">
      <c r="A275" s="52" t="s">
        <v>209</v>
      </c>
      <c r="B275" s="53" t="s">
        <v>210</v>
      </c>
      <c r="C275" s="83">
        <v>0</v>
      </c>
      <c r="D275" s="83">
        <v>0</v>
      </c>
      <c r="E275" s="83">
        <f>F275-0</f>
        <v>0</v>
      </c>
      <c r="F275" s="83">
        <v>0</v>
      </c>
      <c r="G275" s="56">
        <f t="shared" si="45"/>
        <v>0</v>
      </c>
      <c r="H275" s="83">
        <f t="shared" si="28"/>
        <v>0</v>
      </c>
      <c r="I275" s="56">
        <f>J275-0</f>
        <v>0</v>
      </c>
      <c r="J275" s="83">
        <v>0</v>
      </c>
      <c r="K275" s="56">
        <f t="shared" si="46"/>
        <v>0</v>
      </c>
      <c r="L275" s="86">
        <f aca="true" t="shared" si="47" ref="L275:L369">D275-J275</f>
        <v>0</v>
      </c>
    </row>
    <row r="276" spans="1:12" ht="15">
      <c r="A276" s="47" t="s">
        <v>211</v>
      </c>
      <c r="B276" s="50" t="s">
        <v>212</v>
      </c>
      <c r="C276" s="82">
        <f>SUM(C277:C281)</f>
        <v>13380693696</v>
      </c>
      <c r="D276" s="82">
        <f>SUM(D277:D281)</f>
        <v>9900536633.16</v>
      </c>
      <c r="E276" s="82">
        <f>SUM(E277:E281)</f>
        <v>322136369.84000003</v>
      </c>
      <c r="F276" s="82">
        <f>SUM(F277:F281)</f>
        <v>2132304714.65</v>
      </c>
      <c r="G276" s="51">
        <f t="shared" si="45"/>
        <v>4.428974938326129</v>
      </c>
      <c r="H276" s="82">
        <f t="shared" si="28"/>
        <v>7768231918.51</v>
      </c>
      <c r="I276" s="82">
        <f>SUM(I277:I281)</f>
        <v>411861348.76</v>
      </c>
      <c r="J276" s="82">
        <f>SUM(J277:J281)</f>
        <v>2132304714.65</v>
      </c>
      <c r="K276" s="51">
        <f t="shared" si="46"/>
        <v>4.832528504748373</v>
      </c>
      <c r="L276" s="85">
        <f t="shared" si="47"/>
        <v>7768231918.51</v>
      </c>
    </row>
    <row r="277" spans="1:12" ht="15">
      <c r="A277" s="52" t="s">
        <v>39</v>
      </c>
      <c r="B277" s="53" t="s">
        <v>41</v>
      </c>
      <c r="C277" s="83">
        <v>1875317172</v>
      </c>
      <c r="D277" s="83">
        <v>450054966.18</v>
      </c>
      <c r="E277" s="83">
        <f>F277-358864003.24</f>
        <v>52351658.129999995</v>
      </c>
      <c r="F277" s="83">
        <v>411215661.37</v>
      </c>
      <c r="G277" s="56">
        <f t="shared" si="45"/>
        <v>0.8541292648944311</v>
      </c>
      <c r="H277" s="83">
        <f aca="true" t="shared" si="48" ref="H277:H358">D277-F277</f>
        <v>38839304.81</v>
      </c>
      <c r="I277" s="83">
        <f>J277-307807803.24</f>
        <v>103407858.13</v>
      </c>
      <c r="J277" s="83">
        <v>411215661.37</v>
      </c>
      <c r="K277" s="56">
        <f t="shared" si="46"/>
        <v>0.9319547021194218</v>
      </c>
      <c r="L277" s="86">
        <f t="shared" si="47"/>
        <v>38839304.81</v>
      </c>
    </row>
    <row r="278" spans="1:12" ht="15">
      <c r="A278" s="52" t="s">
        <v>213</v>
      </c>
      <c r="B278" s="53" t="s">
        <v>214</v>
      </c>
      <c r="C278" s="83">
        <v>5154696016</v>
      </c>
      <c r="D278" s="83">
        <v>4365318686.45</v>
      </c>
      <c r="E278" s="83">
        <f>F278-579816229.48</f>
        <v>1223954.4099999666</v>
      </c>
      <c r="F278" s="83">
        <v>581040183.89</v>
      </c>
      <c r="G278" s="56">
        <f t="shared" si="45"/>
        <v>1.2068689784009692</v>
      </c>
      <c r="H278" s="83">
        <f t="shared" si="48"/>
        <v>3784278502.56</v>
      </c>
      <c r="I278" s="83">
        <f>J278-579816229.48</f>
        <v>1223954.4099999666</v>
      </c>
      <c r="J278" s="83">
        <v>581040183.89</v>
      </c>
      <c r="K278" s="56">
        <f t="shared" si="46"/>
        <v>1.3168348931374725</v>
      </c>
      <c r="L278" s="86">
        <f t="shared" si="47"/>
        <v>3784278502.56</v>
      </c>
    </row>
    <row r="279" spans="1:12" ht="15">
      <c r="A279" s="52" t="s">
        <v>215</v>
      </c>
      <c r="B279" s="53" t="s">
        <v>216</v>
      </c>
      <c r="C279" s="83">
        <v>4342496089</v>
      </c>
      <c r="D279" s="83">
        <v>4146734438.69</v>
      </c>
      <c r="E279" s="83">
        <f>F279-539276666.94</f>
        <v>59566075.629999995</v>
      </c>
      <c r="F279" s="83">
        <v>598842742.57</v>
      </c>
      <c r="G279" s="56">
        <f t="shared" si="45"/>
        <v>1.2438463792809098</v>
      </c>
      <c r="H279" s="83">
        <f t="shared" si="48"/>
        <v>3547891696.12</v>
      </c>
      <c r="I279" s="83">
        <f>J279-539276666.94</f>
        <v>59566075.629999995</v>
      </c>
      <c r="J279" s="83">
        <v>598842742.57</v>
      </c>
      <c r="K279" s="56">
        <f t="shared" si="46"/>
        <v>1.3571815526404398</v>
      </c>
      <c r="L279" s="86">
        <f t="shared" si="47"/>
        <v>3547891696.12</v>
      </c>
    </row>
    <row r="280" spans="1:12" ht="15">
      <c r="A280" s="52" t="s">
        <v>217</v>
      </c>
      <c r="B280" s="53" t="s">
        <v>218</v>
      </c>
      <c r="C280" s="83">
        <v>1361337200</v>
      </c>
      <c r="D280" s="83">
        <v>291581322.84</v>
      </c>
      <c r="E280" s="83">
        <f>F280-0</f>
        <v>0</v>
      </c>
      <c r="F280" s="83">
        <v>0</v>
      </c>
      <c r="G280" s="56">
        <f t="shared" si="45"/>
        <v>0</v>
      </c>
      <c r="H280" s="83">
        <f t="shared" si="48"/>
        <v>291581322.84</v>
      </c>
      <c r="I280" s="83">
        <f>J280-0</f>
        <v>0</v>
      </c>
      <c r="J280" s="83">
        <v>0</v>
      </c>
      <c r="K280" s="56">
        <f t="shared" si="46"/>
        <v>0</v>
      </c>
      <c r="L280" s="86">
        <f t="shared" si="47"/>
        <v>291581322.84</v>
      </c>
    </row>
    <row r="281" spans="1:12" ht="15">
      <c r="A281" s="52" t="s">
        <v>219</v>
      </c>
      <c r="B281" s="53" t="s">
        <v>220</v>
      </c>
      <c r="C281" s="83">
        <v>646847219</v>
      </c>
      <c r="D281" s="83">
        <v>646847219</v>
      </c>
      <c r="E281" s="83">
        <f>F281-332211445.15</f>
        <v>208994681.67000008</v>
      </c>
      <c r="F281" s="83">
        <v>541206126.82</v>
      </c>
      <c r="G281" s="56">
        <f t="shared" si="45"/>
        <v>1.1241303157498195</v>
      </c>
      <c r="H281" s="83">
        <f t="shared" si="48"/>
        <v>105641092.17999995</v>
      </c>
      <c r="I281" s="83">
        <f>J281-293542666.23</f>
        <v>247663460.59000003</v>
      </c>
      <c r="J281" s="83">
        <v>541206126.82</v>
      </c>
      <c r="K281" s="56">
        <f t="shared" si="46"/>
        <v>1.226557356851039</v>
      </c>
      <c r="L281" s="86">
        <f t="shared" si="47"/>
        <v>105641092.17999995</v>
      </c>
    </row>
    <row r="282" spans="1:12" ht="15">
      <c r="A282" s="47" t="s">
        <v>221</v>
      </c>
      <c r="B282" s="50" t="s">
        <v>222</v>
      </c>
      <c r="C282" s="82">
        <f>SUM(C283:C284)</f>
        <v>472984382</v>
      </c>
      <c r="D282" s="82">
        <f>SUM(D283:D284)</f>
        <v>472584382</v>
      </c>
      <c r="E282" s="82">
        <f>SUM(E283:E284)</f>
        <v>0</v>
      </c>
      <c r="F282" s="82">
        <f>SUM(F283:F284)</f>
        <v>0</v>
      </c>
      <c r="G282" s="51">
        <f t="shared" si="45"/>
        <v>0</v>
      </c>
      <c r="H282" s="82">
        <f t="shared" si="48"/>
        <v>472584382</v>
      </c>
      <c r="I282" s="82">
        <f>SUM(I283:I284)</f>
        <v>0</v>
      </c>
      <c r="J282" s="82">
        <f>J283+J284</f>
        <v>0</v>
      </c>
      <c r="K282" s="51">
        <f t="shared" si="46"/>
        <v>0</v>
      </c>
      <c r="L282" s="85">
        <f t="shared" si="47"/>
        <v>472584382</v>
      </c>
    </row>
    <row r="283" spans="1:12" ht="15">
      <c r="A283" s="52" t="s">
        <v>246</v>
      </c>
      <c r="B283" s="66" t="s">
        <v>247</v>
      </c>
      <c r="C283" s="83">
        <v>470484382</v>
      </c>
      <c r="D283" s="90">
        <v>470084382</v>
      </c>
      <c r="E283" s="83">
        <f>F283-0</f>
        <v>0</v>
      </c>
      <c r="F283" s="83">
        <v>0</v>
      </c>
      <c r="G283" s="56">
        <f t="shared" si="45"/>
        <v>0</v>
      </c>
      <c r="H283" s="83">
        <f t="shared" si="48"/>
        <v>470084382</v>
      </c>
      <c r="I283" s="83">
        <f>J283-0</f>
        <v>0</v>
      </c>
      <c r="J283" s="83">
        <v>0</v>
      </c>
      <c r="K283" s="56">
        <f t="shared" si="46"/>
        <v>0</v>
      </c>
      <c r="L283" s="86">
        <f t="shared" si="47"/>
        <v>470084382</v>
      </c>
    </row>
    <row r="284" spans="1:12" ht="15">
      <c r="A284" s="52" t="s">
        <v>223</v>
      </c>
      <c r="B284" s="53" t="s">
        <v>224</v>
      </c>
      <c r="C284" s="83">
        <v>2500000</v>
      </c>
      <c r="D284" s="83">
        <v>2500000</v>
      </c>
      <c r="E284" s="83">
        <f>F284-0</f>
        <v>0</v>
      </c>
      <c r="F284" s="83">
        <v>0</v>
      </c>
      <c r="G284" s="56">
        <f t="shared" si="45"/>
        <v>0</v>
      </c>
      <c r="H284" s="83">
        <f t="shared" si="48"/>
        <v>2500000</v>
      </c>
      <c r="I284" s="83">
        <f>J284-0</f>
        <v>0</v>
      </c>
      <c r="J284" s="83">
        <v>0</v>
      </c>
      <c r="K284" s="56">
        <f t="shared" si="46"/>
        <v>0</v>
      </c>
      <c r="L284" s="86">
        <f>D284-J284</f>
        <v>2500000</v>
      </c>
    </row>
    <row r="285" spans="1:12" ht="15">
      <c r="A285" s="47"/>
      <c r="B285" s="50" t="s">
        <v>16</v>
      </c>
      <c r="C285" s="82">
        <f>C302</f>
        <v>4805674768</v>
      </c>
      <c r="D285" s="82">
        <f>D302</f>
        <v>5617530560.96</v>
      </c>
      <c r="E285" s="82">
        <f>E302</f>
        <v>1373906809.9199998</v>
      </c>
      <c r="F285" s="82">
        <f>F302</f>
        <v>3912542020.65</v>
      </c>
      <c r="G285" s="51">
        <f t="shared" si="45"/>
        <v>8.126676471496271</v>
      </c>
      <c r="H285" s="82">
        <f>D285-F285</f>
        <v>1704988540.31</v>
      </c>
      <c r="I285" s="82">
        <f>I302</f>
        <v>1572889445.19</v>
      </c>
      <c r="J285" s="82">
        <f>J302</f>
        <v>3730252734.189999</v>
      </c>
      <c r="K285" s="51">
        <f t="shared" si="46"/>
        <v>8.454022797040823</v>
      </c>
      <c r="L285" s="85">
        <f>D285-J285</f>
        <v>1887277826.770001</v>
      </c>
    </row>
    <row r="286" spans="1:12" ht="15">
      <c r="A286" s="117" t="s">
        <v>225</v>
      </c>
      <c r="B286" s="118"/>
      <c r="C286" s="96">
        <f aca="true" t="shared" si="49" ref="C286:L286">C14+C285</f>
        <v>89504336636</v>
      </c>
      <c r="D286" s="96">
        <f t="shared" si="49"/>
        <v>95973566955.56</v>
      </c>
      <c r="E286" s="96">
        <f t="shared" si="49"/>
        <v>12886879204.32</v>
      </c>
      <c r="F286" s="96">
        <f t="shared" si="49"/>
        <v>48144429452.47</v>
      </c>
      <c r="G286" s="96">
        <f t="shared" si="49"/>
        <v>100</v>
      </c>
      <c r="H286" s="96">
        <f t="shared" si="49"/>
        <v>47829137503.08999</v>
      </c>
      <c r="I286" s="96">
        <f t="shared" si="49"/>
        <v>12335758413.22</v>
      </c>
      <c r="J286" s="96">
        <f t="shared" si="49"/>
        <v>44123996631.47001</v>
      </c>
      <c r="K286" s="96">
        <f t="shared" si="49"/>
        <v>100</v>
      </c>
      <c r="L286" s="97">
        <f t="shared" si="49"/>
        <v>51849570324.08999</v>
      </c>
    </row>
    <row r="287" spans="1:12" ht="15">
      <c r="A287" s="69"/>
      <c r="B287" s="69"/>
      <c r="C287" s="100"/>
      <c r="D287" s="100"/>
      <c r="E287" s="100"/>
      <c r="F287" s="100"/>
      <c r="G287" s="100"/>
      <c r="H287" s="100"/>
      <c r="I287" s="100"/>
      <c r="J287" s="100"/>
      <c r="K287" s="100"/>
      <c r="L287" s="65" t="s">
        <v>226</v>
      </c>
    </row>
    <row r="288" spans="1:12" ht="15">
      <c r="A288" s="69"/>
      <c r="B288" s="69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</row>
    <row r="289" spans="1:12" ht="15">
      <c r="A289" s="34"/>
      <c r="B289" s="35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1:12" ht="15.75">
      <c r="A290" s="34"/>
      <c r="B290" s="35"/>
      <c r="C290" s="36"/>
      <c r="D290" s="36"/>
      <c r="E290" s="36"/>
      <c r="F290" s="37"/>
      <c r="G290" s="38"/>
      <c r="H290" s="37"/>
      <c r="I290" s="37"/>
      <c r="J290" s="37"/>
      <c r="K290" s="38"/>
      <c r="L290" s="37"/>
    </row>
    <row r="291" spans="1:12" ht="15.75">
      <c r="A291" s="31"/>
      <c r="B291" s="28"/>
      <c r="C291" s="32"/>
      <c r="D291" s="32"/>
      <c r="E291" s="32"/>
      <c r="F291" s="32"/>
      <c r="G291" s="33"/>
      <c r="H291" s="32"/>
      <c r="I291" s="32"/>
      <c r="J291" s="32"/>
      <c r="K291" s="33"/>
      <c r="L291" s="25" t="s">
        <v>157</v>
      </c>
    </row>
    <row r="292" spans="1:12" ht="15">
      <c r="A292" s="115" t="s">
        <v>14</v>
      </c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1:12" ht="15">
      <c r="A293" s="115" t="s">
        <v>0</v>
      </c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1:12" ht="15">
      <c r="A294" s="122" t="s">
        <v>1</v>
      </c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1:12" ht="15">
      <c r="A295" s="115" t="s">
        <v>2</v>
      </c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1:12" ht="15">
      <c r="A296" s="115" t="str">
        <f>A151</f>
        <v>JANEIRO A AGOSTO 2021/BIMESTRE JULHO - AGOSTO</v>
      </c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1:12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5" t="str">
        <f>L152</f>
        <v>Emissão: 20/09/2021</v>
      </c>
    </row>
    <row r="298" spans="1:12" ht="15">
      <c r="A298" s="27" t="s">
        <v>240</v>
      </c>
      <c r="B298" s="26"/>
      <c r="C298" s="28"/>
      <c r="D298" s="26"/>
      <c r="E298" s="26"/>
      <c r="F298" s="29"/>
      <c r="G298" s="29"/>
      <c r="H298" s="29"/>
      <c r="I298" s="26"/>
      <c r="J298" s="26"/>
      <c r="K298" s="25"/>
      <c r="L298" s="30">
        <v>1</v>
      </c>
    </row>
    <row r="299" spans="1:12" ht="15">
      <c r="A299" s="11"/>
      <c r="B299" s="12"/>
      <c r="C299" s="13" t="s">
        <v>3</v>
      </c>
      <c r="D299" s="13" t="s">
        <v>3</v>
      </c>
      <c r="E299" s="119" t="s">
        <v>4</v>
      </c>
      <c r="F299" s="120"/>
      <c r="G299" s="121"/>
      <c r="H299" s="13" t="s">
        <v>18</v>
      </c>
      <c r="I299" s="119" t="s">
        <v>5</v>
      </c>
      <c r="J299" s="120"/>
      <c r="K299" s="121"/>
      <c r="L299" s="14" t="s">
        <v>18</v>
      </c>
    </row>
    <row r="300" spans="1:12" ht="15">
      <c r="A300" s="15" t="s">
        <v>23</v>
      </c>
      <c r="B300" s="16" t="s">
        <v>266</v>
      </c>
      <c r="C300" s="16" t="s">
        <v>7</v>
      </c>
      <c r="D300" s="16" t="s">
        <v>8</v>
      </c>
      <c r="E300" s="16" t="s">
        <v>9</v>
      </c>
      <c r="F300" s="16" t="s">
        <v>10</v>
      </c>
      <c r="G300" s="16" t="s">
        <v>11</v>
      </c>
      <c r="H300" s="17"/>
      <c r="I300" s="16" t="s">
        <v>9</v>
      </c>
      <c r="J300" s="16" t="s">
        <v>10</v>
      </c>
      <c r="K300" s="16" t="s">
        <v>11</v>
      </c>
      <c r="L300" s="18"/>
    </row>
    <row r="301" spans="1:12" ht="15">
      <c r="A301" s="19"/>
      <c r="B301" s="20"/>
      <c r="C301" s="20"/>
      <c r="D301" s="21" t="s">
        <v>12</v>
      </c>
      <c r="E301" s="21"/>
      <c r="F301" s="21" t="s">
        <v>13</v>
      </c>
      <c r="G301" s="21" t="s">
        <v>267</v>
      </c>
      <c r="H301" s="22" t="s">
        <v>19</v>
      </c>
      <c r="I301" s="21"/>
      <c r="J301" s="21" t="s">
        <v>20</v>
      </c>
      <c r="K301" s="21" t="s">
        <v>268</v>
      </c>
      <c r="L301" s="23" t="s">
        <v>22</v>
      </c>
    </row>
    <row r="302" spans="1:12" ht="15">
      <c r="A302" s="47"/>
      <c r="B302" s="71" t="s">
        <v>16</v>
      </c>
      <c r="C302" s="91">
        <f>C303+C308+C311+C316+C322+C328+C332+C334+C338+C341+C349+C351+C353+C355+C357+C359+C361+C366+C370+C372+C374+C376+C379+C382</f>
        <v>4805674768</v>
      </c>
      <c r="D302" s="91">
        <f>D303+D308+D311+D316+D322+D328+D332+D334+D338+D341+D349+D351+D353+D355+D357+D359+D361+D366+D370+D372+D374+D376+D379+D382</f>
        <v>5617530560.96</v>
      </c>
      <c r="E302" s="91">
        <f>E303+E308+E311+E316+E322+E328+E332+E334+E338+E341+E349+E351+E353+E355+E357+E359+E361+E366+E370+E372+E374+E376+E379+E382</f>
        <v>1373906809.9199998</v>
      </c>
      <c r="F302" s="91">
        <f>F303+F308+F311+F316+F322+F328+F332+F334+F338+F341+F349+F351+F353+F355+F357+F359+F361+F366+F370+F372+F374+F376+F379+F382</f>
        <v>3912542020.65</v>
      </c>
      <c r="G302" s="70">
        <f aca="true" t="shared" si="50" ref="G302:G330">(F302/$F$286)*100</f>
        <v>8.126676471496271</v>
      </c>
      <c r="H302" s="91">
        <f>D302-F302</f>
        <v>1704988540.31</v>
      </c>
      <c r="I302" s="91">
        <f>I303+I308+I311+I316+I322+I328+I332+I334+I338+I341+I349+I351+I353+I355+I357+I359+I361+I366+I370+I372+I374+I376+I379+I382</f>
        <v>1572889445.19</v>
      </c>
      <c r="J302" s="91">
        <f>J303+J308+J311+J316+J322+J328+J332+J334+J338+J341+J349+J351+J353+J355+J357+J359+J361+J366+J370+J372+J374+J376+J379+J382</f>
        <v>3730252734.189999</v>
      </c>
      <c r="K302" s="72">
        <f aca="true" t="shared" si="51" ref="K302:K330">(J302/$J$286)*100</f>
        <v>8.454022797040823</v>
      </c>
      <c r="L302" s="92">
        <f>D302-J302</f>
        <v>1887277826.770001</v>
      </c>
    </row>
    <row r="303" spans="1:12" ht="15">
      <c r="A303" s="47" t="s">
        <v>25</v>
      </c>
      <c r="B303" s="71" t="s">
        <v>24</v>
      </c>
      <c r="C303" s="82">
        <f>SUM(C304:C307)</f>
        <v>167295000</v>
      </c>
      <c r="D303" s="82">
        <f>SUM(D304:D307)</f>
        <v>177805000</v>
      </c>
      <c r="E303" s="82">
        <f>SUM(E304:E307)</f>
        <v>45995009.74999999</v>
      </c>
      <c r="F303" s="82">
        <f>SUM(F304:F307)</f>
        <v>107418210.38</v>
      </c>
      <c r="G303" s="70">
        <f t="shared" si="50"/>
        <v>0.22311659230700265</v>
      </c>
      <c r="H303" s="82">
        <f t="shared" si="48"/>
        <v>70386789.62</v>
      </c>
      <c r="I303" s="82">
        <f>SUM(I304:I306)</f>
        <v>18580637.86</v>
      </c>
      <c r="J303" s="82">
        <f>SUM(J304:J306)</f>
        <v>78224898.69</v>
      </c>
      <c r="K303" s="51">
        <f t="shared" si="51"/>
        <v>0.1772842549675308</v>
      </c>
      <c r="L303" s="92">
        <f t="shared" si="47"/>
        <v>99580101.31</v>
      </c>
    </row>
    <row r="304" spans="1:12" ht="15">
      <c r="A304" s="52" t="s">
        <v>26</v>
      </c>
      <c r="B304" s="66" t="s">
        <v>31</v>
      </c>
      <c r="C304" s="83">
        <v>2000000</v>
      </c>
      <c r="D304" s="83">
        <v>2000000</v>
      </c>
      <c r="E304" s="83">
        <f>F304-0</f>
        <v>0</v>
      </c>
      <c r="F304" s="83">
        <v>0</v>
      </c>
      <c r="G304" s="70">
        <f t="shared" si="50"/>
        <v>0</v>
      </c>
      <c r="H304" s="82">
        <f t="shared" si="48"/>
        <v>2000000</v>
      </c>
      <c r="I304" s="83">
        <f>J304-0</f>
        <v>0</v>
      </c>
      <c r="J304" s="83">
        <v>0</v>
      </c>
      <c r="K304" s="51">
        <f t="shared" si="51"/>
        <v>0</v>
      </c>
      <c r="L304" s="93">
        <f t="shared" si="47"/>
        <v>2000000</v>
      </c>
    </row>
    <row r="305" spans="1:12" ht="15">
      <c r="A305" s="52" t="s">
        <v>28</v>
      </c>
      <c r="B305" s="66" t="s">
        <v>33</v>
      </c>
      <c r="C305" s="83">
        <v>165275000</v>
      </c>
      <c r="D305" s="83">
        <v>175775000</v>
      </c>
      <c r="E305" s="83">
        <f>F305-61421160.63</f>
        <v>45995009.74999999</v>
      </c>
      <c r="F305" s="83">
        <v>107416170.38</v>
      </c>
      <c r="G305" s="70">
        <f t="shared" si="50"/>
        <v>0.22311235505666402</v>
      </c>
      <c r="H305" s="83">
        <f>D305-F305</f>
        <v>68358829.62</v>
      </c>
      <c r="I305" s="83">
        <f>J305-59644260.83</f>
        <v>18580637.86</v>
      </c>
      <c r="J305" s="83">
        <v>78224898.69</v>
      </c>
      <c r="K305" s="51">
        <f t="shared" si="51"/>
        <v>0.1772842549675308</v>
      </c>
      <c r="L305" s="93">
        <f>D305-J305</f>
        <v>97550101.31</v>
      </c>
    </row>
    <row r="306" spans="1:12" ht="15">
      <c r="A306" s="52" t="s">
        <v>50</v>
      </c>
      <c r="B306" s="66" t="s">
        <v>57</v>
      </c>
      <c r="C306" s="83">
        <v>20000</v>
      </c>
      <c r="D306" s="83">
        <v>20000</v>
      </c>
      <c r="E306" s="83">
        <f>F306-0</f>
        <v>0</v>
      </c>
      <c r="F306" s="83">
        <v>0</v>
      </c>
      <c r="G306" s="64">
        <f t="shared" si="50"/>
        <v>0</v>
      </c>
      <c r="H306" s="83">
        <f t="shared" si="48"/>
        <v>20000</v>
      </c>
      <c r="I306" s="83">
        <f>J306-0</f>
        <v>0</v>
      </c>
      <c r="J306" s="83">
        <v>0</v>
      </c>
      <c r="K306" s="56">
        <f t="shared" si="51"/>
        <v>0</v>
      </c>
      <c r="L306" s="93">
        <f t="shared" si="47"/>
        <v>20000</v>
      </c>
    </row>
    <row r="307" spans="1:12" ht="15">
      <c r="A307" s="102" t="s">
        <v>29</v>
      </c>
      <c r="B307" s="108" t="s">
        <v>34</v>
      </c>
      <c r="C307" s="99">
        <v>0</v>
      </c>
      <c r="D307" s="99">
        <v>10000</v>
      </c>
      <c r="E307" s="99">
        <f>F307-2040</f>
        <v>0</v>
      </c>
      <c r="F307" s="99">
        <v>2040</v>
      </c>
      <c r="G307" s="109">
        <f t="shared" si="50"/>
        <v>4.237250338616984E-06</v>
      </c>
      <c r="H307" s="99">
        <f t="shared" si="48"/>
        <v>7960</v>
      </c>
      <c r="I307" s="99">
        <v>0</v>
      </c>
      <c r="J307" s="99">
        <v>0</v>
      </c>
      <c r="K307" s="110">
        <f t="shared" si="51"/>
        <v>0</v>
      </c>
      <c r="L307" s="111">
        <f t="shared" si="47"/>
        <v>10000</v>
      </c>
    </row>
    <row r="308" spans="1:12" ht="15">
      <c r="A308" s="47" t="s">
        <v>36</v>
      </c>
      <c r="B308" s="71" t="s">
        <v>37</v>
      </c>
      <c r="C308" s="82">
        <f>SUM(C309:C310)</f>
        <v>556600552</v>
      </c>
      <c r="D308" s="82">
        <f>SUM(D309:D310)</f>
        <v>556600552</v>
      </c>
      <c r="E308" s="82">
        <f>SUM(E309:E310)</f>
        <v>75080418.12</v>
      </c>
      <c r="F308" s="82">
        <f>SUM(F309:F310)</f>
        <v>313251408.58</v>
      </c>
      <c r="G308" s="70">
        <f t="shared" si="50"/>
        <v>0.6506493319009079</v>
      </c>
      <c r="H308" s="82">
        <f t="shared" si="48"/>
        <v>243349143.42000002</v>
      </c>
      <c r="I308" s="82">
        <f>SUM(I309:I310)</f>
        <v>75080418.12</v>
      </c>
      <c r="J308" s="82">
        <f>SUM(J309:J310)</f>
        <v>313251408.58</v>
      </c>
      <c r="K308" s="51">
        <f t="shared" si="51"/>
        <v>0.7099343497741625</v>
      </c>
      <c r="L308" s="92">
        <f t="shared" si="47"/>
        <v>243349143.42000002</v>
      </c>
    </row>
    <row r="309" spans="1:12" ht="15">
      <c r="A309" s="52" t="s">
        <v>38</v>
      </c>
      <c r="B309" s="66" t="s">
        <v>40</v>
      </c>
      <c r="C309" s="83">
        <v>6600552</v>
      </c>
      <c r="D309" s="83">
        <v>6600552</v>
      </c>
      <c r="E309" s="83">
        <f>F309-15674.08</f>
        <v>100535.69</v>
      </c>
      <c r="F309" s="83">
        <v>116209.77</v>
      </c>
      <c r="G309" s="64">
        <f t="shared" si="50"/>
        <v>0.00024137739572701068</v>
      </c>
      <c r="H309" s="83">
        <f t="shared" si="48"/>
        <v>6484342.23</v>
      </c>
      <c r="I309" s="83">
        <f>J309-15674.08</f>
        <v>100535.69</v>
      </c>
      <c r="J309" s="83">
        <v>116209.77</v>
      </c>
      <c r="K309" s="56">
        <f t="shared" si="51"/>
        <v>0.0002633709066986855</v>
      </c>
      <c r="L309" s="93">
        <f t="shared" si="47"/>
        <v>6484342.23</v>
      </c>
    </row>
    <row r="310" spans="1:12" ht="15">
      <c r="A310" s="52" t="s">
        <v>28</v>
      </c>
      <c r="B310" s="66" t="s">
        <v>33</v>
      </c>
      <c r="C310" s="83">
        <v>550000000</v>
      </c>
      <c r="D310" s="83">
        <v>550000000</v>
      </c>
      <c r="E310" s="83">
        <f>F310-238155316.38</f>
        <v>74979882.43</v>
      </c>
      <c r="F310" s="83">
        <v>313135198.81</v>
      </c>
      <c r="G310" s="64">
        <f t="shared" si="50"/>
        <v>0.6504079545051809</v>
      </c>
      <c r="H310" s="83">
        <f t="shared" si="48"/>
        <v>236864801.19</v>
      </c>
      <c r="I310" s="83">
        <f>J310-238155316.38</f>
        <v>74979882.43</v>
      </c>
      <c r="J310" s="83">
        <v>313135198.81</v>
      </c>
      <c r="K310" s="56">
        <f t="shared" si="51"/>
        <v>0.7096709788674639</v>
      </c>
      <c r="L310" s="93">
        <f t="shared" si="47"/>
        <v>236864801.19</v>
      </c>
    </row>
    <row r="311" spans="1:12" ht="15">
      <c r="A311" s="47" t="s">
        <v>42</v>
      </c>
      <c r="B311" s="71" t="s">
        <v>43</v>
      </c>
      <c r="C311" s="82">
        <f>SUM(C312:C315)</f>
        <v>394605410</v>
      </c>
      <c r="D311" s="82">
        <f>SUM(D312:D315)</f>
        <v>476590043.72</v>
      </c>
      <c r="E311" s="82">
        <f>SUM(E312:E315)</f>
        <v>24520874.059999987</v>
      </c>
      <c r="F311" s="82">
        <f>SUM(F312:F315)</f>
        <v>372617501.51</v>
      </c>
      <c r="G311" s="70">
        <f t="shared" si="50"/>
        <v>0.7739576639450303</v>
      </c>
      <c r="H311" s="82">
        <f>D311-F311</f>
        <v>103972542.21000004</v>
      </c>
      <c r="I311" s="82">
        <f>SUM(I312+I313+I314+I315)</f>
        <v>55385457.630000025</v>
      </c>
      <c r="J311" s="82">
        <f>SUM(J312+J313+J314+J315)</f>
        <v>300837538.1</v>
      </c>
      <c r="K311" s="51">
        <f t="shared" si="51"/>
        <v>0.6818002925089461</v>
      </c>
      <c r="L311" s="92">
        <f t="shared" si="47"/>
        <v>175752505.62</v>
      </c>
    </row>
    <row r="312" spans="1:12" ht="15">
      <c r="A312" s="52" t="s">
        <v>44</v>
      </c>
      <c r="B312" s="66" t="s">
        <v>45</v>
      </c>
      <c r="C312" s="82">
        <v>0</v>
      </c>
      <c r="D312" s="83">
        <v>0</v>
      </c>
      <c r="E312" s="83">
        <f>F312-0</f>
        <v>0</v>
      </c>
      <c r="F312" s="83">
        <v>0</v>
      </c>
      <c r="G312" s="70">
        <f t="shared" si="50"/>
        <v>0</v>
      </c>
      <c r="H312" s="82">
        <f>D312-F312</f>
        <v>0</v>
      </c>
      <c r="I312" s="82">
        <f>J312-0</f>
        <v>0</v>
      </c>
      <c r="J312" s="82">
        <v>0</v>
      </c>
      <c r="K312" s="51"/>
      <c r="L312" s="92">
        <f t="shared" si="47"/>
        <v>0</v>
      </c>
    </row>
    <row r="313" spans="1:12" ht="15">
      <c r="A313" s="52" t="s">
        <v>229</v>
      </c>
      <c r="B313" s="66" t="s">
        <v>230</v>
      </c>
      <c r="C313" s="83">
        <v>0</v>
      </c>
      <c r="D313" s="83">
        <v>500000</v>
      </c>
      <c r="E313" s="83">
        <f>F313-0</f>
        <v>0</v>
      </c>
      <c r="F313" s="83">
        <v>0</v>
      </c>
      <c r="G313" s="64">
        <f t="shared" si="50"/>
        <v>0</v>
      </c>
      <c r="H313" s="83">
        <f>D313-F313</f>
        <v>500000</v>
      </c>
      <c r="I313" s="83">
        <f>J313-0</f>
        <v>0</v>
      </c>
      <c r="J313" s="83">
        <v>0</v>
      </c>
      <c r="K313" s="56">
        <f t="shared" si="51"/>
        <v>0</v>
      </c>
      <c r="L313" s="93">
        <f t="shared" si="47"/>
        <v>500000</v>
      </c>
    </row>
    <row r="314" spans="1:12" ht="15">
      <c r="A314" s="52" t="s">
        <v>28</v>
      </c>
      <c r="B314" s="66" t="s">
        <v>33</v>
      </c>
      <c r="C314" s="83">
        <v>394465410</v>
      </c>
      <c r="D314" s="83">
        <v>475450043.72</v>
      </c>
      <c r="E314" s="83">
        <f>F314-348083907.45</f>
        <v>24514407.389999986</v>
      </c>
      <c r="F314" s="83">
        <v>372598314.84</v>
      </c>
      <c r="G314" s="64">
        <f t="shared" si="50"/>
        <v>0.7739178116293665</v>
      </c>
      <c r="H314" s="83">
        <f t="shared" si="48"/>
        <v>102851728.88000005</v>
      </c>
      <c r="I314" s="83">
        <f>J314-245445720.47</f>
        <v>55385457.630000025</v>
      </c>
      <c r="J314" s="83">
        <v>300831178.1</v>
      </c>
      <c r="K314" s="56">
        <f t="shared" si="51"/>
        <v>0.6817858785834509</v>
      </c>
      <c r="L314" s="93">
        <f t="shared" si="47"/>
        <v>174618865.62</v>
      </c>
    </row>
    <row r="315" spans="1:12" ht="15">
      <c r="A315" s="52" t="s">
        <v>29</v>
      </c>
      <c r="B315" s="66" t="s">
        <v>264</v>
      </c>
      <c r="C315" s="83">
        <v>140000</v>
      </c>
      <c r="D315" s="83">
        <v>640000</v>
      </c>
      <c r="E315" s="83">
        <f>F315-12720</f>
        <v>6466.669999999998</v>
      </c>
      <c r="F315" s="83">
        <v>19186.67</v>
      </c>
      <c r="G315" s="64">
        <f t="shared" si="50"/>
        <v>3.985231566393741E-05</v>
      </c>
      <c r="H315" s="83">
        <f t="shared" si="48"/>
        <v>620813.33</v>
      </c>
      <c r="I315" s="83">
        <f>J315-6360</f>
        <v>0</v>
      </c>
      <c r="J315" s="83">
        <v>6360</v>
      </c>
      <c r="K315" s="56">
        <f t="shared" si="51"/>
        <v>1.4413925495280128E-05</v>
      </c>
      <c r="L315" s="93">
        <f t="shared" si="47"/>
        <v>633640</v>
      </c>
    </row>
    <row r="316" spans="1:12" ht="15">
      <c r="A316" s="47" t="s">
        <v>46</v>
      </c>
      <c r="B316" s="71" t="s">
        <v>47</v>
      </c>
      <c r="C316" s="82">
        <f>SUM(C317:C321)</f>
        <v>147675998</v>
      </c>
      <c r="D316" s="82">
        <f>SUM(D317:D321)</f>
        <v>111227546.78</v>
      </c>
      <c r="E316" s="82">
        <f>SUM(E317:E321)</f>
        <v>23344920.019999996</v>
      </c>
      <c r="F316" s="82">
        <f>SUM(F317:F321)</f>
        <v>101365754.6</v>
      </c>
      <c r="G316" s="70">
        <f t="shared" si="50"/>
        <v>0.21054513627598828</v>
      </c>
      <c r="H316" s="82">
        <f t="shared" si="48"/>
        <v>9861792.180000007</v>
      </c>
      <c r="I316" s="82">
        <f>SUM(I317:I321)</f>
        <v>25251984.810000002</v>
      </c>
      <c r="J316" s="82">
        <f>SUM(J317:J321)</f>
        <v>87917696.42</v>
      </c>
      <c r="K316" s="51">
        <f t="shared" si="51"/>
        <v>0.1992514348922227</v>
      </c>
      <c r="L316" s="92">
        <f t="shared" si="47"/>
        <v>23309850.36</v>
      </c>
    </row>
    <row r="317" spans="1:12" ht="15">
      <c r="A317" s="52" t="s">
        <v>28</v>
      </c>
      <c r="B317" s="66" t="s">
        <v>33</v>
      </c>
      <c r="C317" s="83">
        <v>147225998</v>
      </c>
      <c r="D317" s="83">
        <v>110524546.78</v>
      </c>
      <c r="E317" s="83">
        <f>F317-78020834.58</f>
        <v>23344920.019999996</v>
      </c>
      <c r="F317" s="99">
        <v>101365754.6</v>
      </c>
      <c r="G317" s="64">
        <f t="shared" si="50"/>
        <v>0.21054513627598828</v>
      </c>
      <c r="H317" s="83">
        <f t="shared" si="48"/>
        <v>9158792.180000007</v>
      </c>
      <c r="I317" s="83">
        <f>J317-62665711.61</f>
        <v>25251984.810000002</v>
      </c>
      <c r="J317" s="83">
        <v>87917696.42</v>
      </c>
      <c r="K317" s="56">
        <f t="shared" si="51"/>
        <v>0.1992514348922227</v>
      </c>
      <c r="L317" s="93">
        <f t="shared" si="47"/>
        <v>22606850.36</v>
      </c>
    </row>
    <row r="318" spans="1:12" ht="15">
      <c r="A318" s="52" t="s">
        <v>39</v>
      </c>
      <c r="B318" s="66" t="s">
        <v>41</v>
      </c>
      <c r="C318" s="83">
        <v>0</v>
      </c>
      <c r="D318" s="83">
        <v>0</v>
      </c>
      <c r="E318" s="83">
        <f>F318-0</f>
        <v>0</v>
      </c>
      <c r="F318" s="83">
        <v>0</v>
      </c>
      <c r="G318" s="64">
        <f t="shared" si="50"/>
        <v>0</v>
      </c>
      <c r="H318" s="83">
        <f t="shared" si="48"/>
        <v>0</v>
      </c>
      <c r="I318" s="83">
        <f>J318-0</f>
        <v>0</v>
      </c>
      <c r="J318" s="83">
        <v>0</v>
      </c>
      <c r="K318" s="56">
        <f t="shared" si="51"/>
        <v>0</v>
      </c>
      <c r="L318" s="93">
        <f t="shared" si="47"/>
        <v>0</v>
      </c>
    </row>
    <row r="319" spans="1:15" ht="15">
      <c r="A319" s="102" t="s">
        <v>51</v>
      </c>
      <c r="B319" s="108" t="s">
        <v>58</v>
      </c>
      <c r="C319" s="99">
        <v>0</v>
      </c>
      <c r="D319" s="99">
        <v>253000</v>
      </c>
      <c r="E319" s="99">
        <f>F319-0</f>
        <v>0</v>
      </c>
      <c r="F319" s="99">
        <v>0</v>
      </c>
      <c r="G319" s="109">
        <f t="shared" si="50"/>
        <v>0</v>
      </c>
      <c r="H319" s="99">
        <f t="shared" si="48"/>
        <v>253000</v>
      </c>
      <c r="I319" s="99">
        <f>J319-0</f>
        <v>0</v>
      </c>
      <c r="J319" s="99">
        <v>0</v>
      </c>
      <c r="K319" s="110">
        <f t="shared" si="51"/>
        <v>0</v>
      </c>
      <c r="L319" s="111">
        <f t="shared" si="47"/>
        <v>253000</v>
      </c>
      <c r="N319" s="123"/>
      <c r="O319" s="123"/>
    </row>
    <row r="320" spans="1:12" ht="15">
      <c r="A320" s="52" t="s">
        <v>53</v>
      </c>
      <c r="B320" s="66" t="s">
        <v>60</v>
      </c>
      <c r="C320" s="83">
        <v>0</v>
      </c>
      <c r="D320" s="83">
        <v>0</v>
      </c>
      <c r="E320" s="83">
        <f>F320-0</f>
        <v>0</v>
      </c>
      <c r="F320" s="83">
        <v>0</v>
      </c>
      <c r="G320" s="64">
        <f t="shared" si="50"/>
        <v>0</v>
      </c>
      <c r="H320" s="83">
        <f t="shared" si="48"/>
        <v>0</v>
      </c>
      <c r="I320" s="83">
        <f>J320-0</f>
        <v>0</v>
      </c>
      <c r="J320" s="83">
        <v>0</v>
      </c>
      <c r="K320" s="56">
        <f t="shared" si="51"/>
        <v>0</v>
      </c>
      <c r="L320" s="93">
        <f t="shared" si="47"/>
        <v>0</v>
      </c>
    </row>
    <row r="321" spans="1:12" ht="15">
      <c r="A321" s="52" t="s">
        <v>96</v>
      </c>
      <c r="B321" s="66" t="s">
        <v>102</v>
      </c>
      <c r="C321" s="83">
        <v>450000</v>
      </c>
      <c r="D321" s="83">
        <v>450000</v>
      </c>
      <c r="E321" s="83">
        <f>F321-0</f>
        <v>0</v>
      </c>
      <c r="F321" s="83">
        <v>0</v>
      </c>
      <c r="G321" s="64">
        <f t="shared" si="50"/>
        <v>0</v>
      </c>
      <c r="H321" s="83">
        <v>0</v>
      </c>
      <c r="I321" s="83">
        <f>J321-0</f>
        <v>0</v>
      </c>
      <c r="J321" s="83">
        <v>0</v>
      </c>
      <c r="K321" s="56">
        <f t="shared" si="51"/>
        <v>0</v>
      </c>
      <c r="L321" s="93">
        <f t="shared" si="47"/>
        <v>450000</v>
      </c>
    </row>
    <row r="322" spans="1:12" ht="15">
      <c r="A322" s="47" t="s">
        <v>63</v>
      </c>
      <c r="B322" s="71" t="s">
        <v>62</v>
      </c>
      <c r="C322" s="82">
        <f>SUM(C323:C327)</f>
        <v>841111849</v>
      </c>
      <c r="D322" s="82">
        <f>SUM(D323:D327)</f>
        <v>659955955.13</v>
      </c>
      <c r="E322" s="82">
        <f>SUM(E323:E327)</f>
        <v>110614190.74000004</v>
      </c>
      <c r="F322" s="82">
        <f>SUM(F323:F327)</f>
        <v>465423157.16</v>
      </c>
      <c r="G322" s="70">
        <f t="shared" si="50"/>
        <v>0.9667227599394097</v>
      </c>
      <c r="H322" s="82">
        <f t="shared" si="48"/>
        <v>194532797.96999997</v>
      </c>
      <c r="I322" s="82">
        <f>SUM(I323:I327)</f>
        <v>98571619.49000001</v>
      </c>
      <c r="J322" s="82">
        <f>SUM(J323:J327)</f>
        <v>451132055.59</v>
      </c>
      <c r="K322" s="51">
        <f t="shared" si="51"/>
        <v>1.0224188424224578</v>
      </c>
      <c r="L322" s="92">
        <f t="shared" si="47"/>
        <v>208823899.54000002</v>
      </c>
    </row>
    <row r="323" spans="1:12" ht="15">
      <c r="A323" s="52" t="s">
        <v>28</v>
      </c>
      <c r="B323" s="66" t="s">
        <v>33</v>
      </c>
      <c r="C323" s="83">
        <v>722706091</v>
      </c>
      <c r="D323" s="83">
        <v>562620527.13</v>
      </c>
      <c r="E323" s="83">
        <f>F323-318265729.46</f>
        <v>101942289.02000004</v>
      </c>
      <c r="F323" s="83">
        <v>420208018.48</v>
      </c>
      <c r="G323" s="64">
        <f t="shared" si="50"/>
        <v>0.8728071414676235</v>
      </c>
      <c r="H323" s="83">
        <f t="shared" si="48"/>
        <v>142412508.64999998</v>
      </c>
      <c r="I323" s="83">
        <f>J323-316286398.7</f>
        <v>89712188.18</v>
      </c>
      <c r="J323" s="83">
        <v>405998586.88</v>
      </c>
      <c r="K323" s="56">
        <f t="shared" si="51"/>
        <v>0.9201310349807132</v>
      </c>
      <c r="L323" s="93">
        <f t="shared" si="47"/>
        <v>156621940.25</v>
      </c>
    </row>
    <row r="324" spans="1:12" ht="15">
      <c r="A324" s="52" t="s">
        <v>49</v>
      </c>
      <c r="B324" s="66" t="s">
        <v>56</v>
      </c>
      <c r="C324" s="83">
        <v>115145728</v>
      </c>
      <c r="D324" s="83">
        <v>95485428</v>
      </c>
      <c r="E324" s="83">
        <f>F324-35570265.28</f>
        <v>8671901.719999999</v>
      </c>
      <c r="F324" s="83">
        <v>44242167</v>
      </c>
      <c r="G324" s="64">
        <f t="shared" si="50"/>
        <v>0.09189467504995057</v>
      </c>
      <c r="H324" s="83">
        <f t="shared" si="48"/>
        <v>51243261</v>
      </c>
      <c r="I324" s="83">
        <f>J324-35554494.66</f>
        <v>8669134.240000002</v>
      </c>
      <c r="J324" s="83">
        <v>44223628.9</v>
      </c>
      <c r="K324" s="56">
        <f t="shared" si="51"/>
        <v>0.10022580064394922</v>
      </c>
      <c r="L324" s="93">
        <f t="shared" si="47"/>
        <v>51261799.1</v>
      </c>
    </row>
    <row r="325" spans="1:12" ht="15">
      <c r="A325" s="52" t="s">
        <v>29</v>
      </c>
      <c r="B325" s="66" t="s">
        <v>34</v>
      </c>
      <c r="C325" s="83">
        <v>2850000</v>
      </c>
      <c r="D325" s="83">
        <v>1850000</v>
      </c>
      <c r="E325" s="83">
        <f>F325-972971.68</f>
        <v>0</v>
      </c>
      <c r="F325" s="83">
        <v>972971.68</v>
      </c>
      <c r="G325" s="64">
        <f t="shared" si="50"/>
        <v>0.002020943421835655</v>
      </c>
      <c r="H325" s="83">
        <f t="shared" si="48"/>
        <v>877028.32</v>
      </c>
      <c r="I325" s="83">
        <f>J325-719542.74</f>
        <v>190297.07000000007</v>
      </c>
      <c r="J325" s="83">
        <v>909839.81</v>
      </c>
      <c r="K325" s="56">
        <f t="shared" si="51"/>
        <v>0.0020620067977955704</v>
      </c>
      <c r="L325" s="93">
        <f t="shared" si="47"/>
        <v>940160.19</v>
      </c>
    </row>
    <row r="326" spans="1:12" ht="15">
      <c r="A326" s="52" t="s">
        <v>64</v>
      </c>
      <c r="B326" s="66" t="s">
        <v>72</v>
      </c>
      <c r="C326" s="83">
        <v>0</v>
      </c>
      <c r="D326" s="83">
        <v>0</v>
      </c>
      <c r="E326" s="83">
        <f>F326-0</f>
        <v>0</v>
      </c>
      <c r="F326" s="83">
        <v>0</v>
      </c>
      <c r="G326" s="64">
        <f t="shared" si="50"/>
        <v>0</v>
      </c>
      <c r="H326" s="83">
        <f t="shared" si="48"/>
        <v>0</v>
      </c>
      <c r="I326" s="83">
        <f>J326-0</f>
        <v>0</v>
      </c>
      <c r="J326" s="83">
        <v>0</v>
      </c>
      <c r="K326" s="56">
        <f t="shared" si="51"/>
        <v>0</v>
      </c>
      <c r="L326" s="93">
        <f t="shared" si="47"/>
        <v>0</v>
      </c>
    </row>
    <row r="327" spans="1:12" ht="15">
      <c r="A327" s="52" t="s">
        <v>65</v>
      </c>
      <c r="B327" s="66" t="s">
        <v>73</v>
      </c>
      <c r="C327" s="83">
        <v>410030</v>
      </c>
      <c r="D327" s="83">
        <v>0</v>
      </c>
      <c r="E327" s="83">
        <f>F327-0</f>
        <v>0</v>
      </c>
      <c r="F327" s="83">
        <v>0</v>
      </c>
      <c r="G327" s="64">
        <f t="shared" si="50"/>
        <v>0</v>
      </c>
      <c r="H327" s="83">
        <f t="shared" si="48"/>
        <v>0</v>
      </c>
      <c r="I327" s="83">
        <f>J327-0</f>
        <v>0</v>
      </c>
      <c r="J327" s="83">
        <v>0</v>
      </c>
      <c r="K327" s="56">
        <f t="shared" si="51"/>
        <v>0</v>
      </c>
      <c r="L327" s="93">
        <f t="shared" si="47"/>
        <v>0</v>
      </c>
    </row>
    <row r="328" spans="1:12" ht="15">
      <c r="A328" s="47" t="s">
        <v>81</v>
      </c>
      <c r="B328" s="71" t="s">
        <v>80</v>
      </c>
      <c r="C328" s="82">
        <f>SUM(C329:C331)</f>
        <v>8558965</v>
      </c>
      <c r="D328" s="82">
        <f>SUM(D329:D331)</f>
        <v>9262143.48</v>
      </c>
      <c r="E328" s="82">
        <f>SUM(E329:E331)</f>
        <v>978445.7799999998</v>
      </c>
      <c r="F328" s="82">
        <f>SUM(F329:F331)</f>
        <v>3972781.05</v>
      </c>
      <c r="G328" s="70">
        <f t="shared" si="50"/>
        <v>0.00825179796537433</v>
      </c>
      <c r="H328" s="82">
        <f t="shared" si="48"/>
        <v>5289362.430000001</v>
      </c>
      <c r="I328" s="82">
        <f>SUM(I329:I331)</f>
        <v>873346.2999999997</v>
      </c>
      <c r="J328" s="82">
        <f>SUM(J329:J331)</f>
        <v>3517769.3</v>
      </c>
      <c r="K328" s="51">
        <f t="shared" si="51"/>
        <v>0.007972462987387378</v>
      </c>
      <c r="L328" s="92">
        <f t="shared" si="47"/>
        <v>5744374.180000001</v>
      </c>
    </row>
    <row r="329" spans="1:12" ht="15">
      <c r="A329" s="52" t="s">
        <v>28</v>
      </c>
      <c r="B329" s="66" t="s">
        <v>33</v>
      </c>
      <c r="C329" s="83">
        <v>8276400</v>
      </c>
      <c r="D329" s="83">
        <v>8979400</v>
      </c>
      <c r="E329" s="83">
        <f>F329-2742850.39</f>
        <v>978445.7799999998</v>
      </c>
      <c r="F329" s="83">
        <v>3721296.17</v>
      </c>
      <c r="G329" s="64">
        <f t="shared" si="50"/>
        <v>0.007729442870797345</v>
      </c>
      <c r="H329" s="83">
        <f>D329-F329</f>
        <v>5258103.83</v>
      </c>
      <c r="I329" s="83">
        <f>J329-2522862.89</f>
        <v>824822.6999999997</v>
      </c>
      <c r="J329" s="83">
        <v>3347685.59</v>
      </c>
      <c r="K329" s="56">
        <f t="shared" si="51"/>
        <v>0.007586995389289763</v>
      </c>
      <c r="L329" s="93">
        <f>D329-J329</f>
        <v>5631714.41</v>
      </c>
    </row>
    <row r="330" spans="1:12" ht="15">
      <c r="A330" s="52" t="s">
        <v>82</v>
      </c>
      <c r="B330" s="66" t="s">
        <v>84</v>
      </c>
      <c r="C330" s="83">
        <v>282565</v>
      </c>
      <c r="D330" s="83">
        <v>282743.48</v>
      </c>
      <c r="E330" s="83">
        <f>F330-251484.88</f>
        <v>0</v>
      </c>
      <c r="F330" s="83">
        <v>251484.88</v>
      </c>
      <c r="G330" s="64">
        <f t="shared" si="50"/>
        <v>0.0005223550945769861</v>
      </c>
      <c r="H330" s="83">
        <f>D330-F330</f>
        <v>31258.599999999977</v>
      </c>
      <c r="I330" s="83">
        <f>J330-121560.11</f>
        <v>48523.59999999999</v>
      </c>
      <c r="J330" s="83">
        <v>170083.71</v>
      </c>
      <c r="K330" s="56">
        <f t="shared" si="51"/>
        <v>0.00038546759809761496</v>
      </c>
      <c r="L330" s="93">
        <f>D330-J330</f>
        <v>112659.76999999999</v>
      </c>
    </row>
    <row r="331" spans="1:12" ht="15">
      <c r="A331" s="52" t="s">
        <v>83</v>
      </c>
      <c r="B331" s="66" t="s">
        <v>265</v>
      </c>
      <c r="C331" s="83">
        <v>0</v>
      </c>
      <c r="D331" s="83">
        <v>0</v>
      </c>
      <c r="E331" s="83">
        <f>F331-0</f>
        <v>0</v>
      </c>
      <c r="F331" s="83">
        <v>0</v>
      </c>
      <c r="G331" s="64">
        <f aca="true" t="shared" si="52" ref="G331:G340">(F331/$F$286)*100</f>
        <v>0</v>
      </c>
      <c r="H331" s="83">
        <f t="shared" si="48"/>
        <v>0</v>
      </c>
      <c r="I331" s="83">
        <f>J331-0</f>
        <v>0</v>
      </c>
      <c r="J331" s="83">
        <v>0</v>
      </c>
      <c r="K331" s="56">
        <f aca="true" t="shared" si="53" ref="K331:K339">(J331/$J$286)*100</f>
        <v>0</v>
      </c>
      <c r="L331" s="93">
        <f t="shared" si="47"/>
        <v>0</v>
      </c>
    </row>
    <row r="332" spans="1:12" ht="15">
      <c r="A332" s="47" t="s">
        <v>87</v>
      </c>
      <c r="B332" s="71" t="s">
        <v>86</v>
      </c>
      <c r="C332" s="82">
        <f>C333</f>
        <v>173285000</v>
      </c>
      <c r="D332" s="82">
        <f>D333</f>
        <v>257285000</v>
      </c>
      <c r="E332" s="82">
        <f>E333</f>
        <v>791458.049999997</v>
      </c>
      <c r="F332" s="82">
        <f>F333</f>
        <v>91857190.32</v>
      </c>
      <c r="G332" s="70">
        <f t="shared" si="52"/>
        <v>0.1907950543077572</v>
      </c>
      <c r="H332" s="82">
        <f t="shared" si="48"/>
        <v>165427809.68</v>
      </c>
      <c r="I332" s="82">
        <f>I333</f>
        <v>803653.9800000042</v>
      </c>
      <c r="J332" s="82">
        <f>J333</f>
        <v>91262406.92</v>
      </c>
      <c r="K332" s="51">
        <f t="shared" si="53"/>
        <v>0.20683168771459393</v>
      </c>
      <c r="L332" s="92">
        <f t="shared" si="47"/>
        <v>166022593.07999998</v>
      </c>
    </row>
    <row r="333" spans="1:12" ht="15">
      <c r="A333" s="52" t="s">
        <v>28</v>
      </c>
      <c r="B333" s="66" t="s">
        <v>33</v>
      </c>
      <c r="C333" s="83">
        <v>173285000</v>
      </c>
      <c r="D333" s="83">
        <v>257285000</v>
      </c>
      <c r="E333" s="83">
        <f>F333-91065732.27</f>
        <v>791458.049999997</v>
      </c>
      <c r="F333" s="83">
        <v>91857190.32</v>
      </c>
      <c r="G333" s="64">
        <f t="shared" si="52"/>
        <v>0.1907950543077572</v>
      </c>
      <c r="H333" s="83">
        <f t="shared" si="48"/>
        <v>165427809.68</v>
      </c>
      <c r="I333" s="83">
        <f>J333-90458752.94</f>
        <v>803653.9800000042</v>
      </c>
      <c r="J333" s="83">
        <v>91262406.92</v>
      </c>
      <c r="K333" s="56">
        <f t="shared" si="53"/>
        <v>0.20683168771459393</v>
      </c>
      <c r="L333" s="93">
        <f t="shared" si="47"/>
        <v>166022593.07999998</v>
      </c>
    </row>
    <row r="334" spans="1:12" ht="15">
      <c r="A334" s="47" t="s">
        <v>90</v>
      </c>
      <c r="B334" s="71" t="s">
        <v>91</v>
      </c>
      <c r="C334" s="82">
        <f>SUM(C335:C337)</f>
        <v>809752021</v>
      </c>
      <c r="D334" s="82">
        <f>SUM(D335:D337)</f>
        <v>759142399</v>
      </c>
      <c r="E334" s="82">
        <f>SUM(E335:E337)</f>
        <v>134471682.42000002</v>
      </c>
      <c r="F334" s="82">
        <f>SUM(F335:F337)</f>
        <v>483857376.38000005</v>
      </c>
      <c r="G334" s="70">
        <f t="shared" si="52"/>
        <v>1.0050121725041572</v>
      </c>
      <c r="H334" s="82">
        <f>D334-F334</f>
        <v>275285022.61999995</v>
      </c>
      <c r="I334" s="82">
        <f>SUM(I335:I337)</f>
        <v>122088054.58000001</v>
      </c>
      <c r="J334" s="82">
        <f>SUM(J335:J337)</f>
        <v>434322796.73</v>
      </c>
      <c r="K334" s="51">
        <f t="shared" si="53"/>
        <v>0.9843233385169678</v>
      </c>
      <c r="L334" s="92">
        <f>D334-J334</f>
        <v>324819602.27</v>
      </c>
    </row>
    <row r="335" spans="1:12" ht="15">
      <c r="A335" s="52" t="s">
        <v>28</v>
      </c>
      <c r="B335" s="66" t="s">
        <v>33</v>
      </c>
      <c r="C335" s="83">
        <v>58314717</v>
      </c>
      <c r="D335" s="83">
        <v>57618717</v>
      </c>
      <c r="E335" s="83">
        <f>F335-24011099.78</f>
        <v>8127956.879999999</v>
      </c>
      <c r="F335" s="83">
        <v>32139056.66</v>
      </c>
      <c r="G335" s="64">
        <f t="shared" si="52"/>
        <v>0.06675550427226246</v>
      </c>
      <c r="H335" s="83">
        <f t="shared" si="48"/>
        <v>25479660.34</v>
      </c>
      <c r="I335" s="83">
        <f>J335-24011099.78</f>
        <v>8060871.2799999975</v>
      </c>
      <c r="J335" s="83">
        <v>32071971.06</v>
      </c>
      <c r="K335" s="56">
        <f t="shared" si="53"/>
        <v>0.07268600650088371</v>
      </c>
      <c r="L335" s="93">
        <f t="shared" si="47"/>
        <v>25546745.94</v>
      </c>
    </row>
    <row r="336" spans="1:12" ht="15">
      <c r="A336" s="52" t="s">
        <v>65</v>
      </c>
      <c r="B336" s="66" t="s">
        <v>73</v>
      </c>
      <c r="C336" s="83">
        <v>5000</v>
      </c>
      <c r="D336" s="83">
        <v>5000</v>
      </c>
      <c r="E336" s="83">
        <f>F336-0</f>
        <v>0</v>
      </c>
      <c r="F336" s="83">
        <v>0</v>
      </c>
      <c r="G336" s="64">
        <f t="shared" si="52"/>
        <v>0</v>
      </c>
      <c r="H336" s="83">
        <f t="shared" si="48"/>
        <v>5000</v>
      </c>
      <c r="I336" s="83">
        <f>J336-0</f>
        <v>0</v>
      </c>
      <c r="J336" s="83">
        <v>0</v>
      </c>
      <c r="K336" s="56">
        <f t="shared" si="53"/>
        <v>0</v>
      </c>
      <c r="L336" s="93">
        <f t="shared" si="47"/>
        <v>5000</v>
      </c>
    </row>
    <row r="337" spans="1:12" ht="15">
      <c r="A337" s="52" t="s">
        <v>67</v>
      </c>
      <c r="B337" s="66" t="s">
        <v>75</v>
      </c>
      <c r="C337" s="83">
        <v>751432304</v>
      </c>
      <c r="D337" s="83">
        <v>701518682</v>
      </c>
      <c r="E337" s="83">
        <f>F337-325374594.18</f>
        <v>126343725.54000002</v>
      </c>
      <c r="F337" s="83">
        <v>451718319.72</v>
      </c>
      <c r="G337" s="64">
        <f t="shared" si="52"/>
        <v>0.9382566682318947</v>
      </c>
      <c r="H337" s="83">
        <f t="shared" si="48"/>
        <v>249800362.27999997</v>
      </c>
      <c r="I337" s="83">
        <f>J337-288223642.37</f>
        <v>114027183.30000001</v>
      </c>
      <c r="J337" s="83">
        <v>402250825.67</v>
      </c>
      <c r="K337" s="56">
        <f t="shared" si="53"/>
        <v>0.9116373320160841</v>
      </c>
      <c r="L337" s="93">
        <f t="shared" si="47"/>
        <v>299267856.33</v>
      </c>
    </row>
    <row r="338" spans="1:12" ht="15">
      <c r="A338" s="47" t="s">
        <v>104</v>
      </c>
      <c r="B338" s="71" t="s">
        <v>103</v>
      </c>
      <c r="C338" s="82">
        <f>C339+C340</f>
        <v>179230</v>
      </c>
      <c r="D338" s="82">
        <f>D339+D340</f>
        <v>643384</v>
      </c>
      <c r="E338" s="82">
        <f>E339+E340</f>
        <v>58791.98000000001</v>
      </c>
      <c r="F338" s="82">
        <f>F339+F340</f>
        <v>428186.55</v>
      </c>
      <c r="G338" s="70">
        <f t="shared" si="52"/>
        <v>0.0008893792176366364</v>
      </c>
      <c r="H338" s="82">
        <f t="shared" si="48"/>
        <v>215197.45</v>
      </c>
      <c r="I338" s="82">
        <f>I339+I340</f>
        <v>58791.98000000001</v>
      </c>
      <c r="J338" s="82">
        <f>J339+J340</f>
        <v>428186.55</v>
      </c>
      <c r="K338" s="51">
        <f t="shared" si="53"/>
        <v>0.0009704165141165154</v>
      </c>
      <c r="L338" s="92">
        <f t="shared" si="47"/>
        <v>215197.45</v>
      </c>
    </row>
    <row r="339" spans="1:12" ht="15">
      <c r="A339" s="52" t="s">
        <v>28</v>
      </c>
      <c r="B339" s="66" t="s">
        <v>33</v>
      </c>
      <c r="C339" s="83">
        <v>157076</v>
      </c>
      <c r="D339" s="83">
        <v>594076</v>
      </c>
      <c r="E339" s="83">
        <f>F339-369394.57</f>
        <v>54542.01000000001</v>
      </c>
      <c r="F339" s="83">
        <v>423936.58</v>
      </c>
      <c r="G339" s="64">
        <f t="shared" si="52"/>
        <v>0.0008805516750770225</v>
      </c>
      <c r="H339" s="83">
        <f t="shared" si="48"/>
        <v>170139.41999999998</v>
      </c>
      <c r="I339" s="83">
        <f>J339-369394.57</f>
        <v>54542.01000000001</v>
      </c>
      <c r="J339" s="83">
        <v>423936.58</v>
      </c>
      <c r="K339" s="56">
        <f t="shared" si="53"/>
        <v>0.0009607846350383433</v>
      </c>
      <c r="L339" s="93">
        <f t="shared" si="47"/>
        <v>170139.41999999998</v>
      </c>
    </row>
    <row r="340" spans="1:12" ht="15">
      <c r="A340" s="52" t="s">
        <v>105</v>
      </c>
      <c r="B340" s="66" t="s">
        <v>107</v>
      </c>
      <c r="C340" s="83">
        <v>22154</v>
      </c>
      <c r="D340" s="83">
        <v>49308</v>
      </c>
      <c r="E340" s="83">
        <f>F340-0</f>
        <v>4249.97</v>
      </c>
      <c r="F340" s="83">
        <v>4249.97</v>
      </c>
      <c r="G340" s="64">
        <f t="shared" si="52"/>
        <v>8.827542559613738E-06</v>
      </c>
      <c r="H340" s="83">
        <f t="shared" si="48"/>
        <v>45058.03</v>
      </c>
      <c r="I340" s="83">
        <f>J340-0</f>
        <v>4249.97</v>
      </c>
      <c r="J340" s="83">
        <v>4249.97</v>
      </c>
      <c r="K340" s="56"/>
      <c r="L340" s="93">
        <f t="shared" si="47"/>
        <v>45058.03</v>
      </c>
    </row>
    <row r="341" spans="1:12" ht="15">
      <c r="A341" s="47" t="s">
        <v>109</v>
      </c>
      <c r="B341" s="71" t="s">
        <v>110</v>
      </c>
      <c r="C341" s="82">
        <f>SUM(C342:C348)</f>
        <v>943563039</v>
      </c>
      <c r="D341" s="82">
        <f>SUM(D342:D348)</f>
        <v>1128185758.28</v>
      </c>
      <c r="E341" s="82">
        <f>SUM(E342:E348)</f>
        <v>136753236.55</v>
      </c>
      <c r="F341" s="82">
        <f>SUM(F342:F348)</f>
        <v>532927377.2</v>
      </c>
      <c r="G341" s="70">
        <f aca="true" t="shared" si="54" ref="G341:G382">(F341/$F$286)*100</f>
        <v>1.1069346615190985</v>
      </c>
      <c r="H341" s="82">
        <f t="shared" si="48"/>
        <v>595258381.0799999</v>
      </c>
      <c r="I341" s="82">
        <f>SUM(I342:I348)</f>
        <v>136250125.16999996</v>
      </c>
      <c r="J341" s="82">
        <f>SUM(J342:J348)</f>
        <v>531530962.96999997</v>
      </c>
      <c r="K341" s="51">
        <f aca="true" t="shared" si="55" ref="K341:K382">(J341/$J$286)*100</f>
        <v>1.2046301413025282</v>
      </c>
      <c r="L341" s="92">
        <f t="shared" si="47"/>
        <v>596654795.31</v>
      </c>
    </row>
    <row r="342" spans="1:12" ht="15">
      <c r="A342" s="52" t="s">
        <v>28</v>
      </c>
      <c r="B342" s="66" t="s">
        <v>33</v>
      </c>
      <c r="C342" s="83">
        <v>363140713</v>
      </c>
      <c r="D342" s="83">
        <v>372352704.49</v>
      </c>
      <c r="E342" s="83">
        <f>F342-145413492.5</f>
        <v>55429459.18000001</v>
      </c>
      <c r="F342" s="83">
        <v>200842951.68</v>
      </c>
      <c r="G342" s="64">
        <f t="shared" si="54"/>
        <v>0.41716758088966405</v>
      </c>
      <c r="H342" s="83">
        <f t="shared" si="48"/>
        <v>171509752.81</v>
      </c>
      <c r="I342" s="83">
        <f>J342-144528689.65</f>
        <v>54917847.79999998</v>
      </c>
      <c r="J342" s="83">
        <v>199446537.45</v>
      </c>
      <c r="K342" s="56">
        <f t="shared" si="55"/>
        <v>0.45201376275092725</v>
      </c>
      <c r="L342" s="93">
        <f t="shared" si="47"/>
        <v>172906167.04000002</v>
      </c>
    </row>
    <row r="343" spans="1:12" ht="15">
      <c r="A343" s="52" t="s">
        <v>29</v>
      </c>
      <c r="B343" s="66" t="s">
        <v>34</v>
      </c>
      <c r="C343" s="83">
        <v>0</v>
      </c>
      <c r="D343" s="83">
        <v>0</v>
      </c>
      <c r="E343" s="83">
        <f aca="true" t="shared" si="56" ref="E343:E348">F343-0</f>
        <v>0</v>
      </c>
      <c r="F343" s="83">
        <v>0</v>
      </c>
      <c r="G343" s="64">
        <f t="shared" si="54"/>
        <v>0</v>
      </c>
      <c r="H343" s="83">
        <f t="shared" si="48"/>
        <v>0</v>
      </c>
      <c r="I343" s="83">
        <f aca="true" t="shared" si="57" ref="I343:I348">J343-0</f>
        <v>0</v>
      </c>
      <c r="J343" s="83">
        <v>0</v>
      </c>
      <c r="K343" s="56">
        <f t="shared" si="55"/>
        <v>0</v>
      </c>
      <c r="L343" s="93">
        <f t="shared" si="47"/>
        <v>0</v>
      </c>
    </row>
    <row r="344" spans="1:12" ht="15">
      <c r="A344" s="52" t="s">
        <v>82</v>
      </c>
      <c r="B344" s="66" t="s">
        <v>84</v>
      </c>
      <c r="C344" s="83">
        <v>0</v>
      </c>
      <c r="D344" s="83">
        <v>100000</v>
      </c>
      <c r="E344" s="83">
        <f t="shared" si="56"/>
        <v>0</v>
      </c>
      <c r="F344" s="83">
        <v>0</v>
      </c>
      <c r="G344" s="64">
        <f t="shared" si="54"/>
        <v>0</v>
      </c>
      <c r="H344" s="83">
        <f>D344-F344</f>
        <v>100000</v>
      </c>
      <c r="I344" s="83">
        <f t="shared" si="57"/>
        <v>0</v>
      </c>
      <c r="J344" s="83">
        <v>0</v>
      </c>
      <c r="K344" s="56">
        <f t="shared" si="55"/>
        <v>0</v>
      </c>
      <c r="L344" s="93">
        <f>D344-J344</f>
        <v>100000</v>
      </c>
    </row>
    <row r="345" spans="1:12" ht="15">
      <c r="A345" s="52" t="s">
        <v>111</v>
      </c>
      <c r="B345" s="66" t="s">
        <v>118</v>
      </c>
      <c r="C345" s="83">
        <v>132185335</v>
      </c>
      <c r="D345" s="83">
        <v>274026806</v>
      </c>
      <c r="E345" s="83">
        <f>F345-75363891.17</f>
        <v>24397133.209999993</v>
      </c>
      <c r="F345" s="83">
        <v>99761024.38</v>
      </c>
      <c r="G345" s="64">
        <f t="shared" si="54"/>
        <v>0.2072119776151628</v>
      </c>
      <c r="H345" s="83">
        <f>D345-F345</f>
        <v>174265781.62</v>
      </c>
      <c r="I345" s="83">
        <f>J345-75363891.17</f>
        <v>24397133.209999993</v>
      </c>
      <c r="J345" s="83">
        <v>99761024.38</v>
      </c>
      <c r="K345" s="56">
        <f t="shared" si="55"/>
        <v>0.22609244854499122</v>
      </c>
      <c r="L345" s="93">
        <f>D345-J345</f>
        <v>174265781.62</v>
      </c>
    </row>
    <row r="346" spans="1:12" ht="15">
      <c r="A346" s="52" t="s">
        <v>112</v>
      </c>
      <c r="B346" s="66" t="s">
        <v>119</v>
      </c>
      <c r="C346" s="83">
        <v>447697762</v>
      </c>
      <c r="D346" s="83">
        <v>481274506</v>
      </c>
      <c r="E346" s="83">
        <f>F346-175388256.98</f>
        <v>56926644.16</v>
      </c>
      <c r="F346" s="83">
        <v>232314901.14</v>
      </c>
      <c r="G346" s="64">
        <f t="shared" si="54"/>
        <v>0.48253744780452745</v>
      </c>
      <c r="H346" s="83">
        <f t="shared" si="48"/>
        <v>248959604.86</v>
      </c>
      <c r="I346" s="83">
        <f>J346-175388256.98</f>
        <v>56926644.16</v>
      </c>
      <c r="J346" s="83">
        <v>232314901.14</v>
      </c>
      <c r="K346" s="56">
        <f t="shared" si="55"/>
        <v>0.5265046661124729</v>
      </c>
      <c r="L346" s="93">
        <f t="shared" si="47"/>
        <v>248959604.86</v>
      </c>
    </row>
    <row r="347" spans="1:12" ht="15">
      <c r="A347" s="52" t="s">
        <v>114</v>
      </c>
      <c r="B347" s="66" t="s">
        <v>121</v>
      </c>
      <c r="C347" s="83">
        <v>139229</v>
      </c>
      <c r="D347" s="83">
        <v>31741.79</v>
      </c>
      <c r="E347" s="83">
        <f>F347-8500</f>
        <v>0</v>
      </c>
      <c r="F347" s="83">
        <v>8500</v>
      </c>
      <c r="G347" s="64">
        <f t="shared" si="54"/>
        <v>1.7655209744237433E-05</v>
      </c>
      <c r="H347" s="83">
        <f t="shared" si="48"/>
        <v>23241.79</v>
      </c>
      <c r="I347" s="83">
        <f t="shared" si="57"/>
        <v>8500</v>
      </c>
      <c r="J347" s="83">
        <v>8500</v>
      </c>
      <c r="K347" s="56">
        <f t="shared" si="55"/>
        <v>1.9263894136773755E-05</v>
      </c>
      <c r="L347" s="93">
        <f t="shared" si="47"/>
        <v>23241.79</v>
      </c>
    </row>
    <row r="348" spans="1:12" ht="15">
      <c r="A348" s="52" t="s">
        <v>251</v>
      </c>
      <c r="B348" s="66" t="s">
        <v>252</v>
      </c>
      <c r="C348" s="83">
        <v>400000</v>
      </c>
      <c r="D348" s="83">
        <v>400000</v>
      </c>
      <c r="E348" s="83">
        <f t="shared" si="56"/>
        <v>0</v>
      </c>
      <c r="F348" s="83">
        <v>0</v>
      </c>
      <c r="G348" s="64">
        <f t="shared" si="54"/>
        <v>0</v>
      </c>
      <c r="H348" s="83">
        <f t="shared" si="48"/>
        <v>400000</v>
      </c>
      <c r="I348" s="83">
        <f t="shared" si="57"/>
        <v>0</v>
      </c>
      <c r="J348" s="83">
        <v>0</v>
      </c>
      <c r="K348" s="56">
        <f t="shared" si="55"/>
        <v>0</v>
      </c>
      <c r="L348" s="93">
        <f t="shared" si="47"/>
        <v>400000</v>
      </c>
    </row>
    <row r="349" spans="1:12" ht="15">
      <c r="A349" s="47" t="s">
        <v>125</v>
      </c>
      <c r="B349" s="71" t="s">
        <v>126</v>
      </c>
      <c r="C349" s="82">
        <f>C350</f>
        <v>9276706</v>
      </c>
      <c r="D349" s="82">
        <f>D350</f>
        <v>7456102.08</v>
      </c>
      <c r="E349" s="82">
        <f>E350</f>
        <v>1431050.1800000002</v>
      </c>
      <c r="F349" s="82">
        <f>F350</f>
        <v>5579332.61</v>
      </c>
      <c r="G349" s="70">
        <f t="shared" si="54"/>
        <v>0.011588739701460432</v>
      </c>
      <c r="H349" s="82">
        <f t="shared" si="48"/>
        <v>1876769.4699999997</v>
      </c>
      <c r="I349" s="82">
        <f>I350</f>
        <v>1490570.79</v>
      </c>
      <c r="J349" s="82">
        <f>J350</f>
        <v>5331895.95</v>
      </c>
      <c r="K349" s="51">
        <f t="shared" si="55"/>
        <v>0.012083891662246203</v>
      </c>
      <c r="L349" s="92">
        <f>D349-J349</f>
        <v>2124206.13</v>
      </c>
    </row>
    <row r="350" spans="1:12" ht="15">
      <c r="A350" s="52" t="s">
        <v>28</v>
      </c>
      <c r="B350" s="66" t="s">
        <v>33</v>
      </c>
      <c r="C350" s="83">
        <v>9276706</v>
      </c>
      <c r="D350" s="83">
        <v>7456102.08</v>
      </c>
      <c r="E350" s="83">
        <f>F350-4148282.43</f>
        <v>1431050.1800000002</v>
      </c>
      <c r="F350" s="83">
        <v>5579332.61</v>
      </c>
      <c r="G350" s="64">
        <f t="shared" si="54"/>
        <v>0.011588739701460432</v>
      </c>
      <c r="H350" s="83">
        <f t="shared" si="48"/>
        <v>1876769.4699999997</v>
      </c>
      <c r="I350" s="83">
        <f>J350-3841325.16</f>
        <v>1490570.79</v>
      </c>
      <c r="J350" s="83">
        <v>5331895.95</v>
      </c>
      <c r="K350" s="56">
        <f t="shared" si="55"/>
        <v>0.012083891662246203</v>
      </c>
      <c r="L350" s="93">
        <f>D350-J350</f>
        <v>2124206.13</v>
      </c>
    </row>
    <row r="351" spans="1:12" ht="15">
      <c r="A351" s="73" t="s">
        <v>129</v>
      </c>
      <c r="B351" s="71" t="s">
        <v>130</v>
      </c>
      <c r="C351" s="82">
        <f>C352</f>
        <v>957216</v>
      </c>
      <c r="D351" s="82">
        <f>D352</f>
        <v>970236</v>
      </c>
      <c r="E351" s="82">
        <f>E352</f>
        <v>237033.12</v>
      </c>
      <c r="F351" s="82">
        <f>F352</f>
        <v>927362.05</v>
      </c>
      <c r="G351" s="70">
        <f t="shared" si="54"/>
        <v>0.0019262084119524706</v>
      </c>
      <c r="H351" s="82">
        <f t="shared" si="48"/>
        <v>42873.94999999995</v>
      </c>
      <c r="I351" s="82">
        <f>I352</f>
        <v>237033.12</v>
      </c>
      <c r="J351" s="82">
        <f>J352</f>
        <v>927362.05</v>
      </c>
      <c r="K351" s="51">
        <f t="shared" si="55"/>
        <v>0.0021017181597248816</v>
      </c>
      <c r="L351" s="92">
        <f t="shared" si="47"/>
        <v>42873.94999999995</v>
      </c>
    </row>
    <row r="352" spans="1:12" ht="15">
      <c r="A352" s="61" t="s">
        <v>28</v>
      </c>
      <c r="B352" s="66" t="s">
        <v>33</v>
      </c>
      <c r="C352" s="83">
        <v>957216</v>
      </c>
      <c r="D352" s="83">
        <v>970236</v>
      </c>
      <c r="E352" s="83">
        <f>F352-690328.93</f>
        <v>237033.12</v>
      </c>
      <c r="F352" s="83">
        <v>927362.05</v>
      </c>
      <c r="G352" s="64">
        <f t="shared" si="54"/>
        <v>0.0019262084119524706</v>
      </c>
      <c r="H352" s="83">
        <f t="shared" si="48"/>
        <v>42873.94999999995</v>
      </c>
      <c r="I352" s="83">
        <f>J352-690328.93</f>
        <v>237033.12</v>
      </c>
      <c r="J352" s="83">
        <v>927362.05</v>
      </c>
      <c r="K352" s="56">
        <f t="shared" si="55"/>
        <v>0.0021017181597248816</v>
      </c>
      <c r="L352" s="93">
        <f t="shared" si="47"/>
        <v>42873.94999999995</v>
      </c>
    </row>
    <row r="353" spans="1:12" ht="15">
      <c r="A353" s="73" t="s">
        <v>133</v>
      </c>
      <c r="B353" s="71" t="s">
        <v>134</v>
      </c>
      <c r="C353" s="82">
        <f>C354</f>
        <v>568246</v>
      </c>
      <c r="D353" s="82">
        <f>D354</f>
        <v>568246</v>
      </c>
      <c r="E353" s="82">
        <f>E354</f>
        <v>78530.78</v>
      </c>
      <c r="F353" s="82">
        <f>F354</f>
        <v>301756.7</v>
      </c>
      <c r="G353" s="70">
        <f t="shared" si="54"/>
        <v>0.0006267738623798743</v>
      </c>
      <c r="H353" s="82">
        <f t="shared" si="48"/>
        <v>266489.3</v>
      </c>
      <c r="I353" s="82">
        <f>I354</f>
        <v>78530.78</v>
      </c>
      <c r="J353" s="82">
        <f>J354</f>
        <v>301756.7</v>
      </c>
      <c r="K353" s="51">
        <f t="shared" si="55"/>
        <v>0.0006838834263367291</v>
      </c>
      <c r="L353" s="92">
        <f t="shared" si="47"/>
        <v>266489.3</v>
      </c>
    </row>
    <row r="354" spans="1:12" ht="15">
      <c r="A354" s="68" t="s">
        <v>28</v>
      </c>
      <c r="B354" s="62" t="s">
        <v>33</v>
      </c>
      <c r="C354" s="83">
        <v>568246</v>
      </c>
      <c r="D354" s="83">
        <v>568246</v>
      </c>
      <c r="E354" s="83">
        <f>F354-223225.92</f>
        <v>78530.78</v>
      </c>
      <c r="F354" s="83">
        <v>301756.7</v>
      </c>
      <c r="G354" s="64">
        <f t="shared" si="54"/>
        <v>0.0006267738623798743</v>
      </c>
      <c r="H354" s="83">
        <f t="shared" si="48"/>
        <v>266489.3</v>
      </c>
      <c r="I354" s="83">
        <f>J354-223225.92</f>
        <v>78530.78</v>
      </c>
      <c r="J354" s="83">
        <v>301756.7</v>
      </c>
      <c r="K354" s="56">
        <f t="shared" si="55"/>
        <v>0.0006838834263367291</v>
      </c>
      <c r="L354" s="93">
        <f t="shared" si="47"/>
        <v>266489.3</v>
      </c>
    </row>
    <row r="355" spans="1:12" ht="15">
      <c r="A355" s="74" t="s">
        <v>138</v>
      </c>
      <c r="B355" s="75" t="s">
        <v>137</v>
      </c>
      <c r="C355" s="82">
        <f>C356</f>
        <v>217975</v>
      </c>
      <c r="D355" s="82">
        <f>D356</f>
        <v>221635</v>
      </c>
      <c r="E355" s="82">
        <f>E356</f>
        <v>27700.419999999984</v>
      </c>
      <c r="F355" s="82">
        <f>F356</f>
        <v>140791.33</v>
      </c>
      <c r="G355" s="70">
        <f t="shared" si="54"/>
        <v>0.0002924353483906056</v>
      </c>
      <c r="H355" s="82">
        <f t="shared" si="48"/>
        <v>80843.67000000001</v>
      </c>
      <c r="I355" s="82">
        <f>I356</f>
        <v>27090.419999999984</v>
      </c>
      <c r="J355" s="82">
        <f>J356</f>
        <v>140181.33</v>
      </c>
      <c r="K355" s="51">
        <f t="shared" si="55"/>
        <v>0.0003176986236555467</v>
      </c>
      <c r="L355" s="92">
        <f t="shared" si="47"/>
        <v>81453.67000000001</v>
      </c>
    </row>
    <row r="356" spans="1:12" ht="15">
      <c r="A356" s="68" t="s">
        <v>28</v>
      </c>
      <c r="B356" s="62" t="s">
        <v>33</v>
      </c>
      <c r="C356" s="83">
        <v>217975</v>
      </c>
      <c r="D356" s="83">
        <v>221635</v>
      </c>
      <c r="E356" s="83">
        <f>F356-113090.91</f>
        <v>27700.419999999984</v>
      </c>
      <c r="F356" s="83">
        <v>140791.33</v>
      </c>
      <c r="G356" s="64">
        <f t="shared" si="54"/>
        <v>0.0002924353483906056</v>
      </c>
      <c r="H356" s="83">
        <f t="shared" si="48"/>
        <v>80843.67000000001</v>
      </c>
      <c r="I356" s="83">
        <f>J356-113090.91</f>
        <v>27090.419999999984</v>
      </c>
      <c r="J356" s="83">
        <v>140181.33</v>
      </c>
      <c r="K356" s="56">
        <f t="shared" si="55"/>
        <v>0.0003176986236555467</v>
      </c>
      <c r="L356" s="93">
        <f t="shared" si="47"/>
        <v>81453.67000000001</v>
      </c>
    </row>
    <row r="357" spans="1:12" ht="15">
      <c r="A357" s="47" t="s">
        <v>141</v>
      </c>
      <c r="B357" s="50" t="s">
        <v>142</v>
      </c>
      <c r="C357" s="82">
        <f>C358</f>
        <v>0</v>
      </c>
      <c r="D357" s="82">
        <f>D358</f>
        <v>0</v>
      </c>
      <c r="E357" s="82">
        <f>E358</f>
        <v>0</v>
      </c>
      <c r="F357" s="82">
        <f>F358</f>
        <v>0</v>
      </c>
      <c r="G357" s="70">
        <f>(F357/$F$286)*100</f>
        <v>0</v>
      </c>
      <c r="H357" s="82">
        <f>D357-F357</f>
        <v>0</v>
      </c>
      <c r="I357" s="82">
        <f>I358</f>
        <v>0</v>
      </c>
      <c r="J357" s="82">
        <f>J358</f>
        <v>0</v>
      </c>
      <c r="K357" s="51">
        <f t="shared" si="55"/>
        <v>0</v>
      </c>
      <c r="L357" s="92">
        <f t="shared" si="47"/>
        <v>0</v>
      </c>
    </row>
    <row r="358" spans="1:12" ht="15">
      <c r="A358" s="68" t="s">
        <v>143</v>
      </c>
      <c r="B358" s="62" t="s">
        <v>144</v>
      </c>
      <c r="C358" s="83">
        <v>0</v>
      </c>
      <c r="D358" s="83">
        <v>0</v>
      </c>
      <c r="E358" s="83">
        <f>F358-0</f>
        <v>0</v>
      </c>
      <c r="F358" s="83">
        <v>0</v>
      </c>
      <c r="G358" s="64">
        <f>(F358/$F$286)*100</f>
        <v>0</v>
      </c>
      <c r="H358" s="83">
        <f t="shared" si="48"/>
        <v>0</v>
      </c>
      <c r="I358" s="83">
        <f>J358-0</f>
        <v>0</v>
      </c>
      <c r="J358" s="83">
        <v>0</v>
      </c>
      <c r="K358" s="56">
        <f>(J358/$J$286)*100</f>
        <v>0</v>
      </c>
      <c r="L358" s="93">
        <f t="shared" si="47"/>
        <v>0</v>
      </c>
    </row>
    <row r="359" spans="1:12" ht="15">
      <c r="A359" s="74" t="s">
        <v>149</v>
      </c>
      <c r="B359" s="75" t="s">
        <v>150</v>
      </c>
      <c r="C359" s="82">
        <f>C360</f>
        <v>1561511</v>
      </c>
      <c r="D359" s="82">
        <f>D360</f>
        <v>12280298.12</v>
      </c>
      <c r="E359" s="82">
        <f>E360</f>
        <v>1971847.13</v>
      </c>
      <c r="F359" s="82">
        <f>F360</f>
        <v>7934886.77</v>
      </c>
      <c r="G359" s="70">
        <f t="shared" si="54"/>
        <v>0.016481422378955845</v>
      </c>
      <c r="H359" s="82">
        <f aca="true" t="shared" si="58" ref="H359:H366">D359-F359</f>
        <v>4345411.35</v>
      </c>
      <c r="I359" s="82">
        <f>I360</f>
        <v>1907703.3800000008</v>
      </c>
      <c r="J359" s="82">
        <f>J360</f>
        <v>7788469.94</v>
      </c>
      <c r="K359" s="51">
        <f t="shared" si="55"/>
        <v>0.017651324754306426</v>
      </c>
      <c r="L359" s="92">
        <f t="shared" si="47"/>
        <v>4491828.179999999</v>
      </c>
    </row>
    <row r="360" spans="1:12" ht="15">
      <c r="A360" s="68" t="s">
        <v>28</v>
      </c>
      <c r="B360" s="62" t="s">
        <v>33</v>
      </c>
      <c r="C360" s="83">
        <v>1561511</v>
      </c>
      <c r="D360" s="83">
        <v>12280298.12</v>
      </c>
      <c r="E360" s="83">
        <f>F360-5963039.64</f>
        <v>1971847.13</v>
      </c>
      <c r="F360" s="83">
        <v>7934886.77</v>
      </c>
      <c r="G360" s="64">
        <f t="shared" si="54"/>
        <v>0.016481422378955845</v>
      </c>
      <c r="H360" s="83">
        <f t="shared" si="58"/>
        <v>4345411.35</v>
      </c>
      <c r="I360" s="83">
        <f>J360-5880766.56</f>
        <v>1907703.3800000008</v>
      </c>
      <c r="J360" s="83">
        <v>7788469.94</v>
      </c>
      <c r="K360" s="56">
        <f t="shared" si="55"/>
        <v>0.017651324754306426</v>
      </c>
      <c r="L360" s="93">
        <f t="shared" si="47"/>
        <v>4491828.179999999</v>
      </c>
    </row>
    <row r="361" spans="1:12" ht="15">
      <c r="A361" s="74" t="s">
        <v>158</v>
      </c>
      <c r="B361" s="75" t="s">
        <v>159</v>
      </c>
      <c r="C361" s="82">
        <f>SUM(C362:C365)</f>
        <v>10004611</v>
      </c>
      <c r="D361" s="82">
        <f>SUM(D362:D365)</f>
        <v>9497353</v>
      </c>
      <c r="E361" s="82">
        <f>SUM(E362:E365)</f>
        <v>1320762.3599999999</v>
      </c>
      <c r="F361" s="82">
        <f>SUM(F362:F365)</f>
        <v>5093865.67</v>
      </c>
      <c r="G361" s="70">
        <f t="shared" si="54"/>
        <v>0.010580384330920064</v>
      </c>
      <c r="H361" s="82">
        <f t="shared" si="58"/>
        <v>4403487.33</v>
      </c>
      <c r="I361" s="82">
        <f>SUM(I362:I364)</f>
        <v>1235560.2500000005</v>
      </c>
      <c r="J361" s="82">
        <f>SUM(J362:J364)</f>
        <v>4990957.23</v>
      </c>
      <c r="K361" s="51">
        <f t="shared" si="55"/>
        <v>0.011311208437633597</v>
      </c>
      <c r="L361" s="92">
        <f t="shared" si="47"/>
        <v>4506395.77</v>
      </c>
    </row>
    <row r="362" spans="1:12" ht="15">
      <c r="A362" s="68" t="s">
        <v>28</v>
      </c>
      <c r="B362" s="62" t="s">
        <v>33</v>
      </c>
      <c r="C362" s="83">
        <v>9989611</v>
      </c>
      <c r="D362" s="83">
        <v>9267353</v>
      </c>
      <c r="E362" s="83">
        <f>F362-3773103.31</f>
        <v>1320762.3599999999</v>
      </c>
      <c r="F362" s="83">
        <v>5093865.67</v>
      </c>
      <c r="G362" s="70">
        <f t="shared" si="54"/>
        <v>0.010580384330920064</v>
      </c>
      <c r="H362" s="83">
        <f t="shared" si="58"/>
        <v>4173487.33</v>
      </c>
      <c r="I362" s="83">
        <f>J362-3755396.98</f>
        <v>1235560.2500000005</v>
      </c>
      <c r="J362" s="83">
        <v>4990957.23</v>
      </c>
      <c r="K362" s="56">
        <f t="shared" si="55"/>
        <v>0.011311208437633597</v>
      </c>
      <c r="L362" s="93">
        <f t="shared" si="47"/>
        <v>4276395.77</v>
      </c>
    </row>
    <row r="363" spans="1:12" ht="15">
      <c r="A363" s="68" t="s">
        <v>50</v>
      </c>
      <c r="B363" s="62" t="s">
        <v>57</v>
      </c>
      <c r="C363" s="83">
        <v>15000</v>
      </c>
      <c r="D363" s="83">
        <v>230000</v>
      </c>
      <c r="E363" s="83">
        <f>F363-0</f>
        <v>0</v>
      </c>
      <c r="F363" s="83">
        <v>0</v>
      </c>
      <c r="G363" s="70">
        <f t="shared" si="54"/>
        <v>0</v>
      </c>
      <c r="H363" s="83">
        <f t="shared" si="58"/>
        <v>230000</v>
      </c>
      <c r="I363" s="83">
        <f>J363-0</f>
        <v>0</v>
      </c>
      <c r="J363" s="83">
        <v>0</v>
      </c>
      <c r="K363" s="56">
        <f t="shared" si="55"/>
        <v>0</v>
      </c>
      <c r="L363" s="93">
        <f t="shared" si="47"/>
        <v>230000</v>
      </c>
    </row>
    <row r="364" spans="1:12" ht="15">
      <c r="A364" s="68" t="s">
        <v>96</v>
      </c>
      <c r="B364" s="62" t="s">
        <v>102</v>
      </c>
      <c r="C364" s="83">
        <v>0</v>
      </c>
      <c r="D364" s="83">
        <v>0</v>
      </c>
      <c r="E364" s="83">
        <f>F364-0</f>
        <v>0</v>
      </c>
      <c r="F364" s="83">
        <v>0</v>
      </c>
      <c r="G364" s="70">
        <f t="shared" si="54"/>
        <v>0</v>
      </c>
      <c r="H364" s="83">
        <f t="shared" si="58"/>
        <v>0</v>
      </c>
      <c r="I364" s="83">
        <f>J364-0</f>
        <v>0</v>
      </c>
      <c r="J364" s="83">
        <v>0</v>
      </c>
      <c r="K364" s="56">
        <f t="shared" si="55"/>
        <v>0</v>
      </c>
      <c r="L364" s="93">
        <f t="shared" si="47"/>
        <v>0</v>
      </c>
    </row>
    <row r="365" spans="1:12" ht="15">
      <c r="A365" s="68" t="s">
        <v>97</v>
      </c>
      <c r="B365" s="62" t="s">
        <v>237</v>
      </c>
      <c r="C365" s="83">
        <v>0</v>
      </c>
      <c r="D365" s="83">
        <v>0</v>
      </c>
      <c r="E365" s="83">
        <f>F365-0</f>
        <v>0</v>
      </c>
      <c r="F365" s="83">
        <v>0</v>
      </c>
      <c r="G365" s="70">
        <f t="shared" si="54"/>
        <v>0</v>
      </c>
      <c r="H365" s="83">
        <f t="shared" si="58"/>
        <v>0</v>
      </c>
      <c r="I365" s="83">
        <f>J365-0</f>
        <v>0</v>
      </c>
      <c r="J365" s="83">
        <v>0</v>
      </c>
      <c r="K365" s="56">
        <f t="shared" si="55"/>
        <v>0</v>
      </c>
      <c r="L365" s="93">
        <f t="shared" si="47"/>
        <v>0</v>
      </c>
    </row>
    <row r="366" spans="1:12" ht="15">
      <c r="A366" s="74" t="s">
        <v>162</v>
      </c>
      <c r="B366" s="75" t="s">
        <v>163</v>
      </c>
      <c r="C366" s="82">
        <f>SUM(C367:C369)</f>
        <v>6702086</v>
      </c>
      <c r="D366" s="82">
        <f>SUM(D367:D369)</f>
        <v>4488003.12</v>
      </c>
      <c r="E366" s="82">
        <f>SUM(E367:E369)</f>
        <v>832799.5500000002</v>
      </c>
      <c r="F366" s="82">
        <f>SUM(F367:F369)</f>
        <v>3301284.5300000003</v>
      </c>
      <c r="G366" s="70">
        <f t="shared" si="54"/>
        <v>0.006857043623830152</v>
      </c>
      <c r="H366" s="82">
        <f t="shared" si="58"/>
        <v>1186718.5899999999</v>
      </c>
      <c r="I366" s="82">
        <f>SUM(I367:I369)</f>
        <v>830435.41</v>
      </c>
      <c r="J366" s="82">
        <f>SUM(J367:J369)</f>
        <v>3283138.66</v>
      </c>
      <c r="K366" s="51">
        <f t="shared" si="55"/>
        <v>0.007440710068539911</v>
      </c>
      <c r="L366" s="92">
        <f t="shared" si="47"/>
        <v>1204864.46</v>
      </c>
    </row>
    <row r="367" spans="1:12" ht="15">
      <c r="A367" s="61" t="s">
        <v>28</v>
      </c>
      <c r="B367" s="53" t="s">
        <v>33</v>
      </c>
      <c r="C367" s="83">
        <v>6600086</v>
      </c>
      <c r="D367" s="83">
        <v>4410003.12</v>
      </c>
      <c r="E367" s="83">
        <f>F367-2435234.58</f>
        <v>820092.3900000001</v>
      </c>
      <c r="F367" s="83">
        <v>3255326.97</v>
      </c>
      <c r="G367" s="64">
        <f t="shared" si="54"/>
        <v>0.006761585934285049</v>
      </c>
      <c r="H367" s="83">
        <f>D367-F367</f>
        <v>1154676.15</v>
      </c>
      <c r="I367" s="83">
        <f>J367-2420935.35</f>
        <v>816245.75</v>
      </c>
      <c r="J367" s="83">
        <v>3237181.1</v>
      </c>
      <c r="K367" s="56">
        <f t="shared" si="55"/>
        <v>0.007336554589642919</v>
      </c>
      <c r="L367" s="93">
        <f t="shared" si="47"/>
        <v>1172822.02</v>
      </c>
    </row>
    <row r="368" spans="1:12" ht="15">
      <c r="A368" s="61" t="s">
        <v>172</v>
      </c>
      <c r="B368" s="53" t="s">
        <v>173</v>
      </c>
      <c r="C368" s="83">
        <v>0</v>
      </c>
      <c r="D368" s="83">
        <v>0</v>
      </c>
      <c r="E368" s="83">
        <f>F368-0</f>
        <v>0</v>
      </c>
      <c r="F368" s="83">
        <v>0</v>
      </c>
      <c r="G368" s="64">
        <f t="shared" si="54"/>
        <v>0</v>
      </c>
      <c r="H368" s="83">
        <f>D368-F368</f>
        <v>0</v>
      </c>
      <c r="I368" s="83">
        <f>J368-0</f>
        <v>0</v>
      </c>
      <c r="J368" s="83">
        <v>0</v>
      </c>
      <c r="K368" s="56">
        <f t="shared" si="55"/>
        <v>0</v>
      </c>
      <c r="L368" s="93">
        <f t="shared" si="47"/>
        <v>0</v>
      </c>
    </row>
    <row r="369" spans="1:12" ht="15">
      <c r="A369" s="61" t="s">
        <v>272</v>
      </c>
      <c r="B369" s="53" t="s">
        <v>274</v>
      </c>
      <c r="C369" s="83">
        <v>102000</v>
      </c>
      <c r="D369" s="83">
        <v>78000</v>
      </c>
      <c r="E369" s="83">
        <f>F369-33250.4</f>
        <v>12707.159999999996</v>
      </c>
      <c r="F369" s="83">
        <v>45957.56</v>
      </c>
      <c r="G369" s="64">
        <f t="shared" si="54"/>
        <v>9.545768954510311E-05</v>
      </c>
      <c r="H369" s="83">
        <f>D369-F369</f>
        <v>32042.440000000002</v>
      </c>
      <c r="I369" s="83">
        <f>J369-31767.9</f>
        <v>14189.659999999996</v>
      </c>
      <c r="J369" s="83">
        <v>45957.56</v>
      </c>
      <c r="K369" s="56">
        <f t="shared" si="55"/>
        <v>0.00010415547889699152</v>
      </c>
      <c r="L369" s="93">
        <f t="shared" si="47"/>
        <v>32042.440000000002</v>
      </c>
    </row>
    <row r="370" spans="1:12" ht="15">
      <c r="A370" s="74" t="s">
        <v>175</v>
      </c>
      <c r="B370" s="75" t="s">
        <v>174</v>
      </c>
      <c r="C370" s="82">
        <f>C371</f>
        <v>1571343</v>
      </c>
      <c r="D370" s="82">
        <f>D371</f>
        <v>1451943</v>
      </c>
      <c r="E370" s="82">
        <f>E371</f>
        <v>260958.12</v>
      </c>
      <c r="F370" s="82">
        <f>F371</f>
        <v>951376.58</v>
      </c>
      <c r="G370" s="70">
        <f t="shared" si="54"/>
        <v>0.001976088595959445</v>
      </c>
      <c r="H370" s="82">
        <f aca="true" t="shared" si="59" ref="H370:H379">D370-F370</f>
        <v>500566.42000000004</v>
      </c>
      <c r="I370" s="82">
        <f>I371</f>
        <v>234413.06000000006</v>
      </c>
      <c r="J370" s="82">
        <f>J371</f>
        <v>919132.88</v>
      </c>
      <c r="K370" s="51">
        <f t="shared" si="55"/>
        <v>0.002083068058582115</v>
      </c>
      <c r="L370" s="92">
        <f>D370-J370</f>
        <v>532810.12</v>
      </c>
    </row>
    <row r="371" spans="1:12" ht="15">
      <c r="A371" s="68" t="s">
        <v>28</v>
      </c>
      <c r="B371" s="62" t="s">
        <v>33</v>
      </c>
      <c r="C371" s="83">
        <v>1571343</v>
      </c>
      <c r="D371" s="83">
        <v>1451943</v>
      </c>
      <c r="E371" s="83">
        <f>F371-690418.46</f>
        <v>260958.12</v>
      </c>
      <c r="F371" s="83">
        <v>951376.58</v>
      </c>
      <c r="G371" s="64">
        <f t="shared" si="54"/>
        <v>0.001976088595959445</v>
      </c>
      <c r="H371" s="83">
        <f t="shared" si="59"/>
        <v>500566.42000000004</v>
      </c>
      <c r="I371" s="83">
        <f>J371-684719.82</f>
        <v>234413.06000000006</v>
      </c>
      <c r="J371" s="83">
        <v>919132.88</v>
      </c>
      <c r="K371" s="56">
        <f t="shared" si="55"/>
        <v>0.002083068058582115</v>
      </c>
      <c r="L371" s="93">
        <f>D371-J371</f>
        <v>532810.12</v>
      </c>
    </row>
    <row r="372" spans="1:12" ht="15">
      <c r="A372" s="74" t="s">
        <v>178</v>
      </c>
      <c r="B372" s="75" t="s">
        <v>179</v>
      </c>
      <c r="C372" s="82">
        <f>C373</f>
        <v>3932582</v>
      </c>
      <c r="D372" s="82">
        <f>D373</f>
        <v>4141370.65</v>
      </c>
      <c r="E372" s="82">
        <f>E373</f>
        <v>654811.3600000001</v>
      </c>
      <c r="F372" s="82">
        <f>F373</f>
        <v>2632123.08</v>
      </c>
      <c r="G372" s="70">
        <f t="shared" si="54"/>
        <v>0.005467139417652735</v>
      </c>
      <c r="H372" s="82">
        <f t="shared" si="59"/>
        <v>1509247.5699999998</v>
      </c>
      <c r="I372" s="82">
        <f>I373</f>
        <v>654432.4700000002</v>
      </c>
      <c r="J372" s="82">
        <f>J373</f>
        <v>2602896.14</v>
      </c>
      <c r="K372" s="51">
        <f t="shared" si="55"/>
        <v>0.005899048904703181</v>
      </c>
      <c r="L372" s="92">
        <f>D372-J372</f>
        <v>1538474.5099999998</v>
      </c>
    </row>
    <row r="373" spans="1:12" ht="15">
      <c r="A373" s="68" t="s">
        <v>28</v>
      </c>
      <c r="B373" s="62" t="s">
        <v>33</v>
      </c>
      <c r="C373" s="83">
        <v>3932582</v>
      </c>
      <c r="D373" s="83">
        <v>4141370.65</v>
      </c>
      <c r="E373" s="83">
        <f>F373-1977311.72</f>
        <v>654811.3600000001</v>
      </c>
      <c r="F373" s="83">
        <v>2632123.08</v>
      </c>
      <c r="G373" s="64">
        <f t="shared" si="54"/>
        <v>0.005467139417652735</v>
      </c>
      <c r="H373" s="83">
        <f t="shared" si="59"/>
        <v>1509247.5699999998</v>
      </c>
      <c r="I373" s="83">
        <f>J373-1948463.67</f>
        <v>654432.4700000002</v>
      </c>
      <c r="J373" s="83">
        <v>2602896.14</v>
      </c>
      <c r="K373" s="56">
        <f t="shared" si="55"/>
        <v>0.005899048904703181</v>
      </c>
      <c r="L373" s="93">
        <f aca="true" t="shared" si="60" ref="L373:L379">D373-J373</f>
        <v>1538474.5099999998</v>
      </c>
    </row>
    <row r="374" spans="1:12" ht="15">
      <c r="A374" s="74" t="s">
        <v>189</v>
      </c>
      <c r="B374" s="75" t="s">
        <v>190</v>
      </c>
      <c r="C374" s="82">
        <f>C375</f>
        <v>4748383</v>
      </c>
      <c r="D374" s="82">
        <f>D375</f>
        <v>4767543</v>
      </c>
      <c r="E374" s="82">
        <f>E375</f>
        <v>631267.77</v>
      </c>
      <c r="F374" s="82">
        <f>F375</f>
        <v>2604116.79</v>
      </c>
      <c r="G374" s="70">
        <f t="shared" si="54"/>
        <v>0.005408968014816507</v>
      </c>
      <c r="H374" s="82">
        <f t="shared" si="59"/>
        <v>2163426.21</v>
      </c>
      <c r="I374" s="82">
        <f>I375</f>
        <v>518075.66000000015</v>
      </c>
      <c r="J374" s="82">
        <f>J375</f>
        <v>2382947.1</v>
      </c>
      <c r="K374" s="51">
        <f t="shared" si="55"/>
        <v>0.005400569490344944</v>
      </c>
      <c r="L374" s="92">
        <f t="shared" si="60"/>
        <v>2384595.9</v>
      </c>
    </row>
    <row r="375" spans="1:12" ht="15">
      <c r="A375" s="68" t="s">
        <v>28</v>
      </c>
      <c r="B375" s="62" t="s">
        <v>33</v>
      </c>
      <c r="C375" s="83">
        <v>4748383</v>
      </c>
      <c r="D375" s="83">
        <v>4767543</v>
      </c>
      <c r="E375" s="83">
        <f>F375-1972849.02</f>
        <v>631267.77</v>
      </c>
      <c r="F375" s="83">
        <v>2604116.79</v>
      </c>
      <c r="G375" s="64">
        <f t="shared" si="54"/>
        <v>0.005408968014816507</v>
      </c>
      <c r="H375" s="83">
        <f t="shared" si="59"/>
        <v>2163426.21</v>
      </c>
      <c r="I375" s="83">
        <f>J375-1864871.44</f>
        <v>518075.66000000015</v>
      </c>
      <c r="J375" s="83">
        <v>2382947.1</v>
      </c>
      <c r="K375" s="56">
        <f t="shared" si="55"/>
        <v>0.005400569490344944</v>
      </c>
      <c r="L375" s="93">
        <f>D375-J375</f>
        <v>2384595.9</v>
      </c>
    </row>
    <row r="376" spans="1:12" ht="15">
      <c r="A376" s="74" t="s">
        <v>195</v>
      </c>
      <c r="B376" s="75" t="s">
        <v>196</v>
      </c>
      <c r="C376" s="82">
        <f>SUM(C377:C377)</f>
        <v>16343559</v>
      </c>
      <c r="D376" s="82">
        <f>SUM(D377:D378)</f>
        <v>20842770.25</v>
      </c>
      <c r="E376" s="82">
        <f>SUM(E377:E377)</f>
        <v>2205856.129999999</v>
      </c>
      <c r="F376" s="82">
        <f>SUM(F377:F377)</f>
        <v>8396530.28</v>
      </c>
      <c r="G376" s="70">
        <f t="shared" si="54"/>
        <v>0.017440294496145956</v>
      </c>
      <c r="H376" s="82">
        <f t="shared" si="59"/>
        <v>12446239.97</v>
      </c>
      <c r="I376" s="82">
        <f>SUM(I377:I377)</f>
        <v>2256864.5600000005</v>
      </c>
      <c r="J376" s="82">
        <f>SUM(J377:J377)</f>
        <v>7632367.83</v>
      </c>
      <c r="K376" s="51">
        <f t="shared" si="55"/>
        <v>0.017297544222357367</v>
      </c>
      <c r="L376" s="92">
        <f t="shared" si="60"/>
        <v>13210402.42</v>
      </c>
    </row>
    <row r="377" spans="1:12" ht="15">
      <c r="A377" s="68" t="s">
        <v>28</v>
      </c>
      <c r="B377" s="62" t="s">
        <v>33</v>
      </c>
      <c r="C377" s="83">
        <v>16343559</v>
      </c>
      <c r="D377" s="83">
        <v>20497288.17</v>
      </c>
      <c r="E377" s="83">
        <f>F377-6190674.15</f>
        <v>2205856.129999999</v>
      </c>
      <c r="F377" s="83">
        <v>8396530.28</v>
      </c>
      <c r="G377" s="70">
        <f t="shared" si="54"/>
        <v>0.017440294496145956</v>
      </c>
      <c r="H377" s="83">
        <f t="shared" si="59"/>
        <v>12100757.890000002</v>
      </c>
      <c r="I377" s="83">
        <f>J377-5375503.27</f>
        <v>2256864.5600000005</v>
      </c>
      <c r="J377" s="83">
        <v>7632367.83</v>
      </c>
      <c r="K377" s="56">
        <f t="shared" si="55"/>
        <v>0.017297544222357367</v>
      </c>
      <c r="L377" s="93">
        <f t="shared" si="60"/>
        <v>12864920.340000002</v>
      </c>
    </row>
    <row r="378" spans="1:12" ht="15">
      <c r="A378" s="68" t="s">
        <v>83</v>
      </c>
      <c r="B378" s="112" t="s">
        <v>85</v>
      </c>
      <c r="C378" s="99">
        <v>0</v>
      </c>
      <c r="D378" s="99">
        <v>345482.08</v>
      </c>
      <c r="E378" s="99">
        <f>F378-0</f>
        <v>0</v>
      </c>
      <c r="F378" s="99">
        <v>0</v>
      </c>
      <c r="G378" s="113">
        <f t="shared" si="54"/>
        <v>0</v>
      </c>
      <c r="H378" s="99">
        <f t="shared" si="59"/>
        <v>345482.08</v>
      </c>
      <c r="I378" s="99">
        <f>J378-0</f>
        <v>0</v>
      </c>
      <c r="J378" s="99">
        <v>0</v>
      </c>
      <c r="K378" s="110">
        <f t="shared" si="55"/>
        <v>0</v>
      </c>
      <c r="L378" s="111">
        <f t="shared" si="60"/>
        <v>345482.08</v>
      </c>
    </row>
    <row r="379" spans="1:12" ht="15">
      <c r="A379" s="74" t="s">
        <v>203</v>
      </c>
      <c r="B379" s="75" t="s">
        <v>204</v>
      </c>
      <c r="C379" s="82">
        <f>SUM(C380:C380)</f>
        <v>1034535</v>
      </c>
      <c r="D379" s="82">
        <f>SUM(D380:D381)</f>
        <v>796987</v>
      </c>
      <c r="E379" s="82">
        <f>SUM(E380:E381)</f>
        <v>174727.84000000003</v>
      </c>
      <c r="F379" s="82">
        <f>SUM(F380:F381)</f>
        <v>611562.66</v>
      </c>
      <c r="G379" s="70">
        <f t="shared" si="54"/>
        <v>0.0012702667098875018</v>
      </c>
      <c r="H379" s="82">
        <f t="shared" si="59"/>
        <v>185424.33999999997</v>
      </c>
      <c r="I379" s="82">
        <f>SUM(I380:I380)</f>
        <v>140985.84000000003</v>
      </c>
      <c r="J379" s="82">
        <f>SUM(J380:J380)</f>
        <v>577820.66</v>
      </c>
      <c r="K379" s="51">
        <f t="shared" si="55"/>
        <v>0.0013095383557977344</v>
      </c>
      <c r="L379" s="92">
        <f t="shared" si="60"/>
        <v>219166.33999999997</v>
      </c>
    </row>
    <row r="380" spans="1:12" ht="15">
      <c r="A380" s="68" t="s">
        <v>28</v>
      </c>
      <c r="B380" s="62" t="s">
        <v>33</v>
      </c>
      <c r="C380" s="83">
        <v>1034535</v>
      </c>
      <c r="D380" s="83">
        <v>594535</v>
      </c>
      <c r="E380" s="83">
        <f>F380-436834.82</f>
        <v>140985.84000000003</v>
      </c>
      <c r="F380" s="83">
        <v>577820.66</v>
      </c>
      <c r="G380" s="64">
        <f t="shared" si="54"/>
        <v>0.001200181758453377</v>
      </c>
      <c r="H380" s="83">
        <f>D380-F380</f>
        <v>16714.339999999967</v>
      </c>
      <c r="I380" s="83">
        <f>J380-436834.82</f>
        <v>140985.84000000003</v>
      </c>
      <c r="J380" s="83">
        <v>577820.66</v>
      </c>
      <c r="K380" s="56">
        <f t="shared" si="55"/>
        <v>0.0013095383557977344</v>
      </c>
      <c r="L380" s="93">
        <f>D380-J380</f>
        <v>16714.339999999967</v>
      </c>
    </row>
    <row r="381" spans="1:12" ht="15">
      <c r="A381" s="68" t="s">
        <v>207</v>
      </c>
      <c r="B381" s="62" t="s">
        <v>208</v>
      </c>
      <c r="C381" s="83">
        <v>0</v>
      </c>
      <c r="D381" s="83">
        <v>202452</v>
      </c>
      <c r="E381" s="83">
        <f>F381-0</f>
        <v>33742</v>
      </c>
      <c r="F381" s="83">
        <v>33742</v>
      </c>
      <c r="G381" s="64">
        <f t="shared" si="54"/>
        <v>7.008495143412464E-05</v>
      </c>
      <c r="H381" s="83">
        <f>D381-F381</f>
        <v>168710</v>
      </c>
      <c r="I381" s="83">
        <f>J381-0</f>
        <v>0</v>
      </c>
      <c r="J381" s="83">
        <v>0</v>
      </c>
      <c r="K381" s="56">
        <f t="shared" si="55"/>
        <v>0</v>
      </c>
      <c r="L381" s="93">
        <f>D381-J381</f>
        <v>202452</v>
      </c>
    </row>
    <row r="382" spans="1:12" ht="15">
      <c r="A382" s="74" t="s">
        <v>211</v>
      </c>
      <c r="B382" s="75" t="s">
        <v>212</v>
      </c>
      <c r="C382" s="82">
        <f>C383</f>
        <v>706128951</v>
      </c>
      <c r="D382" s="82">
        <f>D383</f>
        <v>1413350291.35</v>
      </c>
      <c r="E382" s="82">
        <f>E383</f>
        <v>811470437.6899999</v>
      </c>
      <c r="F382" s="82">
        <f>F383</f>
        <v>1400948087.87</v>
      </c>
      <c r="G382" s="70">
        <f t="shared" si="54"/>
        <v>2.909886156721555</v>
      </c>
      <c r="H382" s="82">
        <f>D382-F382</f>
        <v>12402203.48000002</v>
      </c>
      <c r="I382" s="82">
        <f>I383</f>
        <v>1030333659.53</v>
      </c>
      <c r="J382" s="82">
        <f>J383</f>
        <v>1400948087.87</v>
      </c>
      <c r="K382" s="51">
        <f t="shared" si="55"/>
        <v>3.175025371275682</v>
      </c>
      <c r="L382" s="92">
        <f>D382-J382</f>
        <v>12402203.48000002</v>
      </c>
    </row>
    <row r="383" spans="1:12" ht="15">
      <c r="A383" s="68" t="s">
        <v>39</v>
      </c>
      <c r="B383" s="62" t="s">
        <v>41</v>
      </c>
      <c r="C383" s="83">
        <v>706128951</v>
      </c>
      <c r="D383" s="83">
        <v>1413350291.35</v>
      </c>
      <c r="E383" s="83">
        <f>F383-589477650.18</f>
        <v>811470437.6899999</v>
      </c>
      <c r="F383" s="83">
        <v>1400948087.87</v>
      </c>
      <c r="G383" s="64">
        <f>(F383/$F$286)*100</f>
        <v>2.909886156721555</v>
      </c>
      <c r="H383" s="83">
        <f>D383-F383</f>
        <v>12402203.48000002</v>
      </c>
      <c r="I383" s="83">
        <f>J383-370614428.34</f>
        <v>1030333659.53</v>
      </c>
      <c r="J383" s="83">
        <v>1400948087.87</v>
      </c>
      <c r="K383" s="56">
        <f>(J383/$J$286)*100</f>
        <v>3.175025371275682</v>
      </c>
      <c r="L383" s="93">
        <f>D383-J383</f>
        <v>12402203.48000002</v>
      </c>
    </row>
    <row r="384" spans="1:12" ht="15">
      <c r="A384" s="76" t="s">
        <v>221</v>
      </c>
      <c r="B384" s="77" t="s">
        <v>222</v>
      </c>
      <c r="C384" s="94">
        <v>0</v>
      </c>
      <c r="D384" s="94">
        <v>0</v>
      </c>
      <c r="E384" s="94">
        <f>F384-0</f>
        <v>0</v>
      </c>
      <c r="F384" s="94">
        <v>0</v>
      </c>
      <c r="G384" s="78">
        <f>(F384/$F$286)*100</f>
        <v>0</v>
      </c>
      <c r="H384" s="94">
        <f>D384-F384</f>
        <v>0</v>
      </c>
      <c r="I384" s="94">
        <f>J384-0</f>
        <v>0</v>
      </c>
      <c r="J384" s="94">
        <v>0</v>
      </c>
      <c r="K384" s="78">
        <f>(J384/$J$286)*100</f>
        <v>0</v>
      </c>
      <c r="L384" s="95">
        <f>D384-J384</f>
        <v>0</v>
      </c>
    </row>
    <row r="385" spans="1:12" ht="15">
      <c r="A385" s="44" t="s">
        <v>259</v>
      </c>
      <c r="B385" s="26"/>
      <c r="C385" s="26"/>
      <c r="D385" s="26"/>
      <c r="E385" s="26"/>
      <c r="F385" s="45"/>
      <c r="G385" s="38"/>
      <c r="H385" s="26"/>
      <c r="I385" s="26"/>
      <c r="J385" s="26"/>
      <c r="K385" s="26"/>
      <c r="L385" s="79" t="s">
        <v>227</v>
      </c>
    </row>
    <row r="386" spans="1:12" ht="15">
      <c r="A386" s="44" t="s">
        <v>260</v>
      </c>
      <c r="B386" s="26"/>
      <c r="C386" s="26"/>
      <c r="D386" s="26"/>
      <c r="E386" s="26"/>
      <c r="F386" s="26"/>
      <c r="G386" s="26"/>
      <c r="H386" s="26"/>
      <c r="I386" s="46"/>
      <c r="J386" s="26"/>
      <c r="K386" s="26"/>
      <c r="L386" s="26"/>
    </row>
    <row r="387" spans="1:12" ht="15">
      <c r="A387" s="44" t="s">
        <v>277</v>
      </c>
      <c r="B387" s="26"/>
      <c r="C387" s="26"/>
      <c r="D387" s="26"/>
      <c r="E387" s="26"/>
      <c r="F387" s="26"/>
      <c r="G387" s="26"/>
      <c r="H387" s="26"/>
      <c r="I387" s="26"/>
      <c r="J387" s="46"/>
      <c r="K387" s="26"/>
      <c r="L387" s="26"/>
    </row>
    <row r="388" spans="1:12" ht="15">
      <c r="A388" s="44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</row>
    <row r="389" spans="1:12" ht="15">
      <c r="A389" s="44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</row>
    <row r="390" spans="1:12" ht="15">
      <c r="A390" s="44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</row>
    <row r="391" spans="1:12" ht="15">
      <c r="A391" s="44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</row>
    <row r="392" spans="1:12" ht="15">
      <c r="A392" s="44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</row>
    <row r="393" spans="1:12" ht="15">
      <c r="A393" s="44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</row>
    <row r="394" spans="1:12" ht="15">
      <c r="A394" s="44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</row>
    <row r="395" spans="1:12" ht="15">
      <c r="A395" s="24"/>
      <c r="B395" s="26"/>
      <c r="C395" s="26"/>
      <c r="D395" s="26"/>
      <c r="E395" s="46"/>
      <c r="F395" s="26"/>
      <c r="G395" s="26"/>
      <c r="H395" s="26"/>
      <c r="I395" s="46"/>
      <c r="J395" s="26"/>
      <c r="K395" s="26"/>
      <c r="L395" s="26"/>
    </row>
    <row r="396" spans="1:12" ht="12.75">
      <c r="A396" s="39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</row>
    <row r="397" spans="1:12" ht="12.75">
      <c r="A397" s="39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</row>
    <row r="398" spans="1:13" ht="15">
      <c r="A398" s="114" t="s">
        <v>255</v>
      </c>
      <c r="B398" s="114"/>
      <c r="C398" s="115" t="s">
        <v>257</v>
      </c>
      <c r="D398" s="115"/>
      <c r="E398" s="115"/>
      <c r="F398" s="115"/>
      <c r="G398" s="115"/>
      <c r="H398" s="115"/>
      <c r="I398" s="115" t="s">
        <v>283</v>
      </c>
      <c r="J398" s="115"/>
      <c r="K398" s="115"/>
      <c r="L398" s="115"/>
      <c r="M398" s="106"/>
    </row>
    <row r="399" spans="1:13" ht="16.5">
      <c r="A399" s="114" t="s">
        <v>256</v>
      </c>
      <c r="B399" s="114"/>
      <c r="C399" s="115" t="s">
        <v>258</v>
      </c>
      <c r="D399" s="115"/>
      <c r="E399" s="115"/>
      <c r="F399" s="115"/>
      <c r="G399" s="115"/>
      <c r="H399" s="115"/>
      <c r="I399" s="116" t="s">
        <v>282</v>
      </c>
      <c r="J399" s="116"/>
      <c r="K399" s="116"/>
      <c r="L399" s="116"/>
      <c r="M399" s="107"/>
    </row>
    <row r="400" spans="1:13" ht="15">
      <c r="A400" s="114" t="s">
        <v>248</v>
      </c>
      <c r="B400" s="114"/>
      <c r="C400" s="115" t="s">
        <v>249</v>
      </c>
      <c r="D400" s="115"/>
      <c r="E400" s="115"/>
      <c r="F400" s="115"/>
      <c r="G400" s="115"/>
      <c r="H400" s="115"/>
      <c r="I400" s="115" t="s">
        <v>284</v>
      </c>
      <c r="J400" s="115"/>
      <c r="K400" s="115"/>
      <c r="L400" s="115"/>
      <c r="M400" s="106"/>
    </row>
    <row r="401" spans="1:12" ht="12.75">
      <c r="A401" s="39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</row>
    <row r="402" spans="1:12" ht="12.75">
      <c r="A402" s="39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</row>
    <row r="403" spans="1:12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</row>
    <row r="404" spans="1:12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</row>
    <row r="405" spans="1:12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</row>
    <row r="406" spans="1:12" ht="13.5">
      <c r="A406" s="43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1:12" ht="12.75">
      <c r="A407" s="39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</row>
    <row r="408" spans="1:12" ht="12.75">
      <c r="A408" s="39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</row>
    <row r="409" spans="1:12" ht="12.75">
      <c r="A409" s="3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</row>
    <row r="410" spans="1:12" ht="12.75">
      <c r="A410" s="39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1:12" ht="12.75">
      <c r="A411" s="39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</row>
    <row r="412" spans="1:12" ht="12.75">
      <c r="A412" s="39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</row>
    <row r="413" spans="1:12" ht="12.75">
      <c r="A413" s="39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</row>
    <row r="414" spans="1:12" ht="12.75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</row>
    <row r="415" spans="1:12" ht="12.75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</row>
    <row r="416" spans="1:12" ht="12.75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</row>
    <row r="417" spans="1:12" ht="12.75">
      <c r="A417" s="39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</row>
    <row r="418" spans="1:12" ht="12.75">
      <c r="A418" s="39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1:12" ht="12.75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</row>
    <row r="420" spans="1:12" ht="12.75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1:12" ht="12.75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1:12" ht="12.75">
      <c r="A422" s="39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2.75">
      <c r="A423" s="39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</row>
    <row r="424" spans="1:12" ht="12.7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</sheetData>
  <sheetProtection/>
  <mergeCells count="33">
    <mergeCell ref="N319:O319"/>
    <mergeCell ref="M170:O170"/>
    <mergeCell ref="A4:L4"/>
    <mergeCell ref="A5:L5"/>
    <mergeCell ref="A6:L6"/>
    <mergeCell ref="A7:L7"/>
    <mergeCell ref="A8:L8"/>
    <mergeCell ref="E11:G11"/>
    <mergeCell ref="I11:K11"/>
    <mergeCell ref="A296:L296"/>
    <mergeCell ref="A147:L147"/>
    <mergeCell ref="A148:L148"/>
    <mergeCell ref="A149:L149"/>
    <mergeCell ref="A150:L150"/>
    <mergeCell ref="A151:L151"/>
    <mergeCell ref="E154:G154"/>
    <mergeCell ref="I154:K154"/>
    <mergeCell ref="A400:B400"/>
    <mergeCell ref="C400:H400"/>
    <mergeCell ref="I400:L400"/>
    <mergeCell ref="A286:B286"/>
    <mergeCell ref="E299:G299"/>
    <mergeCell ref="I299:K299"/>
    <mergeCell ref="A292:L292"/>
    <mergeCell ref="A293:L293"/>
    <mergeCell ref="A294:L294"/>
    <mergeCell ref="A295:L295"/>
    <mergeCell ref="A398:B398"/>
    <mergeCell ref="C398:H398"/>
    <mergeCell ref="I398:L398"/>
    <mergeCell ref="A399:B399"/>
    <mergeCell ref="C399:H399"/>
    <mergeCell ref="I399:L399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42" max="11" man="1"/>
    <brk id="287" max="11" man="1"/>
  </rowBreaks>
  <ignoredErrors>
    <ignoredError sqref="F165 H165 J165 F109 J251 C304 C305 I303:J303 J311 J312 J313 I307 E304 I304" formulaRange="1"/>
    <ignoredError sqref="E171:F171 E26:F26 E286 F285 E282:F282 E29:F29 H27:H28 E35:F35 H30:H32 H34 E91:F91 H92 E97:F97 H96 H98:H100 E137:F137 H172 H182 E221:F221 H222 E240:F240 H241 E257:F257 E270:F270 E276:F276 E322:F322 E328:F328 E332:F332 H329 H331 E334:F334 H333 H337 H339 E349:F349 F359 F370 E382:F382 H380 H326:H327 H366:H367 H382:H384 J359 J382 J349 H338 H334:J334 H332:J332 H328:J328 H322:J322 H171 H285:J286 H282:J282 H177 H207:H208 H210:I210 H221:J221 H228 H240:J240 H242:I242 H270:J270 H273:H275 H276:J276 H277:H281 H26:J26 H29:J29 H35:J35 H68:H71 H82:I82 H91:J91 H95:I95 H97:J97 J118 H136 H137:J137 L26:L32 L34:L40 L56:L66 L313:L318 L326:L329 L349:L356 L379:L380 L382:L384 H36:H40 H58:I58 H101:I101 H138:H141 H174 H184:H190 H223:I223 H236:I236 H73:H76 H108 H224:H226 H180:I181 H219:I219 H283:I284 H81 H237:H238 H265:H269 H175:H176 H379:J379 I381:I382 L273:L283 H89:I89 H211:H216 H230:I230 H229 L68:L71 L73:L76 L81:L85 L88:L89 L91:L92 L95:L106 H102:H106 L114:L116 E59 H59:H66 E109 H109:I109 L123:L125 L136:L141 L171:L172 L174:L177 E177 L179:L182 L184:L190 E181 L192:L194 H192:H194 L202:L203 H202:H203 L210:L216 L205 H205 L240:L246 H243 L249:L253 L262:L263 H262:H263 L331:L335 H335 L364 H364 L366:L367 E78 H56:H57 I78 E165 F372 F374 F376 L308:L311 E368 E364:E366 E361 H54 H370:H377 H179 I257:J257 L341:L342 H341:H342 I197 I204:I208 H249:H253 E210 H231:H234 F351 F353 F355 G247:I248 H349:H356 I59 L42:L45 L47:L49 L78:L79 H78:H79 L108:L109 L111 L118:L119 L121 L127:L134 H127:H134 I200 H196:H200 L197:L200 L207:L208 L219 L221:L226 L228:L234 L236:L238 I251 H257:H258 L257:L258 H260:I260 L260 L265:L271 H271 L322:L324 H323:H324 L337:L339 H344:H347 L344:L347 H358:H362 L359:L362 J353 J351 J355 L54 H42:H45 G46:H46 E50:H52 H47:H49 E47:F49 E44:F44 H313:H318 H308:H311 E308:F308 E312 E311:F311 E305:E306 E313:F313 I372:J372 J374 J376 E251:E255 E370:E371 J370 I349 H83:H85 E118:F118 F112:H113 E120 E117:I117 F114 H114 H118:I118 E122 E121 H121 H111 H125 E116:F116 E169 H169 E235 H305:H306 G312:H312 L370:L377 D376 E43 E54:E55 E53 E56 E88 E114 E112:E113 E111 E115 E140 I24 I44 I47:I49 I50:I52 I43 I53 I45:I46 H88 H116:I116 H115 H119 H123 H124 I140 G235:H235 E247:E248 E274 J171 I174 I177 I171 I169:I170 I172:I173 I178:I179 I175:I176 I274 E357:E359 E355 E353 E351 E350 E352 E354 E356 E372:E373 E374 E376 I305 I357:I359 I355 I353 I351 I350 I352 I354 I356 I361 I363:I366 I368 I370 I374 I376 I371 I373 I114 I112:I113 I111 I115 G120:I120 G122:I122 E208 E228 I228:I229 I231:I235 I245 E245 H244:H246 E244 I244 E246 F245 I246" formula="1"/>
    <ignoredError sqref="A15:A21 A22:B22 A33:B33 A87:B87 A117:B117 A126:B126 A173:B173 A174:A182 A183:B183 A184:A190 A191:B191 A204:B204 A247:B247 A248:A253 A264:B264 A330:B330 M330:IV330 A378:A384 A23:A32 A88:A116 A118:A125 A127:A141 A157:A172 A192:A203 A205:A246 A254:B255 A256:A263 A265:A285 A34:A86 A303:A329 A331:A377" numberStoredAsText="1"/>
    <ignoredError sqref="G382:G384 G326:G329 G262:G263 G240:G243 G202:G203 G192:G194 G179:G182 G174:G177 G273:G286 G171:G172 K174:K177 K282:K284 K273:K280 K262:K263 K202:K203 K192:K194 K171:K172 K249:K253 K240:K246 K179:K182 K286 G136:G141 G95:G106 G91:G92 G81:G85 G73:G76 K136:K141 K123:K125 K95:K106 K91:K92 K81:K85 K56:K66 K42:K45 K34:K40 K73:K76 K382:K384 K349:K356 K341:K342 K331:K335 K326:K329 K313:K318 K308:K310 G210:G216 K210:K216 K68:K71 G68:G71 K88:K89 G88:G89 K114:K116 K184:K190 G184:G190 K205 G205 K26:K32 G26:G32 G34:G40 G249:G253 K47:K49 K78:K79 G78:G79 G108:G109 K108:K109 K111 K118:K119 K121 K127:K134 G127:G134 K196:K200 G196:G200 K207:K208 G207:G208 K219 G219 K221:K226 G221:G226 K228:K234 G228:G234 K236:K238 G236:G238 K257:K258 G257:G258 K260 G260 K265:K271 G266:G271 K322:K324 G322:G324 K337:K339 K344:K347 K359:K362 G359:G362 G344:G347 G337:G339 G366:G367 G379:G380 G349:G356 G364 G331:G335 G341:G342 K54 G54 G56:G66 G47:G49 G42:G45 G308:G311 G313:G318 G305:G306 G111 G121 G118:G119 G114:G116 G123:G125 G169 G370:G377 K370:K377 K364 K366:K367 K379:K380 G244:G246 G165 K165 J177 J181 J361 I165 J109 I306 I313 I312 I308:J308 I311" evalError="1" formula="1"/>
    <ignoredError sqref="G302:G304 G170 K169:K170 K281 K285 K302:K306 K311 G320 G381 K14:K21 K22:K25 G41 G33 G14:G25 K166 G166 G368:G369 G365 G357:G358 G330 G343 G336 G340 G348 G363 G378 K381 K363 K368:K369 K365 K378" evalError="1"/>
    <ignoredError sqref="G165 K165" evalError="1" formulaRange="1"/>
    <ignoredError sqref="J177 J181 J361 I165 J109 I306 I313 I312 I308:J308 I3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2021-09-17T19:30:15Z</cp:lastPrinted>
  <dcterms:created xsi:type="dcterms:W3CDTF">2005-03-08T15:13:02Z</dcterms:created>
  <dcterms:modified xsi:type="dcterms:W3CDTF">2021-09-28T14:27:15Z</dcterms:modified>
  <cp:category/>
  <cp:version/>
  <cp:contentType/>
  <cp:contentStatus/>
</cp:coreProperties>
</file>