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25" windowWidth="7680" windowHeight="7710" activeTab="0"/>
  </bookViews>
  <sheets>
    <sheet name="Anexo II - 4º BIM" sheetId="1" r:id="rId1"/>
  </sheets>
  <definedNames>
    <definedName name="_xlnm.Print_Area" localSheetId="0">'Anexo II - 4º BIM'!$A$1:$L$396</definedName>
    <definedName name="HTML_CodePage" hidden="1">1252</definedName>
    <definedName name="HTML_Description" hidden="1">""</definedName>
    <definedName name="HTML_Email" hidden="1">""</definedName>
    <definedName name="HTML_Header" hidden="1">"Tabela"</definedName>
    <definedName name="HTML_LastUpdate" hidden="1">"16/03/98"</definedName>
    <definedName name="HTML_LineAfter" hidden="1">FALSE</definedName>
    <definedName name="HTML_LineBefore" hidden="1">FALSE</definedName>
    <definedName name="HTML_Name" hidden="1">"Rede Integrada"</definedName>
    <definedName name="HTML_OBDlg2" hidden="1">TRUE</definedName>
    <definedName name="HTML_OBDlg4" hidden="1">TRUE</definedName>
    <definedName name="HTML_OS" hidden="1">0</definedName>
    <definedName name="HTML_PathFile" hidden="1">"C:\internetemp\balpep1.htm"</definedName>
    <definedName name="HTML_Title" hidden="1">"Balpep11"</definedName>
  </definedNames>
  <calcPr fullCalcOnLoad="1"/>
</workbook>
</file>

<file path=xl/sharedStrings.xml><?xml version="1.0" encoding="utf-8"?>
<sst xmlns="http://schemas.openxmlformats.org/spreadsheetml/2006/main" count="664" uniqueCount="277">
  <si>
    <t>RELATÓRIO RESUMIDO DA EXECUÇÃO ORÇAMENTÁRIA</t>
  </si>
  <si>
    <t>DEMONSTRATIVO DA EXECUÇÃO DAS DESPESAS POR FUNÇÃO/SUBFUNÇÃO</t>
  </si>
  <si>
    <t>ORÇAMENTOS FISCAL E DA SEGURIDADE SOCIAL</t>
  </si>
  <si>
    <t>DOTAÇÃO</t>
  </si>
  <si>
    <t>DESPESAS EMPENHADAS</t>
  </si>
  <si>
    <t>DESPESAS LIQUIDADAS</t>
  </si>
  <si>
    <t>FUNÇÃO/SUBFUNÇÃO</t>
  </si>
  <si>
    <t>INICIAL</t>
  </si>
  <si>
    <t>ATUALIZADA</t>
  </si>
  <si>
    <t>No Bimestre</t>
  </si>
  <si>
    <t>Até o Bimestre</t>
  </si>
  <si>
    <t>%</t>
  </si>
  <si>
    <t>(a)</t>
  </si>
  <si>
    <t>(b)</t>
  </si>
  <si>
    <t>GOVERNO DO ESTADO DO RIO DE JANEIRO</t>
  </si>
  <si>
    <t>DESPESAS (EXCETO INTRA-ORÇAMENTÁRIAS) (I)</t>
  </si>
  <si>
    <t>DESPESAS (INTRA-ORÇAMENTÁRIAS) (II)</t>
  </si>
  <si>
    <t>(b/total b)</t>
  </si>
  <si>
    <t>SALDO</t>
  </si>
  <si>
    <t>(c) = (a - b)</t>
  </si>
  <si>
    <t>(d)</t>
  </si>
  <si>
    <t>(d/total d)</t>
  </si>
  <si>
    <t>(e) = (a - d)</t>
  </si>
  <si>
    <t>COD</t>
  </si>
  <si>
    <t>Legislativa</t>
  </si>
  <si>
    <t>01</t>
  </si>
  <si>
    <t>031</t>
  </si>
  <si>
    <t>032</t>
  </si>
  <si>
    <t>122</t>
  </si>
  <si>
    <t>128</t>
  </si>
  <si>
    <t>542</t>
  </si>
  <si>
    <t>Ação Legislativa</t>
  </si>
  <si>
    <t>Controle Externo</t>
  </si>
  <si>
    <t>Administração Geral</t>
  </si>
  <si>
    <t>Formação de Recursos Humanos</t>
  </si>
  <si>
    <t>Controle Ambiental</t>
  </si>
  <si>
    <t>02</t>
  </si>
  <si>
    <t>Judiciária</t>
  </si>
  <si>
    <t>061</t>
  </si>
  <si>
    <t>123</t>
  </si>
  <si>
    <t>Ação Judiciária</t>
  </si>
  <si>
    <t>Administração Financeira</t>
  </si>
  <si>
    <t>03</t>
  </si>
  <si>
    <t>Essencial à Justiça</t>
  </si>
  <si>
    <t>091</t>
  </si>
  <si>
    <t>Defesa da Ordem Jurídica</t>
  </si>
  <si>
    <t>04</t>
  </si>
  <si>
    <t>Administração</t>
  </si>
  <si>
    <t>121</t>
  </si>
  <si>
    <t>125</t>
  </si>
  <si>
    <t>126</t>
  </si>
  <si>
    <t>127</t>
  </si>
  <si>
    <t>241</t>
  </si>
  <si>
    <t>422</t>
  </si>
  <si>
    <t>694</t>
  </si>
  <si>
    <t>Planejamento e Orçamento</t>
  </si>
  <si>
    <t>Normatização e Fiscalização</t>
  </si>
  <si>
    <t>Tecnologia da Informação</t>
  </si>
  <si>
    <t>Ordenamento Territorial</t>
  </si>
  <si>
    <t>Assistência ao Idoso</t>
  </si>
  <si>
    <t>Direitos Individuais, Coletivos e Difusos</t>
  </si>
  <si>
    <t>Serviços Financeiros</t>
  </si>
  <si>
    <t>Segurança Pública</t>
  </si>
  <si>
    <t>06</t>
  </si>
  <si>
    <t>181</t>
  </si>
  <si>
    <t>182</t>
  </si>
  <si>
    <t>183</t>
  </si>
  <si>
    <t>302</t>
  </si>
  <si>
    <t>306</t>
  </si>
  <si>
    <t>421</t>
  </si>
  <si>
    <t>781</t>
  </si>
  <si>
    <t>782</t>
  </si>
  <si>
    <t>Policiamento</t>
  </si>
  <si>
    <t>Defesa Civil</t>
  </si>
  <si>
    <t>Informação e Inteligência</t>
  </si>
  <si>
    <t>Assistência Hospitalar e Ambulatorial</t>
  </si>
  <si>
    <t>Alimentação e Nutrição</t>
  </si>
  <si>
    <t>Custódia e Reintegração Social</t>
  </si>
  <si>
    <t>Transporte Aéreo</t>
  </si>
  <si>
    <t>Transporte Rodoviário</t>
  </si>
  <si>
    <t>Assistência Social</t>
  </si>
  <si>
    <t>08</t>
  </si>
  <si>
    <t>243</t>
  </si>
  <si>
    <t>244</t>
  </si>
  <si>
    <t>Assistência à Criança e ao Adolescente</t>
  </si>
  <si>
    <t>Assistência Comunitária</t>
  </si>
  <si>
    <t>Previdência Social</t>
  </si>
  <si>
    <t>09</t>
  </si>
  <si>
    <t>272</t>
  </si>
  <si>
    <t>Previdência do Regime Estatutário</t>
  </si>
  <si>
    <t>10</t>
  </si>
  <si>
    <t>Saúde</t>
  </si>
  <si>
    <t>301</t>
  </si>
  <si>
    <t>303</t>
  </si>
  <si>
    <t>304</t>
  </si>
  <si>
    <t>305</t>
  </si>
  <si>
    <t>571</t>
  </si>
  <si>
    <t>573</t>
  </si>
  <si>
    <t>Atenção Básica</t>
  </si>
  <si>
    <t>Suporte Profilático e Terapêutico</t>
  </si>
  <si>
    <t>Vigilância Sanitária</t>
  </si>
  <si>
    <t>Vigilância Epidemiológica</t>
  </si>
  <si>
    <t>Desenvolvimento Científico</t>
  </si>
  <si>
    <t>Trabalho</t>
  </si>
  <si>
    <t>11</t>
  </si>
  <si>
    <t>333</t>
  </si>
  <si>
    <t>334</t>
  </si>
  <si>
    <t>Empregabilidade</t>
  </si>
  <si>
    <t>Fomento ao Trabalho</t>
  </si>
  <si>
    <t>12</t>
  </si>
  <si>
    <t>Educação</t>
  </si>
  <si>
    <t>361</t>
  </si>
  <si>
    <t>362</t>
  </si>
  <si>
    <t>363</t>
  </si>
  <si>
    <t>364</t>
  </si>
  <si>
    <t>366</t>
  </si>
  <si>
    <t>367</t>
  </si>
  <si>
    <t>392</t>
  </si>
  <si>
    <t>Ensino Fundamental</t>
  </si>
  <si>
    <t>Ensino Médio</t>
  </si>
  <si>
    <t>Ensino Profissional</t>
  </si>
  <si>
    <t>Ensino Superior</t>
  </si>
  <si>
    <t>Educação de Jovens e Adultos</t>
  </si>
  <si>
    <t>Educação Especial</t>
  </si>
  <si>
    <t>Difusão Cultural</t>
  </si>
  <si>
    <t>13</t>
  </si>
  <si>
    <t>Cultura</t>
  </si>
  <si>
    <t>391</t>
  </si>
  <si>
    <t>Patrimônio Histór, Artístico e Arqueológico</t>
  </si>
  <si>
    <t>14</t>
  </si>
  <si>
    <t>Direitos da Cidadania</t>
  </si>
  <si>
    <t>242</t>
  </si>
  <si>
    <t>Assistência ao Portador de Deficiência</t>
  </si>
  <si>
    <t>15</t>
  </si>
  <si>
    <t>Urbanismo</t>
  </si>
  <si>
    <t>451</t>
  </si>
  <si>
    <t>Infraestrutura Urbana</t>
  </si>
  <si>
    <t>Habitação</t>
  </si>
  <si>
    <t>16</t>
  </si>
  <si>
    <t>482</t>
  </si>
  <si>
    <t>Habitação Urbana</t>
  </si>
  <si>
    <t>17</t>
  </si>
  <si>
    <t>Saneamento</t>
  </si>
  <si>
    <t>512</t>
  </si>
  <si>
    <t>Saneamento Básico Urbano</t>
  </si>
  <si>
    <t>543</t>
  </si>
  <si>
    <t>Recuperação de Áreas Degradadas</t>
  </si>
  <si>
    <t>544</t>
  </si>
  <si>
    <t>Recursos Hídricos</t>
  </si>
  <si>
    <t>18</t>
  </si>
  <si>
    <t>Gestão Ambiental</t>
  </si>
  <si>
    <t>453</t>
  </si>
  <si>
    <t>Transportes Coletivos Urbanos</t>
  </si>
  <si>
    <t>541</t>
  </si>
  <si>
    <t>Preservação e Conservação Ambiental</t>
  </si>
  <si>
    <t>601</t>
  </si>
  <si>
    <t>Promoção da Produção Vegetal</t>
  </si>
  <si>
    <t>Continuação</t>
  </si>
  <si>
    <t>19</t>
  </si>
  <si>
    <t>Ciência e Tecnologia</t>
  </si>
  <si>
    <t>572</t>
  </si>
  <si>
    <t>Desenvolvimento Tecnológico e Engenharia</t>
  </si>
  <si>
    <t>20</t>
  </si>
  <si>
    <t>Agricultura</t>
  </si>
  <si>
    <t>131</t>
  </si>
  <si>
    <t>Comunicação Social</t>
  </si>
  <si>
    <t>602</t>
  </si>
  <si>
    <t>Promoção da Produção Animal</t>
  </si>
  <si>
    <t>604</t>
  </si>
  <si>
    <t>Defesa Sanitária Animal</t>
  </si>
  <si>
    <t>605</t>
  </si>
  <si>
    <t>Abastecimento</t>
  </si>
  <si>
    <t>606</t>
  </si>
  <si>
    <t>Extensão Rural</t>
  </si>
  <si>
    <t>Organização Agrária</t>
  </si>
  <si>
    <t>21</t>
  </si>
  <si>
    <t>631</t>
  </si>
  <si>
    <t>Reforma Agrária</t>
  </si>
  <si>
    <t>22</t>
  </si>
  <si>
    <t>Indústria</t>
  </si>
  <si>
    <t>661</t>
  </si>
  <si>
    <t>Promoção Industrial</t>
  </si>
  <si>
    <t>663</t>
  </si>
  <si>
    <t>Mineração</t>
  </si>
  <si>
    <t>665</t>
  </si>
  <si>
    <t>695</t>
  </si>
  <si>
    <t>Turismo</t>
  </si>
  <si>
    <t>751</t>
  </si>
  <si>
    <t>Conservação de Energia</t>
  </si>
  <si>
    <t>23</t>
  </si>
  <si>
    <t>Comércio e Serviços</t>
  </si>
  <si>
    <t>691</t>
  </si>
  <si>
    <t>Promoção Comercial</t>
  </si>
  <si>
    <t>24</t>
  </si>
  <si>
    <t>Comunicações</t>
  </si>
  <si>
    <t>26</t>
  </si>
  <si>
    <t>Transporte</t>
  </si>
  <si>
    <t>783</t>
  </si>
  <si>
    <t>Transporte Ferroviário</t>
  </si>
  <si>
    <t>784</t>
  </si>
  <si>
    <t>Transporte Hidroviário</t>
  </si>
  <si>
    <t>785</t>
  </si>
  <si>
    <t>Transportes Especiais</t>
  </si>
  <si>
    <t>27</t>
  </si>
  <si>
    <t>Desporto e Lazer</t>
  </si>
  <si>
    <t>811</t>
  </si>
  <si>
    <t>Desporto de Rendimento</t>
  </si>
  <si>
    <t>812</t>
  </si>
  <si>
    <t>Desporto Comunitário</t>
  </si>
  <si>
    <t>813</t>
  </si>
  <si>
    <t>Lazer</t>
  </si>
  <si>
    <t>28</t>
  </si>
  <si>
    <t>Encargos Especiais</t>
  </si>
  <si>
    <t>841</t>
  </si>
  <si>
    <t>Refinanciamento da Dívida Interna</t>
  </si>
  <si>
    <t>843</t>
  </si>
  <si>
    <t>Serviço da Dívida Interna</t>
  </si>
  <si>
    <t>844</t>
  </si>
  <si>
    <t>Serviço da Dívida Externa</t>
  </si>
  <si>
    <t>846</t>
  </si>
  <si>
    <t>Outros Encargos Especiais</t>
  </si>
  <si>
    <t>99</t>
  </si>
  <si>
    <t>Reserva de Contingência</t>
  </si>
  <si>
    <t>999</t>
  </si>
  <si>
    <t>Reserva de Contingência do RPPS</t>
  </si>
  <si>
    <t>TOTAL (III) = (I) + (II)</t>
  </si>
  <si>
    <t>Continua (2/3)</t>
  </si>
  <si>
    <t>(3/3)</t>
  </si>
  <si>
    <t>Continua (1/3)</t>
  </si>
  <si>
    <t>092</t>
  </si>
  <si>
    <t>Representação Judicial e Extrajudicial</t>
  </si>
  <si>
    <t>Controle Interno</t>
  </si>
  <si>
    <t>124</t>
  </si>
  <si>
    <t>129</t>
  </si>
  <si>
    <t>Administração de Receitas</t>
  </si>
  <si>
    <t>Administração de Concessões</t>
  </si>
  <si>
    <t>130</t>
  </si>
  <si>
    <t>Difusão do Conhecimento Científico e Tecnológico</t>
  </si>
  <si>
    <t>332</t>
  </si>
  <si>
    <t>Relações de Trabalho</t>
  </si>
  <si>
    <t>RREO - Anexo 2 (LRF, Art 52, inciso II, alínea "c")</t>
  </si>
  <si>
    <t>Difusão do Conhecimento Científ e Tecnológ</t>
  </si>
  <si>
    <t>331</t>
  </si>
  <si>
    <t>Proteção e Benefícios ao Trabalhador</t>
  </si>
  <si>
    <t>692</t>
  </si>
  <si>
    <t>Comercialização</t>
  </si>
  <si>
    <t>997</t>
  </si>
  <si>
    <t>Reserva do Regime Próprio de Previdência do Servidor - RPPS</t>
  </si>
  <si>
    <t xml:space="preserve">     Contador - CRC-RJ-097281/O-6</t>
  </si>
  <si>
    <t xml:space="preserve">Contador - CRC-RJ-079208/O-8 </t>
  </si>
  <si>
    <t>Normalização e Qualidade</t>
  </si>
  <si>
    <t xml:space="preserve"> 302 </t>
  </si>
  <si>
    <t>368</t>
  </si>
  <si>
    <t>Educação Básica</t>
  </si>
  <si>
    <t>752</t>
  </si>
  <si>
    <t>Energia Elétrica</t>
  </si>
  <si>
    <t>Renato Ferreira Costa</t>
  </si>
  <si>
    <t>Coordenador - ID: 4.284.985-3</t>
  </si>
  <si>
    <t>Ronald Marcio G. Rodrigues</t>
  </si>
  <si>
    <t>Superintendente - ID: 1.943.584-3</t>
  </si>
  <si>
    <t>Contadora - CRC-RJ-115174/O-0</t>
  </si>
  <si>
    <t>Subsecretária de Estado - ID: 4.412.059-1</t>
  </si>
  <si>
    <t>Stephanie Guimarães da Silva</t>
  </si>
  <si>
    <t xml:space="preserve">          2 - Imprensa Oficial, CEDAE e AGERIO não constam nos Orçamentos Fiscal e da Seguridade Social no exercício de 2019.</t>
  </si>
  <si>
    <t xml:space="preserve">          3 - Este Demonstrativo não considera a casa dos centavos.</t>
  </si>
  <si>
    <t>FONTE: Siafe-Rio - Secretaria de Estado de Fazenda.</t>
  </si>
  <si>
    <t>Obs.:  1 - Excluídas a Imprensa Oficial, a CEDAE e a AGERIO por não se enquadrarem no conceito de Empresa Dependente.</t>
  </si>
  <si>
    <t>481</t>
  </si>
  <si>
    <t>Habitação Rural</t>
  </si>
  <si>
    <t xml:space="preserve"> Assistência ao Portador de Deficiência</t>
  </si>
  <si>
    <t xml:space="preserve"> Formação de Recursos Humanos</t>
  </si>
  <si>
    <t xml:space="preserve"> Assistência Comunitária</t>
  </si>
  <si>
    <t>FUNÇÃO/SUBFUNÇÃO - INTRA-ORÇAMENTÁRIAS</t>
  </si>
  <si>
    <t>(b/III b)</t>
  </si>
  <si>
    <t>(d/III d)</t>
  </si>
  <si>
    <t>JANEIRO A AGOSTO 2019/BIMESTRE JULHO-AGOSTO</t>
  </si>
  <si>
    <t>Emissão: 19/09/2019</t>
  </si>
</sst>
</file>

<file path=xl/styles.xml><?xml version="1.0" encoding="utf-8"?>
<styleSheet xmlns="http://schemas.openxmlformats.org/spreadsheetml/2006/main">
  <numFmts count="21">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0.0_);\(#,##0.0\)"/>
    <numFmt numFmtId="173" formatCode="_(* #,##0.0_);_(* \(#,##0.0\);_(* &quot;-&quot;??_);_(@_)"/>
    <numFmt numFmtId="174" formatCode="_(* #,##0_);_(* \(#,##0\);_(* &quot;-&quot;??_);_(@_)"/>
    <numFmt numFmtId="175" formatCode="_(* #,##0.000_);_(* \(#,##0.000\);_(* &quot;-&quot;??_);_(@_)"/>
    <numFmt numFmtId="176" formatCode="_(* #,##0.0000_);_(* \(#,##0.0000\);_(* &quot;-&quot;??_);_(@_)"/>
  </numFmts>
  <fonts count="45">
    <font>
      <sz val="10"/>
      <name val="Arial"/>
      <family val="0"/>
    </font>
    <font>
      <sz val="8"/>
      <name val="Times New Roman"/>
      <family val="1"/>
    </font>
    <font>
      <sz val="11"/>
      <name val="Times New Roman"/>
      <family val="1"/>
    </font>
    <font>
      <sz val="10"/>
      <name val="Times New Roman"/>
      <family val="1"/>
    </font>
    <font>
      <sz val="12"/>
      <name val="Times New Roman"/>
      <family val="1"/>
    </font>
    <font>
      <b/>
      <sz val="12"/>
      <name val="Times New Roman"/>
      <family val="1"/>
    </font>
    <font>
      <b/>
      <sz val="11"/>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2"/>
      <color indexed="10"/>
      <name val="Times New Roman"/>
      <family val="1"/>
    </font>
    <font>
      <sz val="10"/>
      <color indexed="10"/>
      <name val="Times New Roman"/>
      <family val="1"/>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2"/>
      <color rgb="FFFF0000"/>
      <name val="Times New Roman"/>
      <family val="1"/>
    </font>
    <font>
      <sz val="10"/>
      <color rgb="FFFF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2" fillId="29" borderId="1" applyNumberFormat="0" applyAlignment="0" applyProtection="0"/>
    <xf numFmtId="0" fontId="33"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5" fillId="21" borderId="5" applyNumberFormat="0" applyAlignment="0" applyProtection="0"/>
    <xf numFmtId="169"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41" fillId="0" borderId="8" applyNumberFormat="0" applyFill="0" applyAlignment="0" applyProtection="0"/>
    <xf numFmtId="0" fontId="41" fillId="0" borderId="0" applyNumberFormat="0" applyFill="0" applyBorder="0" applyAlignment="0" applyProtection="0"/>
    <xf numFmtId="0" fontId="42" fillId="0" borderId="9" applyNumberFormat="0" applyFill="0" applyAlignment="0" applyProtection="0"/>
    <xf numFmtId="171" fontId="0" fillId="0" borderId="0" applyFont="0" applyFill="0" applyBorder="0" applyAlignment="0" applyProtection="0"/>
  </cellStyleXfs>
  <cellXfs count="101">
    <xf numFmtId="0" fontId="0" fillId="0" borderId="0" xfId="0" applyAlignment="1">
      <alignment/>
    </xf>
    <xf numFmtId="49" fontId="1" fillId="0" borderId="0" xfId="0" applyNumberFormat="1" applyFont="1" applyFill="1" applyAlignment="1">
      <alignment horizontal="center"/>
    </xf>
    <xf numFmtId="0" fontId="3" fillId="0" borderId="0" xfId="0" applyFont="1" applyFill="1" applyAlignment="1">
      <alignment/>
    </xf>
    <xf numFmtId="0" fontId="3" fillId="0" borderId="0" xfId="0" applyFont="1" applyFill="1" applyBorder="1" applyAlignment="1">
      <alignment/>
    </xf>
    <xf numFmtId="0" fontId="4" fillId="0" borderId="0" xfId="0" applyFont="1" applyFill="1" applyBorder="1" applyAlignment="1">
      <alignment/>
    </xf>
    <xf numFmtId="0" fontId="4" fillId="0" borderId="0" xfId="0" applyFont="1" applyFill="1" applyAlignment="1">
      <alignment/>
    </xf>
    <xf numFmtId="0" fontId="5" fillId="0" borderId="0" xfId="0" applyFont="1" applyFill="1" applyBorder="1" applyAlignment="1">
      <alignment/>
    </xf>
    <xf numFmtId="0" fontId="2" fillId="0" borderId="0" xfId="0" applyFont="1" applyFill="1" applyAlignment="1">
      <alignment/>
    </xf>
    <xf numFmtId="0" fontId="2" fillId="0" borderId="0" xfId="0" applyFont="1" applyFill="1" applyBorder="1" applyAlignment="1">
      <alignment/>
    </xf>
    <xf numFmtId="174" fontId="2" fillId="0" borderId="0" xfId="60" applyNumberFormat="1" applyFont="1" applyFill="1" applyAlignment="1">
      <alignment/>
    </xf>
    <xf numFmtId="174" fontId="2" fillId="0" borderId="0" xfId="0" applyNumberFormat="1" applyFont="1" applyFill="1" applyAlignment="1">
      <alignment/>
    </xf>
    <xf numFmtId="49" fontId="5" fillId="33" borderId="10" xfId="0" applyNumberFormat="1" applyFont="1" applyFill="1" applyBorder="1" applyAlignment="1">
      <alignment horizontal="center"/>
    </xf>
    <xf numFmtId="0" fontId="5" fillId="33" borderId="11" xfId="0" applyFont="1" applyFill="1" applyBorder="1" applyAlignment="1">
      <alignment/>
    </xf>
    <xf numFmtId="0" fontId="5" fillId="33" borderId="11" xfId="0" applyFont="1" applyFill="1" applyBorder="1" applyAlignment="1">
      <alignment horizontal="center" vertical="center"/>
    </xf>
    <xf numFmtId="0" fontId="5" fillId="33" borderId="12" xfId="0" applyFont="1" applyFill="1" applyBorder="1" applyAlignment="1">
      <alignment horizontal="center" vertical="center"/>
    </xf>
    <xf numFmtId="49" fontId="5" fillId="33" borderId="13" xfId="0" applyNumberFormat="1" applyFont="1" applyFill="1" applyBorder="1" applyAlignment="1">
      <alignment horizontal="center" vertical="center"/>
    </xf>
    <xf numFmtId="0" fontId="5" fillId="33" borderId="14" xfId="0" applyFont="1" applyFill="1" applyBorder="1" applyAlignment="1">
      <alignment horizontal="center" vertical="center"/>
    </xf>
    <xf numFmtId="0" fontId="5" fillId="33" borderId="14" xfId="0" applyFont="1" applyFill="1" applyBorder="1" applyAlignment="1">
      <alignment vertical="center"/>
    </xf>
    <xf numFmtId="0" fontId="5" fillId="33" borderId="15" xfId="0" applyFont="1" applyFill="1" applyBorder="1" applyAlignment="1">
      <alignment vertical="center"/>
    </xf>
    <xf numFmtId="49" fontId="5" fillId="33" borderId="16" xfId="0" applyNumberFormat="1" applyFont="1" applyFill="1" applyBorder="1" applyAlignment="1">
      <alignment horizontal="center"/>
    </xf>
    <xf numFmtId="0" fontId="5" fillId="33" borderId="17" xfId="0" applyFont="1" applyFill="1" applyBorder="1" applyAlignment="1">
      <alignment/>
    </xf>
    <xf numFmtId="0" fontId="5" fillId="33" borderId="17" xfId="0" applyFont="1" applyFill="1" applyBorder="1" applyAlignment="1">
      <alignment horizontal="center"/>
    </xf>
    <xf numFmtId="0" fontId="5" fillId="33" borderId="17" xfId="0" applyFont="1" applyFill="1" applyBorder="1" applyAlignment="1">
      <alignment horizontal="center" vertical="center"/>
    </xf>
    <xf numFmtId="0" fontId="5" fillId="33" borderId="18" xfId="0" applyFont="1" applyFill="1" applyBorder="1" applyAlignment="1">
      <alignment horizontal="center" vertical="center"/>
    </xf>
    <xf numFmtId="49" fontId="4" fillId="34" borderId="0" xfId="0" applyNumberFormat="1" applyFont="1" applyFill="1" applyAlignment="1">
      <alignment horizontal="center"/>
    </xf>
    <xf numFmtId="0" fontId="4" fillId="34" borderId="14" xfId="0" applyFont="1" applyFill="1" applyBorder="1" applyAlignment="1">
      <alignment/>
    </xf>
    <xf numFmtId="0" fontId="4" fillId="34" borderId="0" xfId="0" applyFont="1" applyFill="1" applyAlignment="1">
      <alignment horizontal="right"/>
    </xf>
    <xf numFmtId="0" fontId="5" fillId="34" borderId="14" xfId="0" applyFont="1" applyFill="1" applyBorder="1" applyAlignment="1">
      <alignment/>
    </xf>
    <xf numFmtId="49" fontId="43" fillId="34" borderId="0" xfId="0" applyNumberFormat="1" applyFont="1" applyFill="1" applyAlignment="1">
      <alignment horizontal="center"/>
    </xf>
    <xf numFmtId="0" fontId="4" fillId="34" borderId="0" xfId="0" applyFont="1" applyFill="1" applyAlignment="1">
      <alignment/>
    </xf>
    <xf numFmtId="0" fontId="4" fillId="34" borderId="0" xfId="0" applyFont="1" applyFill="1" applyAlignment="1">
      <alignment horizontal="center"/>
    </xf>
    <xf numFmtId="49" fontId="4" fillId="34" borderId="0" xfId="0" applyNumberFormat="1" applyFont="1" applyFill="1" applyAlignment="1">
      <alignment/>
    </xf>
    <xf numFmtId="0" fontId="4" fillId="34" borderId="0" xfId="0" applyFont="1" applyFill="1" applyBorder="1" applyAlignment="1">
      <alignment/>
    </xf>
    <xf numFmtId="172" fontId="4" fillId="34" borderId="0" xfId="0" applyNumberFormat="1" applyFont="1" applyFill="1" applyAlignment="1">
      <alignment/>
    </xf>
    <xf numFmtId="167" fontId="4" fillId="34" borderId="0" xfId="0" applyNumberFormat="1" applyFont="1" applyFill="1" applyAlignment="1">
      <alignment horizontal="right"/>
    </xf>
    <xf numFmtId="49" fontId="5" fillId="34" borderId="0" xfId="0" applyNumberFormat="1" applyFont="1" applyFill="1" applyAlignment="1">
      <alignment horizontal="center"/>
    </xf>
    <xf numFmtId="0" fontId="5" fillId="34" borderId="11" xfId="0" applyFont="1" applyFill="1" applyBorder="1" applyAlignment="1">
      <alignment/>
    </xf>
    <xf numFmtId="174" fontId="5" fillId="34" borderId="14" xfId="60" applyNumberFormat="1" applyFont="1" applyFill="1" applyBorder="1" applyAlignment="1">
      <alignment/>
    </xf>
    <xf numFmtId="174" fontId="5" fillId="34" borderId="14" xfId="60" applyNumberFormat="1" applyFont="1" applyFill="1" applyBorder="1" applyAlignment="1">
      <alignment horizontal="center"/>
    </xf>
    <xf numFmtId="171" fontId="5" fillId="34" borderId="14" xfId="60" applyFont="1" applyFill="1" applyBorder="1" applyAlignment="1">
      <alignment horizontal="center"/>
    </xf>
    <xf numFmtId="174" fontId="5" fillId="34" borderId="15" xfId="60" applyNumberFormat="1" applyFont="1" applyFill="1" applyBorder="1" applyAlignment="1">
      <alignment horizontal="center"/>
    </xf>
    <xf numFmtId="174" fontId="5" fillId="34" borderId="14" xfId="60" applyNumberFormat="1" applyFont="1" applyFill="1" applyBorder="1" applyAlignment="1">
      <alignment/>
    </xf>
    <xf numFmtId="171" fontId="5" fillId="34" borderId="14" xfId="60" applyFont="1" applyFill="1" applyBorder="1" applyAlignment="1">
      <alignment/>
    </xf>
    <xf numFmtId="174" fontId="5" fillId="34" borderId="15" xfId="60" applyNumberFormat="1" applyFont="1" applyFill="1" applyBorder="1" applyAlignment="1">
      <alignment/>
    </xf>
    <xf numFmtId="174" fontId="4" fillId="34" borderId="14" xfId="60" applyNumberFormat="1" applyFont="1" applyFill="1" applyBorder="1" applyAlignment="1">
      <alignment/>
    </xf>
    <xf numFmtId="171" fontId="4" fillId="34" borderId="14" xfId="60" applyFont="1" applyFill="1" applyBorder="1" applyAlignment="1">
      <alignment horizontal="center"/>
    </xf>
    <xf numFmtId="171" fontId="4" fillId="34" borderId="14" xfId="60" applyFont="1" applyFill="1" applyBorder="1" applyAlignment="1">
      <alignment/>
    </xf>
    <xf numFmtId="174" fontId="4" fillId="34" borderId="15" xfId="60" applyNumberFormat="1" applyFont="1" applyFill="1" applyBorder="1" applyAlignment="1">
      <alignment/>
    </xf>
    <xf numFmtId="49" fontId="4" fillId="34" borderId="19" xfId="0" applyNumberFormat="1" applyFont="1" applyFill="1" applyBorder="1" applyAlignment="1">
      <alignment horizontal="center"/>
    </xf>
    <xf numFmtId="0" fontId="4" fillId="34" borderId="17" xfId="0" applyFont="1" applyFill="1" applyBorder="1" applyAlignment="1">
      <alignment/>
    </xf>
    <xf numFmtId="174" fontId="4" fillId="34" borderId="17" xfId="60" applyNumberFormat="1" applyFont="1" applyFill="1" applyBorder="1" applyAlignment="1">
      <alignment/>
    </xf>
    <xf numFmtId="171" fontId="4" fillId="34" borderId="17" xfId="60" applyFont="1" applyFill="1" applyBorder="1" applyAlignment="1">
      <alignment/>
    </xf>
    <xf numFmtId="174" fontId="4" fillId="34" borderId="18" xfId="60" applyNumberFormat="1" applyFont="1" applyFill="1" applyBorder="1" applyAlignment="1">
      <alignment/>
    </xf>
    <xf numFmtId="49" fontId="4" fillId="34" borderId="0" xfId="0" applyNumberFormat="1" applyFont="1" applyFill="1" applyBorder="1" applyAlignment="1">
      <alignment horizontal="center"/>
    </xf>
    <xf numFmtId="174" fontId="4" fillId="34" borderId="0" xfId="60" applyNumberFormat="1" applyFont="1" applyFill="1" applyBorder="1" applyAlignment="1">
      <alignment/>
    </xf>
    <xf numFmtId="171" fontId="4" fillId="34" borderId="0" xfId="60" applyFont="1" applyFill="1" applyBorder="1" applyAlignment="1">
      <alignment/>
    </xf>
    <xf numFmtId="174" fontId="4" fillId="34" borderId="0" xfId="60" applyNumberFormat="1" applyFont="1" applyFill="1" applyBorder="1" applyAlignment="1">
      <alignment horizontal="right"/>
    </xf>
    <xf numFmtId="49" fontId="4" fillId="34" borderId="13" xfId="0" applyNumberFormat="1" applyFont="1" applyFill="1" applyBorder="1" applyAlignment="1">
      <alignment horizontal="center"/>
    </xf>
    <xf numFmtId="0" fontId="4" fillId="34" borderId="13" xfId="0" applyFont="1" applyFill="1" applyBorder="1" applyAlignment="1">
      <alignment/>
    </xf>
    <xf numFmtId="174" fontId="4" fillId="34" borderId="13" xfId="60" applyNumberFormat="1" applyFont="1" applyFill="1" applyBorder="1" applyAlignment="1">
      <alignment/>
    </xf>
    <xf numFmtId="0" fontId="4" fillId="34" borderId="15" xfId="0" applyFont="1" applyFill="1" applyBorder="1" applyAlignment="1">
      <alignment/>
    </xf>
    <xf numFmtId="174" fontId="4" fillId="34" borderId="0" xfId="60" applyNumberFormat="1" applyFont="1" applyFill="1" applyBorder="1" applyAlignment="1" applyProtection="1">
      <alignment/>
      <protection locked="0"/>
    </xf>
    <xf numFmtId="174" fontId="5" fillId="34" borderId="20" xfId="60" applyNumberFormat="1" applyFont="1" applyFill="1" applyBorder="1" applyAlignment="1">
      <alignment/>
    </xf>
    <xf numFmtId="171" fontId="5" fillId="34" borderId="20" xfId="60" applyFont="1" applyFill="1" applyBorder="1" applyAlignment="1">
      <alignment/>
    </xf>
    <xf numFmtId="174" fontId="5" fillId="34" borderId="21" xfId="60" applyNumberFormat="1" applyFont="1" applyFill="1" applyBorder="1" applyAlignment="1">
      <alignment/>
    </xf>
    <xf numFmtId="49" fontId="2" fillId="34" borderId="0" xfId="0" applyNumberFormat="1" applyFont="1" applyFill="1" applyAlignment="1">
      <alignment horizontal="left"/>
    </xf>
    <xf numFmtId="0" fontId="2" fillId="34" borderId="0" xfId="0" applyFont="1" applyFill="1" applyAlignment="1">
      <alignment/>
    </xf>
    <xf numFmtId="0" fontId="3" fillId="34" borderId="0" xfId="0" applyFont="1" applyFill="1" applyAlignment="1">
      <alignment/>
    </xf>
    <xf numFmtId="174" fontId="5" fillId="34" borderId="0" xfId="60" applyNumberFormat="1" applyFont="1" applyFill="1" applyBorder="1" applyAlignment="1">
      <alignment/>
    </xf>
    <xf numFmtId="171" fontId="5" fillId="34" borderId="0" xfId="60" applyFont="1" applyFill="1" applyBorder="1" applyAlignment="1">
      <alignment/>
    </xf>
    <xf numFmtId="49" fontId="5" fillId="34" borderId="0" xfId="0" applyNumberFormat="1" applyFont="1" applyFill="1" applyBorder="1" applyAlignment="1">
      <alignment horizontal="center"/>
    </xf>
    <xf numFmtId="0" fontId="5" fillId="34" borderId="0" xfId="0" applyFont="1" applyFill="1" applyBorder="1" applyAlignment="1">
      <alignment/>
    </xf>
    <xf numFmtId="0" fontId="5" fillId="34" borderId="15" xfId="0" applyFont="1" applyFill="1" applyBorder="1" applyAlignment="1">
      <alignment/>
    </xf>
    <xf numFmtId="49" fontId="5" fillId="34" borderId="13" xfId="0" applyNumberFormat="1" applyFont="1" applyFill="1" applyBorder="1" applyAlignment="1">
      <alignment horizontal="center"/>
    </xf>
    <xf numFmtId="174" fontId="44" fillId="34" borderId="0" xfId="0" applyNumberFormat="1" applyFont="1" applyFill="1" applyAlignment="1">
      <alignment/>
    </xf>
    <xf numFmtId="171" fontId="6" fillId="34" borderId="0" xfId="60" applyFont="1" applyFill="1" applyBorder="1" applyAlignment="1">
      <alignment/>
    </xf>
    <xf numFmtId="0" fontId="2" fillId="34" borderId="0" xfId="0" applyFont="1" applyFill="1" applyAlignment="1">
      <alignment horizontal="right"/>
    </xf>
    <xf numFmtId="174" fontId="3" fillId="34" borderId="0" xfId="0" applyNumberFormat="1" applyFont="1" applyFill="1" applyAlignment="1">
      <alignment/>
    </xf>
    <xf numFmtId="49" fontId="1" fillId="34" borderId="0" xfId="0" applyNumberFormat="1" applyFont="1" applyFill="1" applyAlignment="1">
      <alignment horizontal="center"/>
    </xf>
    <xf numFmtId="49" fontId="2" fillId="34" borderId="0" xfId="0" applyNumberFormat="1" applyFont="1" applyFill="1" applyAlignment="1">
      <alignment horizontal="center"/>
    </xf>
    <xf numFmtId="174" fontId="5" fillId="34" borderId="11" xfId="60" applyNumberFormat="1" applyFont="1" applyFill="1" applyBorder="1" applyAlignment="1">
      <alignment/>
    </xf>
    <xf numFmtId="171" fontId="5" fillId="34" borderId="11" xfId="60" applyFont="1" applyFill="1" applyBorder="1" applyAlignment="1">
      <alignment/>
    </xf>
    <xf numFmtId="49" fontId="5" fillId="34" borderId="19" xfId="0" applyNumberFormat="1" applyFont="1" applyFill="1" applyBorder="1" applyAlignment="1">
      <alignment horizontal="center"/>
    </xf>
    <xf numFmtId="0" fontId="5" fillId="34" borderId="17" xfId="0" applyFont="1" applyFill="1" applyBorder="1" applyAlignment="1">
      <alignment/>
    </xf>
    <xf numFmtId="174" fontId="5" fillId="34" borderId="17" xfId="60" applyNumberFormat="1" applyFont="1" applyFill="1" applyBorder="1" applyAlignment="1">
      <alignment/>
    </xf>
    <xf numFmtId="171" fontId="5" fillId="34" borderId="17" xfId="60" applyFont="1" applyFill="1" applyBorder="1" applyAlignment="1">
      <alignment/>
    </xf>
    <xf numFmtId="174" fontId="5" fillId="34" borderId="18" xfId="60" applyNumberFormat="1" applyFont="1" applyFill="1" applyBorder="1" applyAlignment="1">
      <alignment/>
    </xf>
    <xf numFmtId="171" fontId="4" fillId="34" borderId="0" xfId="60" applyFont="1" applyFill="1" applyAlignment="1">
      <alignment horizontal="center"/>
    </xf>
    <xf numFmtId="174" fontId="4" fillId="0" borderId="0" xfId="0" applyNumberFormat="1" applyFont="1" applyFill="1" applyBorder="1" applyAlignment="1">
      <alignment/>
    </xf>
    <xf numFmtId="174" fontId="4" fillId="34" borderId="0" xfId="0" applyNumberFormat="1" applyFont="1" applyFill="1" applyBorder="1" applyAlignment="1">
      <alignment/>
    </xf>
    <xf numFmtId="174" fontId="4" fillId="34" borderId="0" xfId="0" applyNumberFormat="1" applyFont="1" applyFill="1" applyAlignment="1">
      <alignment horizontal="right"/>
    </xf>
    <xf numFmtId="174" fontId="4" fillId="34" borderId="14" xfId="60" applyNumberFormat="1" applyFont="1" applyFill="1" applyBorder="1" applyAlignment="1">
      <alignment wrapText="1"/>
    </xf>
    <xf numFmtId="0" fontId="4" fillId="34" borderId="0" xfId="0" applyFont="1" applyFill="1" applyAlignment="1">
      <alignment horizontal="center"/>
    </xf>
    <xf numFmtId="0" fontId="5" fillId="34" borderId="0" xfId="0" applyFont="1" applyFill="1" applyAlignment="1">
      <alignment horizontal="center"/>
    </xf>
    <xf numFmtId="0" fontId="5" fillId="33" borderId="21" xfId="0" applyFont="1" applyFill="1" applyBorder="1" applyAlignment="1">
      <alignment horizontal="center" vertical="center"/>
    </xf>
    <xf numFmtId="0" fontId="5" fillId="33" borderId="22" xfId="0" applyFont="1" applyFill="1" applyBorder="1" applyAlignment="1">
      <alignment horizontal="center" vertical="center"/>
    </xf>
    <xf numFmtId="0" fontId="5" fillId="33" borderId="23" xfId="0" applyFont="1" applyFill="1" applyBorder="1" applyAlignment="1">
      <alignment horizontal="center" vertical="center"/>
    </xf>
    <xf numFmtId="49" fontId="2" fillId="34" borderId="0" xfId="0" applyNumberFormat="1" applyFont="1" applyFill="1" applyAlignment="1">
      <alignment horizontal="center"/>
    </xf>
    <xf numFmtId="0" fontId="2" fillId="34" borderId="0" xfId="0" applyFont="1" applyFill="1" applyAlignment="1">
      <alignment horizontal="center"/>
    </xf>
    <xf numFmtId="49" fontId="5" fillId="34" borderId="22" xfId="0" applyNumberFormat="1" applyFont="1" applyFill="1" applyBorder="1" applyAlignment="1">
      <alignment horizontal="left"/>
    </xf>
    <xf numFmtId="49" fontId="5" fillId="34" borderId="23" xfId="0" applyNumberFormat="1" applyFont="1" applyFill="1" applyBorder="1" applyAlignment="1">
      <alignment horizontal="left"/>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647700</xdr:colOff>
      <xdr:row>0</xdr:row>
      <xdr:rowOff>161925</xdr:rowOff>
    </xdr:from>
    <xdr:to>
      <xdr:col>5</xdr:col>
      <xdr:colOff>38100</xdr:colOff>
      <xdr:row>3</xdr:row>
      <xdr:rowOff>161925</xdr:rowOff>
    </xdr:to>
    <xdr:pic>
      <xdr:nvPicPr>
        <xdr:cNvPr id="1" name="Picture 1"/>
        <xdr:cNvPicPr preferRelativeResize="1">
          <a:picLocks noChangeAspect="1"/>
        </xdr:cNvPicPr>
      </xdr:nvPicPr>
      <xdr:blipFill>
        <a:blip r:embed="rId1"/>
        <a:stretch>
          <a:fillRect/>
        </a:stretch>
      </xdr:blipFill>
      <xdr:spPr>
        <a:xfrm>
          <a:off x="7705725" y="161925"/>
          <a:ext cx="695325" cy="600075"/>
        </a:xfrm>
        <a:prstGeom prst="rect">
          <a:avLst/>
        </a:prstGeom>
        <a:noFill/>
        <a:ln w="9525" cmpd="sng">
          <a:noFill/>
        </a:ln>
      </xdr:spPr>
    </xdr:pic>
    <xdr:clientData/>
  </xdr:twoCellAnchor>
  <xdr:twoCellAnchor editAs="oneCell">
    <xdr:from>
      <xdr:col>4</xdr:col>
      <xdr:colOff>581025</xdr:colOff>
      <xdr:row>129</xdr:row>
      <xdr:rowOff>66675</xdr:rowOff>
    </xdr:from>
    <xdr:to>
      <xdr:col>4</xdr:col>
      <xdr:colOff>1276350</xdr:colOff>
      <xdr:row>132</xdr:row>
      <xdr:rowOff>161925</xdr:rowOff>
    </xdr:to>
    <xdr:pic>
      <xdr:nvPicPr>
        <xdr:cNvPr id="2" name="Picture 1"/>
        <xdr:cNvPicPr preferRelativeResize="1">
          <a:picLocks noChangeAspect="1"/>
        </xdr:cNvPicPr>
      </xdr:nvPicPr>
      <xdr:blipFill>
        <a:blip r:embed="rId1"/>
        <a:stretch>
          <a:fillRect/>
        </a:stretch>
      </xdr:blipFill>
      <xdr:spPr>
        <a:xfrm>
          <a:off x="7639050" y="25869900"/>
          <a:ext cx="695325" cy="695325"/>
        </a:xfrm>
        <a:prstGeom prst="rect">
          <a:avLst/>
        </a:prstGeom>
        <a:noFill/>
        <a:ln w="9525" cmpd="sng">
          <a:noFill/>
        </a:ln>
      </xdr:spPr>
    </xdr:pic>
    <xdr:clientData/>
  </xdr:twoCellAnchor>
  <xdr:twoCellAnchor editAs="oneCell">
    <xdr:from>
      <xdr:col>4</xdr:col>
      <xdr:colOff>552450</xdr:colOff>
      <xdr:row>258</xdr:row>
      <xdr:rowOff>104775</xdr:rowOff>
    </xdr:from>
    <xdr:to>
      <xdr:col>4</xdr:col>
      <xdr:colOff>1247775</xdr:colOff>
      <xdr:row>261</xdr:row>
      <xdr:rowOff>133350</xdr:rowOff>
    </xdr:to>
    <xdr:pic>
      <xdr:nvPicPr>
        <xdr:cNvPr id="3" name="Picture 1"/>
        <xdr:cNvPicPr preferRelativeResize="1">
          <a:picLocks noChangeAspect="1"/>
        </xdr:cNvPicPr>
      </xdr:nvPicPr>
      <xdr:blipFill>
        <a:blip r:embed="rId1"/>
        <a:stretch>
          <a:fillRect/>
        </a:stretch>
      </xdr:blipFill>
      <xdr:spPr>
        <a:xfrm>
          <a:off x="7610475" y="51663600"/>
          <a:ext cx="695325" cy="628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401"/>
  <sheetViews>
    <sheetView tabSelected="1" zoomScale="70" zoomScaleNormal="70" zoomScalePageLayoutView="0" workbookViewId="0" topLeftCell="A1">
      <selection activeCell="M16" sqref="M16"/>
    </sheetView>
  </sheetViews>
  <sheetFormatPr defaultColWidth="9.140625" defaultRowHeight="12.75"/>
  <cols>
    <col min="1" max="1" width="5.8515625" style="1" customWidth="1"/>
    <col min="2" max="2" width="62.28125" style="2" customWidth="1"/>
    <col min="3" max="3" width="19.421875" style="2" customWidth="1"/>
    <col min="4" max="4" width="18.28125" style="2" customWidth="1"/>
    <col min="5" max="5" width="19.57421875" style="2" bestFit="1" customWidth="1"/>
    <col min="6" max="6" width="18.57421875" style="2" customWidth="1"/>
    <col min="7" max="7" width="11.140625" style="2" customWidth="1"/>
    <col min="8" max="8" width="19.140625" style="2" bestFit="1" customWidth="1"/>
    <col min="9" max="9" width="19.140625" style="2" customWidth="1"/>
    <col min="10" max="10" width="18.140625" style="2" bestFit="1" customWidth="1"/>
    <col min="11" max="11" width="10.421875" style="2" customWidth="1"/>
    <col min="12" max="12" width="21.28125" style="2" customWidth="1"/>
    <col min="13" max="13" width="9.140625" style="3" customWidth="1"/>
    <col min="14" max="14" width="9.140625" style="2" customWidth="1"/>
    <col min="15" max="15" width="8.421875" style="2" customWidth="1"/>
    <col min="16" max="16384" width="9.140625" style="2" customWidth="1"/>
  </cols>
  <sheetData>
    <row r="1" spans="1:12" ht="15.75">
      <c r="A1" s="28"/>
      <c r="B1" s="29"/>
      <c r="C1" s="29"/>
      <c r="D1" s="29"/>
      <c r="E1" s="29"/>
      <c r="F1" s="29"/>
      <c r="G1" s="29"/>
      <c r="H1" s="29"/>
      <c r="I1" s="29"/>
      <c r="J1" s="29"/>
      <c r="K1" s="29"/>
      <c r="L1" s="29"/>
    </row>
    <row r="2" spans="1:12" ht="15.75">
      <c r="A2" s="24"/>
      <c r="B2" s="29"/>
      <c r="C2" s="29"/>
      <c r="D2" s="29"/>
      <c r="E2" s="29"/>
      <c r="F2" s="29"/>
      <c r="G2" s="29"/>
      <c r="H2" s="29"/>
      <c r="I2" s="29"/>
      <c r="J2" s="29"/>
      <c r="K2" s="29"/>
      <c r="L2" s="29"/>
    </row>
    <row r="3" spans="1:12" ht="15.75">
      <c r="A3" s="24"/>
      <c r="B3" s="29"/>
      <c r="C3" s="29"/>
      <c r="D3" s="29"/>
      <c r="E3" s="29"/>
      <c r="F3" s="29"/>
      <c r="G3" s="29"/>
      <c r="H3" s="29"/>
      <c r="I3" s="29"/>
      <c r="J3" s="29"/>
      <c r="K3" s="29"/>
      <c r="L3" s="29"/>
    </row>
    <row r="4" spans="1:12" ht="15.75">
      <c r="A4" s="24"/>
      <c r="B4" s="29"/>
      <c r="C4" s="29"/>
      <c r="D4" s="29"/>
      <c r="E4" s="29"/>
      <c r="F4" s="29"/>
      <c r="G4" s="29"/>
      <c r="H4" s="29"/>
      <c r="I4" s="29"/>
      <c r="J4" s="29"/>
      <c r="K4" s="29"/>
      <c r="L4" s="29"/>
    </row>
    <row r="5" spans="1:13" s="5" customFormat="1" ht="15.75">
      <c r="A5" s="92" t="s">
        <v>14</v>
      </c>
      <c r="B5" s="92"/>
      <c r="C5" s="92"/>
      <c r="D5" s="92"/>
      <c r="E5" s="92"/>
      <c r="F5" s="92"/>
      <c r="G5" s="92"/>
      <c r="H5" s="92"/>
      <c r="I5" s="92"/>
      <c r="J5" s="92"/>
      <c r="K5" s="92"/>
      <c r="L5" s="92"/>
      <c r="M5" s="4"/>
    </row>
    <row r="6" spans="1:13" s="5" customFormat="1" ht="15.75">
      <c r="A6" s="92" t="s">
        <v>0</v>
      </c>
      <c r="B6" s="92"/>
      <c r="C6" s="92"/>
      <c r="D6" s="92"/>
      <c r="E6" s="92"/>
      <c r="F6" s="92"/>
      <c r="G6" s="92"/>
      <c r="H6" s="92"/>
      <c r="I6" s="92"/>
      <c r="J6" s="92"/>
      <c r="K6" s="92"/>
      <c r="L6" s="92"/>
      <c r="M6" s="4"/>
    </row>
    <row r="7" spans="1:13" s="5" customFormat="1" ht="15.75">
      <c r="A7" s="93" t="s">
        <v>1</v>
      </c>
      <c r="B7" s="93"/>
      <c r="C7" s="93"/>
      <c r="D7" s="93"/>
      <c r="E7" s="93"/>
      <c r="F7" s="93"/>
      <c r="G7" s="93"/>
      <c r="H7" s="93"/>
      <c r="I7" s="93"/>
      <c r="J7" s="93"/>
      <c r="K7" s="93"/>
      <c r="L7" s="93"/>
      <c r="M7" s="6"/>
    </row>
    <row r="8" spans="1:13" s="5" customFormat="1" ht="15.75">
      <c r="A8" s="92" t="s">
        <v>2</v>
      </c>
      <c r="B8" s="92"/>
      <c r="C8" s="92"/>
      <c r="D8" s="92"/>
      <c r="E8" s="92"/>
      <c r="F8" s="92"/>
      <c r="G8" s="92"/>
      <c r="H8" s="92"/>
      <c r="I8" s="92"/>
      <c r="J8" s="92"/>
      <c r="K8" s="92"/>
      <c r="L8" s="92"/>
      <c r="M8" s="4"/>
    </row>
    <row r="9" spans="1:13" s="5" customFormat="1" ht="15.75">
      <c r="A9" s="92" t="s">
        <v>275</v>
      </c>
      <c r="B9" s="92"/>
      <c r="C9" s="92"/>
      <c r="D9" s="92"/>
      <c r="E9" s="92"/>
      <c r="F9" s="92"/>
      <c r="G9" s="92"/>
      <c r="H9" s="92"/>
      <c r="I9" s="92"/>
      <c r="J9" s="92"/>
      <c r="K9" s="92"/>
      <c r="L9" s="92"/>
      <c r="M9" s="4"/>
    </row>
    <row r="10" spans="1:13" s="5" customFormat="1" ht="15.75">
      <c r="A10" s="30"/>
      <c r="B10" s="30"/>
      <c r="C10" s="30"/>
      <c r="D10" s="30"/>
      <c r="E10" s="30"/>
      <c r="F10" s="30"/>
      <c r="G10" s="30"/>
      <c r="H10" s="30"/>
      <c r="I10" s="30"/>
      <c r="J10" s="30"/>
      <c r="K10" s="30"/>
      <c r="L10" s="30"/>
      <c r="M10" s="88"/>
    </row>
    <row r="11" spans="1:12" ht="15.75">
      <c r="A11" s="24"/>
      <c r="B11" s="24"/>
      <c r="C11" s="87"/>
      <c r="D11" s="87"/>
      <c r="E11" s="87"/>
      <c r="F11" s="87"/>
      <c r="G11" s="87"/>
      <c r="H11" s="87"/>
      <c r="I11" s="87"/>
      <c r="J11" s="87"/>
      <c r="K11" s="24"/>
      <c r="L11" s="26" t="s">
        <v>276</v>
      </c>
    </row>
    <row r="12" spans="1:13" s="7" customFormat="1" ht="15.75">
      <c r="A12" s="31" t="s">
        <v>240</v>
      </c>
      <c r="B12" s="29"/>
      <c r="C12" s="89"/>
      <c r="D12" s="89"/>
      <c r="E12" s="89"/>
      <c r="F12" s="89"/>
      <c r="G12" s="89"/>
      <c r="H12" s="89"/>
      <c r="I12" s="89"/>
      <c r="J12" s="89"/>
      <c r="K12" s="90"/>
      <c r="L12" s="34">
        <v>1</v>
      </c>
      <c r="M12" s="8"/>
    </row>
    <row r="13" spans="1:13" s="7" customFormat="1" ht="15.75">
      <c r="A13" s="11"/>
      <c r="B13" s="12"/>
      <c r="C13" s="13" t="s">
        <v>3</v>
      </c>
      <c r="D13" s="13" t="s">
        <v>3</v>
      </c>
      <c r="E13" s="94" t="s">
        <v>4</v>
      </c>
      <c r="F13" s="95"/>
      <c r="G13" s="96"/>
      <c r="H13" s="13" t="s">
        <v>18</v>
      </c>
      <c r="I13" s="94" t="s">
        <v>5</v>
      </c>
      <c r="J13" s="95"/>
      <c r="K13" s="95"/>
      <c r="L13" s="14" t="s">
        <v>18</v>
      </c>
      <c r="M13" s="8"/>
    </row>
    <row r="14" spans="1:13" s="7" customFormat="1" ht="15.75">
      <c r="A14" s="15" t="s">
        <v>23</v>
      </c>
      <c r="B14" s="16" t="s">
        <v>6</v>
      </c>
      <c r="C14" s="16" t="s">
        <v>7</v>
      </c>
      <c r="D14" s="16" t="s">
        <v>8</v>
      </c>
      <c r="E14" s="16" t="s">
        <v>9</v>
      </c>
      <c r="F14" s="16" t="s">
        <v>10</v>
      </c>
      <c r="G14" s="16" t="s">
        <v>11</v>
      </c>
      <c r="H14" s="17"/>
      <c r="I14" s="16" t="s">
        <v>9</v>
      </c>
      <c r="J14" s="16" t="s">
        <v>10</v>
      </c>
      <c r="K14" s="16" t="s">
        <v>11</v>
      </c>
      <c r="L14" s="18"/>
      <c r="M14" s="8"/>
    </row>
    <row r="15" spans="1:13" s="7" customFormat="1" ht="15.75">
      <c r="A15" s="19"/>
      <c r="B15" s="20"/>
      <c r="C15" s="20"/>
      <c r="D15" s="21" t="s">
        <v>12</v>
      </c>
      <c r="E15" s="21"/>
      <c r="F15" s="21" t="s">
        <v>13</v>
      </c>
      <c r="G15" s="21" t="s">
        <v>17</v>
      </c>
      <c r="H15" s="22" t="s">
        <v>19</v>
      </c>
      <c r="I15" s="21"/>
      <c r="J15" s="21" t="s">
        <v>20</v>
      </c>
      <c r="K15" s="21" t="s">
        <v>21</v>
      </c>
      <c r="L15" s="23" t="s">
        <v>22</v>
      </c>
      <c r="M15" s="8"/>
    </row>
    <row r="16" spans="1:13" s="7" customFormat="1" ht="15.75">
      <c r="A16" s="35"/>
      <c r="B16" s="36" t="s">
        <v>15</v>
      </c>
      <c r="C16" s="37">
        <f>C17+C25+C28+C33+C51+C67+C77+C81+C93+C98+C115+C120+C145+C149+C154+C158+C167+C176+C190+C194+C206+C215+C219+C229+C234+C240</f>
        <v>74866214124</v>
      </c>
      <c r="D16" s="38">
        <f>D17+D25+D28+D33+D51+D67+D77+D81+D93+D98+D115+D120+D145+D149+D154+D158+D167+D176+D190+D194+D206+D215+D219+D229+D234+D240</f>
        <v>75607996020</v>
      </c>
      <c r="E16" s="38">
        <f>E17+E25+E28+E33+E51+E67+E77+E81+E93+E98+E115+E120+E145+E149+E154+E158+E167+E176+E190+E194+E206+E215+E219+E229+E234+E240</f>
        <v>9515643871</v>
      </c>
      <c r="F16" s="38">
        <f>F17+F25+F28+F33+F51+F67+F77+F81+F93+F98+F115+F120+F145+F149+F154+F158+F167+F176+F190+F194+F206+F215+F219+F229+F234+F240</f>
        <v>37685540341</v>
      </c>
      <c r="G16" s="39">
        <f aca="true" t="shared" si="0" ref="G16:G47">(F16/$F$244)*100</f>
        <v>89.6117726668935</v>
      </c>
      <c r="H16" s="38">
        <f>D16-F16</f>
        <v>37922455679</v>
      </c>
      <c r="I16" s="38">
        <f>I17+I25+I28+I33+I51+I67+I77+I81+I93+I98+I115+I120+I145+I149+I154+I158+I167+I176+I190+I194+I206+I215+I219+I229+I234+I240</f>
        <v>9529523330</v>
      </c>
      <c r="J16" s="38">
        <f>J17+J25+J28+J33+J51+J67+J77+J81+J93+J98+J115+J120+J145+J149+J154+J158+J167+J176+J190+J194+J206+J215+J219+J229+J234+J240</f>
        <v>34829508748</v>
      </c>
      <c r="K16" s="39">
        <f aca="true" t="shared" si="1" ref="K16:K47">(J16/$J$244)*100</f>
        <v>89.26236147441237</v>
      </c>
      <c r="L16" s="40">
        <f>D16-J16</f>
        <v>40778487272</v>
      </c>
      <c r="M16" s="8"/>
    </row>
    <row r="17" spans="1:13" s="7" customFormat="1" ht="15.75">
      <c r="A17" s="35" t="s">
        <v>25</v>
      </c>
      <c r="B17" s="27" t="s">
        <v>24</v>
      </c>
      <c r="C17" s="41">
        <f>SUM(C18:C24)</f>
        <v>1807734445</v>
      </c>
      <c r="D17" s="41">
        <f>SUM(D18:D24)</f>
        <v>1857855964</v>
      </c>
      <c r="E17" s="41">
        <f>SUM(E18:E24)</f>
        <v>159958390</v>
      </c>
      <c r="F17" s="41">
        <f>SUM(F18:F24)</f>
        <v>1014792531</v>
      </c>
      <c r="G17" s="39">
        <f t="shared" si="0"/>
        <v>2.41305701786895</v>
      </c>
      <c r="H17" s="41">
        <f>D17-F17</f>
        <v>843063433</v>
      </c>
      <c r="I17" s="41">
        <f>SUM(I18:I24)</f>
        <v>230848764</v>
      </c>
      <c r="J17" s="41">
        <f>SUM(J18:J24)</f>
        <v>802273154</v>
      </c>
      <c r="K17" s="42">
        <f t="shared" si="1"/>
        <v>2.0560955019980605</v>
      </c>
      <c r="L17" s="43">
        <f>D17-J17</f>
        <v>1055582810</v>
      </c>
      <c r="M17" s="8"/>
    </row>
    <row r="18" spans="1:13" s="7" customFormat="1" ht="15.75">
      <c r="A18" s="24" t="s">
        <v>26</v>
      </c>
      <c r="B18" s="25" t="s">
        <v>31</v>
      </c>
      <c r="C18" s="44">
        <v>92150307</v>
      </c>
      <c r="D18" s="44">
        <v>268371826</v>
      </c>
      <c r="E18" s="44">
        <f>F18-2977610</f>
        <v>781239</v>
      </c>
      <c r="F18" s="44">
        <v>3758849</v>
      </c>
      <c r="G18" s="45">
        <f t="shared" si="0"/>
        <v>0.008938099839601287</v>
      </c>
      <c r="H18" s="44">
        <f aca="true" t="shared" si="2" ref="H18:H127">D18-F18</f>
        <v>264612977</v>
      </c>
      <c r="I18" s="44">
        <f>J18-1169336</f>
        <v>608331</v>
      </c>
      <c r="J18" s="44">
        <v>1777667</v>
      </c>
      <c r="K18" s="46">
        <f t="shared" si="1"/>
        <v>0.00455587115750652</v>
      </c>
      <c r="L18" s="47">
        <f aca="true" t="shared" si="3" ref="L18:L127">D18-J18</f>
        <v>266594159</v>
      </c>
      <c r="M18" s="8"/>
    </row>
    <row r="19" spans="1:13" s="7" customFormat="1" ht="15.75">
      <c r="A19" s="24" t="s">
        <v>27</v>
      </c>
      <c r="B19" s="25" t="s">
        <v>32</v>
      </c>
      <c r="C19" s="44">
        <v>4060000</v>
      </c>
      <c r="D19" s="44">
        <v>4060000</v>
      </c>
      <c r="E19" s="44">
        <f>F19-1739380</f>
        <v>1624908</v>
      </c>
      <c r="F19" s="44">
        <v>3364288</v>
      </c>
      <c r="G19" s="45">
        <f t="shared" si="0"/>
        <v>0.007999880291326558</v>
      </c>
      <c r="H19" s="44">
        <f t="shared" si="2"/>
        <v>695712</v>
      </c>
      <c r="I19" s="44">
        <f>J19-707751</f>
        <v>226518</v>
      </c>
      <c r="J19" s="44">
        <v>934269</v>
      </c>
      <c r="K19" s="46">
        <f t="shared" si="1"/>
        <v>0.002394379369393963</v>
      </c>
      <c r="L19" s="47">
        <f t="shared" si="3"/>
        <v>3125731</v>
      </c>
      <c r="M19" s="8"/>
    </row>
    <row r="20" spans="1:13" s="7" customFormat="1" ht="15.75">
      <c r="A20" s="24" t="s">
        <v>28</v>
      </c>
      <c r="B20" s="25" t="s">
        <v>33</v>
      </c>
      <c r="C20" s="44">
        <v>1682363788</v>
      </c>
      <c r="D20" s="44">
        <v>1556263788</v>
      </c>
      <c r="E20" s="44">
        <f>F20-846400346</f>
        <v>156898652</v>
      </c>
      <c r="F20" s="44">
        <v>1003298998</v>
      </c>
      <c r="G20" s="45">
        <f t="shared" si="0"/>
        <v>2.385726751219837</v>
      </c>
      <c r="H20" s="44">
        <f t="shared" si="2"/>
        <v>552964790</v>
      </c>
      <c r="I20" s="44">
        <f>J20-568282623</f>
        <v>229434673</v>
      </c>
      <c r="J20" s="44">
        <v>797717296</v>
      </c>
      <c r="K20" s="46">
        <f t="shared" si="1"/>
        <v>2.044419579533451</v>
      </c>
      <c r="L20" s="47">
        <f t="shared" si="3"/>
        <v>758546492</v>
      </c>
      <c r="M20" s="8"/>
    </row>
    <row r="21" spans="1:13" s="7" customFormat="1" ht="15.75">
      <c r="A21" s="24" t="s">
        <v>50</v>
      </c>
      <c r="B21" s="25" t="s">
        <v>57</v>
      </c>
      <c r="C21" s="44">
        <v>23000000</v>
      </c>
      <c r="D21" s="44">
        <v>23000000</v>
      </c>
      <c r="E21" s="44">
        <f>F21-2880056</f>
        <v>423759</v>
      </c>
      <c r="F21" s="44">
        <v>3303815</v>
      </c>
      <c r="G21" s="45">
        <f t="shared" si="0"/>
        <v>0.00785608262571131</v>
      </c>
      <c r="H21" s="44">
        <f>D21-F21</f>
        <v>19696185</v>
      </c>
      <c r="I21" s="44">
        <f>J21-875957</f>
        <v>493293</v>
      </c>
      <c r="J21" s="44">
        <v>1369250</v>
      </c>
      <c r="K21" s="46">
        <f t="shared" si="1"/>
        <v>0.0035091648674446915</v>
      </c>
      <c r="L21" s="47">
        <f>D21-J21</f>
        <v>21630750</v>
      </c>
      <c r="M21" s="8"/>
    </row>
    <row r="22" spans="1:13" s="7" customFormat="1" ht="15.75">
      <c r="A22" s="24" t="s">
        <v>29</v>
      </c>
      <c r="B22" s="25" t="s">
        <v>34</v>
      </c>
      <c r="C22" s="44">
        <v>5160350</v>
      </c>
      <c r="D22" s="44">
        <v>5160350</v>
      </c>
      <c r="E22" s="44">
        <f>F22-821019</f>
        <v>229832</v>
      </c>
      <c r="F22" s="44">
        <v>1050851</v>
      </c>
      <c r="G22" s="45">
        <f t="shared" si="0"/>
        <v>0.0024987998066814746</v>
      </c>
      <c r="H22" s="44">
        <f t="shared" si="2"/>
        <v>4109499</v>
      </c>
      <c r="I22" s="44">
        <f>J22-388035</f>
        <v>83411</v>
      </c>
      <c r="J22" s="44">
        <v>471446</v>
      </c>
      <c r="K22" s="46">
        <f t="shared" si="1"/>
        <v>0.00120823935738348</v>
      </c>
      <c r="L22" s="47">
        <f t="shared" si="3"/>
        <v>4688904</v>
      </c>
      <c r="M22" s="8"/>
    </row>
    <row r="23" spans="1:13" s="7" customFormat="1" ht="15.75">
      <c r="A23" s="24" t="s">
        <v>53</v>
      </c>
      <c r="B23" s="25" t="s">
        <v>60</v>
      </c>
      <c r="C23" s="44">
        <v>400000</v>
      </c>
      <c r="D23" s="44">
        <v>400000</v>
      </c>
      <c r="E23" s="44">
        <f>F23-0</f>
        <v>0</v>
      </c>
      <c r="F23" s="44">
        <v>0</v>
      </c>
      <c r="G23" s="45">
        <f t="shared" si="0"/>
        <v>0</v>
      </c>
      <c r="H23" s="44">
        <f t="shared" si="2"/>
        <v>400000</v>
      </c>
      <c r="I23" s="44">
        <f>J23</f>
        <v>0</v>
      </c>
      <c r="J23" s="44">
        <v>0</v>
      </c>
      <c r="K23" s="46">
        <f t="shared" si="1"/>
        <v>0</v>
      </c>
      <c r="L23" s="47">
        <f t="shared" si="3"/>
        <v>400000</v>
      </c>
      <c r="M23" s="8"/>
    </row>
    <row r="24" spans="1:13" s="7" customFormat="1" ht="15.75">
      <c r="A24" s="24" t="s">
        <v>30</v>
      </c>
      <c r="B24" s="25" t="s">
        <v>35</v>
      </c>
      <c r="C24" s="44">
        <v>600000</v>
      </c>
      <c r="D24" s="44">
        <v>600000</v>
      </c>
      <c r="E24" s="44">
        <f>F24-15730</f>
        <v>0</v>
      </c>
      <c r="F24" s="44">
        <v>15730</v>
      </c>
      <c r="G24" s="45">
        <f t="shared" si="0"/>
        <v>3.7404085792466863E-05</v>
      </c>
      <c r="H24" s="44">
        <f t="shared" si="2"/>
        <v>584270</v>
      </c>
      <c r="I24" s="44">
        <f>J24-688</f>
        <v>2538</v>
      </c>
      <c r="J24" s="44">
        <v>3226</v>
      </c>
      <c r="K24" s="46">
        <f t="shared" si="1"/>
        <v>8.267712881049169E-06</v>
      </c>
      <c r="L24" s="47">
        <f t="shared" si="3"/>
        <v>596774</v>
      </c>
      <c r="M24" s="8"/>
    </row>
    <row r="25" spans="1:13" s="7" customFormat="1" ht="15.75">
      <c r="A25" s="35" t="s">
        <v>36</v>
      </c>
      <c r="B25" s="27" t="s">
        <v>37</v>
      </c>
      <c r="C25" s="41">
        <f>SUM(C26:C27)</f>
        <v>4616538695</v>
      </c>
      <c r="D25" s="41">
        <f>SUM(D26:D27)</f>
        <v>4618038695</v>
      </c>
      <c r="E25" s="41">
        <f>SUM(E26:E27)</f>
        <v>723987749</v>
      </c>
      <c r="F25" s="41">
        <f>SUM(F26:F27)</f>
        <v>2933282422</v>
      </c>
      <c r="G25" s="39">
        <f t="shared" si="0"/>
        <v>6.974999832550729</v>
      </c>
      <c r="H25" s="41">
        <f t="shared" si="2"/>
        <v>1684756273</v>
      </c>
      <c r="I25" s="41">
        <f>SUM(I26:I27)</f>
        <v>728508425</v>
      </c>
      <c r="J25" s="41">
        <f>SUM(J26:J27)</f>
        <v>2519764732</v>
      </c>
      <c r="K25" s="42">
        <f t="shared" si="1"/>
        <v>6.457746848099754</v>
      </c>
      <c r="L25" s="43">
        <f t="shared" si="3"/>
        <v>2098273963</v>
      </c>
      <c r="M25" s="8"/>
    </row>
    <row r="26" spans="1:13" s="7" customFormat="1" ht="15.75">
      <c r="A26" s="24" t="s">
        <v>38</v>
      </c>
      <c r="B26" s="25" t="s">
        <v>40</v>
      </c>
      <c r="C26" s="44">
        <v>1692448000</v>
      </c>
      <c r="D26" s="44">
        <v>1693948000</v>
      </c>
      <c r="E26" s="44">
        <f>F26-1028771087</f>
        <v>232655424</v>
      </c>
      <c r="F26" s="44">
        <v>1261426511</v>
      </c>
      <c r="G26" s="46">
        <f t="shared" si="0"/>
        <v>2.9995235497988646</v>
      </c>
      <c r="H26" s="44">
        <f t="shared" si="2"/>
        <v>432521489</v>
      </c>
      <c r="I26" s="44">
        <f>J26-610737588</f>
        <v>237177717</v>
      </c>
      <c r="J26" s="44">
        <v>847915305</v>
      </c>
      <c r="K26" s="46">
        <f t="shared" si="1"/>
        <v>2.1730689055137122</v>
      </c>
      <c r="L26" s="47">
        <f t="shared" si="3"/>
        <v>846032695</v>
      </c>
      <c r="M26" s="8"/>
    </row>
    <row r="27" spans="1:13" s="7" customFormat="1" ht="15.75">
      <c r="A27" s="24" t="s">
        <v>28</v>
      </c>
      <c r="B27" s="25" t="s">
        <v>33</v>
      </c>
      <c r="C27" s="44">
        <v>2924090695</v>
      </c>
      <c r="D27" s="44">
        <v>2924090695</v>
      </c>
      <c r="E27" s="44">
        <f>F27-1180523586</f>
        <v>491332325</v>
      </c>
      <c r="F27" s="44">
        <v>1671855911</v>
      </c>
      <c r="G27" s="46">
        <f t="shared" si="0"/>
        <v>3.975476282751865</v>
      </c>
      <c r="H27" s="44">
        <f t="shared" si="2"/>
        <v>1252234784</v>
      </c>
      <c r="I27" s="44">
        <f>J27-1180518719</f>
        <v>491330708</v>
      </c>
      <c r="J27" s="44">
        <v>1671849427</v>
      </c>
      <c r="K27" s="46">
        <f t="shared" si="1"/>
        <v>4.284677942586042</v>
      </c>
      <c r="L27" s="47">
        <f t="shared" si="3"/>
        <v>1252241268</v>
      </c>
      <c r="M27" s="8"/>
    </row>
    <row r="28" spans="1:13" s="7" customFormat="1" ht="15.75">
      <c r="A28" s="35" t="s">
        <v>42</v>
      </c>
      <c r="B28" s="27" t="s">
        <v>43</v>
      </c>
      <c r="C28" s="41">
        <f>SUM(C29:C32)</f>
        <v>2584604150</v>
      </c>
      <c r="D28" s="41">
        <f>SUM(D29:D32)</f>
        <v>2899421681</v>
      </c>
      <c r="E28" s="41">
        <f>SUM(E29:E32)</f>
        <v>245347404</v>
      </c>
      <c r="F28" s="41">
        <f>SUM(F29:F32)</f>
        <v>2116045238</v>
      </c>
      <c r="G28" s="42">
        <f t="shared" si="0"/>
        <v>5.031706142586965</v>
      </c>
      <c r="H28" s="41">
        <f t="shared" si="2"/>
        <v>783376443</v>
      </c>
      <c r="I28" s="41">
        <f>SUM(I29:I32)</f>
        <v>447688859</v>
      </c>
      <c r="J28" s="41">
        <f>SUM(J29:J32)</f>
        <v>1503851465</v>
      </c>
      <c r="K28" s="42">
        <f t="shared" si="1"/>
        <v>3.854126512202469</v>
      </c>
      <c r="L28" s="43">
        <f t="shared" si="3"/>
        <v>1395570216</v>
      </c>
      <c r="M28" s="8"/>
    </row>
    <row r="29" spans="1:13" s="7" customFormat="1" ht="15.75">
      <c r="A29" s="24" t="s">
        <v>44</v>
      </c>
      <c r="B29" s="25" t="s">
        <v>45</v>
      </c>
      <c r="C29" s="44">
        <v>70376800</v>
      </c>
      <c r="D29" s="44">
        <v>99976800</v>
      </c>
      <c r="E29" s="44">
        <f>F29-30621583</f>
        <v>14763181</v>
      </c>
      <c r="F29" s="44">
        <v>45384764</v>
      </c>
      <c r="G29" s="46">
        <f t="shared" si="0"/>
        <v>0.10791961896547116</v>
      </c>
      <c r="H29" s="44">
        <f t="shared" si="2"/>
        <v>54592036</v>
      </c>
      <c r="I29" s="44">
        <f>J29-8831579</f>
        <v>15031165</v>
      </c>
      <c r="J29" s="44">
        <v>23862744</v>
      </c>
      <c r="K29" s="46">
        <f t="shared" si="1"/>
        <v>0.06115632856353961</v>
      </c>
      <c r="L29" s="47">
        <f t="shared" si="3"/>
        <v>76114056</v>
      </c>
      <c r="M29" s="8"/>
    </row>
    <row r="30" spans="1:13" s="7" customFormat="1" ht="15.75">
      <c r="A30" s="24" t="s">
        <v>229</v>
      </c>
      <c r="B30" s="25" t="s">
        <v>230</v>
      </c>
      <c r="C30" s="44">
        <v>46821005</v>
      </c>
      <c r="D30" s="44">
        <v>75353317</v>
      </c>
      <c r="E30" s="44">
        <f>F30-25548718</f>
        <v>10228899</v>
      </c>
      <c r="F30" s="44">
        <v>35777617</v>
      </c>
      <c r="G30" s="46">
        <f t="shared" si="0"/>
        <v>0.08507495586255695</v>
      </c>
      <c r="H30" s="44">
        <f>D30-F30</f>
        <v>39575700</v>
      </c>
      <c r="I30" s="44">
        <f>J30-12541278</f>
        <v>5593793</v>
      </c>
      <c r="J30" s="44">
        <v>18135071</v>
      </c>
      <c r="K30" s="46">
        <f t="shared" si="1"/>
        <v>0.04647723499858687</v>
      </c>
      <c r="L30" s="47">
        <f>D30-J30</f>
        <v>57218246</v>
      </c>
      <c r="M30" s="8"/>
    </row>
    <row r="31" spans="1:13" s="7" customFormat="1" ht="15.75">
      <c r="A31" s="24" t="s">
        <v>28</v>
      </c>
      <c r="B31" s="25" t="s">
        <v>33</v>
      </c>
      <c r="C31" s="44">
        <v>2425369628</v>
      </c>
      <c r="D31" s="44">
        <v>2571654413</v>
      </c>
      <c r="E31" s="44">
        <f>F31-1785103045</f>
        <v>209864864</v>
      </c>
      <c r="F31" s="44">
        <v>1994967909</v>
      </c>
      <c r="G31" s="46">
        <f t="shared" si="0"/>
        <v>4.743798526475157</v>
      </c>
      <c r="H31" s="44">
        <f t="shared" si="2"/>
        <v>576686504</v>
      </c>
      <c r="I31" s="44">
        <f>J31-1005821073</f>
        <v>416769317</v>
      </c>
      <c r="J31" s="44">
        <v>1422590390</v>
      </c>
      <c r="K31" s="46">
        <f t="shared" si="1"/>
        <v>3.645867604420261</v>
      </c>
      <c r="L31" s="47">
        <f>D31-J31</f>
        <v>1149064023</v>
      </c>
      <c r="M31" s="8"/>
    </row>
    <row r="32" spans="1:13" s="7" customFormat="1" ht="15.75">
      <c r="A32" s="24" t="s">
        <v>29</v>
      </c>
      <c r="B32" s="25" t="s">
        <v>34</v>
      </c>
      <c r="C32" s="44">
        <v>42036717</v>
      </c>
      <c r="D32" s="44">
        <v>152437151</v>
      </c>
      <c r="E32" s="44">
        <f>F32-29424488</f>
        <v>10490460</v>
      </c>
      <c r="F32" s="44">
        <v>39914948</v>
      </c>
      <c r="G32" s="46">
        <f t="shared" si="0"/>
        <v>0.09491304128377963</v>
      </c>
      <c r="H32" s="44">
        <f t="shared" si="2"/>
        <v>112522203</v>
      </c>
      <c r="I32" s="44">
        <f>J32-28968676</f>
        <v>10294584</v>
      </c>
      <c r="J32" s="44">
        <v>39263260</v>
      </c>
      <c r="K32" s="46">
        <f t="shared" si="1"/>
        <v>0.1006253442200814</v>
      </c>
      <c r="L32" s="47">
        <f t="shared" si="3"/>
        <v>113173891</v>
      </c>
      <c r="M32" s="8"/>
    </row>
    <row r="33" spans="1:13" s="7" customFormat="1" ht="15.75">
      <c r="A33" s="35" t="s">
        <v>46</v>
      </c>
      <c r="B33" s="27" t="s">
        <v>47</v>
      </c>
      <c r="C33" s="41">
        <f>SUM(C34:C50)</f>
        <v>7328124144</v>
      </c>
      <c r="D33" s="41">
        <f>SUM(D34:D50)</f>
        <v>7541263735</v>
      </c>
      <c r="E33" s="41">
        <f>SUM(E34:E50)</f>
        <v>408812643</v>
      </c>
      <c r="F33" s="41">
        <f>SUM(F34:F50)</f>
        <v>1439105601</v>
      </c>
      <c r="G33" s="42">
        <f t="shared" si="0"/>
        <v>3.4220234815145316</v>
      </c>
      <c r="H33" s="41">
        <f t="shared" si="2"/>
        <v>6102158134</v>
      </c>
      <c r="I33" s="41">
        <f>SUM(I34:I50)</f>
        <v>396613852</v>
      </c>
      <c r="J33" s="41">
        <f>SUM(J34:J50)</f>
        <v>1365533123</v>
      </c>
      <c r="K33" s="42">
        <f t="shared" si="1"/>
        <v>3.499639116716181</v>
      </c>
      <c r="L33" s="43">
        <f t="shared" si="3"/>
        <v>6175730612</v>
      </c>
      <c r="M33" s="8"/>
    </row>
    <row r="34" spans="1:13" s="7" customFormat="1" ht="15.75">
      <c r="A34" s="24" t="s">
        <v>48</v>
      </c>
      <c r="B34" s="25" t="s">
        <v>55</v>
      </c>
      <c r="C34" s="44">
        <v>200340000</v>
      </c>
      <c r="D34" s="44">
        <v>390424427</v>
      </c>
      <c r="E34" s="44">
        <f>F34-0</f>
        <v>0</v>
      </c>
      <c r="F34" s="44">
        <v>0</v>
      </c>
      <c r="G34" s="46">
        <f t="shared" si="0"/>
        <v>0</v>
      </c>
      <c r="H34" s="44">
        <f t="shared" si="2"/>
        <v>390424427</v>
      </c>
      <c r="I34" s="44">
        <f aca="true" t="shared" si="4" ref="I34:I50">J34-0</f>
        <v>0</v>
      </c>
      <c r="J34" s="44">
        <v>0</v>
      </c>
      <c r="K34" s="46">
        <f t="shared" si="1"/>
        <v>0</v>
      </c>
      <c r="L34" s="47">
        <f t="shared" si="3"/>
        <v>390424427</v>
      </c>
      <c r="M34" s="8"/>
    </row>
    <row r="35" spans="1:13" s="7" customFormat="1" ht="15.75">
      <c r="A35" s="24" t="s">
        <v>28</v>
      </c>
      <c r="B35" s="25" t="s">
        <v>33</v>
      </c>
      <c r="C35" s="44">
        <v>6028797095</v>
      </c>
      <c r="D35" s="44">
        <v>6053199273</v>
      </c>
      <c r="E35" s="44">
        <f>F35-560799663</f>
        <v>255799901</v>
      </c>
      <c r="F35" s="44">
        <v>816599564</v>
      </c>
      <c r="G35" s="46">
        <f t="shared" si="0"/>
        <v>1.941777504764592</v>
      </c>
      <c r="H35" s="44">
        <f t="shared" si="2"/>
        <v>5236599709</v>
      </c>
      <c r="I35" s="44">
        <f>J35-515833048</f>
        <v>241857087</v>
      </c>
      <c r="J35" s="44">
        <v>757690135</v>
      </c>
      <c r="K35" s="46">
        <f t="shared" si="1"/>
        <v>1.9418364813959654</v>
      </c>
      <c r="L35" s="47">
        <f t="shared" si="3"/>
        <v>5295509138</v>
      </c>
      <c r="M35" s="8"/>
    </row>
    <row r="36" spans="1:13" s="7" customFormat="1" ht="15.75">
      <c r="A36" s="24" t="s">
        <v>39</v>
      </c>
      <c r="B36" s="25" t="s">
        <v>41</v>
      </c>
      <c r="C36" s="44">
        <v>133970894</v>
      </c>
      <c r="D36" s="44">
        <v>133967059</v>
      </c>
      <c r="E36" s="44">
        <f>F36-22559397</f>
        <v>977378</v>
      </c>
      <c r="F36" s="44">
        <v>23536775</v>
      </c>
      <c r="G36" s="46">
        <f t="shared" si="0"/>
        <v>0.05596767650209722</v>
      </c>
      <c r="H36" s="44">
        <f t="shared" si="2"/>
        <v>110430284</v>
      </c>
      <c r="I36" s="44">
        <f>J36-7125742</f>
        <v>3263180</v>
      </c>
      <c r="J36" s="44">
        <v>10388922</v>
      </c>
      <c r="K36" s="46">
        <f t="shared" si="1"/>
        <v>0.026625116007320242</v>
      </c>
      <c r="L36" s="47">
        <f t="shared" si="3"/>
        <v>123578137</v>
      </c>
      <c r="M36" s="8"/>
    </row>
    <row r="37" spans="1:13" s="7" customFormat="1" ht="15.75">
      <c r="A37" s="24" t="s">
        <v>232</v>
      </c>
      <c r="B37" s="25" t="s">
        <v>231</v>
      </c>
      <c r="C37" s="44">
        <v>240000</v>
      </c>
      <c r="D37" s="44">
        <v>240000</v>
      </c>
      <c r="E37" s="44">
        <f>F37-15915</f>
        <v>17633</v>
      </c>
      <c r="F37" s="44">
        <v>33548</v>
      </c>
      <c r="G37" s="46">
        <f t="shared" si="0"/>
        <v>7.977318945744935E-05</v>
      </c>
      <c r="H37" s="44">
        <f t="shared" si="2"/>
        <v>206452</v>
      </c>
      <c r="I37" s="44">
        <f>J37-12015</f>
        <v>18431</v>
      </c>
      <c r="J37" s="44">
        <v>30446</v>
      </c>
      <c r="K37" s="46">
        <f t="shared" si="1"/>
        <v>7.802814208816584E-05</v>
      </c>
      <c r="L37" s="47">
        <f t="shared" si="3"/>
        <v>209554</v>
      </c>
      <c r="M37" s="8"/>
    </row>
    <row r="38" spans="1:13" s="7" customFormat="1" ht="15.75">
      <c r="A38" s="24" t="s">
        <v>49</v>
      </c>
      <c r="B38" s="25" t="s">
        <v>56</v>
      </c>
      <c r="C38" s="44">
        <v>11310175</v>
      </c>
      <c r="D38" s="44">
        <v>11310175</v>
      </c>
      <c r="E38" s="44">
        <f>F38-443087</f>
        <v>177771</v>
      </c>
      <c r="F38" s="44">
        <v>620858</v>
      </c>
      <c r="G38" s="46">
        <f t="shared" si="0"/>
        <v>0.0014763271390298405</v>
      </c>
      <c r="H38" s="44">
        <f t="shared" si="2"/>
        <v>10689317</v>
      </c>
      <c r="I38" s="44">
        <f>J38-308181</f>
        <v>117987</v>
      </c>
      <c r="J38" s="44">
        <v>426168</v>
      </c>
      <c r="K38" s="46">
        <f t="shared" si="1"/>
        <v>0.001092199213605382</v>
      </c>
      <c r="L38" s="47">
        <f t="shared" si="3"/>
        <v>10884007</v>
      </c>
      <c r="M38" s="8"/>
    </row>
    <row r="39" spans="1:13" s="7" customFormat="1" ht="15.75">
      <c r="A39" s="24" t="s">
        <v>51</v>
      </c>
      <c r="B39" s="25" t="s">
        <v>58</v>
      </c>
      <c r="C39" s="44">
        <v>125000</v>
      </c>
      <c r="D39" s="44">
        <v>12500</v>
      </c>
      <c r="E39" s="44">
        <f>F39-2648</f>
        <v>0</v>
      </c>
      <c r="F39" s="44">
        <v>2648</v>
      </c>
      <c r="G39" s="46">
        <f t="shared" si="0"/>
        <v>6.2966318613129205E-06</v>
      </c>
      <c r="H39" s="44">
        <f t="shared" si="2"/>
        <v>9852</v>
      </c>
      <c r="I39" s="44">
        <f>J39-2648</f>
        <v>0</v>
      </c>
      <c r="J39" s="44">
        <v>2648</v>
      </c>
      <c r="K39" s="46">
        <f t="shared" si="1"/>
        <v>6.786392966217669E-06</v>
      </c>
      <c r="L39" s="47">
        <f t="shared" si="3"/>
        <v>9852</v>
      </c>
      <c r="M39" s="8"/>
    </row>
    <row r="40" spans="1:13" s="7" customFormat="1" ht="15.75">
      <c r="A40" s="24" t="s">
        <v>29</v>
      </c>
      <c r="B40" s="25" t="s">
        <v>34</v>
      </c>
      <c r="C40" s="44">
        <v>130000</v>
      </c>
      <c r="D40" s="44">
        <v>70000</v>
      </c>
      <c r="E40" s="44">
        <f>F40-0</f>
        <v>0</v>
      </c>
      <c r="F40" s="44">
        <v>0</v>
      </c>
      <c r="G40" s="46">
        <f t="shared" si="0"/>
        <v>0</v>
      </c>
      <c r="H40" s="44">
        <f t="shared" si="2"/>
        <v>70000</v>
      </c>
      <c r="I40" s="44">
        <f t="shared" si="4"/>
        <v>0</v>
      </c>
      <c r="J40" s="44">
        <v>0</v>
      </c>
      <c r="K40" s="46">
        <f t="shared" si="1"/>
        <v>0</v>
      </c>
      <c r="L40" s="47">
        <f t="shared" si="3"/>
        <v>70000</v>
      </c>
      <c r="M40" s="8"/>
    </row>
    <row r="41" spans="1:13" s="7" customFormat="1" ht="15.75">
      <c r="A41" s="24" t="s">
        <v>233</v>
      </c>
      <c r="B41" s="25" t="s">
        <v>234</v>
      </c>
      <c r="C41" s="44">
        <v>2800000</v>
      </c>
      <c r="D41" s="44">
        <v>1812156</v>
      </c>
      <c r="E41" s="44">
        <f>F41-1014382</f>
        <v>266311</v>
      </c>
      <c r="F41" s="44">
        <v>1280693</v>
      </c>
      <c r="G41" s="46">
        <f t="shared" si="0"/>
        <v>0.0030453369895620955</v>
      </c>
      <c r="H41" s="44">
        <f t="shared" si="2"/>
        <v>531463</v>
      </c>
      <c r="I41" s="44">
        <f>J41-703898</f>
        <v>305969</v>
      </c>
      <c r="J41" s="44">
        <v>1009867</v>
      </c>
      <c r="K41" s="46">
        <f t="shared" si="1"/>
        <v>0.002588124737770143</v>
      </c>
      <c r="L41" s="47">
        <f t="shared" si="3"/>
        <v>802289</v>
      </c>
      <c r="M41" s="8"/>
    </row>
    <row r="42" spans="1:13" s="7" customFormat="1" ht="15.75">
      <c r="A42" s="24" t="s">
        <v>236</v>
      </c>
      <c r="B42" s="25" t="s">
        <v>235</v>
      </c>
      <c r="C42" s="44">
        <v>4667668</v>
      </c>
      <c r="D42" s="44">
        <v>4667668</v>
      </c>
      <c r="E42" s="44">
        <f>F42-894625</f>
        <v>123174</v>
      </c>
      <c r="F42" s="44">
        <v>1017799</v>
      </c>
      <c r="G42" s="46">
        <f t="shared" si="0"/>
        <v>0.0024202060467569597</v>
      </c>
      <c r="H42" s="44">
        <f t="shared" si="2"/>
        <v>3649869</v>
      </c>
      <c r="I42" s="44">
        <f>J42-650024</f>
        <v>196886</v>
      </c>
      <c r="J42" s="44">
        <v>846910</v>
      </c>
      <c r="K42" s="46">
        <f t="shared" si="1"/>
        <v>0.0021704924724393524</v>
      </c>
      <c r="L42" s="47">
        <f t="shared" si="3"/>
        <v>3820758</v>
      </c>
      <c r="M42" s="8"/>
    </row>
    <row r="43" spans="1:13" s="7" customFormat="1" ht="15.75">
      <c r="A43" s="24" t="s">
        <v>66</v>
      </c>
      <c r="B43" s="25" t="s">
        <v>74</v>
      </c>
      <c r="C43" s="44">
        <v>60000</v>
      </c>
      <c r="D43" s="44">
        <v>0</v>
      </c>
      <c r="E43" s="44">
        <f>F43-0</f>
        <v>0</v>
      </c>
      <c r="F43" s="44">
        <v>0</v>
      </c>
      <c r="G43" s="46">
        <f t="shared" si="0"/>
        <v>0</v>
      </c>
      <c r="H43" s="44">
        <f t="shared" si="2"/>
        <v>0</v>
      </c>
      <c r="I43" s="44">
        <f t="shared" si="4"/>
        <v>0</v>
      </c>
      <c r="J43" s="44">
        <v>0</v>
      </c>
      <c r="K43" s="46">
        <f t="shared" si="1"/>
        <v>0</v>
      </c>
      <c r="L43" s="47">
        <f t="shared" si="3"/>
        <v>0</v>
      </c>
      <c r="M43" s="8"/>
    </row>
    <row r="44" spans="1:13" s="7" customFormat="1" ht="15.75">
      <c r="A44" s="24" t="s">
        <v>53</v>
      </c>
      <c r="B44" s="25" t="s">
        <v>60</v>
      </c>
      <c r="C44" s="44">
        <v>11617436</v>
      </c>
      <c r="D44" s="44">
        <v>11617031</v>
      </c>
      <c r="E44" s="44">
        <f>F44-1202959</f>
        <v>974368</v>
      </c>
      <c r="F44" s="44">
        <v>2177327</v>
      </c>
      <c r="G44" s="46">
        <f t="shared" si="0"/>
        <v>0.005177426948903655</v>
      </c>
      <c r="H44" s="44">
        <f t="shared" si="2"/>
        <v>9439704</v>
      </c>
      <c r="I44" s="44">
        <f>J44-923433</f>
        <v>378205</v>
      </c>
      <c r="J44" s="44">
        <v>1301638</v>
      </c>
      <c r="K44" s="46">
        <f t="shared" si="1"/>
        <v>0.003335886317130527</v>
      </c>
      <c r="L44" s="47">
        <f t="shared" si="3"/>
        <v>10315393</v>
      </c>
      <c r="M44" s="8"/>
    </row>
    <row r="45" spans="1:13" s="7" customFormat="1" ht="15.75">
      <c r="A45" s="24" t="s">
        <v>135</v>
      </c>
      <c r="B45" s="25" t="s">
        <v>136</v>
      </c>
      <c r="C45" s="44">
        <v>6000</v>
      </c>
      <c r="D45" s="44">
        <v>4190</v>
      </c>
      <c r="E45" s="44">
        <f>F45-0</f>
        <v>0</v>
      </c>
      <c r="F45" s="44">
        <v>0</v>
      </c>
      <c r="G45" s="46">
        <f t="shared" si="0"/>
        <v>0</v>
      </c>
      <c r="H45" s="44">
        <f t="shared" si="2"/>
        <v>4190</v>
      </c>
      <c r="I45" s="44">
        <f t="shared" si="4"/>
        <v>0</v>
      </c>
      <c r="J45" s="44">
        <v>0</v>
      </c>
      <c r="K45" s="46">
        <f t="shared" si="1"/>
        <v>0</v>
      </c>
      <c r="L45" s="47">
        <f>D45-J45</f>
        <v>4190</v>
      </c>
      <c r="M45" s="8"/>
    </row>
    <row r="46" spans="1:13" s="7" customFormat="1" ht="15.75">
      <c r="A46" s="24" t="s">
        <v>97</v>
      </c>
      <c r="B46" s="25" t="s">
        <v>237</v>
      </c>
      <c r="C46" s="44">
        <v>1391489</v>
      </c>
      <c r="D46" s="44">
        <v>1331489</v>
      </c>
      <c r="E46" s="44">
        <f>F46-0</f>
        <v>0</v>
      </c>
      <c r="F46" s="44">
        <v>0</v>
      </c>
      <c r="G46" s="46">
        <f t="shared" si="0"/>
        <v>0</v>
      </c>
      <c r="H46" s="44">
        <f t="shared" si="2"/>
        <v>1331489</v>
      </c>
      <c r="I46" s="44">
        <f t="shared" si="4"/>
        <v>0</v>
      </c>
      <c r="J46" s="44">
        <v>0</v>
      </c>
      <c r="K46" s="46">
        <f t="shared" si="1"/>
        <v>0</v>
      </c>
      <c r="L46" s="47">
        <f>D46-J46</f>
        <v>1331489</v>
      </c>
      <c r="M46" s="8"/>
    </row>
    <row r="47" spans="1:13" s="7" customFormat="1" ht="15.75">
      <c r="A47" s="24" t="s">
        <v>191</v>
      </c>
      <c r="B47" s="25" t="s">
        <v>192</v>
      </c>
      <c r="C47" s="44">
        <v>60000</v>
      </c>
      <c r="D47" s="44">
        <v>0</v>
      </c>
      <c r="E47" s="44">
        <f>F47-0</f>
        <v>0</v>
      </c>
      <c r="F47" s="44">
        <v>0</v>
      </c>
      <c r="G47" s="46">
        <f t="shared" si="0"/>
        <v>0</v>
      </c>
      <c r="H47" s="44">
        <f t="shared" si="2"/>
        <v>0</v>
      </c>
      <c r="I47" s="44">
        <f t="shared" si="4"/>
        <v>0</v>
      </c>
      <c r="J47" s="44">
        <v>0</v>
      </c>
      <c r="K47" s="46">
        <f t="shared" si="1"/>
        <v>0</v>
      </c>
      <c r="L47" s="47">
        <f>D47-J47</f>
        <v>0</v>
      </c>
      <c r="M47" s="8"/>
    </row>
    <row r="48" spans="1:13" s="7" customFormat="1" ht="15.75">
      <c r="A48" s="24" t="s">
        <v>54</v>
      </c>
      <c r="B48" s="25" t="s">
        <v>61</v>
      </c>
      <c r="C48" s="44">
        <v>932602387</v>
      </c>
      <c r="D48" s="44">
        <v>932602387</v>
      </c>
      <c r="E48" s="44">
        <f>F48-443360282</f>
        <v>150476107</v>
      </c>
      <c r="F48" s="44">
        <v>593836389</v>
      </c>
      <c r="G48" s="46">
        <f aca="true" t="shared" si="5" ref="G48:G79">(F48/$F$244)*100</f>
        <v>1.412072933302271</v>
      </c>
      <c r="H48" s="44">
        <f t="shared" si="2"/>
        <v>338765998</v>
      </c>
      <c r="I48" s="44">
        <f>J48-443360282</f>
        <v>150476107</v>
      </c>
      <c r="J48" s="44">
        <v>593836389</v>
      </c>
      <c r="K48" s="46">
        <f aca="true" t="shared" si="6" ref="K48:K79">(J48/$J$244)*100</f>
        <v>1.5219060020368955</v>
      </c>
      <c r="L48" s="47">
        <f>D48-J48</f>
        <v>338765998</v>
      </c>
      <c r="M48" s="8"/>
    </row>
    <row r="49" spans="1:13" s="7" customFormat="1" ht="15.75">
      <c r="A49" s="24" t="s">
        <v>185</v>
      </c>
      <c r="B49" s="25" t="s">
        <v>186</v>
      </c>
      <c r="C49" s="44">
        <v>1000</v>
      </c>
      <c r="D49" s="44">
        <v>380</v>
      </c>
      <c r="E49" s="44">
        <f>F49-0</f>
        <v>0</v>
      </c>
      <c r="F49" s="44">
        <v>0</v>
      </c>
      <c r="G49" s="46">
        <f t="shared" si="5"/>
        <v>0</v>
      </c>
      <c r="H49" s="44">
        <f t="shared" si="2"/>
        <v>380</v>
      </c>
      <c r="I49" s="44">
        <f t="shared" si="4"/>
        <v>0</v>
      </c>
      <c r="J49" s="44">
        <v>0</v>
      </c>
      <c r="K49" s="46">
        <f t="shared" si="6"/>
        <v>0</v>
      </c>
      <c r="L49" s="47">
        <f t="shared" si="3"/>
        <v>380</v>
      </c>
      <c r="M49" s="8"/>
    </row>
    <row r="50" spans="1:13" s="7" customFormat="1" ht="15.75">
      <c r="A50" s="24" t="s">
        <v>209</v>
      </c>
      <c r="B50" s="25" t="s">
        <v>210</v>
      </c>
      <c r="C50" s="44">
        <v>5000</v>
      </c>
      <c r="D50" s="44">
        <v>5000</v>
      </c>
      <c r="E50" s="44">
        <f>F50-0</f>
        <v>0</v>
      </c>
      <c r="F50" s="44">
        <v>0</v>
      </c>
      <c r="G50" s="46">
        <f t="shared" si="5"/>
        <v>0</v>
      </c>
      <c r="H50" s="44">
        <f>D50-F50</f>
        <v>5000</v>
      </c>
      <c r="I50" s="44">
        <f t="shared" si="4"/>
        <v>0</v>
      </c>
      <c r="J50" s="44">
        <v>0</v>
      </c>
      <c r="K50" s="46">
        <f t="shared" si="6"/>
        <v>0</v>
      </c>
      <c r="L50" s="47">
        <f>D50-J50</f>
        <v>5000</v>
      </c>
      <c r="M50" s="8"/>
    </row>
    <row r="51" spans="1:13" s="7" customFormat="1" ht="15.75">
      <c r="A51" s="35" t="s">
        <v>63</v>
      </c>
      <c r="B51" s="27" t="s">
        <v>62</v>
      </c>
      <c r="C51" s="41">
        <f>SUM(C52:C66)</f>
        <v>10835181425</v>
      </c>
      <c r="D51" s="41">
        <f>SUM(D52:D66)</f>
        <v>11181721823</v>
      </c>
      <c r="E51" s="41">
        <f>SUM(E52:E66)</f>
        <v>1449910929</v>
      </c>
      <c r="F51" s="41">
        <f>SUM(F52:F66)</f>
        <v>6142073922</v>
      </c>
      <c r="G51" s="42">
        <f t="shared" si="5"/>
        <v>14.605127776361183</v>
      </c>
      <c r="H51" s="41">
        <f t="shared" si="2"/>
        <v>5039647901</v>
      </c>
      <c r="I51" s="41">
        <f>SUM(I52:I66)</f>
        <v>1498903225</v>
      </c>
      <c r="J51" s="41">
        <f>SUM(J52:J66)</f>
        <v>5767417495</v>
      </c>
      <c r="K51" s="42">
        <f t="shared" si="6"/>
        <v>14.78095223614378</v>
      </c>
      <c r="L51" s="43">
        <f t="shared" si="3"/>
        <v>5414304328</v>
      </c>
      <c r="M51" s="8"/>
    </row>
    <row r="52" spans="1:13" s="7" customFormat="1" ht="15.75">
      <c r="A52" s="24" t="s">
        <v>28</v>
      </c>
      <c r="B52" s="25" t="s">
        <v>33</v>
      </c>
      <c r="C52" s="44">
        <v>8746165452</v>
      </c>
      <c r="D52" s="44">
        <v>8885163519</v>
      </c>
      <c r="E52" s="44">
        <f>F52-3976435432</f>
        <v>1336545400</v>
      </c>
      <c r="F52" s="44">
        <v>5312980832</v>
      </c>
      <c r="G52" s="46">
        <f t="shared" si="5"/>
        <v>12.6336421394698</v>
      </c>
      <c r="H52" s="44">
        <f t="shared" si="2"/>
        <v>3572182687</v>
      </c>
      <c r="I52" s="44">
        <f>J52-3838977878</f>
        <v>1308893153</v>
      </c>
      <c r="J52" s="44">
        <v>5147871031</v>
      </c>
      <c r="K52" s="46">
        <f t="shared" si="6"/>
        <v>13.19315549689354</v>
      </c>
      <c r="L52" s="47">
        <f t="shared" si="3"/>
        <v>3737292488</v>
      </c>
      <c r="M52" s="8"/>
    </row>
    <row r="53" spans="1:13" s="7" customFormat="1" ht="15.75">
      <c r="A53" s="24" t="s">
        <v>49</v>
      </c>
      <c r="B53" s="25" t="s">
        <v>56</v>
      </c>
      <c r="C53" s="44">
        <v>563840578</v>
      </c>
      <c r="D53" s="44">
        <v>522125578</v>
      </c>
      <c r="E53" s="44">
        <f>F53-243140410</f>
        <v>9052264</v>
      </c>
      <c r="F53" s="44">
        <v>252192674</v>
      </c>
      <c r="G53" s="46">
        <f t="shared" si="5"/>
        <v>0.599684451018921</v>
      </c>
      <c r="H53" s="44">
        <f t="shared" si="2"/>
        <v>269932904</v>
      </c>
      <c r="I53" s="44">
        <f>J53-124572564</f>
        <v>62166261</v>
      </c>
      <c r="J53" s="44">
        <v>186738825</v>
      </c>
      <c r="K53" s="46">
        <f t="shared" si="6"/>
        <v>0.47858121166909073</v>
      </c>
      <c r="L53" s="47">
        <f t="shared" si="3"/>
        <v>335386753</v>
      </c>
      <c r="M53" s="8"/>
    </row>
    <row r="54" spans="1:13" s="7" customFormat="1" ht="15.75">
      <c r="A54" s="24" t="s">
        <v>50</v>
      </c>
      <c r="B54" s="25" t="s">
        <v>57</v>
      </c>
      <c r="C54" s="44">
        <v>100000</v>
      </c>
      <c r="D54" s="44">
        <v>100000</v>
      </c>
      <c r="E54" s="44">
        <f>F54-0</f>
        <v>0</v>
      </c>
      <c r="F54" s="44">
        <v>0</v>
      </c>
      <c r="G54" s="46">
        <f t="shared" si="5"/>
        <v>0</v>
      </c>
      <c r="H54" s="44">
        <f>D54-F54</f>
        <v>100000</v>
      </c>
      <c r="I54" s="44">
        <f>J54-0</f>
        <v>0</v>
      </c>
      <c r="J54" s="44">
        <v>0</v>
      </c>
      <c r="K54" s="46">
        <f t="shared" si="6"/>
        <v>0</v>
      </c>
      <c r="L54" s="47">
        <f t="shared" si="3"/>
        <v>100000</v>
      </c>
      <c r="M54" s="8"/>
    </row>
    <row r="55" spans="1:13" s="7" customFormat="1" ht="15.75">
      <c r="A55" s="24" t="s">
        <v>29</v>
      </c>
      <c r="B55" s="25" t="s">
        <v>34</v>
      </c>
      <c r="C55" s="44">
        <v>56148</v>
      </c>
      <c r="D55" s="44">
        <v>56148</v>
      </c>
      <c r="E55" s="44">
        <f>F55-0</f>
        <v>0</v>
      </c>
      <c r="F55" s="44">
        <v>0</v>
      </c>
      <c r="G55" s="46">
        <f t="shared" si="5"/>
        <v>0</v>
      </c>
      <c r="H55" s="44">
        <f t="shared" si="2"/>
        <v>56148</v>
      </c>
      <c r="I55" s="44">
        <f>J55-0</f>
        <v>0</v>
      </c>
      <c r="J55" s="44">
        <v>0</v>
      </c>
      <c r="K55" s="46">
        <f t="shared" si="6"/>
        <v>0</v>
      </c>
      <c r="L55" s="47">
        <f t="shared" si="3"/>
        <v>56148</v>
      </c>
      <c r="M55" s="8"/>
    </row>
    <row r="56" spans="1:13" s="7" customFormat="1" ht="15.75">
      <c r="A56" s="24" t="s">
        <v>64</v>
      </c>
      <c r="B56" s="25" t="s">
        <v>72</v>
      </c>
      <c r="C56" s="44">
        <v>619551192</v>
      </c>
      <c r="D56" s="44">
        <v>706895757</v>
      </c>
      <c r="E56" s="44">
        <f>F56-144081886</f>
        <v>41412633</v>
      </c>
      <c r="F56" s="44">
        <v>185494519</v>
      </c>
      <c r="G56" s="46">
        <f t="shared" si="5"/>
        <v>0.44108410061718845</v>
      </c>
      <c r="H56" s="44">
        <f t="shared" si="2"/>
        <v>521401238</v>
      </c>
      <c r="I56" s="44">
        <f>J56-92095553</f>
        <v>63733034</v>
      </c>
      <c r="J56" s="44">
        <v>155828587</v>
      </c>
      <c r="K56" s="46">
        <f t="shared" si="6"/>
        <v>0.39936330315424395</v>
      </c>
      <c r="L56" s="47">
        <f t="shared" si="3"/>
        <v>551067170</v>
      </c>
      <c r="M56" s="8"/>
    </row>
    <row r="57" spans="1:13" s="7" customFormat="1" ht="15.75">
      <c r="A57" s="24" t="s">
        <v>65</v>
      </c>
      <c r="B57" s="25" t="s">
        <v>73</v>
      </c>
      <c r="C57" s="44">
        <v>151793953</v>
      </c>
      <c r="D57" s="44">
        <v>172793953</v>
      </c>
      <c r="E57" s="44">
        <f>F57-64485456</f>
        <v>7610851</v>
      </c>
      <c r="F57" s="44">
        <v>72096307</v>
      </c>
      <c r="G57" s="46">
        <f t="shared" si="5"/>
        <v>0.17143651953897196</v>
      </c>
      <c r="H57" s="44">
        <f t="shared" si="2"/>
        <v>100697646</v>
      </c>
      <c r="I57" s="44">
        <f>J57-46150194</f>
        <v>9740706</v>
      </c>
      <c r="J57" s="44">
        <v>55890900</v>
      </c>
      <c r="K57" s="46">
        <f t="shared" si="6"/>
        <v>0.14323927894092714</v>
      </c>
      <c r="L57" s="47">
        <f t="shared" si="3"/>
        <v>116903053</v>
      </c>
      <c r="M57" s="8"/>
    </row>
    <row r="58" spans="1:13" s="7" customFormat="1" ht="15.75">
      <c r="A58" s="24" t="s">
        <v>66</v>
      </c>
      <c r="B58" s="25" t="s">
        <v>74</v>
      </c>
      <c r="C58" s="44">
        <v>1000</v>
      </c>
      <c r="D58" s="44">
        <v>1000</v>
      </c>
      <c r="E58" s="44">
        <f>F58-0</f>
        <v>0</v>
      </c>
      <c r="F58" s="44">
        <v>0</v>
      </c>
      <c r="G58" s="46">
        <f t="shared" si="5"/>
        <v>0</v>
      </c>
      <c r="H58" s="44">
        <f t="shared" si="2"/>
        <v>1000</v>
      </c>
      <c r="I58" s="44">
        <f>J58-0</f>
        <v>0</v>
      </c>
      <c r="J58" s="44">
        <v>0</v>
      </c>
      <c r="K58" s="46">
        <f t="shared" si="6"/>
        <v>0</v>
      </c>
      <c r="L58" s="47">
        <f t="shared" si="3"/>
        <v>1000</v>
      </c>
      <c r="M58" s="8"/>
    </row>
    <row r="59" spans="1:13" s="7" customFormat="1" ht="15.75">
      <c r="A59" s="24" t="s">
        <v>67</v>
      </c>
      <c r="B59" s="25" t="s">
        <v>75</v>
      </c>
      <c r="C59" s="44">
        <v>148004000</v>
      </c>
      <c r="D59" s="44">
        <v>210236993</v>
      </c>
      <c r="E59" s="44">
        <f>F59-46922505</f>
        <v>23734194</v>
      </c>
      <c r="F59" s="44">
        <v>70656699</v>
      </c>
      <c r="G59" s="46">
        <f t="shared" si="5"/>
        <v>0.1680133014118568</v>
      </c>
      <c r="H59" s="44">
        <f t="shared" si="2"/>
        <v>139580294</v>
      </c>
      <c r="I59" s="44">
        <f>J59-19146129</f>
        <v>13847492</v>
      </c>
      <c r="J59" s="44">
        <v>32993621</v>
      </c>
      <c r="K59" s="46">
        <f t="shared" si="6"/>
        <v>0.08455728001678685</v>
      </c>
      <c r="L59" s="47">
        <f t="shared" si="3"/>
        <v>177243372</v>
      </c>
      <c r="M59" s="8"/>
    </row>
    <row r="60" spans="1:13" s="7" customFormat="1" ht="15.75">
      <c r="A60" s="24" t="s">
        <v>68</v>
      </c>
      <c r="B60" s="25" t="s">
        <v>76</v>
      </c>
      <c r="C60" s="44">
        <v>419440141</v>
      </c>
      <c r="D60" s="44">
        <v>377891159</v>
      </c>
      <c r="E60" s="44">
        <f>F60-112799862</f>
        <v>0</v>
      </c>
      <c r="F60" s="44">
        <v>112799862</v>
      </c>
      <c r="G60" s="46">
        <f t="shared" si="5"/>
        <v>0.2682247753100078</v>
      </c>
      <c r="H60" s="44">
        <f t="shared" si="2"/>
        <v>265091297</v>
      </c>
      <c r="I60" s="44">
        <f>J60-99042117</f>
        <v>5675806</v>
      </c>
      <c r="J60" s="44">
        <v>104717923</v>
      </c>
      <c r="K60" s="46">
        <f t="shared" si="6"/>
        <v>0.26837499096832457</v>
      </c>
      <c r="L60" s="47">
        <f t="shared" si="3"/>
        <v>273173236</v>
      </c>
      <c r="M60" s="8"/>
    </row>
    <row r="61" spans="1:13" s="7" customFormat="1" ht="15.75">
      <c r="A61" s="24" t="s">
        <v>238</v>
      </c>
      <c r="B61" s="25" t="s">
        <v>239</v>
      </c>
      <c r="C61" s="44">
        <v>11395733</v>
      </c>
      <c r="D61" s="44">
        <v>10672790</v>
      </c>
      <c r="E61" s="44">
        <f>F61-5304953</f>
        <v>1919928</v>
      </c>
      <c r="F61" s="44">
        <v>7224881</v>
      </c>
      <c r="G61" s="46">
        <f t="shared" si="5"/>
        <v>0.017179915369635333</v>
      </c>
      <c r="H61" s="44">
        <f>D61-F61</f>
        <v>3447909</v>
      </c>
      <c r="I61" s="44">
        <f>J61-4774475</f>
        <v>2269148</v>
      </c>
      <c r="J61" s="44">
        <v>7043623</v>
      </c>
      <c r="K61" s="46">
        <f t="shared" si="6"/>
        <v>0.018051659208417295</v>
      </c>
      <c r="L61" s="47">
        <f t="shared" si="3"/>
        <v>3629167</v>
      </c>
      <c r="M61" s="8"/>
    </row>
    <row r="62" spans="1:13" s="7" customFormat="1" ht="15.75">
      <c r="A62" s="24" t="s">
        <v>106</v>
      </c>
      <c r="B62" s="25" t="s">
        <v>108</v>
      </c>
      <c r="C62" s="44">
        <v>810000</v>
      </c>
      <c r="D62" s="44">
        <v>790000</v>
      </c>
      <c r="E62" s="44">
        <f>F62-0</f>
        <v>39540</v>
      </c>
      <c r="F62" s="44">
        <v>39540</v>
      </c>
      <c r="G62" s="46">
        <f t="shared" si="5"/>
        <v>9.40214591375804E-05</v>
      </c>
      <c r="H62" s="44">
        <f>D62-F62</f>
        <v>750460</v>
      </c>
      <c r="I62" s="44">
        <f>J62-0</f>
        <v>39540</v>
      </c>
      <c r="J62" s="44">
        <v>39540</v>
      </c>
      <c r="K62" s="46">
        <f t="shared" si="6"/>
        <v>0.00010133458379314448</v>
      </c>
      <c r="L62" s="47">
        <f t="shared" si="3"/>
        <v>750460</v>
      </c>
      <c r="M62" s="8"/>
    </row>
    <row r="63" spans="1:13" s="7" customFormat="1" ht="15.75">
      <c r="A63" s="24" t="s">
        <v>69</v>
      </c>
      <c r="B63" s="25" t="s">
        <v>77</v>
      </c>
      <c r="C63" s="44">
        <v>23806442</v>
      </c>
      <c r="D63" s="44">
        <v>120056000</v>
      </c>
      <c r="E63" s="44">
        <f>F63-11569863</f>
        <v>5302733</v>
      </c>
      <c r="F63" s="44">
        <v>16872596</v>
      </c>
      <c r="G63" s="46">
        <f t="shared" si="5"/>
        <v>0.04012104439450942</v>
      </c>
      <c r="H63" s="44">
        <f t="shared" si="2"/>
        <v>103183404</v>
      </c>
      <c r="I63" s="44">
        <f>J63-7483779</f>
        <v>5074079</v>
      </c>
      <c r="J63" s="44">
        <v>12557858</v>
      </c>
      <c r="K63" s="46">
        <f t="shared" si="6"/>
        <v>0.032183745922190435</v>
      </c>
      <c r="L63" s="47">
        <f t="shared" si="3"/>
        <v>107498142</v>
      </c>
      <c r="M63" s="8"/>
    </row>
    <row r="64" spans="1:13" s="7" customFormat="1" ht="15.75">
      <c r="A64" s="24" t="s">
        <v>53</v>
      </c>
      <c r="B64" s="25" t="s">
        <v>60</v>
      </c>
      <c r="C64" s="44">
        <v>139221261</v>
      </c>
      <c r="D64" s="44">
        <v>139221261</v>
      </c>
      <c r="E64" s="44">
        <f>F64-62797192</f>
        <v>21408171</v>
      </c>
      <c r="F64" s="44">
        <v>84205363</v>
      </c>
      <c r="G64" s="46">
        <f t="shared" si="5"/>
        <v>0.2002304273259895</v>
      </c>
      <c r="H64" s="44">
        <f t="shared" si="2"/>
        <v>55015898</v>
      </c>
      <c r="I64" s="44">
        <f>J64-25129587</f>
        <v>21804991</v>
      </c>
      <c r="J64" s="44">
        <v>46934578</v>
      </c>
      <c r="K64" s="46">
        <f t="shared" si="6"/>
        <v>0.1202856835391218</v>
      </c>
      <c r="L64" s="47">
        <f t="shared" si="3"/>
        <v>92286683</v>
      </c>
      <c r="M64" s="8"/>
    </row>
    <row r="65" spans="1:13" s="7" customFormat="1" ht="15.75">
      <c r="A65" s="24" t="s">
        <v>70</v>
      </c>
      <c r="B65" s="25" t="s">
        <v>78</v>
      </c>
      <c r="C65" s="44">
        <v>5119272</v>
      </c>
      <c r="D65" s="44">
        <v>3841412</v>
      </c>
      <c r="E65" s="44">
        <f>F65-2087324</f>
        <v>791031</v>
      </c>
      <c r="F65" s="44">
        <v>2878355</v>
      </c>
      <c r="G65" s="46">
        <f t="shared" si="5"/>
        <v>0.0068443888977225645</v>
      </c>
      <c r="H65" s="44">
        <f t="shared" si="2"/>
        <v>963057</v>
      </c>
      <c r="I65" s="44">
        <f>J65-1773752</f>
        <v>665583</v>
      </c>
      <c r="J65" s="44">
        <v>2439335</v>
      </c>
      <c r="K65" s="46">
        <f t="shared" si="6"/>
        <v>0.006251618537102936</v>
      </c>
      <c r="L65" s="47">
        <f t="shared" si="3"/>
        <v>1402077</v>
      </c>
      <c r="M65" s="8"/>
    </row>
    <row r="66" spans="1:13" s="7" customFormat="1" ht="15.75">
      <c r="A66" s="24" t="s">
        <v>71</v>
      </c>
      <c r="B66" s="25" t="s">
        <v>79</v>
      </c>
      <c r="C66" s="44">
        <v>5876253</v>
      </c>
      <c r="D66" s="44">
        <v>31876253</v>
      </c>
      <c r="E66" s="44">
        <f>F66-22538110</f>
        <v>2094184</v>
      </c>
      <c r="F66" s="44">
        <v>24632294</v>
      </c>
      <c r="G66" s="46">
        <f t="shared" si="5"/>
        <v>0.058572691547442254</v>
      </c>
      <c r="H66" s="44">
        <f t="shared" si="2"/>
        <v>7243959</v>
      </c>
      <c r="I66" s="44">
        <f>J66-9368242</f>
        <v>4993432</v>
      </c>
      <c r="J66" s="44">
        <v>14361674</v>
      </c>
      <c r="K66" s="46">
        <f t="shared" si="6"/>
        <v>0.03680663271023836</v>
      </c>
      <c r="L66" s="47">
        <f t="shared" si="3"/>
        <v>17514579</v>
      </c>
      <c r="M66" s="8"/>
    </row>
    <row r="67" spans="1:13" s="7" customFormat="1" ht="15.75">
      <c r="A67" s="35" t="s">
        <v>81</v>
      </c>
      <c r="B67" s="27" t="s">
        <v>80</v>
      </c>
      <c r="C67" s="41">
        <f>SUM(C68:C76)</f>
        <v>587756519</v>
      </c>
      <c r="D67" s="41">
        <f>SUM(D68:D76)</f>
        <v>522570676</v>
      </c>
      <c r="E67" s="41">
        <f>SUM(E68:E76)</f>
        <v>26866926</v>
      </c>
      <c r="F67" s="41">
        <f>SUM(F68:F76)</f>
        <v>88406116</v>
      </c>
      <c r="G67" s="42">
        <f t="shared" si="5"/>
        <v>0.2102193227872077</v>
      </c>
      <c r="H67" s="41">
        <f>D67-F67</f>
        <v>434164560</v>
      </c>
      <c r="I67" s="41">
        <f>SUM(I68:I76)</f>
        <v>24201228</v>
      </c>
      <c r="J67" s="41">
        <f>SUM(J68:J76)</f>
        <v>74265864</v>
      </c>
      <c r="K67" s="42">
        <f t="shared" si="6"/>
        <v>0.19033132064942523</v>
      </c>
      <c r="L67" s="43">
        <f>D67-J67</f>
        <v>448304812</v>
      </c>
      <c r="M67" s="8"/>
    </row>
    <row r="68" spans="1:13" s="7" customFormat="1" ht="15.75">
      <c r="A68" s="24" t="s">
        <v>28</v>
      </c>
      <c r="B68" s="25" t="s">
        <v>33</v>
      </c>
      <c r="C68" s="44">
        <v>60536271</v>
      </c>
      <c r="D68" s="44">
        <v>61188673</v>
      </c>
      <c r="E68" s="44">
        <f>F68-23330107</f>
        <v>7305133</v>
      </c>
      <c r="F68" s="44">
        <v>30635240</v>
      </c>
      <c r="G68" s="46">
        <f t="shared" si="5"/>
        <v>0.07284698952529005</v>
      </c>
      <c r="H68" s="44">
        <f t="shared" si="2"/>
        <v>30553433</v>
      </c>
      <c r="I68" s="44">
        <f>J68-22008818</f>
        <v>7097530</v>
      </c>
      <c r="J68" s="44">
        <v>29106348</v>
      </c>
      <c r="K68" s="46">
        <f t="shared" si="6"/>
        <v>0.07459483207684431</v>
      </c>
      <c r="L68" s="47">
        <f t="shared" si="3"/>
        <v>32082325</v>
      </c>
      <c r="M68" s="8"/>
    </row>
    <row r="69" spans="1:13" s="7" customFormat="1" ht="15.75">
      <c r="A69" s="24" t="s">
        <v>64</v>
      </c>
      <c r="B69" s="25" t="s">
        <v>72</v>
      </c>
      <c r="C69" s="44">
        <v>109221603</v>
      </c>
      <c r="D69" s="44">
        <v>109221603</v>
      </c>
      <c r="E69" s="44">
        <f>F69-4008528</f>
        <v>2612930</v>
      </c>
      <c r="F69" s="44">
        <v>6621458</v>
      </c>
      <c r="G69" s="46">
        <f t="shared" si="5"/>
        <v>0.01574504660541742</v>
      </c>
      <c r="H69" s="44">
        <f t="shared" si="2"/>
        <v>102600145</v>
      </c>
      <c r="I69" s="44">
        <f>J69-1461204</f>
        <v>3009020</v>
      </c>
      <c r="J69" s="44">
        <v>4470224</v>
      </c>
      <c r="K69" s="46">
        <f t="shared" si="6"/>
        <v>0.011456456461864582</v>
      </c>
      <c r="L69" s="47">
        <f t="shared" si="3"/>
        <v>104751379</v>
      </c>
      <c r="M69" s="8"/>
    </row>
    <row r="70" spans="1:13" s="7" customFormat="1" ht="15.75">
      <c r="A70" s="24" t="s">
        <v>52</v>
      </c>
      <c r="B70" s="25" t="s">
        <v>59</v>
      </c>
      <c r="C70" s="44">
        <v>3001033</v>
      </c>
      <c r="D70" s="44">
        <v>3001033</v>
      </c>
      <c r="E70" s="44">
        <f>F70-0</f>
        <v>0</v>
      </c>
      <c r="F70" s="44">
        <v>0</v>
      </c>
      <c r="G70" s="46">
        <f t="shared" si="5"/>
        <v>0</v>
      </c>
      <c r="H70" s="44">
        <f t="shared" si="2"/>
        <v>3001033</v>
      </c>
      <c r="I70" s="44">
        <f aca="true" t="shared" si="7" ref="I70:I76">J70-0</f>
        <v>0</v>
      </c>
      <c r="J70" s="44">
        <v>0</v>
      </c>
      <c r="K70" s="46">
        <f t="shared" si="6"/>
        <v>0</v>
      </c>
      <c r="L70" s="47">
        <f t="shared" si="3"/>
        <v>3001033</v>
      </c>
      <c r="M70" s="8"/>
    </row>
    <row r="71" spans="1:13" s="7" customFormat="1" ht="15.75">
      <c r="A71" s="24" t="s">
        <v>131</v>
      </c>
      <c r="B71" s="25" t="s">
        <v>132</v>
      </c>
      <c r="C71" s="44">
        <v>5000</v>
      </c>
      <c r="D71" s="44">
        <v>5000</v>
      </c>
      <c r="E71" s="44">
        <f>F71-0</f>
        <v>0</v>
      </c>
      <c r="F71" s="44">
        <v>0</v>
      </c>
      <c r="G71" s="46">
        <f t="shared" si="5"/>
        <v>0</v>
      </c>
      <c r="H71" s="44">
        <f>D71-F71</f>
        <v>5000</v>
      </c>
      <c r="I71" s="44">
        <f t="shared" si="7"/>
        <v>0</v>
      </c>
      <c r="J71" s="44">
        <v>0</v>
      </c>
      <c r="K71" s="46">
        <f t="shared" si="6"/>
        <v>0</v>
      </c>
      <c r="L71" s="47">
        <f t="shared" si="3"/>
        <v>5000</v>
      </c>
      <c r="M71" s="8"/>
    </row>
    <row r="72" spans="1:13" s="7" customFormat="1" ht="15.75">
      <c r="A72" s="24" t="s">
        <v>82</v>
      </c>
      <c r="B72" s="25" t="s">
        <v>84</v>
      </c>
      <c r="C72" s="44">
        <v>22716759</v>
      </c>
      <c r="D72" s="44">
        <v>27032940</v>
      </c>
      <c r="E72" s="44">
        <f>F72-1063987</f>
        <v>1182901</v>
      </c>
      <c r="F72" s="44">
        <v>2246888</v>
      </c>
      <c r="G72" s="46">
        <f t="shared" si="5"/>
        <v>0.005342834807251384</v>
      </c>
      <c r="H72" s="44">
        <f t="shared" si="2"/>
        <v>24786052</v>
      </c>
      <c r="I72" s="44">
        <f>J72-833455</f>
        <v>1202945</v>
      </c>
      <c r="J72" s="44">
        <v>2036400</v>
      </c>
      <c r="K72" s="46">
        <f t="shared" si="6"/>
        <v>0.005218961720697002</v>
      </c>
      <c r="L72" s="47">
        <f t="shared" si="3"/>
        <v>24996540</v>
      </c>
      <c r="M72" s="8"/>
    </row>
    <row r="73" spans="1:13" s="7" customFormat="1" ht="15.75">
      <c r="A73" s="24" t="s">
        <v>83</v>
      </c>
      <c r="B73" s="25" t="s">
        <v>85</v>
      </c>
      <c r="C73" s="44">
        <v>336388354</v>
      </c>
      <c r="D73" s="44">
        <v>276716654</v>
      </c>
      <c r="E73" s="44">
        <f>F73-33136568</f>
        <v>15496228</v>
      </c>
      <c r="F73" s="44">
        <v>48632796</v>
      </c>
      <c r="G73" s="46">
        <f t="shared" si="5"/>
        <v>0.11564305619272341</v>
      </c>
      <c r="H73" s="44">
        <f t="shared" si="2"/>
        <v>228083858</v>
      </c>
      <c r="I73" s="44">
        <f>J73-25761159</f>
        <v>12621999</v>
      </c>
      <c r="J73" s="44">
        <v>38383158</v>
      </c>
      <c r="K73" s="46">
        <f t="shared" si="6"/>
        <v>0.09836978605453982</v>
      </c>
      <c r="L73" s="47">
        <f t="shared" si="3"/>
        <v>238333496</v>
      </c>
      <c r="M73" s="8"/>
    </row>
    <row r="74" spans="1:13" s="7" customFormat="1" ht="15.75">
      <c r="A74" s="24" t="s">
        <v>251</v>
      </c>
      <c r="B74" s="25" t="s">
        <v>75</v>
      </c>
      <c r="C74" s="44">
        <v>0</v>
      </c>
      <c r="D74" s="44">
        <v>0</v>
      </c>
      <c r="E74" s="44">
        <f>F74-0</f>
        <v>0</v>
      </c>
      <c r="F74" s="44">
        <v>0</v>
      </c>
      <c r="G74" s="46">
        <f t="shared" si="5"/>
        <v>0</v>
      </c>
      <c r="H74" s="44">
        <f>D74-F74</f>
        <v>0</v>
      </c>
      <c r="I74" s="44">
        <f t="shared" si="7"/>
        <v>0</v>
      </c>
      <c r="J74" s="44">
        <v>0</v>
      </c>
      <c r="K74" s="46">
        <f t="shared" si="6"/>
        <v>0</v>
      </c>
      <c r="L74" s="47">
        <f t="shared" si="3"/>
        <v>0</v>
      </c>
      <c r="M74" s="8"/>
    </row>
    <row r="75" spans="1:13" s="7" customFormat="1" ht="15.75">
      <c r="A75" s="24" t="s">
        <v>68</v>
      </c>
      <c r="B75" s="25" t="s">
        <v>76</v>
      </c>
      <c r="C75" s="44">
        <v>54442499</v>
      </c>
      <c r="D75" s="44">
        <v>43959773</v>
      </c>
      <c r="E75" s="44">
        <f>F75-0</f>
        <v>269734</v>
      </c>
      <c r="F75" s="44">
        <v>269734</v>
      </c>
      <c r="G75" s="46">
        <f t="shared" si="5"/>
        <v>0.0006413956565254453</v>
      </c>
      <c r="H75" s="44">
        <f>D75-F75</f>
        <v>43690039</v>
      </c>
      <c r="I75" s="44">
        <f t="shared" si="7"/>
        <v>269734</v>
      </c>
      <c r="J75" s="44">
        <v>269734</v>
      </c>
      <c r="K75" s="46">
        <f t="shared" si="6"/>
        <v>0.0006912843354795154</v>
      </c>
      <c r="L75" s="47">
        <f t="shared" si="3"/>
        <v>43690039</v>
      </c>
      <c r="M75" s="8"/>
    </row>
    <row r="76" spans="1:13" s="7" customFormat="1" ht="15.75">
      <c r="A76" s="24" t="s">
        <v>53</v>
      </c>
      <c r="B76" s="25" t="s">
        <v>60</v>
      </c>
      <c r="C76" s="44">
        <v>1445000</v>
      </c>
      <c r="D76" s="44">
        <v>1445000</v>
      </c>
      <c r="E76" s="44">
        <f>F76-0</f>
        <v>0</v>
      </c>
      <c r="F76" s="44">
        <v>0</v>
      </c>
      <c r="G76" s="46">
        <f t="shared" si="5"/>
        <v>0</v>
      </c>
      <c r="H76" s="44">
        <f t="shared" si="2"/>
        <v>1445000</v>
      </c>
      <c r="I76" s="44">
        <f t="shared" si="7"/>
        <v>0</v>
      </c>
      <c r="J76" s="44">
        <v>0</v>
      </c>
      <c r="K76" s="46">
        <f t="shared" si="6"/>
        <v>0</v>
      </c>
      <c r="L76" s="47">
        <f t="shared" si="3"/>
        <v>1445000</v>
      </c>
      <c r="M76" s="8"/>
    </row>
    <row r="77" spans="1:13" s="7" customFormat="1" ht="15.75">
      <c r="A77" s="35" t="s">
        <v>87</v>
      </c>
      <c r="B77" s="27" t="s">
        <v>86</v>
      </c>
      <c r="C77" s="41">
        <f>SUM(C78:C80)</f>
        <v>22627160924</v>
      </c>
      <c r="D77" s="41">
        <f>SUM(D78:D80)</f>
        <v>22653260924</v>
      </c>
      <c r="E77" s="41">
        <f>SUM(E78:E80)</f>
        <v>3640340754</v>
      </c>
      <c r="F77" s="41">
        <f>SUM(F78:F80)</f>
        <v>13672666831</v>
      </c>
      <c r="G77" s="42">
        <f t="shared" si="5"/>
        <v>32.51199002915067</v>
      </c>
      <c r="H77" s="41">
        <f t="shared" si="2"/>
        <v>8980594093</v>
      </c>
      <c r="I77" s="41">
        <f>SUM(I78:I80)</f>
        <v>3646626076</v>
      </c>
      <c r="J77" s="41">
        <f>SUM(J78:J80)</f>
        <v>13595172843</v>
      </c>
      <c r="K77" s="42">
        <f t="shared" si="6"/>
        <v>34.84221501368908</v>
      </c>
      <c r="L77" s="43">
        <f t="shared" si="3"/>
        <v>9058088081</v>
      </c>
      <c r="M77" s="8"/>
    </row>
    <row r="78" spans="1:13" s="7" customFormat="1" ht="15.75">
      <c r="A78" s="24" t="s">
        <v>28</v>
      </c>
      <c r="B78" s="25" t="s">
        <v>33</v>
      </c>
      <c r="C78" s="44">
        <v>2831630799</v>
      </c>
      <c r="D78" s="44">
        <v>2831630799</v>
      </c>
      <c r="E78" s="44">
        <f>F78-1228529184</f>
        <v>528379094</v>
      </c>
      <c r="F78" s="44">
        <v>1756908278</v>
      </c>
      <c r="G78" s="46">
        <f t="shared" si="5"/>
        <v>4.177720785747439</v>
      </c>
      <c r="H78" s="44">
        <f t="shared" si="2"/>
        <v>1074722521</v>
      </c>
      <c r="I78" s="44">
        <f>J78-1145007085</f>
        <v>551493037</v>
      </c>
      <c r="J78" s="44">
        <v>1696500122</v>
      </c>
      <c r="K78" s="46">
        <f t="shared" si="6"/>
        <v>4.347853661302197</v>
      </c>
      <c r="L78" s="47">
        <f t="shared" si="3"/>
        <v>1135130677</v>
      </c>
      <c r="M78" s="8"/>
    </row>
    <row r="79" spans="1:13" s="7" customFormat="1" ht="15.75">
      <c r="A79" s="24" t="s">
        <v>49</v>
      </c>
      <c r="B79" s="25" t="s">
        <v>56</v>
      </c>
      <c r="C79" s="44">
        <v>700000</v>
      </c>
      <c r="D79" s="44">
        <v>700000</v>
      </c>
      <c r="E79" s="44">
        <f>F79-0</f>
        <v>0</v>
      </c>
      <c r="F79" s="44">
        <v>0</v>
      </c>
      <c r="G79" s="46">
        <f t="shared" si="5"/>
        <v>0</v>
      </c>
      <c r="H79" s="44">
        <f t="shared" si="2"/>
        <v>700000</v>
      </c>
      <c r="I79" s="44">
        <f>J79-0</f>
        <v>0</v>
      </c>
      <c r="J79" s="44">
        <v>0</v>
      </c>
      <c r="K79" s="46">
        <f t="shared" si="6"/>
        <v>0</v>
      </c>
      <c r="L79" s="47">
        <f t="shared" si="3"/>
        <v>700000</v>
      </c>
      <c r="M79" s="8"/>
    </row>
    <row r="80" spans="1:13" s="7" customFormat="1" ht="15.75">
      <c r="A80" s="24" t="s">
        <v>88</v>
      </c>
      <c r="B80" s="25" t="s">
        <v>89</v>
      </c>
      <c r="C80" s="44">
        <v>19794830125</v>
      </c>
      <c r="D80" s="44">
        <v>19820930125</v>
      </c>
      <c r="E80" s="44">
        <f>F80-8803796893</f>
        <v>3111961660</v>
      </c>
      <c r="F80" s="44">
        <v>11915758553</v>
      </c>
      <c r="G80" s="46">
        <f aca="true" t="shared" si="8" ref="G80:G111">(F80/$F$244)*100</f>
        <v>28.334269243403227</v>
      </c>
      <c r="H80" s="44">
        <f t="shared" si="2"/>
        <v>7905171572</v>
      </c>
      <c r="I80" s="44">
        <f>J80-8803539682</f>
        <v>3095133039</v>
      </c>
      <c r="J80" s="44">
        <v>11898672721</v>
      </c>
      <c r="K80" s="46">
        <f aca="true" t="shared" si="9" ref="K80:K111">(J80/$J$244)*100</f>
        <v>30.49436135238688</v>
      </c>
      <c r="L80" s="47">
        <f t="shared" si="3"/>
        <v>7922257404</v>
      </c>
      <c r="M80" s="8"/>
    </row>
    <row r="81" spans="1:13" s="7" customFormat="1" ht="15.75">
      <c r="A81" s="35" t="s">
        <v>90</v>
      </c>
      <c r="B81" s="27" t="s">
        <v>91</v>
      </c>
      <c r="C81" s="41">
        <f>SUM(C82:C92)</f>
        <v>6212062031</v>
      </c>
      <c r="D81" s="41">
        <f>SUM(D82:D92)</f>
        <v>6317604683</v>
      </c>
      <c r="E81" s="41">
        <f>SUM(E82:E92)</f>
        <v>954398704</v>
      </c>
      <c r="F81" s="41">
        <f>SUM(F82:F92)</f>
        <v>3217475340</v>
      </c>
      <c r="G81" s="42">
        <f t="shared" si="8"/>
        <v>7.650777091704162</v>
      </c>
      <c r="H81" s="41">
        <f t="shared" si="2"/>
        <v>3100129343</v>
      </c>
      <c r="I81" s="41">
        <f>SUM(I82:I92)</f>
        <v>818843296</v>
      </c>
      <c r="J81" s="41">
        <f>SUM(J82:J92)</f>
        <v>2726865672</v>
      </c>
      <c r="K81" s="42">
        <f t="shared" si="9"/>
        <v>6.98851284602765</v>
      </c>
      <c r="L81" s="43">
        <f t="shared" si="3"/>
        <v>3590739011</v>
      </c>
      <c r="M81" s="8"/>
    </row>
    <row r="82" spans="1:13" s="7" customFormat="1" ht="15.75">
      <c r="A82" s="24" t="s">
        <v>28</v>
      </c>
      <c r="B82" s="25" t="s">
        <v>33</v>
      </c>
      <c r="C82" s="44">
        <v>1069288678</v>
      </c>
      <c r="D82" s="44">
        <v>1106727353</v>
      </c>
      <c r="E82" s="44">
        <f>F82-356946069</f>
        <v>116158328</v>
      </c>
      <c r="F82" s="44">
        <v>473104397</v>
      </c>
      <c r="G82" s="46">
        <f t="shared" si="8"/>
        <v>1.1249864878691227</v>
      </c>
      <c r="H82" s="44">
        <f t="shared" si="2"/>
        <v>633622956</v>
      </c>
      <c r="I82" s="44">
        <f>J82-318444950</f>
        <v>107924253</v>
      </c>
      <c r="J82" s="44">
        <v>426369203</v>
      </c>
      <c r="K82" s="46">
        <f t="shared" si="9"/>
        <v>1.0927148641431395</v>
      </c>
      <c r="L82" s="47">
        <f t="shared" si="3"/>
        <v>680358150</v>
      </c>
      <c r="M82" s="8"/>
    </row>
    <row r="83" spans="1:13" s="7" customFormat="1" ht="15.75">
      <c r="A83" s="24" t="s">
        <v>29</v>
      </c>
      <c r="B83" s="25" t="s">
        <v>34</v>
      </c>
      <c r="C83" s="44">
        <v>12099460</v>
      </c>
      <c r="D83" s="44">
        <v>12990460</v>
      </c>
      <c r="E83" s="44">
        <f>F83-2869820</f>
        <v>1532019</v>
      </c>
      <c r="F83" s="44">
        <v>4401839</v>
      </c>
      <c r="G83" s="46">
        <f t="shared" si="8"/>
        <v>0.010467054265774097</v>
      </c>
      <c r="H83" s="44">
        <f t="shared" si="2"/>
        <v>8588621</v>
      </c>
      <c r="I83" s="44">
        <f>J83-2292039</f>
        <v>1520366</v>
      </c>
      <c r="J83" s="44">
        <v>3812405</v>
      </c>
      <c r="K83" s="46">
        <f t="shared" si="9"/>
        <v>0.009770573442739076</v>
      </c>
      <c r="L83" s="47">
        <f t="shared" si="3"/>
        <v>9178055</v>
      </c>
      <c r="M83" s="8"/>
    </row>
    <row r="84" spans="1:13" s="7" customFormat="1" ht="15.75">
      <c r="A84" s="24" t="s">
        <v>65</v>
      </c>
      <c r="B84" s="25" t="s">
        <v>73</v>
      </c>
      <c r="C84" s="44">
        <v>206910176</v>
      </c>
      <c r="D84" s="44">
        <v>206910176</v>
      </c>
      <c r="E84" s="44">
        <f>F84-71300949</f>
        <v>23084935</v>
      </c>
      <c r="F84" s="44">
        <v>94385884</v>
      </c>
      <c r="G84" s="46">
        <f t="shared" si="8"/>
        <v>0.22443850621321204</v>
      </c>
      <c r="H84" s="44">
        <f t="shared" si="2"/>
        <v>112524292</v>
      </c>
      <c r="I84" s="44">
        <f>J84-66968763</f>
        <v>21771289</v>
      </c>
      <c r="J84" s="44">
        <v>88740052</v>
      </c>
      <c r="K84" s="46">
        <f t="shared" si="9"/>
        <v>0.22742630842696004</v>
      </c>
      <c r="L84" s="47">
        <f t="shared" si="3"/>
        <v>118170124</v>
      </c>
      <c r="M84" s="8"/>
    </row>
    <row r="85" spans="1:13" s="7" customFormat="1" ht="15.75">
      <c r="A85" s="24" t="s">
        <v>52</v>
      </c>
      <c r="B85" s="25" t="s">
        <v>59</v>
      </c>
      <c r="C85" s="44">
        <v>0</v>
      </c>
      <c r="D85" s="44">
        <v>0</v>
      </c>
      <c r="E85" s="44">
        <f>F85-0</f>
        <v>0</v>
      </c>
      <c r="F85" s="44">
        <v>0</v>
      </c>
      <c r="G85" s="46">
        <f t="shared" si="8"/>
        <v>0</v>
      </c>
      <c r="H85" s="44">
        <f t="shared" si="2"/>
        <v>0</v>
      </c>
      <c r="I85" s="44">
        <f>J85-0</f>
        <v>0</v>
      </c>
      <c r="J85" s="44">
        <v>0</v>
      </c>
      <c r="K85" s="46">
        <f t="shared" si="9"/>
        <v>0</v>
      </c>
      <c r="L85" s="47">
        <f t="shared" si="3"/>
        <v>0</v>
      </c>
      <c r="M85" s="8"/>
    </row>
    <row r="86" spans="1:13" s="7" customFormat="1" ht="15.75">
      <c r="A86" s="24" t="s">
        <v>83</v>
      </c>
      <c r="B86" s="25" t="s">
        <v>85</v>
      </c>
      <c r="C86" s="44">
        <v>143105</v>
      </c>
      <c r="D86" s="44">
        <v>143105</v>
      </c>
      <c r="E86" s="44">
        <f>F86-0</f>
        <v>0</v>
      </c>
      <c r="F86" s="44">
        <v>0</v>
      </c>
      <c r="G86" s="46">
        <f t="shared" si="8"/>
        <v>0</v>
      </c>
      <c r="H86" s="44">
        <f t="shared" si="2"/>
        <v>143105</v>
      </c>
      <c r="I86" s="44">
        <f>J86-0</f>
        <v>0</v>
      </c>
      <c r="J86" s="44">
        <v>0</v>
      </c>
      <c r="K86" s="46">
        <f t="shared" si="9"/>
        <v>0</v>
      </c>
      <c r="L86" s="47">
        <f t="shared" si="3"/>
        <v>143105</v>
      </c>
      <c r="M86" s="8"/>
    </row>
    <row r="87" spans="1:13" s="7" customFormat="1" ht="15.75">
      <c r="A87" s="24" t="s">
        <v>92</v>
      </c>
      <c r="B87" s="25" t="s">
        <v>98</v>
      </c>
      <c r="C87" s="44">
        <v>642992060</v>
      </c>
      <c r="D87" s="44">
        <v>509846050</v>
      </c>
      <c r="E87" s="44">
        <f>F87-37645888</f>
        <v>44824</v>
      </c>
      <c r="F87" s="44">
        <v>37690712</v>
      </c>
      <c r="G87" s="46">
        <f t="shared" si="8"/>
        <v>0.0896240702623751</v>
      </c>
      <c r="H87" s="44">
        <f t="shared" si="2"/>
        <v>472155338</v>
      </c>
      <c r="I87" s="44">
        <f>J87-37584715</f>
        <v>4859</v>
      </c>
      <c r="J87" s="44">
        <v>37589574</v>
      </c>
      <c r="K87" s="46">
        <f t="shared" si="9"/>
        <v>0.0963359594398484</v>
      </c>
      <c r="L87" s="47">
        <f t="shared" si="3"/>
        <v>472256476</v>
      </c>
      <c r="M87" s="8"/>
    </row>
    <row r="88" spans="1:13" s="7" customFormat="1" ht="15.75">
      <c r="A88" s="24" t="s">
        <v>67</v>
      </c>
      <c r="B88" s="25" t="s">
        <v>75</v>
      </c>
      <c r="C88" s="44">
        <v>3910514046</v>
      </c>
      <c r="D88" s="44">
        <v>4102187484</v>
      </c>
      <c r="E88" s="44">
        <f>F88-1691174139</f>
        <v>788093740</v>
      </c>
      <c r="F88" s="44">
        <v>2479267879</v>
      </c>
      <c r="G88" s="46">
        <f t="shared" si="8"/>
        <v>5.895406767236068</v>
      </c>
      <c r="H88" s="44">
        <f t="shared" si="2"/>
        <v>1622919605</v>
      </c>
      <c r="I88" s="44">
        <f>J88-1399821981</f>
        <v>661609491</v>
      </c>
      <c r="J88" s="44">
        <v>2061431472</v>
      </c>
      <c r="K88" s="46">
        <f t="shared" si="9"/>
        <v>5.283113308882378</v>
      </c>
      <c r="L88" s="47">
        <f t="shared" si="3"/>
        <v>2040756012</v>
      </c>
      <c r="M88" s="8"/>
    </row>
    <row r="89" spans="1:13" s="7" customFormat="1" ht="15.75">
      <c r="A89" s="24" t="s">
        <v>93</v>
      </c>
      <c r="B89" s="25" t="s">
        <v>99</v>
      </c>
      <c r="C89" s="44">
        <v>321378591</v>
      </c>
      <c r="D89" s="44">
        <v>328814140</v>
      </c>
      <c r="E89" s="44">
        <f>F89-89579824</f>
        <v>23583111</v>
      </c>
      <c r="F89" s="44">
        <v>113162935</v>
      </c>
      <c r="G89" s="46">
        <f t="shared" si="8"/>
        <v>0.26908812010599814</v>
      </c>
      <c r="H89" s="44">
        <f t="shared" si="2"/>
        <v>215651205</v>
      </c>
      <c r="I89" s="44">
        <f>J89-72730167</f>
        <v>23494226</v>
      </c>
      <c r="J89" s="44">
        <v>96224393</v>
      </c>
      <c r="K89" s="46">
        <f t="shared" si="9"/>
        <v>0.2466074561305758</v>
      </c>
      <c r="L89" s="47">
        <f t="shared" si="3"/>
        <v>232589747</v>
      </c>
      <c r="M89" s="8"/>
    </row>
    <row r="90" spans="1:13" s="7" customFormat="1" ht="15.75">
      <c r="A90" s="24" t="s">
        <v>94</v>
      </c>
      <c r="B90" s="25" t="s">
        <v>100</v>
      </c>
      <c r="C90" s="44">
        <v>20775162</v>
      </c>
      <c r="D90" s="44">
        <v>21725162</v>
      </c>
      <c r="E90" s="44">
        <f>F90-4130439</f>
        <v>1220503</v>
      </c>
      <c r="F90" s="44">
        <v>5350942</v>
      </c>
      <c r="G90" s="46">
        <f t="shared" si="8"/>
        <v>0.012723909322219593</v>
      </c>
      <c r="H90" s="44">
        <f t="shared" si="2"/>
        <v>16374220</v>
      </c>
      <c r="I90" s="44">
        <f>J90-3083414</f>
        <v>360557</v>
      </c>
      <c r="J90" s="44">
        <v>3443971</v>
      </c>
      <c r="K90" s="46">
        <f t="shared" si="9"/>
        <v>0.008826337073360132</v>
      </c>
      <c r="L90" s="47">
        <f t="shared" si="3"/>
        <v>18281191</v>
      </c>
      <c r="M90" s="8"/>
    </row>
    <row r="91" spans="1:13" s="7" customFormat="1" ht="15.75">
      <c r="A91" s="24" t="s">
        <v>95</v>
      </c>
      <c r="B91" s="25" t="s">
        <v>101</v>
      </c>
      <c r="C91" s="44">
        <v>27860753</v>
      </c>
      <c r="D91" s="44">
        <v>28160753</v>
      </c>
      <c r="E91" s="44">
        <f>F91-9402508</f>
        <v>681244</v>
      </c>
      <c r="F91" s="44">
        <v>10083752</v>
      </c>
      <c r="G91" s="46">
        <f t="shared" si="8"/>
        <v>0.023977973612076244</v>
      </c>
      <c r="H91" s="44">
        <f t="shared" si="2"/>
        <v>18077001</v>
      </c>
      <c r="I91" s="44">
        <f>J91-7069347</f>
        <v>2158255</v>
      </c>
      <c r="J91" s="44">
        <v>9227602</v>
      </c>
      <c r="K91" s="46">
        <f t="shared" si="9"/>
        <v>0.023648841883631457</v>
      </c>
      <c r="L91" s="47">
        <f t="shared" si="3"/>
        <v>18933151</v>
      </c>
      <c r="M91" s="8"/>
    </row>
    <row r="92" spans="1:13" s="7" customFormat="1" ht="15.75">
      <c r="A92" s="24" t="s">
        <v>97</v>
      </c>
      <c r="B92" s="25" t="s">
        <v>241</v>
      </c>
      <c r="C92" s="44">
        <v>100000</v>
      </c>
      <c r="D92" s="44">
        <v>100000</v>
      </c>
      <c r="E92" s="44">
        <f>F92-27000</f>
        <v>0</v>
      </c>
      <c r="F92" s="44">
        <v>27000</v>
      </c>
      <c r="G92" s="46">
        <f t="shared" si="8"/>
        <v>6.420281731701242E-05</v>
      </c>
      <c r="H92" s="44">
        <f t="shared" si="2"/>
        <v>73000</v>
      </c>
      <c r="I92" s="44">
        <f>J92-27000</f>
        <v>0</v>
      </c>
      <c r="J92" s="44">
        <v>27000</v>
      </c>
      <c r="K92" s="46">
        <f t="shared" si="9"/>
        <v>6.919660501808045E-05</v>
      </c>
      <c r="L92" s="47">
        <f t="shared" si="3"/>
        <v>73000</v>
      </c>
      <c r="M92" s="8"/>
    </row>
    <row r="93" spans="1:13" s="7" customFormat="1" ht="15.75">
      <c r="A93" s="35" t="s">
        <v>104</v>
      </c>
      <c r="B93" s="27" t="s">
        <v>103</v>
      </c>
      <c r="C93" s="41">
        <f>SUM(C94:C97)</f>
        <v>23630612</v>
      </c>
      <c r="D93" s="41">
        <f>SUM(D94:D97)</f>
        <v>42244470</v>
      </c>
      <c r="E93" s="41">
        <f>SUM(E94:E97)</f>
        <v>4322783</v>
      </c>
      <c r="F93" s="41">
        <f>SUM(F94:F97)</f>
        <v>16398823</v>
      </c>
      <c r="G93" s="42">
        <f t="shared" si="8"/>
        <v>0.03899446804751931</v>
      </c>
      <c r="H93" s="41">
        <f t="shared" si="2"/>
        <v>25845647</v>
      </c>
      <c r="I93" s="41">
        <f>SUM(I94:I97)</f>
        <v>4096399</v>
      </c>
      <c r="J93" s="41">
        <f>SUM(J94:J97)</f>
        <v>15635004</v>
      </c>
      <c r="K93" s="42">
        <f t="shared" si="9"/>
        <v>0.04006997023126326</v>
      </c>
      <c r="L93" s="43">
        <f t="shared" si="3"/>
        <v>26609466</v>
      </c>
      <c r="M93" s="8"/>
    </row>
    <row r="94" spans="1:13" s="7" customFormat="1" ht="15.75">
      <c r="A94" s="24" t="s">
        <v>28</v>
      </c>
      <c r="B94" s="25" t="s">
        <v>33</v>
      </c>
      <c r="C94" s="44">
        <v>13518179</v>
      </c>
      <c r="D94" s="44">
        <v>26660616</v>
      </c>
      <c r="E94" s="44">
        <f>F94-10708649</f>
        <v>3728327</v>
      </c>
      <c r="F94" s="44">
        <v>14436976</v>
      </c>
      <c r="G94" s="46">
        <f t="shared" si="8"/>
        <v>0.03432942713844787</v>
      </c>
      <c r="H94" s="44">
        <f t="shared" si="2"/>
        <v>12223640</v>
      </c>
      <c r="I94" s="44">
        <f>J94-10269613</f>
        <v>3807514</v>
      </c>
      <c r="J94" s="44">
        <v>14077127</v>
      </c>
      <c r="K94" s="46">
        <f t="shared" si="9"/>
        <v>0.03607738506697614</v>
      </c>
      <c r="L94" s="47">
        <f t="shared" si="3"/>
        <v>12583489</v>
      </c>
      <c r="M94" s="8"/>
    </row>
    <row r="95" spans="1:13" s="7" customFormat="1" ht="15.75">
      <c r="A95" s="24" t="s">
        <v>242</v>
      </c>
      <c r="B95" s="25" t="s">
        <v>243</v>
      </c>
      <c r="C95" s="44">
        <v>505000</v>
      </c>
      <c r="D95" s="44">
        <v>452500</v>
      </c>
      <c r="E95" s="44">
        <f>F95-0</f>
        <v>0</v>
      </c>
      <c r="F95" s="44">
        <v>0</v>
      </c>
      <c r="G95" s="46">
        <f t="shared" si="8"/>
        <v>0</v>
      </c>
      <c r="H95" s="44">
        <f>D95-F95</f>
        <v>452500</v>
      </c>
      <c r="I95" s="44">
        <f>J95-0</f>
        <v>0</v>
      </c>
      <c r="J95" s="44">
        <v>0</v>
      </c>
      <c r="K95" s="46">
        <f t="shared" si="9"/>
        <v>0</v>
      </c>
      <c r="L95" s="47">
        <f>D95-J95</f>
        <v>452500</v>
      </c>
      <c r="M95" s="8"/>
    </row>
    <row r="96" spans="1:13" s="7" customFormat="1" ht="15.75">
      <c r="A96" s="24" t="s">
        <v>105</v>
      </c>
      <c r="B96" s="25" t="s">
        <v>107</v>
      </c>
      <c r="C96" s="44">
        <v>8502578</v>
      </c>
      <c r="D96" s="44">
        <v>12486467</v>
      </c>
      <c r="E96" s="44">
        <f>F96-1367391</f>
        <v>594456</v>
      </c>
      <c r="F96" s="44">
        <v>1961847</v>
      </c>
      <c r="G96" s="46">
        <f t="shared" si="8"/>
        <v>0.004665040909071439</v>
      </c>
      <c r="H96" s="44">
        <f t="shared" si="2"/>
        <v>10524620</v>
      </c>
      <c r="I96" s="44">
        <f>J96-1268992</f>
        <v>288885</v>
      </c>
      <c r="J96" s="44">
        <v>1557877</v>
      </c>
      <c r="K96" s="46">
        <f t="shared" si="9"/>
        <v>0.003992585164287116</v>
      </c>
      <c r="L96" s="47">
        <f t="shared" si="3"/>
        <v>10928590</v>
      </c>
      <c r="M96" s="8"/>
    </row>
    <row r="97" spans="1:13" s="7" customFormat="1" ht="15.75">
      <c r="A97" s="24" t="s">
        <v>106</v>
      </c>
      <c r="B97" s="25" t="s">
        <v>108</v>
      </c>
      <c r="C97" s="44">
        <v>1104855</v>
      </c>
      <c r="D97" s="44">
        <v>2644887</v>
      </c>
      <c r="E97" s="44">
        <f>F97-0</f>
        <v>0</v>
      </c>
      <c r="F97" s="44">
        <v>0</v>
      </c>
      <c r="G97" s="46">
        <f t="shared" si="8"/>
        <v>0</v>
      </c>
      <c r="H97" s="44">
        <f t="shared" si="2"/>
        <v>2644887</v>
      </c>
      <c r="I97" s="44">
        <f>J97-0</f>
        <v>0</v>
      </c>
      <c r="J97" s="44">
        <v>0</v>
      </c>
      <c r="K97" s="46">
        <f t="shared" si="9"/>
        <v>0</v>
      </c>
      <c r="L97" s="47">
        <f t="shared" si="3"/>
        <v>2644887</v>
      </c>
      <c r="M97" s="8"/>
    </row>
    <row r="98" spans="1:13" s="7" customFormat="1" ht="15.75">
      <c r="A98" s="35" t="s">
        <v>109</v>
      </c>
      <c r="B98" s="27" t="s">
        <v>110</v>
      </c>
      <c r="C98" s="41">
        <f>SUM(C99:C114)</f>
        <v>7061336184</v>
      </c>
      <c r="D98" s="41">
        <f>SUM(D99:D114)</f>
        <v>7340368382</v>
      </c>
      <c r="E98" s="41">
        <f>SUM(E99:E114)</f>
        <v>1000879616</v>
      </c>
      <c r="F98" s="41">
        <f>SUM(F99:F114)</f>
        <v>3646369336</v>
      </c>
      <c r="G98" s="42">
        <f t="shared" si="8"/>
        <v>8.670636457391254</v>
      </c>
      <c r="H98" s="41">
        <f t="shared" si="2"/>
        <v>3693999046</v>
      </c>
      <c r="I98" s="41">
        <f>SUM(I99:I114)</f>
        <v>884421782</v>
      </c>
      <c r="J98" s="41">
        <f>SUM(J99:J114)</f>
        <v>3299813353</v>
      </c>
      <c r="K98" s="42">
        <f t="shared" si="9"/>
        <v>8.456884489664027</v>
      </c>
      <c r="L98" s="43">
        <f t="shared" si="3"/>
        <v>4040555029</v>
      </c>
      <c r="M98" s="8"/>
    </row>
    <row r="99" spans="1:13" s="7" customFormat="1" ht="15.75">
      <c r="A99" s="24" t="s">
        <v>28</v>
      </c>
      <c r="B99" s="25" t="s">
        <v>33</v>
      </c>
      <c r="C99" s="44">
        <v>2359971090</v>
      </c>
      <c r="D99" s="44">
        <v>2671332706</v>
      </c>
      <c r="E99" s="44">
        <f>F99-1062251750</f>
        <v>353487791</v>
      </c>
      <c r="F99" s="44">
        <v>1415739541</v>
      </c>
      <c r="G99" s="46">
        <f t="shared" si="8"/>
        <v>3.366461745159037</v>
      </c>
      <c r="H99" s="44">
        <f t="shared" si="2"/>
        <v>1255593165</v>
      </c>
      <c r="I99" s="44">
        <f>J99-899350770</f>
        <v>319614223</v>
      </c>
      <c r="J99" s="44">
        <v>1218964993</v>
      </c>
      <c r="K99" s="46">
        <f t="shared" si="9"/>
        <v>3.124008857462526</v>
      </c>
      <c r="L99" s="47">
        <f t="shared" si="3"/>
        <v>1452367713</v>
      </c>
      <c r="M99" s="8"/>
    </row>
    <row r="100" spans="1:13" s="7" customFormat="1" ht="15.75">
      <c r="A100" s="24" t="s">
        <v>29</v>
      </c>
      <c r="B100" s="25" t="s">
        <v>34</v>
      </c>
      <c r="C100" s="44">
        <v>1345000</v>
      </c>
      <c r="D100" s="44">
        <v>1138251</v>
      </c>
      <c r="E100" s="44">
        <f>F100-0</f>
        <v>0</v>
      </c>
      <c r="F100" s="44">
        <v>0</v>
      </c>
      <c r="G100" s="46">
        <f t="shared" si="8"/>
        <v>0</v>
      </c>
      <c r="H100" s="44">
        <f t="shared" si="2"/>
        <v>1138251</v>
      </c>
      <c r="I100" s="44">
        <f>J100-0</f>
        <v>0</v>
      </c>
      <c r="J100" s="44">
        <v>0</v>
      </c>
      <c r="K100" s="46">
        <f t="shared" si="9"/>
        <v>0</v>
      </c>
      <c r="L100" s="47">
        <f t="shared" si="3"/>
        <v>1138251</v>
      </c>
      <c r="M100" s="8"/>
    </row>
    <row r="101" spans="1:13" s="7" customFormat="1" ht="15.75">
      <c r="A101" s="24" t="s">
        <v>82</v>
      </c>
      <c r="B101" s="25" t="s">
        <v>84</v>
      </c>
      <c r="C101" s="44">
        <v>220851012</v>
      </c>
      <c r="D101" s="44">
        <v>283287012</v>
      </c>
      <c r="E101" s="44">
        <f>F101-49078932</f>
        <v>16865930</v>
      </c>
      <c r="F101" s="44">
        <v>65944862</v>
      </c>
      <c r="G101" s="46">
        <f t="shared" si="8"/>
        <v>0.15680910844376272</v>
      </c>
      <c r="H101" s="44">
        <f t="shared" si="2"/>
        <v>217342150</v>
      </c>
      <c r="I101" s="44">
        <f>J101-37607229</f>
        <v>14894182</v>
      </c>
      <c r="J101" s="44">
        <v>52501411</v>
      </c>
      <c r="K101" s="46">
        <f t="shared" si="9"/>
        <v>0.13455257036514462</v>
      </c>
      <c r="L101" s="47">
        <f t="shared" si="3"/>
        <v>230785601</v>
      </c>
      <c r="M101" s="8"/>
    </row>
    <row r="102" spans="1:13" s="7" customFormat="1" ht="15.75">
      <c r="A102" s="24" t="s">
        <v>67</v>
      </c>
      <c r="B102" s="25" t="s">
        <v>75</v>
      </c>
      <c r="C102" s="44">
        <v>98100000</v>
      </c>
      <c r="D102" s="44">
        <v>92700000</v>
      </c>
      <c r="E102" s="44">
        <f>F102-23309129</f>
        <v>10382664</v>
      </c>
      <c r="F102" s="44">
        <v>33691793</v>
      </c>
      <c r="G102" s="46">
        <f t="shared" si="8"/>
        <v>0.08011511226154065</v>
      </c>
      <c r="H102" s="44">
        <f t="shared" si="2"/>
        <v>59008207</v>
      </c>
      <c r="I102" s="44">
        <f>J102-14315457</f>
        <v>8525763</v>
      </c>
      <c r="J102" s="44">
        <v>22841220</v>
      </c>
      <c r="K102" s="46">
        <f t="shared" si="9"/>
        <v>0.05853832883226222</v>
      </c>
      <c r="L102" s="47">
        <f t="shared" si="3"/>
        <v>69858780</v>
      </c>
      <c r="M102" s="8"/>
    </row>
    <row r="103" spans="1:13" s="7" customFormat="1" ht="15.75">
      <c r="A103" s="24" t="s">
        <v>68</v>
      </c>
      <c r="B103" s="25" t="s">
        <v>76</v>
      </c>
      <c r="C103" s="44">
        <v>302501826</v>
      </c>
      <c r="D103" s="44">
        <v>309902109</v>
      </c>
      <c r="E103" s="44">
        <f>F103-111924036</f>
        <v>95497848</v>
      </c>
      <c r="F103" s="44">
        <v>207421884</v>
      </c>
      <c r="G103" s="46">
        <f t="shared" si="8"/>
        <v>0.4932247898519459</v>
      </c>
      <c r="H103" s="44">
        <f t="shared" si="2"/>
        <v>102480225</v>
      </c>
      <c r="I103" s="44">
        <f>J103-102267740</f>
        <v>49126773</v>
      </c>
      <c r="J103" s="44">
        <v>151394513</v>
      </c>
      <c r="K103" s="46">
        <f t="shared" si="9"/>
        <v>0.38799949325798694</v>
      </c>
      <c r="L103" s="47">
        <f t="shared" si="3"/>
        <v>158507596</v>
      </c>
      <c r="M103" s="8"/>
    </row>
    <row r="104" spans="1:13" s="7" customFormat="1" ht="15.75">
      <c r="A104" s="24" t="s">
        <v>111</v>
      </c>
      <c r="B104" s="25" t="s">
        <v>118</v>
      </c>
      <c r="C104" s="44">
        <v>719024581</v>
      </c>
      <c r="D104" s="44">
        <v>741212134</v>
      </c>
      <c r="E104" s="44">
        <f>F104-270314449</f>
        <v>135671696</v>
      </c>
      <c r="F104" s="44">
        <v>405986145</v>
      </c>
      <c r="G104" s="46">
        <f t="shared" si="8"/>
        <v>0.9653871963212263</v>
      </c>
      <c r="H104" s="44">
        <f t="shared" si="2"/>
        <v>335225989</v>
      </c>
      <c r="I104" s="44">
        <f>J104-270314449</f>
        <v>135671696</v>
      </c>
      <c r="J104" s="44">
        <v>405986145</v>
      </c>
      <c r="K104" s="46">
        <f t="shared" si="9"/>
        <v>1.0404764043843755</v>
      </c>
      <c r="L104" s="47">
        <f t="shared" si="3"/>
        <v>335225989</v>
      </c>
      <c r="M104" s="8"/>
    </row>
    <row r="105" spans="1:13" s="7" customFormat="1" ht="15.75">
      <c r="A105" s="24" t="s">
        <v>112</v>
      </c>
      <c r="B105" s="25" t="s">
        <v>119</v>
      </c>
      <c r="C105" s="44">
        <v>2482460129</v>
      </c>
      <c r="D105" s="44">
        <v>2425883167</v>
      </c>
      <c r="E105" s="44">
        <f>F105-950471295</f>
        <v>303814916</v>
      </c>
      <c r="F105" s="44">
        <v>1254286211</v>
      </c>
      <c r="G105" s="46">
        <f t="shared" si="8"/>
        <v>2.9825447580770623</v>
      </c>
      <c r="H105" s="44">
        <f t="shared" si="2"/>
        <v>1171596956</v>
      </c>
      <c r="I105" s="44">
        <f>J105-947517329</f>
        <v>302137997</v>
      </c>
      <c r="J105" s="44">
        <v>1249655326</v>
      </c>
      <c r="K105" s="46">
        <f t="shared" si="9"/>
        <v>3.202663185257873</v>
      </c>
      <c r="L105" s="47">
        <f t="shared" si="3"/>
        <v>1176227841</v>
      </c>
      <c r="M105" s="8"/>
    </row>
    <row r="106" spans="1:13" s="7" customFormat="1" ht="15.75">
      <c r="A106" s="24" t="s">
        <v>113</v>
      </c>
      <c r="B106" s="25" t="s">
        <v>120</v>
      </c>
      <c r="C106" s="44">
        <v>111637438</v>
      </c>
      <c r="D106" s="44">
        <v>121777513</v>
      </c>
      <c r="E106" s="44">
        <f>F106-5066468</f>
        <v>3482661</v>
      </c>
      <c r="F106" s="44">
        <v>8549129</v>
      </c>
      <c r="G106" s="46">
        <f t="shared" si="8"/>
        <v>0.02032882101505826</v>
      </c>
      <c r="H106" s="44">
        <f t="shared" si="2"/>
        <v>113228384</v>
      </c>
      <c r="I106" s="44">
        <f>J106-2922298</f>
        <v>3673252</v>
      </c>
      <c r="J106" s="44">
        <v>6595550</v>
      </c>
      <c r="K106" s="46">
        <f t="shared" si="9"/>
        <v>0.016903321045444467</v>
      </c>
      <c r="L106" s="47">
        <f t="shared" si="3"/>
        <v>115181963</v>
      </c>
      <c r="M106" s="8"/>
    </row>
    <row r="107" spans="1:13" s="7" customFormat="1" ht="15.75">
      <c r="A107" s="24" t="s">
        <v>114</v>
      </c>
      <c r="B107" s="25" t="s">
        <v>121</v>
      </c>
      <c r="C107" s="44">
        <v>481624146</v>
      </c>
      <c r="D107" s="44">
        <v>394303303</v>
      </c>
      <c r="E107" s="44">
        <f>F107-94483120</f>
        <v>41574504</v>
      </c>
      <c r="F107" s="44">
        <v>136057624</v>
      </c>
      <c r="G107" s="46">
        <f t="shared" si="8"/>
        <v>0.3235289917873616</v>
      </c>
      <c r="H107" s="44">
        <f t="shared" si="2"/>
        <v>258245679</v>
      </c>
      <c r="I107" s="44">
        <f>J107-72752300</f>
        <v>27594218</v>
      </c>
      <c r="J107" s="44">
        <v>100346518</v>
      </c>
      <c r="K107" s="46">
        <f t="shared" si="9"/>
        <v>0.2571717915179889</v>
      </c>
      <c r="L107" s="47">
        <f t="shared" si="3"/>
        <v>293956785</v>
      </c>
      <c r="M107" s="8"/>
    </row>
    <row r="108" spans="1:13" s="7" customFormat="1" ht="15.75">
      <c r="A108" s="24" t="s">
        <v>115</v>
      </c>
      <c r="B108" s="25" t="s">
        <v>122</v>
      </c>
      <c r="C108" s="44">
        <v>18942900</v>
      </c>
      <c r="D108" s="44">
        <v>19114649</v>
      </c>
      <c r="E108" s="44">
        <f>F108-7848477</f>
        <v>3278397</v>
      </c>
      <c r="F108" s="44">
        <v>11126874</v>
      </c>
      <c r="G108" s="46">
        <f t="shared" si="8"/>
        <v>0.02645839476783019</v>
      </c>
      <c r="H108" s="44">
        <f t="shared" si="2"/>
        <v>7987775</v>
      </c>
      <c r="I108" s="44">
        <f>J108-6125965</f>
        <v>1793943</v>
      </c>
      <c r="J108" s="44">
        <v>7919908</v>
      </c>
      <c r="K108" s="46">
        <f t="shared" si="9"/>
        <v>0.020297435024279095</v>
      </c>
      <c r="L108" s="47">
        <f t="shared" si="3"/>
        <v>11194741</v>
      </c>
      <c r="M108" s="8"/>
    </row>
    <row r="109" spans="1:13" s="7" customFormat="1" ht="15.75">
      <c r="A109" s="24" t="s">
        <v>116</v>
      </c>
      <c r="B109" s="25" t="s">
        <v>123</v>
      </c>
      <c r="C109" s="44">
        <v>63151105</v>
      </c>
      <c r="D109" s="44">
        <v>70758098</v>
      </c>
      <c r="E109" s="44">
        <f>F109-11076115</f>
        <v>14935850</v>
      </c>
      <c r="F109" s="44">
        <v>26011965</v>
      </c>
      <c r="G109" s="46">
        <f t="shared" si="8"/>
        <v>0.06185338655376003</v>
      </c>
      <c r="H109" s="44">
        <f t="shared" si="2"/>
        <v>44746133</v>
      </c>
      <c r="I109" s="44">
        <f>J109-2582885</f>
        <v>1839054</v>
      </c>
      <c r="J109" s="44">
        <v>4421939</v>
      </c>
      <c r="K109" s="46">
        <f t="shared" si="9"/>
        <v>0.011332709866557248</v>
      </c>
      <c r="L109" s="47">
        <f t="shared" si="3"/>
        <v>66336159</v>
      </c>
      <c r="M109" s="8"/>
    </row>
    <row r="110" spans="1:13" s="7" customFormat="1" ht="15.75">
      <c r="A110" s="24" t="s">
        <v>252</v>
      </c>
      <c r="B110" s="25" t="s">
        <v>253</v>
      </c>
      <c r="C110" s="44">
        <v>9855000</v>
      </c>
      <c r="D110" s="44">
        <v>0</v>
      </c>
      <c r="E110" s="44">
        <f>F110-0</f>
        <v>0</v>
      </c>
      <c r="F110" s="44">
        <v>0</v>
      </c>
      <c r="G110" s="46">
        <f t="shared" si="8"/>
        <v>0</v>
      </c>
      <c r="H110" s="44">
        <f t="shared" si="2"/>
        <v>0</v>
      </c>
      <c r="I110" s="44">
        <f>J110-0</f>
        <v>0</v>
      </c>
      <c r="J110" s="44">
        <v>0</v>
      </c>
      <c r="K110" s="46">
        <f t="shared" si="9"/>
        <v>0</v>
      </c>
      <c r="L110" s="47">
        <f t="shared" si="3"/>
        <v>0</v>
      </c>
      <c r="M110" s="8"/>
    </row>
    <row r="111" spans="1:13" s="7" customFormat="1" ht="15.75">
      <c r="A111" s="24" t="s">
        <v>117</v>
      </c>
      <c r="B111" s="25" t="s">
        <v>124</v>
      </c>
      <c r="C111" s="44">
        <v>11095000</v>
      </c>
      <c r="D111" s="44">
        <v>11181945</v>
      </c>
      <c r="E111" s="44">
        <f>F111-101198</f>
        <v>2342709</v>
      </c>
      <c r="F111" s="44">
        <v>2443907</v>
      </c>
      <c r="G111" s="46">
        <f t="shared" si="8"/>
        <v>0.005811322765213624</v>
      </c>
      <c r="H111" s="44">
        <f t="shared" si="2"/>
        <v>8738038</v>
      </c>
      <c r="I111" s="44">
        <f>J111-70468</f>
        <v>6031</v>
      </c>
      <c r="J111" s="44">
        <v>76499</v>
      </c>
      <c r="K111" s="46">
        <f t="shared" si="9"/>
        <v>0.00019605448471400508</v>
      </c>
      <c r="L111" s="47">
        <f t="shared" si="3"/>
        <v>11105446</v>
      </c>
      <c r="M111" s="8"/>
    </row>
    <row r="112" spans="1:13" s="7" customFormat="1" ht="15.75">
      <c r="A112" s="24" t="s">
        <v>153</v>
      </c>
      <c r="B112" s="25" t="s">
        <v>154</v>
      </c>
      <c r="C112" s="44">
        <v>0</v>
      </c>
      <c r="D112" s="44">
        <v>0</v>
      </c>
      <c r="E112" s="44">
        <f>F112-0</f>
        <v>0</v>
      </c>
      <c r="F112" s="44">
        <v>0</v>
      </c>
      <c r="G112" s="46">
        <f aca="true" t="shared" si="10" ref="G112:G127">(F112/$F$244)*100</f>
        <v>0</v>
      </c>
      <c r="H112" s="44">
        <f t="shared" si="2"/>
        <v>0</v>
      </c>
      <c r="I112" s="44">
        <f>J112-0</f>
        <v>0</v>
      </c>
      <c r="J112" s="44">
        <v>0</v>
      </c>
      <c r="K112" s="46">
        <f aca="true" t="shared" si="11" ref="K112:K127">(J112/$J$244)*100</f>
        <v>0</v>
      </c>
      <c r="L112" s="47">
        <f t="shared" si="3"/>
        <v>0</v>
      </c>
      <c r="M112" s="8"/>
    </row>
    <row r="113" spans="1:13" s="7" customFormat="1" ht="15.75">
      <c r="A113" s="24" t="s">
        <v>96</v>
      </c>
      <c r="B113" s="25" t="s">
        <v>102</v>
      </c>
      <c r="C113" s="44">
        <v>0</v>
      </c>
      <c r="D113" s="44">
        <v>0</v>
      </c>
      <c r="E113" s="44">
        <f>F113-0</f>
        <v>0</v>
      </c>
      <c r="F113" s="44">
        <v>0</v>
      </c>
      <c r="G113" s="46">
        <f t="shared" si="10"/>
        <v>0</v>
      </c>
      <c r="H113" s="44">
        <f t="shared" si="2"/>
        <v>0</v>
      </c>
      <c r="I113" s="44">
        <f>J113-0</f>
        <v>0</v>
      </c>
      <c r="J113" s="44">
        <v>0</v>
      </c>
      <c r="K113" s="46">
        <f t="shared" si="11"/>
        <v>0</v>
      </c>
      <c r="L113" s="47">
        <f t="shared" si="3"/>
        <v>0</v>
      </c>
      <c r="M113" s="8"/>
    </row>
    <row r="114" spans="1:13" s="7" customFormat="1" ht="15.75">
      <c r="A114" s="24" t="s">
        <v>97</v>
      </c>
      <c r="B114" s="25" t="s">
        <v>241</v>
      </c>
      <c r="C114" s="44">
        <v>180776957</v>
      </c>
      <c r="D114" s="44">
        <v>197777495</v>
      </c>
      <c r="E114" s="44">
        <f>F114-59564751</f>
        <v>19544650</v>
      </c>
      <c r="F114" s="44">
        <v>79109401</v>
      </c>
      <c r="G114" s="46">
        <f t="shared" si="10"/>
        <v>0.18811283038745477</v>
      </c>
      <c r="H114" s="44">
        <f>D114-F114</f>
        <v>118668094</v>
      </c>
      <c r="I114" s="44">
        <f>J114-59564681</f>
        <v>19544650</v>
      </c>
      <c r="J114" s="44">
        <v>79109331</v>
      </c>
      <c r="K114" s="46">
        <f t="shared" si="11"/>
        <v>0.20274433816487364</v>
      </c>
      <c r="L114" s="47">
        <f>D114-J114</f>
        <v>118668164</v>
      </c>
      <c r="M114" s="8"/>
    </row>
    <row r="115" spans="1:13" s="7" customFormat="1" ht="15.75">
      <c r="A115" s="35" t="s">
        <v>125</v>
      </c>
      <c r="B115" s="27" t="s">
        <v>126</v>
      </c>
      <c r="C115" s="41">
        <f>SUM(C116:C119)</f>
        <v>247516580</v>
      </c>
      <c r="D115" s="41">
        <f>SUM(D116:D119)</f>
        <v>270640634</v>
      </c>
      <c r="E115" s="41">
        <f>SUM(E116:E119)</f>
        <v>16882958</v>
      </c>
      <c r="F115" s="41">
        <f>SUM(F116:F119)</f>
        <v>59550304</v>
      </c>
      <c r="G115" s="42">
        <f t="shared" si="10"/>
        <v>0.1416036032920205</v>
      </c>
      <c r="H115" s="41">
        <f t="shared" si="2"/>
        <v>211090330</v>
      </c>
      <c r="I115" s="41">
        <f>SUM(I116:I119)</f>
        <v>16119029</v>
      </c>
      <c r="J115" s="41">
        <f>SUM(J116:J119)</f>
        <v>55587667</v>
      </c>
      <c r="K115" s="42">
        <f t="shared" si="11"/>
        <v>0.14246214212131797</v>
      </c>
      <c r="L115" s="43">
        <f t="shared" si="3"/>
        <v>215052967</v>
      </c>
      <c r="M115" s="8"/>
    </row>
    <row r="116" spans="1:13" s="7" customFormat="1" ht="15.75">
      <c r="A116" s="24" t="s">
        <v>28</v>
      </c>
      <c r="B116" s="25" t="s">
        <v>33</v>
      </c>
      <c r="C116" s="44">
        <v>129295822</v>
      </c>
      <c r="D116" s="44">
        <v>128300066</v>
      </c>
      <c r="E116" s="44">
        <f>F116-40672404</f>
        <v>15640731</v>
      </c>
      <c r="F116" s="44">
        <v>56313135</v>
      </c>
      <c r="G116" s="46">
        <f t="shared" si="10"/>
        <v>0.1339059969982688</v>
      </c>
      <c r="H116" s="44">
        <f t="shared" si="2"/>
        <v>71986931</v>
      </c>
      <c r="I116" s="44">
        <f>J116-38489909</f>
        <v>15401842</v>
      </c>
      <c r="J116" s="44">
        <v>53891751</v>
      </c>
      <c r="K116" s="46">
        <f t="shared" si="11"/>
        <v>0.1381157854696201</v>
      </c>
      <c r="L116" s="47">
        <f t="shared" si="3"/>
        <v>74408315</v>
      </c>
      <c r="M116" s="8"/>
    </row>
    <row r="117" spans="1:13" s="7" customFormat="1" ht="15.75">
      <c r="A117" s="24" t="s">
        <v>127</v>
      </c>
      <c r="B117" s="25" t="s">
        <v>128</v>
      </c>
      <c r="C117" s="44">
        <v>865000</v>
      </c>
      <c r="D117" s="44">
        <v>865000</v>
      </c>
      <c r="E117" s="44">
        <f>F117-2597</f>
        <v>0</v>
      </c>
      <c r="F117" s="44">
        <v>2597</v>
      </c>
      <c r="G117" s="46">
        <f t="shared" si="10"/>
        <v>6.175359873047452E-06</v>
      </c>
      <c r="H117" s="44">
        <f t="shared" si="2"/>
        <v>862403</v>
      </c>
      <c r="I117" s="44">
        <f>J117-1724</f>
        <v>521</v>
      </c>
      <c r="J117" s="44">
        <v>2245</v>
      </c>
      <c r="K117" s="46">
        <f t="shared" si="11"/>
        <v>5.753569565392246E-06</v>
      </c>
      <c r="L117" s="47">
        <f t="shared" si="3"/>
        <v>862755</v>
      </c>
      <c r="M117" s="8"/>
    </row>
    <row r="118" spans="1:13" s="7" customFormat="1" ht="15.75">
      <c r="A118" s="24" t="s">
        <v>117</v>
      </c>
      <c r="B118" s="25" t="s">
        <v>124</v>
      </c>
      <c r="C118" s="44">
        <v>100921832</v>
      </c>
      <c r="D118" s="44">
        <v>133359568</v>
      </c>
      <c r="E118" s="44">
        <f>F118-1933096</f>
        <v>748898</v>
      </c>
      <c r="F118" s="44">
        <v>2681994</v>
      </c>
      <c r="G118" s="46">
        <f t="shared" si="10"/>
        <v>0.0063774655861971626</v>
      </c>
      <c r="H118" s="44">
        <f t="shared" si="2"/>
        <v>130677574</v>
      </c>
      <c r="I118" s="44">
        <f>J118-962756</f>
        <v>648423</v>
      </c>
      <c r="J118" s="44">
        <v>1611179</v>
      </c>
      <c r="K118" s="46">
        <f t="shared" si="11"/>
        <v>0.004129189513941698</v>
      </c>
      <c r="L118" s="47">
        <f>D118-J118</f>
        <v>131748389</v>
      </c>
      <c r="M118" s="8"/>
    </row>
    <row r="119" spans="1:13" s="7" customFormat="1" ht="15.75">
      <c r="A119" s="24" t="s">
        <v>185</v>
      </c>
      <c r="B119" s="25" t="s">
        <v>186</v>
      </c>
      <c r="C119" s="44">
        <v>16433926</v>
      </c>
      <c r="D119" s="44">
        <v>8116000</v>
      </c>
      <c r="E119" s="44">
        <f>F119-59249</f>
        <v>493329</v>
      </c>
      <c r="F119" s="44">
        <v>552578</v>
      </c>
      <c r="G119" s="46">
        <f t="shared" si="10"/>
        <v>0.0013139653476814846</v>
      </c>
      <c r="H119" s="44">
        <f t="shared" si="2"/>
        <v>7563422</v>
      </c>
      <c r="I119" s="44">
        <f>J119-14249</f>
        <v>68243</v>
      </c>
      <c r="J119" s="44">
        <v>82492</v>
      </c>
      <c r="K119" s="46">
        <f t="shared" si="11"/>
        <v>0.00021141356819079604</v>
      </c>
      <c r="L119" s="47">
        <f t="shared" si="3"/>
        <v>8033508</v>
      </c>
      <c r="M119" s="8"/>
    </row>
    <row r="120" spans="1:13" s="7" customFormat="1" ht="15.75">
      <c r="A120" s="35" t="s">
        <v>129</v>
      </c>
      <c r="B120" s="27" t="s">
        <v>130</v>
      </c>
      <c r="C120" s="41">
        <f>SUM(C121:C127)</f>
        <v>48507745</v>
      </c>
      <c r="D120" s="41">
        <f>SUM(D121:D127)</f>
        <v>103810599</v>
      </c>
      <c r="E120" s="41">
        <f>SUM(E121:E127)</f>
        <v>16634780</v>
      </c>
      <c r="F120" s="41">
        <f>SUM(F121:F127)</f>
        <v>55697266</v>
      </c>
      <c r="G120" s="42">
        <f t="shared" si="10"/>
        <v>0.13244153311314988</v>
      </c>
      <c r="H120" s="41">
        <f t="shared" si="2"/>
        <v>48113333</v>
      </c>
      <c r="I120" s="41">
        <f>SUM(I121:I127)</f>
        <v>16555338</v>
      </c>
      <c r="J120" s="41">
        <f>SUM(J121:J127)</f>
        <v>54518627</v>
      </c>
      <c r="K120" s="42">
        <f t="shared" si="11"/>
        <v>0.13972236661655765</v>
      </c>
      <c r="L120" s="43">
        <f t="shared" si="3"/>
        <v>49291972</v>
      </c>
      <c r="M120" s="8"/>
    </row>
    <row r="121" spans="1:13" s="7" customFormat="1" ht="15.75">
      <c r="A121" s="24" t="s">
        <v>28</v>
      </c>
      <c r="B121" s="25" t="s">
        <v>33</v>
      </c>
      <c r="C121" s="44">
        <v>21451400</v>
      </c>
      <c r="D121" s="44">
        <v>40714841</v>
      </c>
      <c r="E121" s="44">
        <f>F121-13728149</f>
        <v>6424905</v>
      </c>
      <c r="F121" s="44">
        <v>20153054</v>
      </c>
      <c r="G121" s="46">
        <f t="shared" si="10"/>
        <v>0.04792158682747727</v>
      </c>
      <c r="H121" s="44">
        <f t="shared" si="2"/>
        <v>20561787</v>
      </c>
      <c r="I121" s="44">
        <f>J121-13493449</f>
        <v>6273890</v>
      </c>
      <c r="J121" s="44">
        <v>19767339</v>
      </c>
      <c r="K121" s="46">
        <f t="shared" si="11"/>
        <v>0.05066047218672213</v>
      </c>
      <c r="L121" s="47">
        <f t="shared" si="3"/>
        <v>20947502</v>
      </c>
      <c r="M121" s="8"/>
    </row>
    <row r="122" spans="1:13" s="7" customFormat="1" ht="15.75">
      <c r="A122" s="24" t="s">
        <v>49</v>
      </c>
      <c r="B122" s="25" t="s">
        <v>56</v>
      </c>
      <c r="C122" s="44">
        <v>12764827</v>
      </c>
      <c r="D122" s="44">
        <v>48804240</v>
      </c>
      <c r="E122" s="44">
        <f>F122-24825021</f>
        <v>9888437</v>
      </c>
      <c r="F122" s="44">
        <v>34713458</v>
      </c>
      <c r="G122" s="46">
        <f t="shared" si="10"/>
        <v>0.08254451120058455</v>
      </c>
      <c r="H122" s="44">
        <f t="shared" si="2"/>
        <v>14090782</v>
      </c>
      <c r="I122" s="44">
        <f>J122-23960524</f>
        <v>9960010</v>
      </c>
      <c r="J122" s="44">
        <v>33920534</v>
      </c>
      <c r="K122" s="46">
        <f t="shared" si="11"/>
        <v>0.08693280715556922</v>
      </c>
      <c r="L122" s="47">
        <f>D122-J122</f>
        <v>14883706</v>
      </c>
      <c r="M122" s="8"/>
    </row>
    <row r="123" spans="1:13" s="7" customFormat="1" ht="15.75">
      <c r="A123" s="24" t="s">
        <v>52</v>
      </c>
      <c r="B123" s="25" t="s">
        <v>59</v>
      </c>
      <c r="C123" s="44">
        <v>190000</v>
      </c>
      <c r="D123" s="44">
        <v>190000</v>
      </c>
      <c r="E123" s="44">
        <f>F123-0</f>
        <v>8000</v>
      </c>
      <c r="F123" s="44">
        <v>8000</v>
      </c>
      <c r="G123" s="46">
        <f t="shared" si="10"/>
        <v>1.9023056982818492E-05</v>
      </c>
      <c r="H123" s="44">
        <f>D123-F123</f>
        <v>182000</v>
      </c>
      <c r="I123" s="44">
        <f>J123-0</f>
        <v>8000</v>
      </c>
      <c r="J123" s="44">
        <v>8000</v>
      </c>
      <c r="K123" s="46">
        <f t="shared" si="11"/>
        <v>2.050269778313495E-05</v>
      </c>
      <c r="L123" s="47">
        <f>D123-J123</f>
        <v>182000</v>
      </c>
      <c r="M123" s="8"/>
    </row>
    <row r="124" spans="1:13" s="7" customFormat="1" ht="15.75">
      <c r="A124" s="24" t="s">
        <v>131</v>
      </c>
      <c r="B124" s="25" t="s">
        <v>132</v>
      </c>
      <c r="C124" s="44">
        <v>110000</v>
      </c>
      <c r="D124" s="44">
        <v>110000</v>
      </c>
      <c r="E124" s="44">
        <f>F124-0</f>
        <v>0</v>
      </c>
      <c r="F124" s="44">
        <v>0</v>
      </c>
      <c r="G124" s="46">
        <f t="shared" si="10"/>
        <v>0</v>
      </c>
      <c r="H124" s="44">
        <f>D124-F124</f>
        <v>110000</v>
      </c>
      <c r="I124" s="44">
        <f>J124-0</f>
        <v>0</v>
      </c>
      <c r="J124" s="44">
        <v>0</v>
      </c>
      <c r="K124" s="46">
        <f t="shared" si="11"/>
        <v>0</v>
      </c>
      <c r="L124" s="47">
        <f>D124-J124</f>
        <v>110000</v>
      </c>
      <c r="M124" s="8"/>
    </row>
    <row r="125" spans="1:13" s="7" customFormat="1" ht="15.75">
      <c r="A125" s="24" t="s">
        <v>92</v>
      </c>
      <c r="B125" s="25" t="s">
        <v>98</v>
      </c>
      <c r="C125" s="44">
        <v>0</v>
      </c>
      <c r="D125" s="44">
        <v>0</v>
      </c>
      <c r="E125" s="44">
        <f>F125-0</f>
        <v>0</v>
      </c>
      <c r="F125" s="44">
        <v>0</v>
      </c>
      <c r="G125" s="46">
        <f t="shared" si="10"/>
        <v>0</v>
      </c>
      <c r="H125" s="44">
        <f>D125-F125</f>
        <v>0</v>
      </c>
      <c r="I125" s="44">
        <f>J125-0</f>
        <v>0</v>
      </c>
      <c r="J125" s="44">
        <v>0</v>
      </c>
      <c r="K125" s="46">
        <f t="shared" si="11"/>
        <v>0</v>
      </c>
      <c r="L125" s="47">
        <f>D125-J125</f>
        <v>0</v>
      </c>
      <c r="M125" s="8"/>
    </row>
    <row r="126" spans="1:13" s="7" customFormat="1" ht="15.75">
      <c r="A126" s="24" t="s">
        <v>252</v>
      </c>
      <c r="B126" s="25" t="s">
        <v>253</v>
      </c>
      <c r="C126" s="44">
        <v>5000</v>
      </c>
      <c r="D126" s="44">
        <v>5000</v>
      </c>
      <c r="E126" s="44">
        <f>F126-0</f>
        <v>0</v>
      </c>
      <c r="F126" s="44">
        <v>0</v>
      </c>
      <c r="G126" s="46">
        <f t="shared" si="10"/>
        <v>0</v>
      </c>
      <c r="H126" s="44">
        <f>D126-F126</f>
        <v>5000</v>
      </c>
      <c r="I126" s="44">
        <f>J126-0</f>
        <v>0</v>
      </c>
      <c r="J126" s="44">
        <v>0</v>
      </c>
      <c r="K126" s="46">
        <f t="shared" si="11"/>
        <v>0</v>
      </c>
      <c r="L126" s="47">
        <f>D126-J126</f>
        <v>5000</v>
      </c>
      <c r="M126" s="8"/>
    </row>
    <row r="127" spans="1:13" s="7" customFormat="1" ht="15.75">
      <c r="A127" s="48" t="s">
        <v>53</v>
      </c>
      <c r="B127" s="49" t="s">
        <v>60</v>
      </c>
      <c r="C127" s="50">
        <v>13986518</v>
      </c>
      <c r="D127" s="50">
        <v>13986518</v>
      </c>
      <c r="E127" s="50">
        <f>F127-509316</f>
        <v>313438</v>
      </c>
      <c r="F127" s="50">
        <v>822754</v>
      </c>
      <c r="G127" s="51">
        <f t="shared" si="10"/>
        <v>0.0019564120281052306</v>
      </c>
      <c r="H127" s="50">
        <f t="shared" si="2"/>
        <v>13163764</v>
      </c>
      <c r="I127" s="50">
        <f>J127-509316</f>
        <v>313438</v>
      </c>
      <c r="J127" s="50">
        <v>822754</v>
      </c>
      <c r="K127" s="51">
        <f t="shared" si="11"/>
        <v>0.002108584576483177</v>
      </c>
      <c r="L127" s="52">
        <f t="shared" si="3"/>
        <v>13163764</v>
      </c>
      <c r="M127" s="8"/>
    </row>
    <row r="128" spans="1:13" s="7" customFormat="1" ht="15.75">
      <c r="A128" s="53"/>
      <c r="B128" s="32"/>
      <c r="C128" s="54"/>
      <c r="D128" s="54"/>
      <c r="E128" s="54"/>
      <c r="F128" s="54"/>
      <c r="G128" s="55"/>
      <c r="H128" s="54"/>
      <c r="I128" s="54"/>
      <c r="J128" s="54"/>
      <c r="K128" s="55"/>
      <c r="L128" s="56" t="s">
        <v>228</v>
      </c>
      <c r="M128" s="8"/>
    </row>
    <row r="129" spans="1:13" s="7" customFormat="1" ht="15.75">
      <c r="A129" s="53"/>
      <c r="B129" s="32"/>
      <c r="C129" s="54"/>
      <c r="D129" s="54"/>
      <c r="E129" s="54"/>
      <c r="F129" s="54"/>
      <c r="G129" s="55"/>
      <c r="H129" s="54"/>
      <c r="I129" s="54"/>
      <c r="J129" s="54"/>
      <c r="K129" s="55"/>
      <c r="L129" s="54"/>
      <c r="M129" s="8"/>
    </row>
    <row r="130" spans="1:13" s="7" customFormat="1" ht="15.75">
      <c r="A130" s="53"/>
      <c r="B130" s="32"/>
      <c r="C130" s="54"/>
      <c r="D130" s="54"/>
      <c r="E130" s="54"/>
      <c r="F130" s="54"/>
      <c r="G130" s="55"/>
      <c r="H130" s="54"/>
      <c r="I130" s="54"/>
      <c r="J130" s="54"/>
      <c r="K130" s="55"/>
      <c r="L130" s="54"/>
      <c r="M130" s="8"/>
    </row>
    <row r="131" spans="1:13" s="7" customFormat="1" ht="15.75">
      <c r="A131" s="53"/>
      <c r="B131" s="32"/>
      <c r="C131" s="54"/>
      <c r="D131" s="54"/>
      <c r="E131" s="54"/>
      <c r="F131" s="54"/>
      <c r="G131" s="55"/>
      <c r="H131" s="54"/>
      <c r="I131" s="54"/>
      <c r="J131" s="54"/>
      <c r="K131" s="55"/>
      <c r="L131" s="54"/>
      <c r="M131" s="8"/>
    </row>
    <row r="132" spans="1:13" s="7" customFormat="1" ht="15.75">
      <c r="A132" s="53"/>
      <c r="B132" s="32"/>
      <c r="C132" s="54"/>
      <c r="D132" s="54"/>
      <c r="E132" s="54"/>
      <c r="F132" s="54"/>
      <c r="G132" s="55"/>
      <c r="H132" s="54"/>
      <c r="I132" s="54"/>
      <c r="J132" s="54"/>
      <c r="K132" s="55"/>
      <c r="L132" s="54"/>
      <c r="M132" s="8"/>
    </row>
    <row r="133" spans="1:13" s="7" customFormat="1" ht="15.75">
      <c r="A133" s="53"/>
      <c r="B133" s="32"/>
      <c r="C133" s="54"/>
      <c r="D133" s="54"/>
      <c r="E133" s="54"/>
      <c r="F133" s="54"/>
      <c r="G133" s="55"/>
      <c r="H133" s="54"/>
      <c r="I133" s="54"/>
      <c r="J133" s="54"/>
      <c r="K133" s="55"/>
      <c r="L133" s="26" t="s">
        <v>157</v>
      </c>
      <c r="M133" s="8"/>
    </row>
    <row r="134" spans="1:13" s="7" customFormat="1" ht="15.75">
      <c r="A134" s="92" t="s">
        <v>14</v>
      </c>
      <c r="B134" s="92"/>
      <c r="C134" s="92"/>
      <c r="D134" s="92"/>
      <c r="E134" s="92"/>
      <c r="F134" s="92"/>
      <c r="G134" s="92"/>
      <c r="H134" s="92"/>
      <c r="I134" s="92"/>
      <c r="J134" s="92"/>
      <c r="K134" s="92"/>
      <c r="L134" s="92"/>
      <c r="M134" s="8"/>
    </row>
    <row r="135" spans="1:13" s="7" customFormat="1" ht="15.75">
      <c r="A135" s="92" t="s">
        <v>0</v>
      </c>
      <c r="B135" s="92"/>
      <c r="C135" s="92"/>
      <c r="D135" s="92"/>
      <c r="E135" s="92"/>
      <c r="F135" s="92"/>
      <c r="G135" s="92"/>
      <c r="H135" s="92"/>
      <c r="I135" s="92"/>
      <c r="J135" s="92"/>
      <c r="K135" s="92"/>
      <c r="L135" s="92"/>
      <c r="M135" s="8"/>
    </row>
    <row r="136" spans="1:13" s="7" customFormat="1" ht="15.75">
      <c r="A136" s="93" t="s">
        <v>1</v>
      </c>
      <c r="B136" s="93"/>
      <c r="C136" s="93"/>
      <c r="D136" s="93"/>
      <c r="E136" s="93"/>
      <c r="F136" s="93"/>
      <c r="G136" s="93"/>
      <c r="H136" s="93"/>
      <c r="I136" s="93"/>
      <c r="J136" s="93"/>
      <c r="K136" s="93"/>
      <c r="L136" s="93"/>
      <c r="M136" s="8"/>
    </row>
    <row r="137" spans="1:13" s="7" customFormat="1" ht="15.75">
      <c r="A137" s="92" t="s">
        <v>2</v>
      </c>
      <c r="B137" s="92"/>
      <c r="C137" s="92"/>
      <c r="D137" s="92"/>
      <c r="E137" s="92"/>
      <c r="F137" s="92"/>
      <c r="G137" s="92"/>
      <c r="H137" s="92"/>
      <c r="I137" s="92"/>
      <c r="J137" s="92"/>
      <c r="K137" s="92"/>
      <c r="L137" s="92"/>
      <c r="M137" s="8"/>
    </row>
    <row r="138" spans="1:13" s="7" customFormat="1" ht="15.75">
      <c r="A138" s="92" t="str">
        <f>A9</f>
        <v>JANEIRO A AGOSTO 2019/BIMESTRE JULHO-AGOSTO</v>
      </c>
      <c r="B138" s="92"/>
      <c r="C138" s="92"/>
      <c r="D138" s="92"/>
      <c r="E138" s="92"/>
      <c r="F138" s="92"/>
      <c r="G138" s="92"/>
      <c r="H138" s="92"/>
      <c r="I138" s="92"/>
      <c r="J138" s="92"/>
      <c r="K138" s="92"/>
      <c r="L138" s="92"/>
      <c r="M138" s="8"/>
    </row>
    <row r="139" spans="1:13" s="7" customFormat="1" ht="15.75">
      <c r="A139" s="53"/>
      <c r="B139" s="32"/>
      <c r="C139" s="54"/>
      <c r="D139" s="54"/>
      <c r="E139" s="54"/>
      <c r="F139" s="54"/>
      <c r="G139" s="55"/>
      <c r="H139" s="54"/>
      <c r="I139" s="54"/>
      <c r="J139" s="54"/>
      <c r="K139" s="55"/>
      <c r="L139" s="54"/>
      <c r="M139" s="8"/>
    </row>
    <row r="140" spans="1:13" s="7" customFormat="1" ht="15.75">
      <c r="A140" s="24"/>
      <c r="B140" s="24"/>
      <c r="C140" s="24"/>
      <c r="D140" s="24"/>
      <c r="E140" s="24"/>
      <c r="F140" s="24"/>
      <c r="G140" s="24"/>
      <c r="H140" s="24"/>
      <c r="I140" s="24"/>
      <c r="J140" s="24"/>
      <c r="K140" s="24"/>
      <c r="L140" s="26" t="str">
        <f>L11</f>
        <v>Emissão: 19/09/2019</v>
      </c>
      <c r="M140" s="8"/>
    </row>
    <row r="141" spans="1:13" s="7" customFormat="1" ht="15.75">
      <c r="A141" s="31" t="s">
        <v>240</v>
      </c>
      <c r="B141" s="29"/>
      <c r="C141" s="32"/>
      <c r="D141" s="29"/>
      <c r="E141" s="29"/>
      <c r="F141" s="33"/>
      <c r="G141" s="33"/>
      <c r="H141" s="33"/>
      <c r="I141" s="29"/>
      <c r="J141" s="29"/>
      <c r="K141" s="26"/>
      <c r="L141" s="34">
        <v>1</v>
      </c>
      <c r="M141" s="8"/>
    </row>
    <row r="142" spans="1:13" s="7" customFormat="1" ht="15.75">
      <c r="A142" s="11"/>
      <c r="B142" s="12"/>
      <c r="C142" s="13" t="s">
        <v>3</v>
      </c>
      <c r="D142" s="13" t="s">
        <v>3</v>
      </c>
      <c r="E142" s="94" t="s">
        <v>4</v>
      </c>
      <c r="F142" s="95"/>
      <c r="G142" s="96"/>
      <c r="H142" s="13" t="s">
        <v>18</v>
      </c>
      <c r="I142" s="94" t="s">
        <v>5</v>
      </c>
      <c r="J142" s="95"/>
      <c r="K142" s="96"/>
      <c r="L142" s="14" t="s">
        <v>18</v>
      </c>
      <c r="M142" s="8"/>
    </row>
    <row r="143" spans="1:13" s="7" customFormat="1" ht="15.75">
      <c r="A143" s="15" t="s">
        <v>23</v>
      </c>
      <c r="B143" s="16" t="s">
        <v>6</v>
      </c>
      <c r="C143" s="16" t="s">
        <v>7</v>
      </c>
      <c r="D143" s="16" t="s">
        <v>8</v>
      </c>
      <c r="E143" s="16" t="s">
        <v>9</v>
      </c>
      <c r="F143" s="16" t="s">
        <v>10</v>
      </c>
      <c r="G143" s="16" t="s">
        <v>11</v>
      </c>
      <c r="H143" s="17"/>
      <c r="I143" s="16" t="s">
        <v>9</v>
      </c>
      <c r="J143" s="16" t="s">
        <v>10</v>
      </c>
      <c r="K143" s="16" t="s">
        <v>11</v>
      </c>
      <c r="L143" s="18"/>
      <c r="M143" s="8"/>
    </row>
    <row r="144" spans="1:13" s="7" customFormat="1" ht="15.75">
      <c r="A144" s="19"/>
      <c r="B144" s="20"/>
      <c r="C144" s="20"/>
      <c r="D144" s="21" t="s">
        <v>12</v>
      </c>
      <c r="E144" s="21"/>
      <c r="F144" s="21" t="s">
        <v>13</v>
      </c>
      <c r="G144" s="21" t="s">
        <v>17</v>
      </c>
      <c r="H144" s="22" t="s">
        <v>19</v>
      </c>
      <c r="I144" s="21"/>
      <c r="J144" s="21" t="s">
        <v>20</v>
      </c>
      <c r="K144" s="21" t="s">
        <v>21</v>
      </c>
      <c r="L144" s="23" t="s">
        <v>22</v>
      </c>
      <c r="M144" s="8"/>
    </row>
    <row r="145" spans="1:13" s="7" customFormat="1" ht="15.75">
      <c r="A145" s="35" t="s">
        <v>133</v>
      </c>
      <c r="B145" s="27" t="s">
        <v>134</v>
      </c>
      <c r="C145" s="41">
        <f>SUM(C146:C148)</f>
        <v>207512500</v>
      </c>
      <c r="D145" s="41">
        <f>SUM(D146:D148)</f>
        <v>262043226</v>
      </c>
      <c r="E145" s="41">
        <f>SUM(E146:E147)</f>
        <v>5172049</v>
      </c>
      <c r="F145" s="41">
        <f>SUM(F146:F147)</f>
        <v>21300461</v>
      </c>
      <c r="G145" s="42">
        <f aca="true" t="shared" si="12" ref="G145:G176">(F145/$F$244)*100</f>
        <v>0.05064998542041287</v>
      </c>
      <c r="H145" s="41">
        <f aca="true" t="shared" si="13" ref="H145:H160">D145-F145</f>
        <v>240742765</v>
      </c>
      <c r="I145" s="41">
        <f>SUM(I146:I147)</f>
        <v>5191922</v>
      </c>
      <c r="J145" s="41">
        <f>SUM(J146:J147)</f>
        <v>19887298</v>
      </c>
      <c r="K145" s="42">
        <f aca="true" t="shared" si="14" ref="K145:K176">(J145/$J$244)*100</f>
        <v>0.05096790757714302</v>
      </c>
      <c r="L145" s="43">
        <f aca="true" t="shared" si="15" ref="L145:L160">D145-J145</f>
        <v>242155928</v>
      </c>
      <c r="M145" s="8"/>
    </row>
    <row r="146" spans="1:13" s="7" customFormat="1" ht="15.75">
      <c r="A146" s="24" t="s">
        <v>28</v>
      </c>
      <c r="B146" s="25" t="s">
        <v>33</v>
      </c>
      <c r="C146" s="44">
        <v>29300068</v>
      </c>
      <c r="D146" s="44">
        <v>29198068</v>
      </c>
      <c r="E146" s="44">
        <f>F146-14667556</f>
        <v>4717560</v>
      </c>
      <c r="F146" s="44">
        <v>19385116</v>
      </c>
      <c r="G146" s="46">
        <f t="shared" si="12"/>
        <v>0.046095520785818314</v>
      </c>
      <c r="H146" s="44">
        <f t="shared" si="13"/>
        <v>9812952</v>
      </c>
      <c r="I146" s="44">
        <f>J146-13234520</f>
        <v>4887809</v>
      </c>
      <c r="J146" s="44">
        <v>18122329</v>
      </c>
      <c r="K146" s="46">
        <f t="shared" si="14"/>
        <v>0.046444579326692784</v>
      </c>
      <c r="L146" s="47">
        <f t="shared" si="15"/>
        <v>11075739</v>
      </c>
      <c r="M146" s="8"/>
    </row>
    <row r="147" spans="1:13" s="7" customFormat="1" ht="15.75">
      <c r="A147" s="24" t="s">
        <v>135</v>
      </c>
      <c r="B147" s="25" t="s">
        <v>136</v>
      </c>
      <c r="C147" s="44">
        <v>177652432</v>
      </c>
      <c r="D147" s="44">
        <v>232285158</v>
      </c>
      <c r="E147" s="44">
        <f>F147-1460856</f>
        <v>454489</v>
      </c>
      <c r="F147" s="91">
        <v>1915345</v>
      </c>
      <c r="G147" s="46">
        <f t="shared" si="12"/>
        <v>0.00455446463459456</v>
      </c>
      <c r="H147" s="44">
        <f t="shared" si="13"/>
        <v>230369813</v>
      </c>
      <c r="I147" s="44">
        <f>J147-1460856</f>
        <v>304113</v>
      </c>
      <c r="J147" s="44">
        <v>1764969</v>
      </c>
      <c r="K147" s="46">
        <f t="shared" si="14"/>
        <v>0.004523328250450239</v>
      </c>
      <c r="L147" s="47">
        <f t="shared" si="15"/>
        <v>230520189</v>
      </c>
      <c r="M147" s="8"/>
    </row>
    <row r="148" spans="1:13" s="7" customFormat="1" ht="15.75">
      <c r="A148" s="24" t="s">
        <v>267</v>
      </c>
      <c r="B148" s="25" t="s">
        <v>268</v>
      </c>
      <c r="C148" s="44">
        <v>560000</v>
      </c>
      <c r="D148" s="44">
        <v>560000</v>
      </c>
      <c r="E148" s="44">
        <f>F148-0</f>
        <v>0</v>
      </c>
      <c r="F148" s="44">
        <v>0</v>
      </c>
      <c r="G148" s="46">
        <f t="shared" si="12"/>
        <v>0</v>
      </c>
      <c r="H148" s="44">
        <f t="shared" si="13"/>
        <v>560000</v>
      </c>
      <c r="I148" s="44">
        <f>J148-0</f>
        <v>0</v>
      </c>
      <c r="J148" s="44">
        <v>0</v>
      </c>
      <c r="K148" s="46">
        <f t="shared" si="14"/>
        <v>0</v>
      </c>
      <c r="L148" s="47">
        <f t="shared" si="15"/>
        <v>560000</v>
      </c>
      <c r="M148" s="8"/>
    </row>
    <row r="149" spans="1:13" s="7" customFormat="1" ht="15.75">
      <c r="A149" s="35" t="s">
        <v>138</v>
      </c>
      <c r="B149" s="27" t="s">
        <v>137</v>
      </c>
      <c r="C149" s="41">
        <f>SUM(C150:C153)</f>
        <v>439534631</v>
      </c>
      <c r="D149" s="41">
        <f>SUM(D150:D153)</f>
        <v>330596129</v>
      </c>
      <c r="E149" s="41">
        <f>SUM(E150:E153)</f>
        <v>10223924</v>
      </c>
      <c r="F149" s="41">
        <f>SUM(F150:F153)</f>
        <v>51341710</v>
      </c>
      <c r="G149" s="42">
        <f t="shared" si="12"/>
        <v>0.12208453436566774</v>
      </c>
      <c r="H149" s="41">
        <f t="shared" si="13"/>
        <v>279254419</v>
      </c>
      <c r="I149" s="41">
        <f>SUM(I150:I153)</f>
        <v>12580896</v>
      </c>
      <c r="J149" s="41">
        <f>SUM(J150:J153)</f>
        <v>42026179</v>
      </c>
      <c r="K149" s="42">
        <f t="shared" si="14"/>
        <v>0.10770625587711657</v>
      </c>
      <c r="L149" s="43">
        <f t="shared" si="15"/>
        <v>288569950</v>
      </c>
      <c r="M149" s="8"/>
    </row>
    <row r="150" spans="1:13" s="7" customFormat="1" ht="15.75">
      <c r="A150" s="24" t="s">
        <v>28</v>
      </c>
      <c r="B150" s="25" t="s">
        <v>33</v>
      </c>
      <c r="C150" s="44">
        <v>61028043</v>
      </c>
      <c r="D150" s="44">
        <v>61139654</v>
      </c>
      <c r="E150" s="44">
        <f>F150-29544399</f>
        <v>10144724</v>
      </c>
      <c r="F150" s="44">
        <v>39689123</v>
      </c>
      <c r="G150" s="46">
        <f t="shared" si="12"/>
        <v>0.0943760560533865</v>
      </c>
      <c r="H150" s="44">
        <f t="shared" si="13"/>
        <v>21450531</v>
      </c>
      <c r="I150" s="44">
        <f>J150-29445283</f>
        <v>10187666</v>
      </c>
      <c r="J150" s="44">
        <v>39632949</v>
      </c>
      <c r="K150" s="46">
        <f t="shared" si="14"/>
        <v>0.10157279695017507</v>
      </c>
      <c r="L150" s="47">
        <f t="shared" si="15"/>
        <v>21506705</v>
      </c>
      <c r="M150" s="8"/>
    </row>
    <row r="151" spans="1:13" s="7" customFormat="1" ht="15.75">
      <c r="A151" s="24" t="s">
        <v>67</v>
      </c>
      <c r="B151" s="25" t="s">
        <v>75</v>
      </c>
      <c r="C151" s="44">
        <v>1628705</v>
      </c>
      <c r="D151" s="44">
        <v>1628705</v>
      </c>
      <c r="E151" s="44">
        <f>F151-0</f>
        <v>0</v>
      </c>
      <c r="F151" s="44">
        <v>0</v>
      </c>
      <c r="G151" s="46">
        <f t="shared" si="12"/>
        <v>0</v>
      </c>
      <c r="H151" s="44">
        <f t="shared" si="13"/>
        <v>1628705</v>
      </c>
      <c r="I151" s="44">
        <f>J151-0</f>
        <v>0</v>
      </c>
      <c r="J151" s="44">
        <v>0</v>
      </c>
      <c r="K151" s="46">
        <f t="shared" si="14"/>
        <v>0</v>
      </c>
      <c r="L151" s="47">
        <f t="shared" si="15"/>
        <v>1628705</v>
      </c>
      <c r="M151" s="8"/>
    </row>
    <row r="152" spans="1:13" s="7" customFormat="1" ht="15.75">
      <c r="A152" s="24" t="s">
        <v>135</v>
      </c>
      <c r="B152" s="25" t="s">
        <v>136</v>
      </c>
      <c r="C152" s="44">
        <v>78468902</v>
      </c>
      <c r="D152" s="44">
        <v>95585215</v>
      </c>
      <c r="E152" s="44">
        <f>F152-8158507</f>
        <v>0</v>
      </c>
      <c r="F152" s="44">
        <v>8158507</v>
      </c>
      <c r="G152" s="46">
        <f t="shared" si="12"/>
        <v>0.019399967944465444</v>
      </c>
      <c r="H152" s="44">
        <f t="shared" si="13"/>
        <v>87426708</v>
      </c>
      <c r="I152" s="44">
        <f>J152-0</f>
        <v>1850386</v>
      </c>
      <c r="J152" s="44">
        <v>1850386</v>
      </c>
      <c r="K152" s="46">
        <f t="shared" si="14"/>
        <v>0.004742238117517994</v>
      </c>
      <c r="L152" s="47">
        <f t="shared" si="15"/>
        <v>93734829</v>
      </c>
      <c r="M152" s="8"/>
    </row>
    <row r="153" spans="1:13" s="7" customFormat="1" ht="15.75">
      <c r="A153" s="24" t="s">
        <v>139</v>
      </c>
      <c r="B153" s="25" t="s">
        <v>140</v>
      </c>
      <c r="C153" s="44">
        <v>298408981</v>
      </c>
      <c r="D153" s="44">
        <v>172242555</v>
      </c>
      <c r="E153" s="44">
        <f>F153-3414880</f>
        <v>79200</v>
      </c>
      <c r="F153" s="44">
        <v>3494080</v>
      </c>
      <c r="G153" s="46">
        <f t="shared" si="12"/>
        <v>0.008308510367815804</v>
      </c>
      <c r="H153" s="44">
        <f t="shared" si="13"/>
        <v>168748475</v>
      </c>
      <c r="I153" s="44">
        <f>J153-0</f>
        <v>542844</v>
      </c>
      <c r="J153" s="44">
        <v>542844</v>
      </c>
      <c r="K153" s="46">
        <f t="shared" si="14"/>
        <v>0.0013912208094235138</v>
      </c>
      <c r="L153" s="47">
        <f t="shared" si="15"/>
        <v>171699711</v>
      </c>
      <c r="M153" s="8"/>
    </row>
    <row r="154" spans="1:13" s="7" customFormat="1" ht="15.75">
      <c r="A154" s="35" t="s">
        <v>141</v>
      </c>
      <c r="B154" s="27" t="s">
        <v>142</v>
      </c>
      <c r="C154" s="41">
        <f>SUM(C155:C157)</f>
        <v>689850565</v>
      </c>
      <c r="D154" s="41">
        <f>SUM(D155:D157)</f>
        <v>719331012</v>
      </c>
      <c r="E154" s="41">
        <f>SUM(E155:E157)</f>
        <v>1437490</v>
      </c>
      <c r="F154" s="41">
        <f>SUM(F155:F157)</f>
        <v>65809202</v>
      </c>
      <c r="G154" s="42">
        <f t="shared" si="12"/>
        <v>0.15648652495497659</v>
      </c>
      <c r="H154" s="41">
        <f t="shared" si="13"/>
        <v>653521810</v>
      </c>
      <c r="I154" s="41">
        <f>SUM(I155:I157)</f>
        <v>9809015</v>
      </c>
      <c r="J154" s="41">
        <f>SUM(J155:J157)</f>
        <v>24855576</v>
      </c>
      <c r="K154" s="42">
        <f t="shared" si="14"/>
        <v>0.06370079536921779</v>
      </c>
      <c r="L154" s="43">
        <f t="shared" si="15"/>
        <v>694475436</v>
      </c>
      <c r="M154" s="8"/>
    </row>
    <row r="155" spans="1:13" s="7" customFormat="1" ht="15.75">
      <c r="A155" s="24" t="s">
        <v>143</v>
      </c>
      <c r="B155" s="25" t="s">
        <v>144</v>
      </c>
      <c r="C155" s="44">
        <v>689840565</v>
      </c>
      <c r="D155" s="44">
        <v>719321012</v>
      </c>
      <c r="E155" s="44">
        <f>F155-64371712</f>
        <v>1437490</v>
      </c>
      <c r="F155" s="44">
        <v>65809202</v>
      </c>
      <c r="G155" s="46">
        <f t="shared" si="12"/>
        <v>0.15648652495497659</v>
      </c>
      <c r="H155" s="44">
        <f t="shared" si="13"/>
        <v>653511810</v>
      </c>
      <c r="I155" s="44">
        <f>J155-15046561</f>
        <v>9809015</v>
      </c>
      <c r="J155" s="44">
        <v>24855576</v>
      </c>
      <c r="K155" s="46">
        <f t="shared" si="14"/>
        <v>0.06370079536921779</v>
      </c>
      <c r="L155" s="47">
        <f t="shared" si="15"/>
        <v>694465436</v>
      </c>
      <c r="M155" s="8"/>
    </row>
    <row r="156" spans="1:13" s="7" customFormat="1" ht="15.75">
      <c r="A156" s="24" t="s">
        <v>145</v>
      </c>
      <c r="B156" s="25" t="s">
        <v>146</v>
      </c>
      <c r="C156" s="44">
        <v>0</v>
      </c>
      <c r="D156" s="44">
        <v>0</v>
      </c>
      <c r="E156" s="44">
        <f>F156-0</f>
        <v>0</v>
      </c>
      <c r="F156" s="44">
        <v>0</v>
      </c>
      <c r="G156" s="46">
        <f t="shared" si="12"/>
        <v>0</v>
      </c>
      <c r="H156" s="44">
        <f t="shared" si="13"/>
        <v>0</v>
      </c>
      <c r="I156" s="44">
        <f>J156-0</f>
        <v>0</v>
      </c>
      <c r="J156" s="44">
        <v>0</v>
      </c>
      <c r="K156" s="46">
        <f t="shared" si="14"/>
        <v>0</v>
      </c>
      <c r="L156" s="47">
        <f t="shared" si="15"/>
        <v>0</v>
      </c>
      <c r="M156" s="8"/>
    </row>
    <row r="157" spans="1:15" s="7" customFormat="1" ht="15.75">
      <c r="A157" s="24" t="s">
        <v>147</v>
      </c>
      <c r="B157" s="25" t="s">
        <v>148</v>
      </c>
      <c r="C157" s="44">
        <v>10000</v>
      </c>
      <c r="D157" s="44">
        <v>10000</v>
      </c>
      <c r="E157" s="44">
        <f>F157-0</f>
        <v>0</v>
      </c>
      <c r="F157" s="44">
        <v>0</v>
      </c>
      <c r="G157" s="46">
        <f t="shared" si="12"/>
        <v>0</v>
      </c>
      <c r="H157" s="44">
        <f t="shared" si="13"/>
        <v>10000</v>
      </c>
      <c r="I157" s="44">
        <f>J157-0</f>
        <v>0</v>
      </c>
      <c r="J157" s="44">
        <v>0</v>
      </c>
      <c r="K157" s="46">
        <f t="shared" si="14"/>
        <v>0</v>
      </c>
      <c r="L157" s="47">
        <f t="shared" si="15"/>
        <v>10000</v>
      </c>
      <c r="M157" s="8"/>
      <c r="O157" s="9"/>
    </row>
    <row r="158" spans="1:15" s="7" customFormat="1" ht="15.75">
      <c r="A158" s="35" t="s">
        <v>149</v>
      </c>
      <c r="B158" s="27" t="s">
        <v>150</v>
      </c>
      <c r="C158" s="41">
        <f>SUM(C159:C166)</f>
        <v>942063546</v>
      </c>
      <c r="D158" s="41">
        <f>SUM(D159:D166)</f>
        <v>1108914807</v>
      </c>
      <c r="E158" s="41">
        <f>SUM(E159:E166)</f>
        <v>67412887</v>
      </c>
      <c r="F158" s="41">
        <f>SUM(F159:F166)</f>
        <v>191478637</v>
      </c>
      <c r="G158" s="42">
        <f t="shared" si="12"/>
        <v>0.4553136278304271</v>
      </c>
      <c r="H158" s="41">
        <f t="shared" si="13"/>
        <v>917436170</v>
      </c>
      <c r="I158" s="41">
        <f>SUM(I159:I166)</f>
        <v>58631953</v>
      </c>
      <c r="J158" s="41">
        <f>SUM(J159:J166)</f>
        <v>148675823</v>
      </c>
      <c r="K158" s="42">
        <f t="shared" si="14"/>
        <v>0.38103193332848306</v>
      </c>
      <c r="L158" s="43">
        <f t="shared" si="15"/>
        <v>960238984</v>
      </c>
      <c r="M158" s="8"/>
      <c r="O158" s="10"/>
    </row>
    <row r="159" spans="1:13" s="7" customFormat="1" ht="15.75">
      <c r="A159" s="24" t="s">
        <v>28</v>
      </c>
      <c r="B159" s="25" t="s">
        <v>33</v>
      </c>
      <c r="C159" s="44">
        <v>213716659</v>
      </c>
      <c r="D159" s="44">
        <v>247951647</v>
      </c>
      <c r="E159" s="44">
        <f>F159-81210734</f>
        <v>29342068</v>
      </c>
      <c r="F159" s="44">
        <v>110552802</v>
      </c>
      <c r="G159" s="46">
        <f t="shared" si="12"/>
        <v>0.26288153150703125</v>
      </c>
      <c r="H159" s="44">
        <f t="shared" si="13"/>
        <v>137398845</v>
      </c>
      <c r="I159" s="44">
        <f>J159-70247288</f>
        <v>26247441</v>
      </c>
      <c r="J159" s="44">
        <v>96494729</v>
      </c>
      <c r="K159" s="46">
        <f t="shared" si="14"/>
        <v>0.2473002832940635</v>
      </c>
      <c r="L159" s="47">
        <f t="shared" si="15"/>
        <v>151456918</v>
      </c>
      <c r="M159" s="8"/>
    </row>
    <row r="160" spans="1:13" s="7" customFormat="1" ht="15.75">
      <c r="A160" s="24" t="s">
        <v>151</v>
      </c>
      <c r="B160" s="25" t="s">
        <v>152</v>
      </c>
      <c r="C160" s="44">
        <v>10000000</v>
      </c>
      <c r="D160" s="44">
        <v>10000000</v>
      </c>
      <c r="E160" s="44">
        <f>F160-0</f>
        <v>0</v>
      </c>
      <c r="F160" s="44">
        <v>0</v>
      </c>
      <c r="G160" s="46">
        <f t="shared" si="12"/>
        <v>0</v>
      </c>
      <c r="H160" s="44">
        <f t="shared" si="13"/>
        <v>10000000</v>
      </c>
      <c r="I160" s="44">
        <f>J160-0</f>
        <v>0</v>
      </c>
      <c r="J160" s="44">
        <v>0</v>
      </c>
      <c r="K160" s="46">
        <f t="shared" si="14"/>
        <v>0</v>
      </c>
      <c r="L160" s="47">
        <f t="shared" si="15"/>
        <v>10000000</v>
      </c>
      <c r="M160" s="8"/>
    </row>
    <row r="161" spans="1:13" s="7" customFormat="1" ht="15.75">
      <c r="A161" s="24" t="s">
        <v>153</v>
      </c>
      <c r="B161" s="25" t="s">
        <v>154</v>
      </c>
      <c r="C161" s="44">
        <v>135220000</v>
      </c>
      <c r="D161" s="44">
        <v>140017647</v>
      </c>
      <c r="E161" s="44">
        <f>F161-18341480</f>
        <v>310199</v>
      </c>
      <c r="F161" s="44">
        <v>18651679</v>
      </c>
      <c r="G161" s="46">
        <f t="shared" si="12"/>
        <v>0.044351494055279876</v>
      </c>
      <c r="H161" s="44">
        <f aca="true" t="shared" si="16" ref="H161:H166">D161-F161</f>
        <v>121365968</v>
      </c>
      <c r="I161" s="44">
        <f>J161-3284176</f>
        <v>2338840</v>
      </c>
      <c r="J161" s="44">
        <v>5623016</v>
      </c>
      <c r="K161" s="46">
        <f t="shared" si="14"/>
        <v>0.014410874709716547</v>
      </c>
      <c r="L161" s="47">
        <f aca="true" t="shared" si="17" ref="L161:L166">D161-J161</f>
        <v>134394631</v>
      </c>
      <c r="M161" s="8"/>
    </row>
    <row r="162" spans="1:13" s="7" customFormat="1" ht="15.75">
      <c r="A162" s="24" t="s">
        <v>30</v>
      </c>
      <c r="B162" s="25" t="s">
        <v>35</v>
      </c>
      <c r="C162" s="44">
        <v>132823234</v>
      </c>
      <c r="D162" s="44">
        <v>134308944</v>
      </c>
      <c r="E162" s="44">
        <f>F162-680561</f>
        <v>1014091</v>
      </c>
      <c r="F162" s="44">
        <v>1694652</v>
      </c>
      <c r="G162" s="46">
        <f t="shared" si="12"/>
        <v>0.004029682695255915</v>
      </c>
      <c r="H162" s="44">
        <f t="shared" si="16"/>
        <v>132614292</v>
      </c>
      <c r="I162" s="44">
        <f>J162-470473</f>
        <v>102285</v>
      </c>
      <c r="J162" s="44">
        <v>572758</v>
      </c>
      <c r="K162" s="46">
        <f t="shared" si="14"/>
        <v>0.001467885522109101</v>
      </c>
      <c r="L162" s="47">
        <f t="shared" si="17"/>
        <v>133736186</v>
      </c>
      <c r="M162" s="8"/>
    </row>
    <row r="163" spans="1:13" s="7" customFormat="1" ht="15.75">
      <c r="A163" s="24" t="s">
        <v>145</v>
      </c>
      <c r="B163" s="25" t="s">
        <v>146</v>
      </c>
      <c r="C163" s="44">
        <v>242002841</v>
      </c>
      <c r="D163" s="44">
        <v>260874819</v>
      </c>
      <c r="E163" s="44">
        <f>F163-6368551</f>
        <v>11320033</v>
      </c>
      <c r="F163" s="44">
        <v>17688584</v>
      </c>
      <c r="G163" s="46">
        <f t="shared" si="12"/>
        <v>0.04206136767217143</v>
      </c>
      <c r="H163" s="44">
        <f t="shared" si="16"/>
        <v>243186235</v>
      </c>
      <c r="I163" s="44">
        <f>J163-2670728</f>
        <v>990428</v>
      </c>
      <c r="J163" s="44">
        <v>3661156</v>
      </c>
      <c r="K163" s="46">
        <f t="shared" si="14"/>
        <v>0.009382946875613904</v>
      </c>
      <c r="L163" s="47">
        <f t="shared" si="17"/>
        <v>257213663</v>
      </c>
      <c r="M163" s="8"/>
    </row>
    <row r="164" spans="1:13" s="7" customFormat="1" ht="15.75">
      <c r="A164" s="57" t="s">
        <v>147</v>
      </c>
      <c r="B164" s="58" t="s">
        <v>148</v>
      </c>
      <c r="C164" s="44">
        <v>207295812</v>
      </c>
      <c r="D164" s="44">
        <v>314756750</v>
      </c>
      <c r="E164" s="44">
        <f>F164-17316956</f>
        <v>25344602</v>
      </c>
      <c r="F164" s="44">
        <v>42661558</v>
      </c>
      <c r="G164" s="46">
        <f t="shared" si="12"/>
        <v>0.101444156101227</v>
      </c>
      <c r="H164" s="44">
        <f t="shared" si="16"/>
        <v>272095192</v>
      </c>
      <c r="I164" s="44">
        <f>J164-13223737</f>
        <v>28899065</v>
      </c>
      <c r="J164" s="44">
        <v>42122802</v>
      </c>
      <c r="K164" s="46">
        <f t="shared" si="14"/>
        <v>0.10795388489810405</v>
      </c>
      <c r="L164" s="47">
        <f t="shared" si="17"/>
        <v>272633948</v>
      </c>
      <c r="M164" s="8"/>
    </row>
    <row r="165" spans="1:13" s="7" customFormat="1" ht="15.75">
      <c r="A165" s="57" t="s">
        <v>160</v>
      </c>
      <c r="B165" s="25" t="s">
        <v>161</v>
      </c>
      <c r="C165" s="59">
        <v>5000</v>
      </c>
      <c r="D165" s="44">
        <v>5000</v>
      </c>
      <c r="E165" s="44">
        <f>F165-0</f>
        <v>0</v>
      </c>
      <c r="F165" s="44">
        <v>0</v>
      </c>
      <c r="G165" s="46">
        <f t="shared" si="12"/>
        <v>0</v>
      </c>
      <c r="H165" s="44">
        <f t="shared" si="16"/>
        <v>5000</v>
      </c>
      <c r="I165" s="44">
        <f>J165-0</f>
        <v>0</v>
      </c>
      <c r="J165" s="44">
        <v>0</v>
      </c>
      <c r="K165" s="46">
        <f t="shared" si="14"/>
        <v>0</v>
      </c>
      <c r="L165" s="47">
        <f t="shared" si="17"/>
        <v>5000</v>
      </c>
      <c r="M165" s="8"/>
    </row>
    <row r="166" spans="1:13" s="7" customFormat="1" ht="15.75">
      <c r="A166" s="57" t="s">
        <v>97</v>
      </c>
      <c r="B166" s="25" t="s">
        <v>237</v>
      </c>
      <c r="C166" s="59">
        <v>1000000</v>
      </c>
      <c r="D166" s="44">
        <v>1000000</v>
      </c>
      <c r="E166" s="44">
        <f>F166-147468</f>
        <v>81894</v>
      </c>
      <c r="F166" s="44">
        <v>229362</v>
      </c>
      <c r="G166" s="46">
        <f t="shared" si="12"/>
        <v>0.0005453957994616519</v>
      </c>
      <c r="H166" s="44">
        <f t="shared" si="16"/>
        <v>770638</v>
      </c>
      <c r="I166" s="44">
        <f>J166-147468</f>
        <v>53894</v>
      </c>
      <c r="J166" s="44">
        <v>201362</v>
      </c>
      <c r="K166" s="46">
        <f t="shared" si="14"/>
        <v>0.0005160580288759525</v>
      </c>
      <c r="L166" s="47">
        <f t="shared" si="17"/>
        <v>798638</v>
      </c>
      <c r="M166" s="8"/>
    </row>
    <row r="167" spans="1:12" ht="15.75">
      <c r="A167" s="35" t="s">
        <v>158</v>
      </c>
      <c r="B167" s="27" t="s">
        <v>159</v>
      </c>
      <c r="C167" s="41">
        <f>SUM(C168:C175)</f>
        <v>436347721</v>
      </c>
      <c r="D167" s="41">
        <f>SUM(D168:D175)</f>
        <v>422966498</v>
      </c>
      <c r="E167" s="41">
        <f>SUM(E168:E175)</f>
        <v>77979239</v>
      </c>
      <c r="F167" s="41">
        <f>SUM(F168:F175)</f>
        <v>163162059</v>
      </c>
      <c r="G167" s="42">
        <f t="shared" si="12"/>
        <v>0.3879801432238741</v>
      </c>
      <c r="H167" s="41">
        <f>D167-F167</f>
        <v>259804439</v>
      </c>
      <c r="I167" s="41">
        <f>SUM(I168:I175)</f>
        <v>67458827</v>
      </c>
      <c r="J167" s="41">
        <f>SUM(J168:J175)</f>
        <v>147413355</v>
      </c>
      <c r="K167" s="42">
        <f t="shared" si="14"/>
        <v>0.3777964333453732</v>
      </c>
      <c r="L167" s="43">
        <f>D167-J167</f>
        <v>275553143</v>
      </c>
    </row>
    <row r="168" spans="1:12" ht="15.75">
      <c r="A168" s="24" t="s">
        <v>28</v>
      </c>
      <c r="B168" s="25" t="s">
        <v>33</v>
      </c>
      <c r="C168" s="44">
        <v>99193180</v>
      </c>
      <c r="D168" s="44">
        <v>87744649</v>
      </c>
      <c r="E168" s="44">
        <f>F168-33150399</f>
        <v>10085589</v>
      </c>
      <c r="F168" s="44">
        <v>43235988</v>
      </c>
      <c r="G168" s="46">
        <f t="shared" si="12"/>
        <v>0.10281008292905705</v>
      </c>
      <c r="H168" s="44">
        <f aca="true" t="shared" si="18" ref="H168:H234">D168-F168</f>
        <v>44508661</v>
      </c>
      <c r="I168" s="44">
        <f>J168-29159300</f>
        <v>9956609</v>
      </c>
      <c r="J168" s="44">
        <v>39115909</v>
      </c>
      <c r="K168" s="46">
        <f t="shared" si="14"/>
        <v>0.10024770759245107</v>
      </c>
      <c r="L168" s="47">
        <f>D168-J168</f>
        <v>48628740</v>
      </c>
    </row>
    <row r="169" spans="1:12" ht="15.75">
      <c r="A169" s="24" t="s">
        <v>50</v>
      </c>
      <c r="B169" s="25" t="s">
        <v>57</v>
      </c>
      <c r="C169" s="44">
        <v>15561207</v>
      </c>
      <c r="D169" s="44">
        <v>21221207</v>
      </c>
      <c r="E169" s="44">
        <f>F169-3737140</f>
        <v>875903</v>
      </c>
      <c r="F169" s="44">
        <v>4613043</v>
      </c>
      <c r="G169" s="46">
        <f t="shared" si="12"/>
        <v>0.010969272481648995</v>
      </c>
      <c r="H169" s="44">
        <f t="shared" si="18"/>
        <v>16608164</v>
      </c>
      <c r="I169" s="44">
        <f>J169-2542061</f>
        <v>1525892</v>
      </c>
      <c r="J169" s="44">
        <v>4067953</v>
      </c>
      <c r="K169" s="46">
        <f t="shared" si="14"/>
        <v>0.010425501369374646</v>
      </c>
      <c r="L169" s="47">
        <f aca="true" t="shared" si="19" ref="L169:L232">D169-J169</f>
        <v>17153254</v>
      </c>
    </row>
    <row r="170" spans="1:12" ht="15.75">
      <c r="A170" s="24" t="s">
        <v>113</v>
      </c>
      <c r="B170" s="25" t="s">
        <v>120</v>
      </c>
      <c r="C170" s="44">
        <v>0</v>
      </c>
      <c r="D170" s="44">
        <v>0</v>
      </c>
      <c r="E170" s="44">
        <f>F170-0</f>
        <v>0</v>
      </c>
      <c r="F170" s="44">
        <v>0</v>
      </c>
      <c r="G170" s="46">
        <f t="shared" si="12"/>
        <v>0</v>
      </c>
      <c r="H170" s="44">
        <f t="shared" si="18"/>
        <v>0</v>
      </c>
      <c r="I170" s="44">
        <f>J170-0</f>
        <v>0</v>
      </c>
      <c r="J170" s="44">
        <v>0</v>
      </c>
      <c r="K170" s="46">
        <f t="shared" si="14"/>
        <v>0</v>
      </c>
      <c r="L170" s="47">
        <f t="shared" si="19"/>
        <v>0</v>
      </c>
    </row>
    <row r="171" spans="1:12" ht="15.75">
      <c r="A171" s="24" t="s">
        <v>114</v>
      </c>
      <c r="B171" s="25" t="s">
        <v>121</v>
      </c>
      <c r="C171" s="44">
        <v>103000000</v>
      </c>
      <c r="D171" s="44">
        <v>102000000</v>
      </c>
      <c r="E171" s="44">
        <f>F171-34318677</f>
        <v>12508997</v>
      </c>
      <c r="F171" s="44">
        <v>46827674</v>
      </c>
      <c r="G171" s="46">
        <f t="shared" si="12"/>
        <v>0.11135068885935598</v>
      </c>
      <c r="H171" s="44">
        <f t="shared" si="18"/>
        <v>55172326</v>
      </c>
      <c r="I171" s="44">
        <f>J171-34295777</f>
        <v>12503377</v>
      </c>
      <c r="J171" s="44">
        <v>46799154</v>
      </c>
      <c r="K171" s="46">
        <f t="shared" si="14"/>
        <v>0.1199386138710489</v>
      </c>
      <c r="L171" s="47"/>
    </row>
    <row r="172" spans="1:12" ht="15.75">
      <c r="A172" s="24" t="s">
        <v>116</v>
      </c>
      <c r="B172" s="25" t="s">
        <v>123</v>
      </c>
      <c r="C172" s="44">
        <v>5000</v>
      </c>
      <c r="D172" s="44">
        <v>5000</v>
      </c>
      <c r="E172" s="44">
        <f>F172-0</f>
        <v>0</v>
      </c>
      <c r="F172" s="44">
        <v>0</v>
      </c>
      <c r="G172" s="46">
        <f t="shared" si="12"/>
        <v>0</v>
      </c>
      <c r="H172" s="44">
        <f t="shared" si="18"/>
        <v>5000</v>
      </c>
      <c r="I172" s="44">
        <f>J172-0</f>
        <v>0</v>
      </c>
      <c r="J172" s="44">
        <v>0</v>
      </c>
      <c r="K172" s="46">
        <f t="shared" si="14"/>
        <v>0</v>
      </c>
      <c r="L172" s="47">
        <f t="shared" si="19"/>
        <v>5000</v>
      </c>
    </row>
    <row r="173" spans="1:12" ht="15.75">
      <c r="A173" s="24" t="s">
        <v>96</v>
      </c>
      <c r="B173" s="25" t="s">
        <v>102</v>
      </c>
      <c r="C173" s="44">
        <v>187476725</v>
      </c>
      <c r="D173" s="44">
        <v>175031612</v>
      </c>
      <c r="E173" s="44">
        <f>F173-7164638</f>
        <v>49437693</v>
      </c>
      <c r="F173" s="44">
        <v>56602331</v>
      </c>
      <c r="G173" s="46">
        <f t="shared" si="12"/>
        <v>0.1345936709966692</v>
      </c>
      <c r="H173" s="44">
        <f t="shared" si="18"/>
        <v>118429281</v>
      </c>
      <c r="I173" s="44">
        <f>J173-7145434</f>
        <v>40394201</v>
      </c>
      <c r="J173" s="44">
        <v>47539635</v>
      </c>
      <c r="K173" s="46">
        <f t="shared" si="14"/>
        <v>0.1218363461406931</v>
      </c>
      <c r="L173" s="47">
        <f t="shared" si="19"/>
        <v>127491977</v>
      </c>
    </row>
    <row r="174" spans="1:12" ht="15.75">
      <c r="A174" s="24" t="s">
        <v>160</v>
      </c>
      <c r="B174" s="25" t="s">
        <v>161</v>
      </c>
      <c r="C174" s="44">
        <v>30282620</v>
      </c>
      <c r="D174" s="44">
        <v>36135041</v>
      </c>
      <c r="E174" s="44">
        <f>F174-6811966</f>
        <v>5071057</v>
      </c>
      <c r="F174" s="44">
        <v>11883023</v>
      </c>
      <c r="G174" s="46">
        <f t="shared" si="12"/>
        <v>0.02825642795714284</v>
      </c>
      <c r="H174" s="44">
        <f t="shared" si="18"/>
        <v>24252018</v>
      </c>
      <c r="I174" s="44">
        <f>J174-6811956</f>
        <v>3078748</v>
      </c>
      <c r="J174" s="44">
        <v>9890704</v>
      </c>
      <c r="K174" s="46">
        <f t="shared" si="14"/>
        <v>0.025348264371805502</v>
      </c>
      <c r="L174" s="47">
        <f t="shared" si="19"/>
        <v>26244337</v>
      </c>
    </row>
    <row r="175" spans="1:12" ht="15.75">
      <c r="A175" s="24" t="s">
        <v>97</v>
      </c>
      <c r="B175" s="25" t="s">
        <v>241</v>
      </c>
      <c r="C175" s="44">
        <v>828989</v>
      </c>
      <c r="D175" s="44">
        <v>828989</v>
      </c>
      <c r="E175" s="44">
        <f>F175-0</f>
        <v>0</v>
      </c>
      <c r="F175" s="44">
        <v>0</v>
      </c>
      <c r="G175" s="46">
        <f t="shared" si="12"/>
        <v>0</v>
      </c>
      <c r="H175" s="44">
        <f t="shared" si="18"/>
        <v>828989</v>
      </c>
      <c r="I175" s="44">
        <f>J175-0</f>
        <v>0</v>
      </c>
      <c r="J175" s="44">
        <v>0</v>
      </c>
      <c r="K175" s="46">
        <f t="shared" si="14"/>
        <v>0</v>
      </c>
      <c r="L175" s="47">
        <f t="shared" si="19"/>
        <v>828989</v>
      </c>
    </row>
    <row r="176" spans="1:12" ht="15.75">
      <c r="A176" s="35" t="s">
        <v>162</v>
      </c>
      <c r="B176" s="27" t="s">
        <v>163</v>
      </c>
      <c r="C176" s="41">
        <f>SUM(C177:C189)</f>
        <v>358667638</v>
      </c>
      <c r="D176" s="41">
        <f>SUM(D177:D189)</f>
        <v>371066258</v>
      </c>
      <c r="E176" s="41">
        <f>SUM(E177:E189)</f>
        <v>48824496</v>
      </c>
      <c r="F176" s="41">
        <f>SUM(F177:F189)</f>
        <v>193223495</v>
      </c>
      <c r="G176" s="42">
        <f t="shared" si="12"/>
        <v>0.459462694475543</v>
      </c>
      <c r="H176" s="41">
        <f t="shared" si="18"/>
        <v>177842763</v>
      </c>
      <c r="I176" s="41">
        <f>SUM(I177:I189)</f>
        <v>48377645</v>
      </c>
      <c r="J176" s="41">
        <f>SUM(J177:J189)</f>
        <v>191931118</v>
      </c>
      <c r="K176" s="42">
        <f t="shared" si="14"/>
        <v>0.49188821344165157</v>
      </c>
      <c r="L176" s="43">
        <f t="shared" si="19"/>
        <v>179135140</v>
      </c>
    </row>
    <row r="177" spans="1:12" ht="15.75">
      <c r="A177" s="24" t="s">
        <v>28</v>
      </c>
      <c r="B177" s="25" t="s">
        <v>33</v>
      </c>
      <c r="C177" s="44">
        <v>333695258</v>
      </c>
      <c r="D177" s="44">
        <v>342848280</v>
      </c>
      <c r="E177" s="44">
        <f>F177-143804890</f>
        <v>48185492</v>
      </c>
      <c r="F177" s="44">
        <v>191990382</v>
      </c>
      <c r="G177" s="46">
        <f aca="true" t="shared" si="20" ref="G177:G208">(F177/$F$244)*100</f>
        <v>0.4565304971173862</v>
      </c>
      <c r="H177" s="44">
        <f t="shared" si="18"/>
        <v>150857898</v>
      </c>
      <c r="I177" s="44">
        <f>J177-143138097</f>
        <v>47805875</v>
      </c>
      <c r="J177" s="44">
        <v>190943972</v>
      </c>
      <c r="K177" s="46">
        <f aca="true" t="shared" si="21" ref="K177:K208">(J177/$J$244)*100</f>
        <v>0.4893583189284228</v>
      </c>
      <c r="L177" s="47">
        <f t="shared" si="19"/>
        <v>151904308</v>
      </c>
    </row>
    <row r="178" spans="1:12" ht="15.75">
      <c r="A178" s="24" t="s">
        <v>51</v>
      </c>
      <c r="B178" s="25" t="s">
        <v>58</v>
      </c>
      <c r="C178" s="44">
        <v>60000</v>
      </c>
      <c r="D178" s="44">
        <v>0</v>
      </c>
      <c r="E178" s="44">
        <f aca="true" t="shared" si="22" ref="E178:E189">F178-0</f>
        <v>0</v>
      </c>
      <c r="F178" s="44">
        <v>0</v>
      </c>
      <c r="G178" s="46">
        <f t="shared" si="20"/>
        <v>0</v>
      </c>
      <c r="H178" s="44">
        <f t="shared" si="18"/>
        <v>0</v>
      </c>
      <c r="I178" s="44">
        <f aca="true" t="shared" si="23" ref="I178:I189">J178-0</f>
        <v>0</v>
      </c>
      <c r="J178" s="44">
        <v>0</v>
      </c>
      <c r="K178" s="46">
        <f t="shared" si="21"/>
        <v>0</v>
      </c>
      <c r="L178" s="47">
        <f t="shared" si="19"/>
        <v>0</v>
      </c>
    </row>
    <row r="179" spans="1:12" ht="15.75">
      <c r="A179" s="24" t="s">
        <v>94</v>
      </c>
      <c r="B179" s="25" t="s">
        <v>100</v>
      </c>
      <c r="C179" s="44">
        <v>2007167</v>
      </c>
      <c r="D179" s="44">
        <v>2007167</v>
      </c>
      <c r="E179" s="44">
        <f>F179-501831</f>
        <v>282846</v>
      </c>
      <c r="F179" s="44">
        <v>784677</v>
      </c>
      <c r="G179" s="46">
        <f t="shared" si="20"/>
        <v>0.0018658694105133833</v>
      </c>
      <c r="H179" s="44">
        <f t="shared" si="18"/>
        <v>1222490</v>
      </c>
      <c r="I179" s="44">
        <f>J179-324362</f>
        <v>285927</v>
      </c>
      <c r="J179" s="44">
        <v>610289</v>
      </c>
      <c r="K179" s="46">
        <f t="shared" si="21"/>
        <v>0.0015640713659214559</v>
      </c>
      <c r="L179" s="47">
        <f t="shared" si="19"/>
        <v>1396878</v>
      </c>
    </row>
    <row r="180" spans="1:12" ht="15.75">
      <c r="A180" s="24" t="s">
        <v>68</v>
      </c>
      <c r="B180" s="25" t="s">
        <v>76</v>
      </c>
      <c r="C180" s="44">
        <v>280000</v>
      </c>
      <c r="D180" s="44">
        <v>280000</v>
      </c>
      <c r="E180" s="44">
        <f>F180-11280</f>
        <v>3600</v>
      </c>
      <c r="F180" s="44">
        <v>14880</v>
      </c>
      <c r="G180" s="46">
        <f t="shared" si="20"/>
        <v>3.53828859880424E-05</v>
      </c>
      <c r="H180" s="44">
        <f t="shared" si="18"/>
        <v>265120</v>
      </c>
      <c r="I180" s="44">
        <f>J180-11210</f>
        <v>3600</v>
      </c>
      <c r="J180" s="44">
        <v>14810</v>
      </c>
      <c r="K180" s="46">
        <f t="shared" si="21"/>
        <v>3.795561927102858E-05</v>
      </c>
      <c r="L180" s="47">
        <f t="shared" si="19"/>
        <v>265190</v>
      </c>
    </row>
    <row r="181" spans="1:12" ht="15.75">
      <c r="A181" s="24" t="s">
        <v>135</v>
      </c>
      <c r="B181" s="25" t="s">
        <v>136</v>
      </c>
      <c r="C181" s="44">
        <v>60000</v>
      </c>
      <c r="D181" s="44">
        <v>0</v>
      </c>
      <c r="E181" s="44">
        <f t="shared" si="22"/>
        <v>0</v>
      </c>
      <c r="F181" s="44">
        <v>0</v>
      </c>
      <c r="G181" s="46">
        <f t="shared" si="20"/>
        <v>0</v>
      </c>
      <c r="H181" s="44">
        <f t="shared" si="18"/>
        <v>0</v>
      </c>
      <c r="I181" s="44">
        <f t="shared" si="23"/>
        <v>0</v>
      </c>
      <c r="J181" s="44">
        <v>0</v>
      </c>
      <c r="K181" s="46">
        <f t="shared" si="21"/>
        <v>0</v>
      </c>
      <c r="L181" s="47">
        <f t="shared" si="19"/>
        <v>0</v>
      </c>
    </row>
    <row r="182" spans="1:12" ht="15.75">
      <c r="A182" s="24" t="s">
        <v>96</v>
      </c>
      <c r="B182" s="25" t="s">
        <v>102</v>
      </c>
      <c r="C182" s="44">
        <v>5000</v>
      </c>
      <c r="D182" s="44">
        <v>5000</v>
      </c>
      <c r="E182" s="44">
        <f t="shared" si="22"/>
        <v>0</v>
      </c>
      <c r="F182" s="44">
        <v>0</v>
      </c>
      <c r="G182" s="46">
        <f t="shared" si="20"/>
        <v>0</v>
      </c>
      <c r="H182" s="44">
        <f t="shared" si="18"/>
        <v>5000</v>
      </c>
      <c r="I182" s="44">
        <f t="shared" si="23"/>
        <v>0</v>
      </c>
      <c r="J182" s="44">
        <v>0</v>
      </c>
      <c r="K182" s="46">
        <f t="shared" si="21"/>
        <v>0</v>
      </c>
      <c r="L182" s="47">
        <f t="shared" si="19"/>
        <v>5000</v>
      </c>
    </row>
    <row r="183" spans="1:12" ht="15.75">
      <c r="A183" s="24" t="s">
        <v>97</v>
      </c>
      <c r="B183" s="25" t="s">
        <v>237</v>
      </c>
      <c r="C183" s="44">
        <v>0</v>
      </c>
      <c r="D183" s="44">
        <v>0</v>
      </c>
      <c r="E183" s="44">
        <f t="shared" si="22"/>
        <v>0</v>
      </c>
      <c r="F183" s="44">
        <v>0</v>
      </c>
      <c r="G183" s="46">
        <f t="shared" si="20"/>
        <v>0</v>
      </c>
      <c r="H183" s="44">
        <f t="shared" si="18"/>
        <v>0</v>
      </c>
      <c r="I183" s="44">
        <f t="shared" si="23"/>
        <v>0</v>
      </c>
      <c r="J183" s="44">
        <v>0</v>
      </c>
      <c r="K183" s="46">
        <f t="shared" si="21"/>
        <v>0</v>
      </c>
      <c r="L183" s="47">
        <f t="shared" si="19"/>
        <v>0</v>
      </c>
    </row>
    <row r="184" spans="1:12" ht="15.75">
      <c r="A184" s="24" t="s">
        <v>155</v>
      </c>
      <c r="B184" s="25" t="s">
        <v>156</v>
      </c>
      <c r="C184" s="44">
        <v>322179</v>
      </c>
      <c r="D184" s="44">
        <v>4250990</v>
      </c>
      <c r="E184" s="44">
        <f t="shared" si="22"/>
        <v>192003</v>
      </c>
      <c r="F184" s="44">
        <v>192003</v>
      </c>
      <c r="G184" s="46">
        <f t="shared" si="20"/>
        <v>0.00045656050123401236</v>
      </c>
      <c r="H184" s="44">
        <f t="shared" si="18"/>
        <v>4058987</v>
      </c>
      <c r="I184" s="44">
        <f t="shared" si="23"/>
        <v>141483</v>
      </c>
      <c r="J184" s="44">
        <v>141483</v>
      </c>
      <c r="K184" s="46">
        <f t="shared" si="21"/>
        <v>0.00036259789880641025</v>
      </c>
      <c r="L184" s="47">
        <f t="shared" si="19"/>
        <v>4109507</v>
      </c>
    </row>
    <row r="185" spans="1:12" ht="15.75">
      <c r="A185" s="24" t="s">
        <v>166</v>
      </c>
      <c r="B185" s="25" t="s">
        <v>167</v>
      </c>
      <c r="C185" s="44">
        <v>155632</v>
      </c>
      <c r="D185" s="44">
        <v>80986</v>
      </c>
      <c r="E185" s="44">
        <f t="shared" si="22"/>
        <v>929</v>
      </c>
      <c r="F185" s="44">
        <v>929</v>
      </c>
      <c r="G185" s="46">
        <f t="shared" si="20"/>
        <v>2.2090524921297974E-06</v>
      </c>
      <c r="H185" s="44">
        <f t="shared" si="18"/>
        <v>80057</v>
      </c>
      <c r="I185" s="44">
        <f t="shared" si="23"/>
        <v>929</v>
      </c>
      <c r="J185" s="44">
        <v>929</v>
      </c>
      <c r="K185" s="46">
        <f t="shared" si="21"/>
        <v>2.380875780066546E-06</v>
      </c>
      <c r="L185" s="47">
        <f t="shared" si="19"/>
        <v>80057</v>
      </c>
    </row>
    <row r="186" spans="1:12" ht="15.75">
      <c r="A186" s="24" t="s">
        <v>168</v>
      </c>
      <c r="B186" s="25" t="s">
        <v>169</v>
      </c>
      <c r="C186" s="44">
        <v>547088</v>
      </c>
      <c r="D186" s="44">
        <v>297229</v>
      </c>
      <c r="E186" s="44">
        <f t="shared" si="22"/>
        <v>0</v>
      </c>
      <c r="F186" s="44">
        <v>0</v>
      </c>
      <c r="G186" s="46">
        <f t="shared" si="20"/>
        <v>0</v>
      </c>
      <c r="H186" s="44">
        <f t="shared" si="18"/>
        <v>297229</v>
      </c>
      <c r="I186" s="44">
        <f t="shared" si="23"/>
        <v>0</v>
      </c>
      <c r="J186" s="44">
        <v>0</v>
      </c>
      <c r="K186" s="46">
        <f t="shared" si="21"/>
        <v>0</v>
      </c>
      <c r="L186" s="47">
        <f t="shared" si="19"/>
        <v>297229</v>
      </c>
    </row>
    <row r="187" spans="1:12" ht="15.75">
      <c r="A187" s="24" t="s">
        <v>170</v>
      </c>
      <c r="B187" s="25" t="s">
        <v>171</v>
      </c>
      <c r="C187" s="44">
        <v>6701105</v>
      </c>
      <c r="D187" s="44">
        <v>6551105</v>
      </c>
      <c r="E187" s="44">
        <f>F187-730</f>
        <v>0</v>
      </c>
      <c r="F187" s="44">
        <v>730</v>
      </c>
      <c r="G187" s="46">
        <f t="shared" si="20"/>
        <v>1.7358539496821873E-06</v>
      </c>
      <c r="H187" s="44">
        <f t="shared" si="18"/>
        <v>6550375</v>
      </c>
      <c r="I187" s="44">
        <f>J187-730</f>
        <v>0</v>
      </c>
      <c r="J187" s="44">
        <v>730</v>
      </c>
      <c r="K187" s="46">
        <f t="shared" si="21"/>
        <v>1.8708711727110645E-06</v>
      </c>
      <c r="L187" s="47">
        <f t="shared" si="19"/>
        <v>6550375</v>
      </c>
    </row>
    <row r="188" spans="1:12" ht="15.75">
      <c r="A188" s="24" t="s">
        <v>172</v>
      </c>
      <c r="B188" s="25" t="s">
        <v>173</v>
      </c>
      <c r="C188" s="44">
        <v>14827870</v>
      </c>
      <c r="D188" s="44">
        <v>14739162</v>
      </c>
      <c r="E188" s="44">
        <f>F188-80268</f>
        <v>159626</v>
      </c>
      <c r="F188" s="44">
        <v>239894</v>
      </c>
      <c r="G188" s="46">
        <f t="shared" si="20"/>
        <v>0.0005704396539795325</v>
      </c>
      <c r="H188" s="44">
        <f t="shared" si="18"/>
        <v>14499268</v>
      </c>
      <c r="I188" s="44">
        <f>J188-79074</f>
        <v>139831</v>
      </c>
      <c r="J188" s="44">
        <v>218905</v>
      </c>
      <c r="K188" s="46">
        <f t="shared" si="21"/>
        <v>0.0005610178822771446</v>
      </c>
      <c r="L188" s="47">
        <f t="shared" si="19"/>
        <v>14520257</v>
      </c>
    </row>
    <row r="189" spans="1:12" ht="15.75">
      <c r="A189" s="24" t="s">
        <v>244</v>
      </c>
      <c r="B189" s="25" t="s">
        <v>245</v>
      </c>
      <c r="C189" s="44">
        <v>6339</v>
      </c>
      <c r="D189" s="44">
        <v>6339</v>
      </c>
      <c r="E189" s="44">
        <f t="shared" si="22"/>
        <v>0</v>
      </c>
      <c r="F189" s="44">
        <v>0</v>
      </c>
      <c r="G189" s="46">
        <f t="shared" si="20"/>
        <v>0</v>
      </c>
      <c r="H189" s="44">
        <f t="shared" si="18"/>
        <v>6339</v>
      </c>
      <c r="I189" s="44">
        <f t="shared" si="23"/>
        <v>0</v>
      </c>
      <c r="J189" s="44">
        <v>0</v>
      </c>
      <c r="K189" s="46">
        <f t="shared" si="21"/>
        <v>0</v>
      </c>
      <c r="L189" s="47">
        <f t="shared" si="19"/>
        <v>6339</v>
      </c>
    </row>
    <row r="190" spans="1:12" ht="15.75">
      <c r="A190" s="35" t="s">
        <v>175</v>
      </c>
      <c r="B190" s="27" t="s">
        <v>174</v>
      </c>
      <c r="C190" s="41">
        <f>SUM(C191:C193)</f>
        <v>27311173</v>
      </c>
      <c r="D190" s="41">
        <f>SUM(D191:D193)</f>
        <v>31530049</v>
      </c>
      <c r="E190" s="41">
        <f>SUM(E191:E193)</f>
        <v>1432911</v>
      </c>
      <c r="F190" s="41">
        <f>SUM(F191:F193)</f>
        <v>5940687</v>
      </c>
      <c r="G190" s="42">
        <f t="shared" si="20"/>
        <v>0.01412625341476113</v>
      </c>
      <c r="H190" s="41">
        <f t="shared" si="18"/>
        <v>25589362</v>
      </c>
      <c r="I190" s="41">
        <f>SUM(I191:I193)</f>
        <v>1430321</v>
      </c>
      <c r="J190" s="41">
        <f>SUM(J191:J193)</f>
        <v>5759166</v>
      </c>
      <c r="K190" s="42">
        <f t="shared" si="21"/>
        <v>0.014759804997613273</v>
      </c>
      <c r="L190" s="43">
        <f t="shared" si="19"/>
        <v>25770883</v>
      </c>
    </row>
    <row r="191" spans="1:12" ht="15.75">
      <c r="A191" s="24" t="s">
        <v>28</v>
      </c>
      <c r="B191" s="25" t="s">
        <v>33</v>
      </c>
      <c r="C191" s="44">
        <v>9694986</v>
      </c>
      <c r="D191" s="44">
        <v>9688986</v>
      </c>
      <c r="E191" s="44">
        <f>F191-4282449</f>
        <v>1400400</v>
      </c>
      <c r="F191" s="44">
        <v>5682849</v>
      </c>
      <c r="G191" s="46">
        <f t="shared" si="20"/>
        <v>0.013513145043969136</v>
      </c>
      <c r="H191" s="44">
        <f t="shared" si="18"/>
        <v>4006137</v>
      </c>
      <c r="I191" s="44">
        <f>J191-4253575</f>
        <v>1404856</v>
      </c>
      <c r="J191" s="44">
        <v>5658431</v>
      </c>
      <c r="K191" s="46">
        <f t="shared" si="21"/>
        <v>0.014501637589965262</v>
      </c>
      <c r="L191" s="47">
        <f t="shared" si="19"/>
        <v>4030555</v>
      </c>
    </row>
    <row r="192" spans="1:12" ht="15.75">
      <c r="A192" s="24" t="s">
        <v>139</v>
      </c>
      <c r="B192" s="25" t="s">
        <v>140</v>
      </c>
      <c r="C192" s="44">
        <v>1029233</v>
      </c>
      <c r="D192" s="44">
        <v>1029233</v>
      </c>
      <c r="E192" s="44">
        <f>F192-0</f>
        <v>0</v>
      </c>
      <c r="F192" s="44">
        <v>0</v>
      </c>
      <c r="G192" s="46">
        <f t="shared" si="20"/>
        <v>0</v>
      </c>
      <c r="H192" s="44">
        <f t="shared" si="18"/>
        <v>1029233</v>
      </c>
      <c r="I192" s="44">
        <f>J192-0</f>
        <v>0</v>
      </c>
      <c r="J192" s="44">
        <v>0</v>
      </c>
      <c r="K192" s="46">
        <f t="shared" si="21"/>
        <v>0</v>
      </c>
      <c r="L192" s="47">
        <f t="shared" si="19"/>
        <v>1029233</v>
      </c>
    </row>
    <row r="193" spans="1:12" ht="15.75">
      <c r="A193" s="24" t="s">
        <v>176</v>
      </c>
      <c r="B193" s="25" t="s">
        <v>177</v>
      </c>
      <c r="C193" s="44">
        <v>16586954</v>
      </c>
      <c r="D193" s="44">
        <v>20811830</v>
      </c>
      <c r="E193" s="44">
        <f>F193-225327</f>
        <v>32511</v>
      </c>
      <c r="F193" s="44">
        <v>257838</v>
      </c>
      <c r="G193" s="46">
        <f t="shared" si="20"/>
        <v>0.0006131083707919943</v>
      </c>
      <c r="H193" s="44">
        <f t="shared" si="18"/>
        <v>20553992</v>
      </c>
      <c r="I193" s="44">
        <f>J193-75270</f>
        <v>25465</v>
      </c>
      <c r="J193" s="44">
        <v>100735</v>
      </c>
      <c r="K193" s="46">
        <f t="shared" si="21"/>
        <v>0.0002581674076480124</v>
      </c>
      <c r="L193" s="47">
        <f t="shared" si="19"/>
        <v>20711095</v>
      </c>
    </row>
    <row r="194" spans="1:12" ht="15.75">
      <c r="A194" s="35" t="s">
        <v>178</v>
      </c>
      <c r="B194" s="27" t="s">
        <v>179</v>
      </c>
      <c r="C194" s="41">
        <f>SUM(C195:C205)</f>
        <v>204864839</v>
      </c>
      <c r="D194" s="41">
        <f>SUM(D195:D205)</f>
        <v>197302065</v>
      </c>
      <c r="E194" s="41">
        <f>SUM(E195:E205)</f>
        <v>9682303</v>
      </c>
      <c r="F194" s="41">
        <f>SUM(F195:F205)</f>
        <v>36839961</v>
      </c>
      <c r="G194" s="42">
        <f t="shared" si="20"/>
        <v>0.08760108466847637</v>
      </c>
      <c r="H194" s="41">
        <f t="shared" si="18"/>
        <v>160462104</v>
      </c>
      <c r="I194" s="41">
        <f>SUM(I195:I205)</f>
        <v>9650856</v>
      </c>
      <c r="J194" s="41">
        <f>SUM(J195:J205)</f>
        <v>34985509</v>
      </c>
      <c r="K194" s="42">
        <f t="shared" si="21"/>
        <v>0.08966216472701849</v>
      </c>
      <c r="L194" s="43">
        <f t="shared" si="19"/>
        <v>162316556</v>
      </c>
    </row>
    <row r="195" spans="1:12" ht="15.75">
      <c r="A195" s="24" t="s">
        <v>28</v>
      </c>
      <c r="B195" s="25" t="s">
        <v>33</v>
      </c>
      <c r="C195" s="44">
        <v>87774442</v>
      </c>
      <c r="D195" s="44">
        <v>78696783</v>
      </c>
      <c r="E195" s="44">
        <f>F195-26890334</f>
        <v>9578566</v>
      </c>
      <c r="F195" s="44">
        <v>36468900</v>
      </c>
      <c r="G195" s="46">
        <f t="shared" si="20"/>
        <v>0.08671874535008867</v>
      </c>
      <c r="H195" s="44">
        <f t="shared" si="18"/>
        <v>42227883</v>
      </c>
      <c r="I195" s="44">
        <f>J195-25206634</f>
        <v>9585287</v>
      </c>
      <c r="J195" s="44">
        <v>34791921</v>
      </c>
      <c r="K195" s="46">
        <f t="shared" si="21"/>
        <v>0.0891660301947133</v>
      </c>
      <c r="L195" s="47">
        <f t="shared" si="19"/>
        <v>43904862</v>
      </c>
    </row>
    <row r="196" spans="1:12" ht="15.75">
      <c r="A196" s="24" t="s">
        <v>49</v>
      </c>
      <c r="B196" s="25" t="s">
        <v>56</v>
      </c>
      <c r="C196" s="44">
        <v>400000</v>
      </c>
      <c r="D196" s="44">
        <v>400000</v>
      </c>
      <c r="E196" s="44">
        <f aca="true" t="shared" si="24" ref="E196:E205">F196-0</f>
        <v>0</v>
      </c>
      <c r="F196" s="44">
        <v>0</v>
      </c>
      <c r="G196" s="46">
        <f t="shared" si="20"/>
        <v>0</v>
      </c>
      <c r="H196" s="44">
        <f t="shared" si="18"/>
        <v>400000</v>
      </c>
      <c r="I196" s="44">
        <f aca="true" t="shared" si="25" ref="I196:I205">J196-0</f>
        <v>0</v>
      </c>
      <c r="J196" s="44">
        <v>0</v>
      </c>
      <c r="K196" s="46">
        <f t="shared" si="21"/>
        <v>0</v>
      </c>
      <c r="L196" s="47">
        <f t="shared" si="19"/>
        <v>400000</v>
      </c>
    </row>
    <row r="197" spans="1:12" ht="15.75">
      <c r="A197" s="24" t="s">
        <v>51</v>
      </c>
      <c r="B197" s="25" t="s">
        <v>58</v>
      </c>
      <c r="C197" s="44">
        <v>30000</v>
      </c>
      <c r="D197" s="44">
        <v>30000</v>
      </c>
      <c r="E197" s="44">
        <f t="shared" si="24"/>
        <v>60</v>
      </c>
      <c r="F197" s="44">
        <v>60</v>
      </c>
      <c r="G197" s="46">
        <f t="shared" si="20"/>
        <v>1.4267292737113868E-07</v>
      </c>
      <c r="H197" s="44">
        <f t="shared" si="18"/>
        <v>29940</v>
      </c>
      <c r="I197" s="44">
        <f t="shared" si="25"/>
        <v>0</v>
      </c>
      <c r="J197" s="44">
        <v>0</v>
      </c>
      <c r="K197" s="46">
        <f t="shared" si="21"/>
        <v>0</v>
      </c>
      <c r="L197" s="47">
        <f t="shared" si="19"/>
        <v>30000</v>
      </c>
    </row>
    <row r="198" spans="1:12" ht="15.75">
      <c r="A198" s="24" t="s">
        <v>160</v>
      </c>
      <c r="B198" s="25" t="s">
        <v>161</v>
      </c>
      <c r="C198" s="44">
        <v>5000</v>
      </c>
      <c r="D198" s="44">
        <v>5000</v>
      </c>
      <c r="E198" s="44">
        <f t="shared" si="24"/>
        <v>0</v>
      </c>
      <c r="F198" s="44">
        <v>0</v>
      </c>
      <c r="G198" s="46">
        <f t="shared" si="20"/>
        <v>0</v>
      </c>
      <c r="H198" s="44">
        <f>D198-F198</f>
        <v>5000</v>
      </c>
      <c r="I198" s="44">
        <f t="shared" si="25"/>
        <v>0</v>
      </c>
      <c r="J198" s="44">
        <v>0</v>
      </c>
      <c r="K198" s="46">
        <f t="shared" si="21"/>
        <v>0</v>
      </c>
      <c r="L198" s="47">
        <f>D198-J198</f>
        <v>5000</v>
      </c>
    </row>
    <row r="199" spans="1:12" ht="15.75">
      <c r="A199" s="24" t="s">
        <v>97</v>
      </c>
      <c r="B199" s="25" t="s">
        <v>241</v>
      </c>
      <c r="C199" s="44">
        <v>30000</v>
      </c>
      <c r="D199" s="44">
        <v>30000</v>
      </c>
      <c r="E199" s="44">
        <f>F199-7398</f>
        <v>3744</v>
      </c>
      <c r="F199" s="44">
        <v>11142</v>
      </c>
      <c r="G199" s="46">
        <f t="shared" si="20"/>
        <v>2.6494362612820454E-05</v>
      </c>
      <c r="H199" s="44">
        <f>D199-F199</f>
        <v>18858</v>
      </c>
      <c r="I199" s="44">
        <f>J199-7398</f>
        <v>3576</v>
      </c>
      <c r="J199" s="44">
        <v>10974</v>
      </c>
      <c r="K199" s="46">
        <f t="shared" si="21"/>
        <v>2.8124575684015368E-05</v>
      </c>
      <c r="L199" s="47">
        <f>D199-J199</f>
        <v>19026</v>
      </c>
    </row>
    <row r="200" spans="1:12" ht="15.75">
      <c r="A200" s="24" t="s">
        <v>180</v>
      </c>
      <c r="B200" s="25" t="s">
        <v>181</v>
      </c>
      <c r="C200" s="44">
        <v>77427167</v>
      </c>
      <c r="D200" s="44">
        <v>78942052</v>
      </c>
      <c r="E200" s="44">
        <f>F200-243760</f>
        <v>93293</v>
      </c>
      <c r="F200" s="44">
        <v>337053</v>
      </c>
      <c r="G200" s="46">
        <f t="shared" si="20"/>
        <v>0.0008014723031537401</v>
      </c>
      <c r="H200" s="44">
        <f>D200-F200</f>
        <v>78604999</v>
      </c>
      <c r="I200" s="44">
        <f>J200-105173</f>
        <v>55437</v>
      </c>
      <c r="J200" s="44">
        <v>160610</v>
      </c>
      <c r="K200" s="46">
        <f t="shared" si="21"/>
        <v>0.000411617286368663</v>
      </c>
      <c r="L200" s="47">
        <f>D200-J200</f>
        <v>78781442</v>
      </c>
    </row>
    <row r="201" spans="1:12" ht="15.75">
      <c r="A201" s="24" t="s">
        <v>182</v>
      </c>
      <c r="B201" s="25" t="s">
        <v>183</v>
      </c>
      <c r="C201" s="44">
        <v>32200</v>
      </c>
      <c r="D201" s="44">
        <v>32200</v>
      </c>
      <c r="E201" s="44">
        <f>F201-4088</f>
        <v>5206</v>
      </c>
      <c r="F201" s="44">
        <v>9294</v>
      </c>
      <c r="G201" s="46">
        <f t="shared" si="20"/>
        <v>2.2100036449789383E-05</v>
      </c>
      <c r="H201" s="44">
        <f>D201-F201</f>
        <v>22906</v>
      </c>
      <c r="I201" s="44">
        <f>J201-4088</f>
        <v>5122</v>
      </c>
      <c r="J201" s="44">
        <v>9210</v>
      </c>
      <c r="K201" s="46">
        <f t="shared" si="21"/>
        <v>2.360373082283411E-05</v>
      </c>
      <c r="L201" s="47">
        <f>D201-J201</f>
        <v>22990</v>
      </c>
    </row>
    <row r="202" spans="1:12" ht="15.75">
      <c r="A202" s="24" t="s">
        <v>184</v>
      </c>
      <c r="B202" s="25" t="s">
        <v>250</v>
      </c>
      <c r="C202" s="44">
        <v>1315000</v>
      </c>
      <c r="D202" s="44">
        <v>1315000</v>
      </c>
      <c r="E202" s="44">
        <f t="shared" si="24"/>
        <v>0</v>
      </c>
      <c r="F202" s="44">
        <v>0</v>
      </c>
      <c r="G202" s="46">
        <f t="shared" si="20"/>
        <v>0</v>
      </c>
      <c r="H202" s="44">
        <f t="shared" si="18"/>
        <v>1315000</v>
      </c>
      <c r="I202" s="44">
        <f t="shared" si="25"/>
        <v>0</v>
      </c>
      <c r="J202" s="44">
        <v>0</v>
      </c>
      <c r="K202" s="46">
        <f t="shared" si="21"/>
        <v>0</v>
      </c>
      <c r="L202" s="47">
        <f t="shared" si="19"/>
        <v>1315000</v>
      </c>
    </row>
    <row r="203" spans="1:12" ht="15.75">
      <c r="A203" s="24" t="s">
        <v>185</v>
      </c>
      <c r="B203" s="25" t="s">
        <v>186</v>
      </c>
      <c r="C203" s="44">
        <v>37803030</v>
      </c>
      <c r="D203" s="44">
        <v>37803030</v>
      </c>
      <c r="E203" s="44">
        <f t="shared" si="24"/>
        <v>0</v>
      </c>
      <c r="F203" s="44">
        <v>0</v>
      </c>
      <c r="G203" s="46">
        <f t="shared" si="20"/>
        <v>0</v>
      </c>
      <c r="H203" s="44">
        <f t="shared" si="18"/>
        <v>37803030</v>
      </c>
      <c r="I203" s="44">
        <f t="shared" si="25"/>
        <v>0</v>
      </c>
      <c r="J203" s="44">
        <v>0</v>
      </c>
      <c r="K203" s="46">
        <f t="shared" si="21"/>
        <v>0</v>
      </c>
      <c r="L203" s="47">
        <f t="shared" si="19"/>
        <v>37803030</v>
      </c>
    </row>
    <row r="204" spans="1:12" ht="15.75">
      <c r="A204" s="24" t="s">
        <v>187</v>
      </c>
      <c r="B204" s="25" t="s">
        <v>188</v>
      </c>
      <c r="C204" s="44">
        <v>28000</v>
      </c>
      <c r="D204" s="44">
        <v>28000</v>
      </c>
      <c r="E204" s="44">
        <f>F204-12078</f>
        <v>1434</v>
      </c>
      <c r="F204" s="44">
        <v>13512</v>
      </c>
      <c r="G204" s="46">
        <f t="shared" si="20"/>
        <v>3.212994324398043E-05</v>
      </c>
      <c r="H204" s="44">
        <f>D204-F204</f>
        <v>14488</v>
      </c>
      <c r="I204" s="44">
        <f>J204-11360</f>
        <v>1434</v>
      </c>
      <c r="J204" s="44">
        <v>12794</v>
      </c>
      <c r="K204" s="46">
        <f t="shared" si="21"/>
        <v>3.278893942967857E-05</v>
      </c>
      <c r="L204" s="47">
        <f>D204-J204</f>
        <v>15206</v>
      </c>
    </row>
    <row r="205" spans="1:12" ht="15.75">
      <c r="A205" s="24" t="s">
        <v>254</v>
      </c>
      <c r="B205" s="25" t="s">
        <v>255</v>
      </c>
      <c r="C205" s="44">
        <v>20000</v>
      </c>
      <c r="D205" s="44">
        <v>20000</v>
      </c>
      <c r="E205" s="44">
        <f t="shared" si="24"/>
        <v>0</v>
      </c>
      <c r="F205" s="44">
        <v>0</v>
      </c>
      <c r="G205" s="46">
        <f t="shared" si="20"/>
        <v>0</v>
      </c>
      <c r="H205" s="44">
        <f t="shared" si="18"/>
        <v>20000</v>
      </c>
      <c r="I205" s="44">
        <f t="shared" si="25"/>
        <v>0</v>
      </c>
      <c r="J205" s="44">
        <v>0</v>
      </c>
      <c r="K205" s="46">
        <f t="shared" si="21"/>
        <v>0</v>
      </c>
      <c r="L205" s="47">
        <f t="shared" si="19"/>
        <v>20000</v>
      </c>
    </row>
    <row r="206" spans="1:12" ht="15.75">
      <c r="A206" s="35" t="s">
        <v>189</v>
      </c>
      <c r="B206" s="27" t="s">
        <v>190</v>
      </c>
      <c r="C206" s="41">
        <f>SUM(C207:C214)</f>
        <v>315908622</v>
      </c>
      <c r="D206" s="41">
        <f>SUM(D207:D214)</f>
        <v>325986679</v>
      </c>
      <c r="E206" s="41">
        <f>SUM(E207:E214)</f>
        <v>45351968</v>
      </c>
      <c r="F206" s="41">
        <f>SUM(F207:F214)</f>
        <v>172363766</v>
      </c>
      <c r="G206" s="42">
        <f t="shared" si="20"/>
        <v>0.40986071779889904</v>
      </c>
      <c r="H206" s="41">
        <f t="shared" si="18"/>
        <v>153622913</v>
      </c>
      <c r="I206" s="41">
        <f>SUM(I207:I214)</f>
        <v>44917797</v>
      </c>
      <c r="J206" s="41">
        <f>SUM(J207:J214)</f>
        <v>160335910</v>
      </c>
      <c r="K206" s="42">
        <f t="shared" si="21"/>
        <v>0.4109148383142407</v>
      </c>
      <c r="L206" s="43">
        <f t="shared" si="19"/>
        <v>165650769</v>
      </c>
    </row>
    <row r="207" spans="1:12" ht="15.75">
      <c r="A207" s="24" t="s">
        <v>28</v>
      </c>
      <c r="B207" s="25" t="s">
        <v>33</v>
      </c>
      <c r="C207" s="44">
        <v>94367150</v>
      </c>
      <c r="D207" s="44">
        <v>99095794</v>
      </c>
      <c r="E207" s="44">
        <f>F207-39853729</f>
        <v>12699033</v>
      </c>
      <c r="F207" s="44">
        <v>52552762</v>
      </c>
      <c r="G207" s="46">
        <f t="shared" si="20"/>
        <v>0.12496427326631229</v>
      </c>
      <c r="H207" s="44">
        <f t="shared" si="18"/>
        <v>46543032</v>
      </c>
      <c r="I207" s="44">
        <f>J207-33025767</f>
        <v>12349535</v>
      </c>
      <c r="J207" s="44">
        <v>45375302</v>
      </c>
      <c r="K207" s="46">
        <f t="shared" si="21"/>
        <v>0.11628951296555987</v>
      </c>
      <c r="L207" s="47">
        <f t="shared" si="19"/>
        <v>53720492</v>
      </c>
    </row>
    <row r="208" spans="1:12" ht="15.75">
      <c r="A208" s="24" t="s">
        <v>39</v>
      </c>
      <c r="B208" s="25" t="s">
        <v>41</v>
      </c>
      <c r="C208" s="44">
        <v>5000</v>
      </c>
      <c r="D208" s="44">
        <v>5000</v>
      </c>
      <c r="E208" s="44">
        <f>F208-0</f>
        <v>0</v>
      </c>
      <c r="F208" s="44">
        <v>0</v>
      </c>
      <c r="G208" s="46">
        <f t="shared" si="20"/>
        <v>0</v>
      </c>
      <c r="H208" s="44">
        <f t="shared" si="18"/>
        <v>5000</v>
      </c>
      <c r="I208" s="44">
        <f>J208-0</f>
        <v>0</v>
      </c>
      <c r="J208" s="44">
        <v>0</v>
      </c>
      <c r="K208" s="46">
        <f t="shared" si="21"/>
        <v>0</v>
      </c>
      <c r="L208" s="47">
        <f t="shared" si="19"/>
        <v>5000</v>
      </c>
    </row>
    <row r="209" spans="1:12" ht="15.75">
      <c r="A209" s="24" t="s">
        <v>131</v>
      </c>
      <c r="B209" s="25" t="s">
        <v>132</v>
      </c>
      <c r="C209" s="44">
        <v>10781105</v>
      </c>
      <c r="D209" s="44">
        <v>10781105</v>
      </c>
      <c r="E209" s="44">
        <f>F209-3934299</f>
        <v>630919</v>
      </c>
      <c r="F209" s="44">
        <v>4565218</v>
      </c>
      <c r="G209" s="46">
        <f aca="true" t="shared" si="26" ref="G209:G240">(F209/$F$244)*100</f>
        <v>0.010855550269123583</v>
      </c>
      <c r="H209" s="44">
        <f>D209-F209</f>
        <v>6215887</v>
      </c>
      <c r="I209" s="44">
        <f>J209-3934298</f>
        <v>630920</v>
      </c>
      <c r="J209" s="44">
        <v>4565218</v>
      </c>
      <c r="K209" s="46">
        <f aca="true" t="shared" si="27" ref="K209:K240">(J209/$J$244)*100</f>
        <v>0.011699910621015972</v>
      </c>
      <c r="L209" s="47">
        <f>D209-J209</f>
        <v>6215887</v>
      </c>
    </row>
    <row r="210" spans="1:12" ht="15.75">
      <c r="A210" s="24" t="s">
        <v>83</v>
      </c>
      <c r="B210" s="25" t="s">
        <v>85</v>
      </c>
      <c r="C210" s="44">
        <v>5500000</v>
      </c>
      <c r="D210" s="44">
        <v>5500000</v>
      </c>
      <c r="E210" s="44">
        <f>F210-147146</f>
        <v>121062</v>
      </c>
      <c r="F210" s="44">
        <v>268208</v>
      </c>
      <c r="G210" s="46">
        <f t="shared" si="26"/>
        <v>0.0006377670084059728</v>
      </c>
      <c r="H210" s="44">
        <f>D210-F210</f>
        <v>5231792</v>
      </c>
      <c r="I210" s="44">
        <f>J210-147146</f>
        <v>121062</v>
      </c>
      <c r="J210" s="44">
        <v>268208</v>
      </c>
      <c r="K210" s="46">
        <f t="shared" si="27"/>
        <v>0.0006873734458773825</v>
      </c>
      <c r="L210" s="47">
        <f>D210-J210</f>
        <v>5231792</v>
      </c>
    </row>
    <row r="211" spans="1:12" ht="15.75">
      <c r="A211" s="24" t="s">
        <v>53</v>
      </c>
      <c r="B211" s="25" t="s">
        <v>60</v>
      </c>
      <c r="C211" s="44">
        <v>10155000</v>
      </c>
      <c r="D211" s="44">
        <v>10051000</v>
      </c>
      <c r="E211" s="44">
        <f>F211-4735273</f>
        <v>0</v>
      </c>
      <c r="F211" s="44">
        <v>4735273</v>
      </c>
      <c r="G211" s="46">
        <f t="shared" si="26"/>
        <v>0.011259921013525234</v>
      </c>
      <c r="H211" s="44">
        <f t="shared" si="18"/>
        <v>5315727</v>
      </c>
      <c r="I211" s="44">
        <f>J211-3945026</f>
        <v>0</v>
      </c>
      <c r="J211" s="44">
        <v>3945026</v>
      </c>
      <c r="K211" s="46">
        <f t="shared" si="27"/>
        <v>0.010110459478076218</v>
      </c>
      <c r="L211" s="47">
        <f t="shared" si="19"/>
        <v>6105974</v>
      </c>
    </row>
    <row r="212" spans="1:12" ht="15.75">
      <c r="A212" s="24" t="s">
        <v>191</v>
      </c>
      <c r="B212" s="25" t="s">
        <v>192</v>
      </c>
      <c r="C212" s="44">
        <v>14385679</v>
      </c>
      <c r="D212" s="44">
        <v>14385679</v>
      </c>
      <c r="E212" s="44">
        <f>F212-5709373</f>
        <v>2449641</v>
      </c>
      <c r="F212" s="44">
        <v>8159014</v>
      </c>
      <c r="G212" s="46">
        <f t="shared" si="26"/>
        <v>0.01940117353070173</v>
      </c>
      <c r="H212" s="44">
        <f t="shared" si="18"/>
        <v>6226665</v>
      </c>
      <c r="I212" s="44">
        <f>J212-3546886</f>
        <v>2501162</v>
      </c>
      <c r="J212" s="44">
        <v>6048048</v>
      </c>
      <c r="K212" s="46">
        <f t="shared" si="27"/>
        <v>0.015500162540236723</v>
      </c>
      <c r="L212" s="47">
        <f t="shared" si="19"/>
        <v>8337631</v>
      </c>
    </row>
    <row r="213" spans="1:12" ht="15.75">
      <c r="A213" s="24" t="s">
        <v>54</v>
      </c>
      <c r="B213" s="25" t="s">
        <v>61</v>
      </c>
      <c r="C213" s="44">
        <v>135470500</v>
      </c>
      <c r="D213" s="44">
        <v>135470500</v>
      </c>
      <c r="E213" s="44">
        <f>F213-72628996</f>
        <v>29451067</v>
      </c>
      <c r="F213" s="44">
        <v>102080063</v>
      </c>
      <c r="G213" s="46">
        <f t="shared" si="26"/>
        <v>0.24273435690733772</v>
      </c>
      <c r="H213" s="44">
        <f t="shared" si="18"/>
        <v>33390437</v>
      </c>
      <c r="I213" s="44">
        <f>J213-70816008</f>
        <v>29314872</v>
      </c>
      <c r="J213" s="44">
        <v>100130880</v>
      </c>
      <c r="K213" s="46">
        <f t="shared" si="27"/>
        <v>0.25661914642491895</v>
      </c>
      <c r="L213" s="47">
        <f t="shared" si="19"/>
        <v>35339620</v>
      </c>
    </row>
    <row r="214" spans="1:12" ht="15.75">
      <c r="A214" s="24" t="s">
        <v>185</v>
      </c>
      <c r="B214" s="25" t="s">
        <v>186</v>
      </c>
      <c r="C214" s="44">
        <v>45244188</v>
      </c>
      <c r="D214" s="44">
        <v>50697601</v>
      </c>
      <c r="E214" s="44">
        <f>F214-2982</f>
        <v>246</v>
      </c>
      <c r="F214" s="44">
        <v>3228</v>
      </c>
      <c r="G214" s="46">
        <f t="shared" si="26"/>
        <v>7.675803492567262E-06</v>
      </c>
      <c r="H214" s="44">
        <f t="shared" si="18"/>
        <v>50694373</v>
      </c>
      <c r="I214" s="44">
        <f>J214-2982</f>
        <v>246</v>
      </c>
      <c r="J214" s="44">
        <v>3228</v>
      </c>
      <c r="K214" s="46">
        <f t="shared" si="27"/>
        <v>8.272838555494953E-06</v>
      </c>
      <c r="L214" s="47">
        <f t="shared" si="19"/>
        <v>50694373</v>
      </c>
    </row>
    <row r="215" spans="1:12" ht="15.75">
      <c r="A215" s="35" t="s">
        <v>193</v>
      </c>
      <c r="B215" s="27" t="s">
        <v>194</v>
      </c>
      <c r="C215" s="41">
        <f>SUM(C216:C218)</f>
        <v>6570858</v>
      </c>
      <c r="D215" s="41">
        <f>SUM(D216:D218)</f>
        <v>6570858</v>
      </c>
      <c r="E215" s="41">
        <f>SUM(E216:E218)</f>
        <v>1373945</v>
      </c>
      <c r="F215" s="41">
        <f>SUM(F216:F218)</f>
        <v>3797080</v>
      </c>
      <c r="G215" s="42">
        <f t="shared" si="26"/>
        <v>0.009029008651040055</v>
      </c>
      <c r="H215" s="41">
        <f t="shared" si="18"/>
        <v>2773778</v>
      </c>
      <c r="I215" s="41">
        <f>SUM(I216:I218)</f>
        <v>1243010</v>
      </c>
      <c r="J215" s="41">
        <f>SUM(J216:J218)</f>
        <v>3529244</v>
      </c>
      <c r="K215" s="42">
        <f t="shared" si="27"/>
        <v>0.009044877891867791</v>
      </c>
      <c r="L215" s="43">
        <f t="shared" si="19"/>
        <v>3041614</v>
      </c>
    </row>
    <row r="216" spans="1:12" ht="15.75">
      <c r="A216" s="24" t="s">
        <v>28</v>
      </c>
      <c r="B216" s="25" t="s">
        <v>33</v>
      </c>
      <c r="C216" s="44">
        <v>5570858</v>
      </c>
      <c r="D216" s="44">
        <v>5652820</v>
      </c>
      <c r="E216" s="44">
        <f>F216-2283757</f>
        <v>1213746</v>
      </c>
      <c r="F216" s="44">
        <v>3497503</v>
      </c>
      <c r="G216" s="46">
        <f t="shared" si="26"/>
        <v>0.008316649858322327</v>
      </c>
      <c r="H216" s="44">
        <f t="shared" si="18"/>
        <v>2155317</v>
      </c>
      <c r="I216" s="44">
        <f>J216-2187942</f>
        <v>1207250</v>
      </c>
      <c r="J216" s="44">
        <v>3395192</v>
      </c>
      <c r="K216" s="46">
        <f t="shared" si="27"/>
        <v>0.00870132443646469</v>
      </c>
      <c r="L216" s="47">
        <f t="shared" si="19"/>
        <v>2257628</v>
      </c>
    </row>
    <row r="217" spans="1:12" ht="15.75">
      <c r="A217" s="24" t="s">
        <v>164</v>
      </c>
      <c r="B217" s="25" t="s">
        <v>165</v>
      </c>
      <c r="C217" s="44">
        <v>1000000</v>
      </c>
      <c r="D217" s="44">
        <v>918038</v>
      </c>
      <c r="E217" s="44">
        <f>F217-139378</f>
        <v>160199</v>
      </c>
      <c r="F217" s="44">
        <v>299577</v>
      </c>
      <c r="G217" s="46">
        <f t="shared" si="26"/>
        <v>0.0007123587927177269</v>
      </c>
      <c r="H217" s="44">
        <f t="shared" si="18"/>
        <v>618461</v>
      </c>
      <c r="I217" s="44">
        <f>J217-98292</f>
        <v>35760</v>
      </c>
      <c r="J217" s="44">
        <v>134052</v>
      </c>
      <c r="K217" s="46">
        <f t="shared" si="27"/>
        <v>0.0003435534554031008</v>
      </c>
      <c r="L217" s="47">
        <f t="shared" si="19"/>
        <v>783986</v>
      </c>
    </row>
    <row r="218" spans="1:12" ht="15.75">
      <c r="A218" s="24" t="s">
        <v>117</v>
      </c>
      <c r="B218" s="25" t="s">
        <v>124</v>
      </c>
      <c r="C218" s="44">
        <v>0</v>
      </c>
      <c r="D218" s="44">
        <v>0</v>
      </c>
      <c r="E218" s="44">
        <f>F218-0</f>
        <v>0</v>
      </c>
      <c r="F218" s="44">
        <v>0</v>
      </c>
      <c r="G218" s="46">
        <f t="shared" si="26"/>
        <v>0</v>
      </c>
      <c r="H218" s="44">
        <f t="shared" si="18"/>
        <v>0</v>
      </c>
      <c r="I218" s="44">
        <f>J218-0</f>
        <v>0</v>
      </c>
      <c r="J218" s="44">
        <v>0</v>
      </c>
      <c r="K218" s="46">
        <f t="shared" si="27"/>
        <v>0</v>
      </c>
      <c r="L218" s="47">
        <f t="shared" si="19"/>
        <v>0</v>
      </c>
    </row>
    <row r="219" spans="1:12" ht="15.75">
      <c r="A219" s="35" t="s">
        <v>195</v>
      </c>
      <c r="B219" s="27" t="s">
        <v>196</v>
      </c>
      <c r="C219" s="41">
        <f>SUM(C220:C228)</f>
        <v>1551694301</v>
      </c>
      <c r="D219" s="41">
        <f>SUM(D220:D228)</f>
        <v>1597879785</v>
      </c>
      <c r="E219" s="41">
        <f>SUM(E220:E228)</f>
        <v>170696947</v>
      </c>
      <c r="F219" s="41">
        <f>SUM(F220:F228)</f>
        <v>524539127</v>
      </c>
      <c r="G219" s="42">
        <f t="shared" si="26"/>
        <v>1.2472922128298582</v>
      </c>
      <c r="H219" s="41">
        <f t="shared" si="18"/>
        <v>1073340658</v>
      </c>
      <c r="I219" s="41">
        <f>SUM(I220:I228)</f>
        <v>160314684</v>
      </c>
      <c r="J219" s="41">
        <f>SUM(J220:J228)</f>
        <v>450177517</v>
      </c>
      <c r="K219" s="42">
        <f t="shared" si="27"/>
        <v>1.153731697476637</v>
      </c>
      <c r="L219" s="43">
        <f t="shared" si="19"/>
        <v>1147702268</v>
      </c>
    </row>
    <row r="220" spans="1:12" ht="15.75">
      <c r="A220" s="24" t="s">
        <v>28</v>
      </c>
      <c r="B220" s="25" t="s">
        <v>33</v>
      </c>
      <c r="C220" s="44">
        <v>481389904</v>
      </c>
      <c r="D220" s="44">
        <v>463162266</v>
      </c>
      <c r="E220" s="44">
        <f>F220-137542037</f>
        <v>46223954</v>
      </c>
      <c r="F220" s="44">
        <v>183765991</v>
      </c>
      <c r="G220" s="46">
        <f t="shared" si="26"/>
        <v>0.43697386478713873</v>
      </c>
      <c r="H220" s="44">
        <f t="shared" si="18"/>
        <v>279396275</v>
      </c>
      <c r="I220" s="44">
        <f>J220-126546091</f>
        <v>43629914</v>
      </c>
      <c r="J220" s="44">
        <v>170176005</v>
      </c>
      <c r="K220" s="46">
        <f t="shared" si="27"/>
        <v>0.4361334000570328</v>
      </c>
      <c r="L220" s="47">
        <f t="shared" si="19"/>
        <v>292986261</v>
      </c>
    </row>
    <row r="221" spans="1:12" ht="15.75">
      <c r="A221" s="24" t="s">
        <v>131</v>
      </c>
      <c r="B221" s="25" t="s">
        <v>269</v>
      </c>
      <c r="C221" s="44">
        <v>100000</v>
      </c>
      <c r="D221" s="44">
        <v>0</v>
      </c>
      <c r="E221" s="44">
        <f>F221-0</f>
        <v>0</v>
      </c>
      <c r="F221" s="44">
        <v>0</v>
      </c>
      <c r="G221" s="46">
        <f t="shared" si="26"/>
        <v>0</v>
      </c>
      <c r="H221" s="44">
        <f t="shared" si="18"/>
        <v>0</v>
      </c>
      <c r="I221" s="44">
        <f aca="true" t="shared" si="28" ref="I221:I227">J221-0</f>
        <v>0</v>
      </c>
      <c r="J221" s="44">
        <v>0</v>
      </c>
      <c r="K221" s="46">
        <f t="shared" si="27"/>
        <v>0</v>
      </c>
      <c r="L221" s="47">
        <f t="shared" si="19"/>
        <v>0</v>
      </c>
    </row>
    <row r="222" spans="1:12" ht="15.75">
      <c r="A222" s="24" t="s">
        <v>135</v>
      </c>
      <c r="B222" s="25" t="s">
        <v>136</v>
      </c>
      <c r="C222" s="44">
        <v>3341553</v>
      </c>
      <c r="D222" s="44">
        <v>0</v>
      </c>
      <c r="E222" s="44">
        <f>F222-0</f>
        <v>0</v>
      </c>
      <c r="F222" s="44">
        <v>0</v>
      </c>
      <c r="G222" s="46">
        <f t="shared" si="26"/>
        <v>0</v>
      </c>
      <c r="H222" s="44">
        <f t="shared" si="18"/>
        <v>0</v>
      </c>
      <c r="I222" s="44">
        <f t="shared" si="28"/>
        <v>0</v>
      </c>
      <c r="J222" s="44">
        <v>0</v>
      </c>
      <c r="K222" s="46">
        <f t="shared" si="27"/>
        <v>0</v>
      </c>
      <c r="L222" s="47">
        <f t="shared" si="19"/>
        <v>0</v>
      </c>
    </row>
    <row r="223" spans="1:12" ht="15.75">
      <c r="A223" s="24" t="s">
        <v>151</v>
      </c>
      <c r="B223" s="25" t="s">
        <v>152</v>
      </c>
      <c r="C223" s="44">
        <v>455257899</v>
      </c>
      <c r="D223" s="44">
        <v>455257899</v>
      </c>
      <c r="E223" s="44">
        <f>F223-144588176</f>
        <v>78679496</v>
      </c>
      <c r="F223" s="44">
        <v>223267672</v>
      </c>
      <c r="G223" s="46">
        <f t="shared" si="26"/>
        <v>0.5309042058596536</v>
      </c>
      <c r="H223" s="44">
        <f t="shared" si="18"/>
        <v>231990227</v>
      </c>
      <c r="I223" s="44">
        <f>J223-143808156</f>
        <v>78187704</v>
      </c>
      <c r="J223" s="44">
        <v>221995860</v>
      </c>
      <c r="K223" s="46">
        <f t="shared" si="27"/>
        <v>0.5689392533358921</v>
      </c>
      <c r="L223" s="47">
        <f t="shared" si="19"/>
        <v>233262039</v>
      </c>
    </row>
    <row r="224" spans="1:12" ht="15.75">
      <c r="A224" s="24" t="s">
        <v>70</v>
      </c>
      <c r="B224" s="25" t="s">
        <v>78</v>
      </c>
      <c r="C224" s="44">
        <v>38549709</v>
      </c>
      <c r="D224" s="44">
        <v>38549709</v>
      </c>
      <c r="E224" s="44">
        <f>F224-0</f>
        <v>0</v>
      </c>
      <c r="F224" s="44">
        <v>0</v>
      </c>
      <c r="G224" s="46">
        <f t="shared" si="26"/>
        <v>0</v>
      </c>
      <c r="H224" s="44">
        <f t="shared" si="18"/>
        <v>38549709</v>
      </c>
      <c r="I224" s="44">
        <f t="shared" si="28"/>
        <v>0</v>
      </c>
      <c r="J224" s="44">
        <v>0</v>
      </c>
      <c r="K224" s="46">
        <f t="shared" si="27"/>
        <v>0</v>
      </c>
      <c r="L224" s="47">
        <f t="shared" si="19"/>
        <v>38549709</v>
      </c>
    </row>
    <row r="225" spans="1:12" ht="15.75">
      <c r="A225" s="24" t="s">
        <v>71</v>
      </c>
      <c r="B225" s="25" t="s">
        <v>79</v>
      </c>
      <c r="C225" s="44">
        <v>141185229</v>
      </c>
      <c r="D225" s="44">
        <v>209139904</v>
      </c>
      <c r="E225" s="44">
        <f>F225-25504005</f>
        <v>47231179</v>
      </c>
      <c r="F225" s="44">
        <v>72735184</v>
      </c>
      <c r="G225" s="46">
        <f t="shared" si="26"/>
        <v>0.1729556937359735</v>
      </c>
      <c r="H225" s="44">
        <f t="shared" si="18"/>
        <v>136404720</v>
      </c>
      <c r="I225" s="44">
        <f>J225-19051770</f>
        <v>11101367</v>
      </c>
      <c r="J225" s="44">
        <v>30153137</v>
      </c>
      <c r="K225" s="46">
        <f t="shared" si="27"/>
        <v>0.07727758189055806</v>
      </c>
      <c r="L225" s="47">
        <f t="shared" si="19"/>
        <v>178986767</v>
      </c>
    </row>
    <row r="226" spans="1:12" ht="15.75">
      <c r="A226" s="24" t="s">
        <v>197</v>
      </c>
      <c r="B226" s="25" t="s">
        <v>198</v>
      </c>
      <c r="C226" s="44">
        <v>386853990</v>
      </c>
      <c r="D226" s="44">
        <v>386853990</v>
      </c>
      <c r="E226" s="44">
        <f>F226-45770542</f>
        <v>-1505303</v>
      </c>
      <c r="F226" s="44">
        <v>44265239</v>
      </c>
      <c r="G226" s="46">
        <f t="shared" si="26"/>
        <v>0.10525752048188491</v>
      </c>
      <c r="H226" s="44">
        <f t="shared" si="18"/>
        <v>342588751</v>
      </c>
      <c r="I226" s="44">
        <f>J226-447967</f>
        <v>27057235</v>
      </c>
      <c r="J226" s="44">
        <v>27505202</v>
      </c>
      <c r="K226" s="46">
        <f t="shared" si="27"/>
        <v>0.07049135550875987</v>
      </c>
      <c r="L226" s="47">
        <f t="shared" si="19"/>
        <v>359348788</v>
      </c>
    </row>
    <row r="227" spans="1:12" ht="15.75">
      <c r="A227" s="24" t="s">
        <v>199</v>
      </c>
      <c r="B227" s="25" t="s">
        <v>200</v>
      </c>
      <c r="C227" s="44">
        <v>6873935</v>
      </c>
      <c r="D227" s="44">
        <v>6873935</v>
      </c>
      <c r="E227" s="44">
        <f>F227-384725</f>
        <v>0</v>
      </c>
      <c r="F227" s="44">
        <v>384725</v>
      </c>
      <c r="G227" s="46">
        <f t="shared" si="26"/>
        <v>0.0009148306997143555</v>
      </c>
      <c r="H227" s="44">
        <f t="shared" si="18"/>
        <v>6489210</v>
      </c>
      <c r="I227" s="44">
        <f t="shared" si="28"/>
        <v>264774</v>
      </c>
      <c r="J227" s="44">
        <v>264774</v>
      </c>
      <c r="K227" s="46">
        <f t="shared" si="27"/>
        <v>0.0006785726628539717</v>
      </c>
      <c r="L227" s="47">
        <f t="shared" si="19"/>
        <v>6609161</v>
      </c>
    </row>
    <row r="228" spans="1:12" ht="15.75">
      <c r="A228" s="24" t="s">
        <v>201</v>
      </c>
      <c r="B228" s="25" t="s">
        <v>202</v>
      </c>
      <c r="C228" s="44">
        <v>38142082</v>
      </c>
      <c r="D228" s="44">
        <v>38042082</v>
      </c>
      <c r="E228" s="44">
        <f>F228-52695</f>
        <v>67621</v>
      </c>
      <c r="F228" s="44">
        <v>120316</v>
      </c>
      <c r="G228" s="46">
        <f t="shared" si="26"/>
        <v>0.0002860972654930987</v>
      </c>
      <c r="H228" s="44">
        <f t="shared" si="18"/>
        <v>37921766</v>
      </c>
      <c r="I228" s="44">
        <f>J228-8849</f>
        <v>73690</v>
      </c>
      <c r="J228" s="44">
        <v>82539</v>
      </c>
      <c r="K228" s="46">
        <f t="shared" si="27"/>
        <v>0.00021153402154027194</v>
      </c>
      <c r="L228" s="47">
        <f t="shared" si="19"/>
        <v>37959543</v>
      </c>
    </row>
    <row r="229" spans="1:12" ht="15.75">
      <c r="A229" s="35" t="s">
        <v>203</v>
      </c>
      <c r="B229" s="27" t="s">
        <v>204</v>
      </c>
      <c r="C229" s="41">
        <f>SUM(C230:C233)</f>
        <v>35377947</v>
      </c>
      <c r="D229" s="41">
        <f>SUM(D230:D233)</f>
        <v>36034525</v>
      </c>
      <c r="E229" s="41">
        <f>SUM(E230:E233)</f>
        <v>5207580</v>
      </c>
      <c r="F229" s="41">
        <f>SUM(F230:F233)</f>
        <v>17521157</v>
      </c>
      <c r="G229" s="42">
        <f t="shared" si="26"/>
        <v>0.04166324600198864</v>
      </c>
      <c r="H229" s="41">
        <f t="shared" si="18"/>
        <v>18513368</v>
      </c>
      <c r="I229" s="41">
        <f>SUM(I230:I233)</f>
        <v>3985638</v>
      </c>
      <c r="J229" s="41">
        <f>SUM(J230:J233)</f>
        <v>15824075</v>
      </c>
      <c r="K229" s="42">
        <f t="shared" si="27"/>
        <v>0.04055452842783265</v>
      </c>
      <c r="L229" s="43">
        <f t="shared" si="19"/>
        <v>20210450</v>
      </c>
    </row>
    <row r="230" spans="1:12" ht="15.75">
      <c r="A230" s="24" t="s">
        <v>28</v>
      </c>
      <c r="B230" s="25" t="s">
        <v>33</v>
      </c>
      <c r="C230" s="44">
        <v>9570000</v>
      </c>
      <c r="D230" s="44">
        <v>12123632</v>
      </c>
      <c r="E230" s="44">
        <f>F230-5450638</f>
        <v>1913220</v>
      </c>
      <c r="F230" s="44">
        <v>7363858</v>
      </c>
      <c r="G230" s="46">
        <f t="shared" si="26"/>
        <v>0.017510386293422976</v>
      </c>
      <c r="H230" s="44">
        <f t="shared" si="18"/>
        <v>4759774</v>
      </c>
      <c r="I230" s="44">
        <f>J230-5277717</f>
        <v>1753922</v>
      </c>
      <c r="J230" s="44">
        <v>7031639</v>
      </c>
      <c r="K230" s="46">
        <f t="shared" si="27"/>
        <v>0.01802094616713816</v>
      </c>
      <c r="L230" s="47">
        <f t="shared" si="19"/>
        <v>5091993</v>
      </c>
    </row>
    <row r="231" spans="1:12" ht="15.75">
      <c r="A231" s="24" t="s">
        <v>205</v>
      </c>
      <c r="B231" s="25" t="s">
        <v>206</v>
      </c>
      <c r="C231" s="44">
        <v>481105</v>
      </c>
      <c r="D231" s="44">
        <v>481105</v>
      </c>
      <c r="E231" s="44">
        <f>F231-0</f>
        <v>0</v>
      </c>
      <c r="F231" s="44">
        <v>0</v>
      </c>
      <c r="G231" s="46">
        <f t="shared" si="26"/>
        <v>0</v>
      </c>
      <c r="H231" s="44">
        <f t="shared" si="18"/>
        <v>481105</v>
      </c>
      <c r="I231" s="44">
        <f>J231-0</f>
        <v>0</v>
      </c>
      <c r="J231" s="44">
        <v>0</v>
      </c>
      <c r="K231" s="46">
        <f t="shared" si="27"/>
        <v>0</v>
      </c>
      <c r="L231" s="47">
        <f t="shared" si="19"/>
        <v>481105</v>
      </c>
    </row>
    <row r="232" spans="1:12" ht="15.75">
      <c r="A232" s="24" t="s">
        <v>207</v>
      </c>
      <c r="B232" s="25" t="s">
        <v>208</v>
      </c>
      <c r="C232" s="44">
        <v>18693818</v>
      </c>
      <c r="D232" s="44">
        <v>15833637</v>
      </c>
      <c r="E232" s="44">
        <f>F232-4282654</f>
        <v>2609319</v>
      </c>
      <c r="F232" s="44">
        <v>6891973</v>
      </c>
      <c r="G232" s="46">
        <f t="shared" si="26"/>
        <v>0.016388299387880816</v>
      </c>
      <c r="H232" s="44">
        <f t="shared" si="18"/>
        <v>8941664</v>
      </c>
      <c r="I232" s="44">
        <f>J232-4042242</f>
        <v>1808302</v>
      </c>
      <c r="J232" s="44">
        <v>5850544</v>
      </c>
      <c r="K232" s="46">
        <f t="shared" si="27"/>
        <v>0.014993991937366686</v>
      </c>
      <c r="L232" s="47">
        <f t="shared" si="19"/>
        <v>9983093</v>
      </c>
    </row>
    <row r="233" spans="1:12" ht="15.75">
      <c r="A233" s="24" t="s">
        <v>209</v>
      </c>
      <c r="B233" s="25" t="s">
        <v>210</v>
      </c>
      <c r="C233" s="44">
        <v>6633024</v>
      </c>
      <c r="D233" s="44">
        <v>7596151</v>
      </c>
      <c r="E233" s="44">
        <f>F233-2580285</f>
        <v>685041</v>
      </c>
      <c r="F233" s="44">
        <v>3265326</v>
      </c>
      <c r="G233" s="46">
        <f t="shared" si="26"/>
        <v>0.007764560320684846</v>
      </c>
      <c r="H233" s="44">
        <f t="shared" si="18"/>
        <v>4330825</v>
      </c>
      <c r="I233" s="44">
        <f>J233-2518478</f>
        <v>423414</v>
      </c>
      <c r="J233" s="44">
        <v>2941892</v>
      </c>
      <c r="K233" s="46">
        <f t="shared" si="27"/>
        <v>0.007539590323327805</v>
      </c>
      <c r="L233" s="47">
        <f aca="true" t="shared" si="29" ref="L233:L329">D233-J233</f>
        <v>4654259</v>
      </c>
    </row>
    <row r="234" spans="1:12" ht="15.75">
      <c r="A234" s="35" t="s">
        <v>211</v>
      </c>
      <c r="B234" s="27" t="s">
        <v>212</v>
      </c>
      <c r="C234" s="41">
        <f>SUM(C235:C239)</f>
        <v>5326556036</v>
      </c>
      <c r="D234" s="41">
        <f>SUM(D235:D239)</f>
        <v>4505171570</v>
      </c>
      <c r="E234" s="41">
        <f>SUM(E235:E239)</f>
        <v>422504496</v>
      </c>
      <c r="F234" s="41">
        <f>SUM(F235:F239)</f>
        <v>1836359269</v>
      </c>
      <c r="G234" s="42">
        <f t="shared" si="26"/>
        <v>4.3666458768892396</v>
      </c>
      <c r="H234" s="41">
        <f t="shared" si="18"/>
        <v>2668812301</v>
      </c>
      <c r="I234" s="41">
        <f>SUM(I235:I239)</f>
        <v>392504493</v>
      </c>
      <c r="J234" s="41">
        <f>SUM(J235:J239)</f>
        <v>1803408979</v>
      </c>
      <c r="K234" s="42">
        <f t="shared" si="27"/>
        <v>4.621843659478621</v>
      </c>
      <c r="L234" s="43">
        <f t="shared" si="29"/>
        <v>2701762591</v>
      </c>
    </row>
    <row r="235" spans="1:12" ht="15.75">
      <c r="A235" s="24" t="s">
        <v>39</v>
      </c>
      <c r="B235" s="25" t="s">
        <v>41</v>
      </c>
      <c r="C235" s="44">
        <v>3284408595</v>
      </c>
      <c r="D235" s="44">
        <v>2531024129</v>
      </c>
      <c r="E235" s="44">
        <f>F235-213856436</f>
        <v>64627313</v>
      </c>
      <c r="F235" s="44">
        <v>278483749</v>
      </c>
      <c r="G235" s="46">
        <f t="shared" si="26"/>
        <v>0.6622015282519903</v>
      </c>
      <c r="H235" s="44">
        <f aca="true" t="shared" si="30" ref="H235:H322">D235-F235</f>
        <v>2252540380</v>
      </c>
      <c r="I235" s="44">
        <f>J235-213856431</f>
        <v>64627314</v>
      </c>
      <c r="J235" s="44">
        <v>278483745</v>
      </c>
      <c r="K235" s="46">
        <f t="shared" si="27"/>
        <v>0.7137085076563273</v>
      </c>
      <c r="L235" s="47">
        <f t="shared" si="29"/>
        <v>2252540384</v>
      </c>
    </row>
    <row r="236" spans="1:12" ht="15.75">
      <c r="A236" s="24" t="s">
        <v>213</v>
      </c>
      <c r="B236" s="25" t="s">
        <v>214</v>
      </c>
      <c r="C236" s="44">
        <v>13127578</v>
      </c>
      <c r="D236" s="44">
        <v>14360295</v>
      </c>
      <c r="E236" s="44">
        <f>F236-6809367.5</f>
        <v>1591611.5</v>
      </c>
      <c r="F236" s="44">
        <v>8400979</v>
      </c>
      <c r="G236" s="46">
        <f t="shared" si="26"/>
        <v>0.019976537778557686</v>
      </c>
      <c r="H236" s="44">
        <f t="shared" si="30"/>
        <v>5959316</v>
      </c>
      <c r="I236" s="44">
        <f>J236-6809368</f>
        <v>1591611</v>
      </c>
      <c r="J236" s="44">
        <v>8400979</v>
      </c>
      <c r="K236" s="46">
        <f t="shared" si="27"/>
        <v>0.02153034168993291</v>
      </c>
      <c r="L236" s="47">
        <f t="shared" si="29"/>
        <v>5959316</v>
      </c>
    </row>
    <row r="237" spans="1:12" ht="15.75">
      <c r="A237" s="24" t="s">
        <v>215</v>
      </c>
      <c r="B237" s="25" t="s">
        <v>216</v>
      </c>
      <c r="C237" s="44">
        <v>800954509</v>
      </c>
      <c r="D237" s="44">
        <v>731721792</v>
      </c>
      <c r="E237" s="44">
        <f>F237-256016667.5</f>
        <v>203940016.5</v>
      </c>
      <c r="F237" s="44">
        <v>459956684</v>
      </c>
      <c r="G237" s="46">
        <f t="shared" si="26"/>
        <v>1.0937227761700299</v>
      </c>
      <c r="H237" s="44">
        <f t="shared" si="30"/>
        <v>271765108</v>
      </c>
      <c r="I237" s="44">
        <f>J237-256016668</f>
        <v>203940016</v>
      </c>
      <c r="J237" s="44">
        <v>459956684</v>
      </c>
      <c r="K237" s="46">
        <f t="shared" si="27"/>
        <v>1.1787941106731128</v>
      </c>
      <c r="L237" s="47">
        <f t="shared" si="29"/>
        <v>271765108</v>
      </c>
    </row>
    <row r="238" spans="1:12" ht="15.75">
      <c r="A238" s="24" t="s">
        <v>217</v>
      </c>
      <c r="B238" s="25" t="s">
        <v>218</v>
      </c>
      <c r="C238" s="44">
        <v>10000</v>
      </c>
      <c r="D238" s="44">
        <v>10000</v>
      </c>
      <c r="E238" s="44">
        <f>F238-0</f>
        <v>0</v>
      </c>
      <c r="F238" s="44">
        <v>0</v>
      </c>
      <c r="G238" s="46">
        <f t="shared" si="26"/>
        <v>0</v>
      </c>
      <c r="H238" s="44">
        <f t="shared" si="30"/>
        <v>10000</v>
      </c>
      <c r="I238" s="44">
        <f>J238-0</f>
        <v>0</v>
      </c>
      <c r="J238" s="44">
        <v>0</v>
      </c>
      <c r="K238" s="46">
        <f t="shared" si="27"/>
        <v>0</v>
      </c>
      <c r="L238" s="47">
        <f t="shared" si="29"/>
        <v>10000</v>
      </c>
    </row>
    <row r="239" spans="1:12" ht="15.75">
      <c r="A239" s="24" t="s">
        <v>219</v>
      </c>
      <c r="B239" s="25" t="s">
        <v>220</v>
      </c>
      <c r="C239" s="44">
        <v>1228055354</v>
      </c>
      <c r="D239" s="44">
        <v>1228055354</v>
      </c>
      <c r="E239" s="44">
        <f>F239-937172302</f>
        <v>152345555</v>
      </c>
      <c r="F239" s="44">
        <v>1089517857</v>
      </c>
      <c r="G239" s="46">
        <f t="shared" si="26"/>
        <v>2.5907450346886614</v>
      </c>
      <c r="H239" s="44">
        <f t="shared" si="30"/>
        <v>138537497</v>
      </c>
      <c r="I239" s="44">
        <f>J239-934222019</f>
        <v>122345552</v>
      </c>
      <c r="J239" s="44">
        <v>1056567571</v>
      </c>
      <c r="K239" s="46">
        <f t="shared" si="27"/>
        <v>2.7078106994592477</v>
      </c>
      <c r="L239" s="47">
        <f t="shared" si="29"/>
        <v>171487783</v>
      </c>
    </row>
    <row r="240" spans="1:12" ht="15.75">
      <c r="A240" s="35" t="s">
        <v>221</v>
      </c>
      <c r="B240" s="27" t="s">
        <v>222</v>
      </c>
      <c r="C240" s="41">
        <f>SUM(C241:C242)</f>
        <v>343800293</v>
      </c>
      <c r="D240" s="41">
        <f>SUM(D241:D242)</f>
        <v>343800293</v>
      </c>
      <c r="E240" s="41">
        <f>SUM(E241:E242)</f>
        <v>0</v>
      </c>
      <c r="F240" s="41">
        <f>SUM(F241:F242)</f>
        <v>0</v>
      </c>
      <c r="G240" s="42">
        <f t="shared" si="26"/>
        <v>0</v>
      </c>
      <c r="H240" s="41">
        <f t="shared" si="30"/>
        <v>343800293</v>
      </c>
      <c r="I240" s="41">
        <f>SUM(I241:I242)</f>
        <v>0</v>
      </c>
      <c r="J240" s="41">
        <f>J241+J242</f>
        <v>0</v>
      </c>
      <c r="K240" s="42">
        <f t="shared" si="27"/>
        <v>0</v>
      </c>
      <c r="L240" s="43">
        <f t="shared" si="29"/>
        <v>343800293</v>
      </c>
    </row>
    <row r="241" spans="1:12" ht="15.75">
      <c r="A241" s="24" t="s">
        <v>246</v>
      </c>
      <c r="B241" s="60" t="s">
        <v>247</v>
      </c>
      <c r="C241" s="44">
        <v>343500293</v>
      </c>
      <c r="D241" s="61">
        <v>343500293</v>
      </c>
      <c r="E241" s="44">
        <f>F241-0</f>
        <v>0</v>
      </c>
      <c r="F241" s="44">
        <v>0</v>
      </c>
      <c r="G241" s="46">
        <f>(F241/$F$244)*100</f>
        <v>0</v>
      </c>
      <c r="H241" s="44">
        <f t="shared" si="30"/>
        <v>343500293</v>
      </c>
      <c r="I241" s="44">
        <f>J241-0</f>
        <v>0</v>
      </c>
      <c r="J241" s="44">
        <v>0</v>
      </c>
      <c r="K241" s="46">
        <f>(J241/$J$244)*100</f>
        <v>0</v>
      </c>
      <c r="L241" s="47">
        <f t="shared" si="29"/>
        <v>343500293</v>
      </c>
    </row>
    <row r="242" spans="1:12" ht="15.75">
      <c r="A242" s="24" t="s">
        <v>223</v>
      </c>
      <c r="B242" s="25" t="s">
        <v>224</v>
      </c>
      <c r="C242" s="44">
        <v>300000</v>
      </c>
      <c r="D242" s="44">
        <v>300000</v>
      </c>
      <c r="E242" s="44">
        <f>F242-0</f>
        <v>0</v>
      </c>
      <c r="F242" s="44">
        <v>0</v>
      </c>
      <c r="G242" s="46">
        <f>(F242/$F$244)*100</f>
        <v>0</v>
      </c>
      <c r="H242" s="44">
        <f t="shared" si="30"/>
        <v>300000</v>
      </c>
      <c r="I242" s="44">
        <f>J242-0</f>
        <v>0</v>
      </c>
      <c r="J242" s="44">
        <v>0</v>
      </c>
      <c r="K242" s="46">
        <f>(J242/$J$244)*100</f>
        <v>0</v>
      </c>
      <c r="L242" s="47">
        <f t="shared" si="29"/>
        <v>300000</v>
      </c>
    </row>
    <row r="243" spans="1:12" ht="15.75">
      <c r="A243" s="35"/>
      <c r="B243" s="27" t="s">
        <v>16</v>
      </c>
      <c r="C243" s="41">
        <f>C274</f>
        <v>5507654646</v>
      </c>
      <c r="D243" s="41">
        <f>D274</f>
        <v>6167299191</v>
      </c>
      <c r="E243" s="41">
        <f>E274</f>
        <v>1520176503</v>
      </c>
      <c r="F243" s="41">
        <f>F274</f>
        <v>4368688941</v>
      </c>
      <c r="G243" s="42">
        <f>(F243/$F$244)*100</f>
        <v>10.388227333106496</v>
      </c>
      <c r="H243" s="41">
        <f>D243-F243</f>
        <v>1798610250</v>
      </c>
      <c r="I243" s="41">
        <f>I274</f>
        <v>1550479885</v>
      </c>
      <c r="J243" s="41">
        <f>J274</f>
        <v>4189746594</v>
      </c>
      <c r="K243" s="42">
        <f>(J243/$J$244)*100</f>
        <v>10.737638525587627</v>
      </c>
      <c r="L243" s="43">
        <f t="shared" si="29"/>
        <v>1977552597</v>
      </c>
    </row>
    <row r="244" spans="1:12" ht="15.75">
      <c r="A244" s="99" t="s">
        <v>225</v>
      </c>
      <c r="B244" s="100"/>
      <c r="C244" s="62">
        <f aca="true" t="shared" si="31" ref="C244:L244">C16+C243</f>
        <v>80373868770</v>
      </c>
      <c r="D244" s="62">
        <f t="shared" si="31"/>
        <v>81775295211</v>
      </c>
      <c r="E244" s="62">
        <f t="shared" si="31"/>
        <v>11035820374</v>
      </c>
      <c r="F244" s="62">
        <f t="shared" si="31"/>
        <v>42054229282</v>
      </c>
      <c r="G244" s="63">
        <f t="shared" si="31"/>
        <v>100</v>
      </c>
      <c r="H244" s="62">
        <f t="shared" si="31"/>
        <v>39721065929</v>
      </c>
      <c r="I244" s="62">
        <f t="shared" si="31"/>
        <v>11080003215</v>
      </c>
      <c r="J244" s="62">
        <f t="shared" si="31"/>
        <v>39019255342</v>
      </c>
      <c r="K244" s="63">
        <f t="shared" si="31"/>
        <v>100</v>
      </c>
      <c r="L244" s="64">
        <f t="shared" si="31"/>
        <v>42756039869</v>
      </c>
    </row>
    <row r="245" spans="1:12" ht="15.75">
      <c r="A245" s="65" t="s">
        <v>265</v>
      </c>
      <c r="B245" s="66"/>
      <c r="C245" s="67"/>
      <c r="D245" s="67"/>
      <c r="E245" s="67"/>
      <c r="F245" s="68"/>
      <c r="G245" s="69"/>
      <c r="H245" s="68"/>
      <c r="I245" s="68"/>
      <c r="J245" s="68"/>
      <c r="K245" s="69"/>
      <c r="L245" s="56" t="s">
        <v>226</v>
      </c>
    </row>
    <row r="246" spans="1:12" ht="15.75">
      <c r="A246" s="65" t="s">
        <v>266</v>
      </c>
      <c r="B246" s="66"/>
      <c r="C246" s="67"/>
      <c r="D246" s="67"/>
      <c r="E246" s="67"/>
      <c r="F246" s="68"/>
      <c r="G246" s="69"/>
      <c r="H246" s="68"/>
      <c r="I246" s="68"/>
      <c r="J246" s="68"/>
      <c r="K246" s="69"/>
      <c r="L246" s="68"/>
    </row>
    <row r="247" spans="1:12" ht="15.75">
      <c r="A247" s="65" t="s">
        <v>263</v>
      </c>
      <c r="B247" s="66"/>
      <c r="C247" s="67"/>
      <c r="D247" s="67"/>
      <c r="E247" s="67"/>
      <c r="F247" s="68"/>
      <c r="G247" s="69"/>
      <c r="H247" s="68"/>
      <c r="I247" s="68"/>
      <c r="J247" s="68"/>
      <c r="K247" s="69"/>
      <c r="L247" s="68"/>
    </row>
    <row r="248" spans="1:12" ht="15.75">
      <c r="A248" s="65" t="s">
        <v>264</v>
      </c>
      <c r="B248" s="66"/>
      <c r="C248" s="67"/>
      <c r="D248" s="67"/>
      <c r="E248" s="67"/>
      <c r="F248" s="68"/>
      <c r="G248" s="69"/>
      <c r="H248" s="68"/>
      <c r="I248" s="68"/>
      <c r="J248" s="68"/>
      <c r="K248" s="69"/>
      <c r="L248" s="68"/>
    </row>
    <row r="249" spans="1:12" ht="15.75">
      <c r="A249" s="65"/>
      <c r="B249" s="66"/>
      <c r="C249" s="77"/>
      <c r="D249" s="67"/>
      <c r="E249" s="67"/>
      <c r="F249" s="68"/>
      <c r="G249" s="69"/>
      <c r="H249" s="68"/>
      <c r="I249" s="68"/>
      <c r="J249" s="68"/>
      <c r="K249" s="69"/>
      <c r="L249" s="68"/>
    </row>
    <row r="250" spans="1:12" ht="15">
      <c r="A250" s="65"/>
      <c r="B250" s="66"/>
      <c r="C250" s="77"/>
      <c r="D250" s="77"/>
      <c r="E250" s="77"/>
      <c r="F250" s="77"/>
      <c r="G250" s="77"/>
      <c r="H250" s="77"/>
      <c r="I250" s="77"/>
      <c r="J250" s="77"/>
      <c r="K250" s="77"/>
      <c r="L250" s="77"/>
    </row>
    <row r="251" spans="1:12" ht="15">
      <c r="A251" s="65"/>
      <c r="B251" s="66"/>
      <c r="C251" s="77"/>
      <c r="D251" s="77"/>
      <c r="E251" s="77"/>
      <c r="F251" s="77"/>
      <c r="G251" s="77"/>
      <c r="H251" s="77"/>
      <c r="I251" s="77"/>
      <c r="J251" s="77"/>
      <c r="K251" s="77"/>
      <c r="L251" s="77"/>
    </row>
    <row r="252" spans="1:12" ht="15">
      <c r="A252" s="65"/>
      <c r="B252" s="66"/>
      <c r="C252" s="77"/>
      <c r="D252" s="77"/>
      <c r="E252" s="77"/>
      <c r="F252" s="77"/>
      <c r="G252" s="77"/>
      <c r="H252" s="77"/>
      <c r="I252" s="77"/>
      <c r="J252" s="77"/>
      <c r="K252" s="77"/>
      <c r="L252" s="77"/>
    </row>
    <row r="253" spans="1:12" ht="15">
      <c r="A253" s="65"/>
      <c r="B253" s="66"/>
      <c r="C253" s="77"/>
      <c r="D253" s="77"/>
      <c r="E253" s="77"/>
      <c r="F253" s="77"/>
      <c r="G253" s="77"/>
      <c r="H253" s="77"/>
      <c r="I253" s="77"/>
      <c r="J253" s="77"/>
      <c r="K253" s="77"/>
      <c r="L253" s="77"/>
    </row>
    <row r="254" spans="1:12" ht="15">
      <c r="A254" s="65"/>
      <c r="B254" s="66"/>
      <c r="C254" s="77"/>
      <c r="D254" s="77"/>
      <c r="E254" s="77"/>
      <c r="F254" s="77"/>
      <c r="G254" s="77"/>
      <c r="H254" s="77"/>
      <c r="I254" s="77"/>
      <c r="J254" s="77"/>
      <c r="K254" s="77"/>
      <c r="L254" s="77"/>
    </row>
    <row r="255" spans="1:12" ht="15.75">
      <c r="A255" s="65"/>
      <c r="B255" s="66"/>
      <c r="C255" s="67"/>
      <c r="D255" s="67"/>
      <c r="E255" s="67"/>
      <c r="F255" s="68"/>
      <c r="G255" s="69"/>
      <c r="H255" s="68"/>
      <c r="I255" s="68"/>
      <c r="J255" s="68"/>
      <c r="K255" s="69"/>
      <c r="L255" s="68"/>
    </row>
    <row r="256" spans="1:12" ht="15.75">
      <c r="A256" s="65"/>
      <c r="B256" s="66"/>
      <c r="C256" s="67"/>
      <c r="D256" s="67"/>
      <c r="E256" s="67"/>
      <c r="F256" s="68"/>
      <c r="G256" s="69"/>
      <c r="H256" s="68"/>
      <c r="I256" s="68"/>
      <c r="J256" s="68"/>
      <c r="K256" s="69"/>
      <c r="L256" s="68"/>
    </row>
    <row r="257" spans="1:12" ht="15.75">
      <c r="A257" s="65"/>
      <c r="B257" s="66"/>
      <c r="C257" s="67"/>
      <c r="D257" s="67"/>
      <c r="E257" s="67"/>
      <c r="F257" s="68"/>
      <c r="G257" s="69"/>
      <c r="H257" s="68"/>
      <c r="I257" s="68"/>
      <c r="J257" s="68"/>
      <c r="K257" s="69"/>
      <c r="L257" s="68"/>
    </row>
    <row r="258" spans="1:12" ht="15.75">
      <c r="A258" s="65"/>
      <c r="B258" s="66"/>
      <c r="C258" s="67"/>
      <c r="D258" s="67"/>
      <c r="E258" s="67"/>
      <c r="F258" s="68"/>
      <c r="G258" s="69"/>
      <c r="H258" s="68"/>
      <c r="I258" s="68"/>
      <c r="J258" s="68"/>
      <c r="K258" s="69"/>
      <c r="L258" s="68"/>
    </row>
    <row r="259" spans="1:12" ht="15.75">
      <c r="A259" s="65"/>
      <c r="B259" s="66"/>
      <c r="C259" s="67"/>
      <c r="D259" s="67"/>
      <c r="E259" s="67"/>
      <c r="F259" s="68"/>
      <c r="G259" s="69"/>
      <c r="H259" s="68"/>
      <c r="I259" s="68"/>
      <c r="J259" s="68"/>
      <c r="K259" s="69"/>
      <c r="L259" s="68"/>
    </row>
    <row r="260" spans="1:12" ht="15.75">
      <c r="A260" s="65"/>
      <c r="B260" s="66"/>
      <c r="C260" s="67"/>
      <c r="D260" s="67"/>
      <c r="E260" s="67"/>
      <c r="F260" s="68"/>
      <c r="G260" s="69"/>
      <c r="H260" s="68"/>
      <c r="I260" s="68"/>
      <c r="J260" s="68"/>
      <c r="K260" s="69"/>
      <c r="L260" s="68"/>
    </row>
    <row r="261" spans="1:12" ht="15.75">
      <c r="A261" s="65"/>
      <c r="B261" s="66"/>
      <c r="C261" s="67"/>
      <c r="D261" s="67"/>
      <c r="E261" s="67"/>
      <c r="F261" s="68"/>
      <c r="G261" s="69"/>
      <c r="H261" s="68"/>
      <c r="I261" s="68"/>
      <c r="J261" s="68"/>
      <c r="K261" s="69"/>
      <c r="L261" s="68"/>
    </row>
    <row r="262" spans="1:12" ht="15.75">
      <c r="A262" s="53"/>
      <c r="B262" s="32"/>
      <c r="C262" s="54"/>
      <c r="D262" s="54"/>
      <c r="E262" s="54"/>
      <c r="F262" s="54"/>
      <c r="G262" s="55"/>
      <c r="H262" s="54"/>
      <c r="I262" s="54"/>
      <c r="J262" s="54"/>
      <c r="K262" s="55"/>
      <c r="L262" s="26" t="s">
        <v>157</v>
      </c>
    </row>
    <row r="263" spans="1:12" ht="15.75">
      <c r="A263" s="92" t="s">
        <v>14</v>
      </c>
      <c r="B263" s="92"/>
      <c r="C263" s="92"/>
      <c r="D263" s="92"/>
      <c r="E263" s="92"/>
      <c r="F263" s="92"/>
      <c r="G263" s="92"/>
      <c r="H263" s="92"/>
      <c r="I263" s="92"/>
      <c r="J263" s="92"/>
      <c r="K263" s="92"/>
      <c r="L263" s="92"/>
    </row>
    <row r="264" spans="1:12" ht="15.75">
      <c r="A264" s="92" t="s">
        <v>0</v>
      </c>
      <c r="B264" s="92"/>
      <c r="C264" s="92"/>
      <c r="D264" s="92"/>
      <c r="E264" s="92"/>
      <c r="F264" s="92"/>
      <c r="G264" s="92"/>
      <c r="H264" s="92"/>
      <c r="I264" s="92"/>
      <c r="J264" s="92"/>
      <c r="K264" s="92"/>
      <c r="L264" s="92"/>
    </row>
    <row r="265" spans="1:12" ht="15.75">
      <c r="A265" s="93" t="s">
        <v>1</v>
      </c>
      <c r="B265" s="93"/>
      <c r="C265" s="93"/>
      <c r="D265" s="93"/>
      <c r="E265" s="93"/>
      <c r="F265" s="93"/>
      <c r="G265" s="93"/>
      <c r="H265" s="93"/>
      <c r="I265" s="93"/>
      <c r="J265" s="93"/>
      <c r="K265" s="93"/>
      <c r="L265" s="93"/>
    </row>
    <row r="266" spans="1:12" ht="15.75">
      <c r="A266" s="92" t="s">
        <v>2</v>
      </c>
      <c r="B266" s="92"/>
      <c r="C266" s="92"/>
      <c r="D266" s="92"/>
      <c r="E266" s="92"/>
      <c r="F266" s="92"/>
      <c r="G266" s="92"/>
      <c r="H266" s="92"/>
      <c r="I266" s="92"/>
      <c r="J266" s="92"/>
      <c r="K266" s="92"/>
      <c r="L266" s="92"/>
    </row>
    <row r="267" spans="1:12" ht="15.75">
      <c r="A267" s="92" t="str">
        <f>A138</f>
        <v>JANEIRO A AGOSTO 2019/BIMESTRE JULHO-AGOSTO</v>
      </c>
      <c r="B267" s="92"/>
      <c r="C267" s="92"/>
      <c r="D267" s="92"/>
      <c r="E267" s="92"/>
      <c r="F267" s="92"/>
      <c r="G267" s="92"/>
      <c r="H267" s="92"/>
      <c r="I267" s="92"/>
      <c r="J267" s="92"/>
      <c r="K267" s="92"/>
      <c r="L267" s="92"/>
    </row>
    <row r="268" spans="1:12" ht="15.75">
      <c r="A268" s="53"/>
      <c r="B268" s="32"/>
      <c r="C268" s="54"/>
      <c r="D268" s="54"/>
      <c r="E268" s="54"/>
      <c r="F268" s="54"/>
      <c r="G268" s="55"/>
      <c r="H268" s="54"/>
      <c r="I268" s="54"/>
      <c r="J268" s="54"/>
      <c r="K268" s="55"/>
      <c r="L268" s="54"/>
    </row>
    <row r="269" spans="1:12" ht="15.75">
      <c r="A269" s="24"/>
      <c r="B269" s="24"/>
      <c r="C269" s="24"/>
      <c r="D269" s="24"/>
      <c r="E269" s="24"/>
      <c r="F269" s="24"/>
      <c r="G269" s="24"/>
      <c r="H269" s="24"/>
      <c r="I269" s="24"/>
      <c r="J269" s="24"/>
      <c r="K269" s="24"/>
      <c r="L269" s="26" t="str">
        <f>L140</f>
        <v>Emissão: 19/09/2019</v>
      </c>
    </row>
    <row r="270" spans="1:12" ht="15.75">
      <c r="A270" s="31" t="s">
        <v>240</v>
      </c>
      <c r="B270" s="29"/>
      <c r="C270" s="32"/>
      <c r="D270" s="29"/>
      <c r="E270" s="29"/>
      <c r="F270" s="33"/>
      <c r="G270" s="33"/>
      <c r="H270" s="33"/>
      <c r="I270" s="29"/>
      <c r="J270" s="29"/>
      <c r="K270" s="26"/>
      <c r="L270" s="34">
        <v>1</v>
      </c>
    </row>
    <row r="271" spans="1:12" ht="15.75">
      <c r="A271" s="11"/>
      <c r="B271" s="12"/>
      <c r="C271" s="13" t="s">
        <v>3</v>
      </c>
      <c r="D271" s="13" t="s">
        <v>3</v>
      </c>
      <c r="E271" s="94" t="s">
        <v>4</v>
      </c>
      <c r="F271" s="95"/>
      <c r="G271" s="96"/>
      <c r="H271" s="13" t="s">
        <v>18</v>
      </c>
      <c r="I271" s="94" t="s">
        <v>5</v>
      </c>
      <c r="J271" s="95"/>
      <c r="K271" s="96"/>
      <c r="L271" s="14" t="s">
        <v>18</v>
      </c>
    </row>
    <row r="272" spans="1:12" ht="15.75">
      <c r="A272" s="15" t="s">
        <v>23</v>
      </c>
      <c r="B272" s="16" t="s">
        <v>272</v>
      </c>
      <c r="C272" s="16" t="s">
        <v>7</v>
      </c>
      <c r="D272" s="16" t="s">
        <v>8</v>
      </c>
      <c r="E272" s="16" t="s">
        <v>9</v>
      </c>
      <c r="F272" s="16" t="s">
        <v>10</v>
      </c>
      <c r="G272" s="16" t="s">
        <v>11</v>
      </c>
      <c r="H272" s="17"/>
      <c r="I272" s="16" t="s">
        <v>9</v>
      </c>
      <c r="J272" s="16" t="s">
        <v>10</v>
      </c>
      <c r="K272" s="16" t="s">
        <v>11</v>
      </c>
      <c r="L272" s="18"/>
    </row>
    <row r="273" spans="1:12" ht="15.75">
      <c r="A273" s="19"/>
      <c r="B273" s="20"/>
      <c r="C273" s="20"/>
      <c r="D273" s="21" t="s">
        <v>12</v>
      </c>
      <c r="E273" s="21"/>
      <c r="F273" s="21" t="s">
        <v>13</v>
      </c>
      <c r="G273" s="21" t="s">
        <v>273</v>
      </c>
      <c r="H273" s="22" t="s">
        <v>19</v>
      </c>
      <c r="I273" s="21"/>
      <c r="J273" s="21" t="s">
        <v>20</v>
      </c>
      <c r="K273" s="21" t="s">
        <v>274</v>
      </c>
      <c r="L273" s="23" t="s">
        <v>22</v>
      </c>
    </row>
    <row r="274" spans="1:12" ht="15.75">
      <c r="A274" s="35"/>
      <c r="B274" s="72" t="s">
        <v>16</v>
      </c>
      <c r="C274" s="80">
        <f>C275+C279+C282+C286+C290+C296+C299+C301+C305+C307+C313+C315+C317+C319+C321+C323+C325+C328+C330+C332+C334+C336+C338+C341</f>
        <v>5507654646</v>
      </c>
      <c r="D274" s="80">
        <f>D275+D279+D282+D286+D290+D296+D299+D301+D305+D307+D313+D315+D317+D319+D321+D323+D325+D328+D330+D332+D334+D336+D338+D341</f>
        <v>6167299191</v>
      </c>
      <c r="E274" s="80">
        <f>E275+E279+E282+E286+E290+E296+E299+E301+E305+E307+E313+E315+E317+E319+E321+E323+E325+E328+E330+E332+E334+E336+E338+E341</f>
        <v>1520176503</v>
      </c>
      <c r="F274" s="80">
        <f>F275+F279+F282+F286+F290+F296+F299+F301+F305+F307+F313+F315+F317+F319+F321+F323+F325+F328+F330+F332+F334+F336+F338+F341</f>
        <v>4368688941</v>
      </c>
      <c r="G274" s="69">
        <f aca="true" t="shared" si="32" ref="G274:G306">(F274/$F$244)*100</f>
        <v>10.388227333106496</v>
      </c>
      <c r="H274" s="80">
        <f>D274-F274</f>
        <v>1798610250</v>
      </c>
      <c r="I274" s="80">
        <f>I275+I279+I282+I286+I290+I296+I299+I301+I305+I307+I313+I315+I317+I319+I321+I323+I325+I328+I330+I332+I334+I336+I338+I341</f>
        <v>1550479885</v>
      </c>
      <c r="J274" s="80">
        <f>J275+J279+J282+J286+J290+J296+J299+J301+J305+J307+J313+J315+J317+J319+J321+J323+J325+J328+J330+J332+J334+J336+J338+J341</f>
        <v>4189746594</v>
      </c>
      <c r="K274" s="81">
        <f aca="true" t="shared" si="33" ref="K274:K306">(J274/$J$244)*100</f>
        <v>10.737638525587627</v>
      </c>
      <c r="L274" s="68">
        <f>D274-J274</f>
        <v>1977552597</v>
      </c>
    </row>
    <row r="275" spans="1:12" ht="15.75">
      <c r="A275" s="35" t="s">
        <v>25</v>
      </c>
      <c r="B275" s="72" t="s">
        <v>24</v>
      </c>
      <c r="C275" s="41">
        <f>SUM(C276:C278)</f>
        <v>151800000</v>
      </c>
      <c r="D275" s="41">
        <f>SUM(D276:D278)</f>
        <v>151800000</v>
      </c>
      <c r="E275" s="41">
        <f>SUM(E276:E278)</f>
        <v>7368779</v>
      </c>
      <c r="F275" s="41">
        <f>SUM(F276:F278)</f>
        <v>110216353</v>
      </c>
      <c r="G275" s="69">
        <f t="shared" si="32"/>
        <v>0.26208149544467974</v>
      </c>
      <c r="H275" s="41">
        <f t="shared" si="30"/>
        <v>41583647</v>
      </c>
      <c r="I275" s="41">
        <f>SUM(I276:I278)</f>
        <v>20193670</v>
      </c>
      <c r="J275" s="41">
        <f>SUM(J276:J278)</f>
        <v>83254346</v>
      </c>
      <c r="K275" s="42">
        <f t="shared" si="33"/>
        <v>0.21336733689631876</v>
      </c>
      <c r="L275" s="68">
        <f t="shared" si="29"/>
        <v>68545654</v>
      </c>
    </row>
    <row r="276" spans="1:12" ht="15.75">
      <c r="A276" s="24" t="s">
        <v>26</v>
      </c>
      <c r="B276" s="60" t="s">
        <v>31</v>
      </c>
      <c r="C276" s="44">
        <v>2000000</v>
      </c>
      <c r="D276" s="44">
        <v>2000000</v>
      </c>
      <c r="E276" s="44">
        <f>F276-410558</f>
        <v>10000</v>
      </c>
      <c r="F276" s="44">
        <v>420558</v>
      </c>
      <c r="G276" s="69">
        <f t="shared" si="32"/>
        <v>0.0010000373498225224</v>
      </c>
      <c r="H276" s="41">
        <f t="shared" si="30"/>
        <v>1579442</v>
      </c>
      <c r="I276" s="44">
        <f>J276-154535</f>
        <v>54254</v>
      </c>
      <c r="J276" s="44">
        <v>208789</v>
      </c>
      <c r="K276" s="42">
        <f t="shared" si="33"/>
        <v>0.0005350922209303704</v>
      </c>
      <c r="L276" s="54">
        <f t="shared" si="29"/>
        <v>1791211</v>
      </c>
    </row>
    <row r="277" spans="1:12" ht="15.75">
      <c r="A277" s="24" t="s">
        <v>28</v>
      </c>
      <c r="B277" s="60" t="s">
        <v>33</v>
      </c>
      <c r="C277" s="44">
        <v>149700000</v>
      </c>
      <c r="D277" s="44">
        <v>149700000</v>
      </c>
      <c r="E277" s="44">
        <f>F277-102437016</f>
        <v>7358779</v>
      </c>
      <c r="F277" s="44">
        <v>109795795</v>
      </c>
      <c r="G277" s="69">
        <f t="shared" si="32"/>
        <v>0.2610814580948572</v>
      </c>
      <c r="H277" s="44">
        <f>D277-F277</f>
        <v>39904205</v>
      </c>
      <c r="I277" s="44">
        <f>J277-62906141</f>
        <v>20139416</v>
      </c>
      <c r="J277" s="44">
        <v>83045557</v>
      </c>
      <c r="K277" s="42">
        <f t="shared" si="33"/>
        <v>0.21283224467538842</v>
      </c>
      <c r="L277" s="54">
        <f>D277-J277</f>
        <v>66654443</v>
      </c>
    </row>
    <row r="278" spans="1:12" ht="15.75">
      <c r="A278" s="24" t="s">
        <v>50</v>
      </c>
      <c r="B278" s="60" t="s">
        <v>57</v>
      </c>
      <c r="C278" s="44">
        <v>100000</v>
      </c>
      <c r="D278" s="44">
        <v>100000</v>
      </c>
      <c r="E278" s="44">
        <f>F278-0</f>
        <v>0</v>
      </c>
      <c r="F278" s="44">
        <v>0</v>
      </c>
      <c r="G278" s="55">
        <f t="shared" si="32"/>
        <v>0</v>
      </c>
      <c r="H278" s="44">
        <f t="shared" si="30"/>
        <v>100000</v>
      </c>
      <c r="I278" s="44">
        <f>J278-0</f>
        <v>0</v>
      </c>
      <c r="J278" s="44">
        <v>0</v>
      </c>
      <c r="K278" s="46">
        <f t="shared" si="33"/>
        <v>0</v>
      </c>
      <c r="L278" s="54">
        <f t="shared" si="29"/>
        <v>100000</v>
      </c>
    </row>
    <row r="279" spans="1:12" ht="15.75">
      <c r="A279" s="35" t="s">
        <v>36</v>
      </c>
      <c r="B279" s="72" t="s">
        <v>37</v>
      </c>
      <c r="C279" s="41">
        <f>SUM(C280:C281)</f>
        <v>577800000</v>
      </c>
      <c r="D279" s="41">
        <f>SUM(D280:D281)</f>
        <v>576300000</v>
      </c>
      <c r="E279" s="41">
        <f>SUM(E280:E281)</f>
        <v>80381788</v>
      </c>
      <c r="F279" s="41">
        <f>SUM(F280:F281)</f>
        <v>336722858</v>
      </c>
      <c r="G279" s="69">
        <f t="shared" si="32"/>
        <v>0.8006872643939374</v>
      </c>
      <c r="H279" s="41">
        <f t="shared" si="30"/>
        <v>239577142</v>
      </c>
      <c r="I279" s="41">
        <f>SUM(I280:I281)</f>
        <v>79534079</v>
      </c>
      <c r="J279" s="41">
        <f>SUM(J280:J281)</f>
        <v>333862613</v>
      </c>
      <c r="K279" s="42">
        <f t="shared" si="33"/>
        <v>0.8556355319283427</v>
      </c>
      <c r="L279" s="68">
        <f t="shared" si="29"/>
        <v>242437387</v>
      </c>
    </row>
    <row r="280" spans="1:12" ht="15.75">
      <c r="A280" s="24" t="s">
        <v>38</v>
      </c>
      <c r="B280" s="60" t="s">
        <v>40</v>
      </c>
      <c r="C280" s="44">
        <v>9300000</v>
      </c>
      <c r="D280" s="44">
        <v>7800000</v>
      </c>
      <c r="E280" s="44">
        <f>F280-4162873</f>
        <v>2741488</v>
      </c>
      <c r="F280" s="44">
        <v>6904361</v>
      </c>
      <c r="G280" s="55">
        <f t="shared" si="32"/>
        <v>0.016417756591618708</v>
      </c>
      <c r="H280" s="44">
        <f t="shared" si="30"/>
        <v>895639</v>
      </c>
      <c r="I280" s="44">
        <f>J280-2150337</f>
        <v>1893779</v>
      </c>
      <c r="J280" s="44">
        <v>4044116</v>
      </c>
      <c r="K280" s="46">
        <f t="shared" si="33"/>
        <v>0.010364411018492573</v>
      </c>
      <c r="L280" s="54">
        <f t="shared" si="29"/>
        <v>3755884</v>
      </c>
    </row>
    <row r="281" spans="1:12" ht="15.75">
      <c r="A281" s="24" t="s">
        <v>28</v>
      </c>
      <c r="B281" s="60" t="s">
        <v>33</v>
      </c>
      <c r="C281" s="44">
        <v>568500000</v>
      </c>
      <c r="D281" s="44">
        <v>568500000</v>
      </c>
      <c r="E281" s="44">
        <f>F281-252178197</f>
        <v>77640300</v>
      </c>
      <c r="F281" s="44">
        <v>329818497</v>
      </c>
      <c r="G281" s="55">
        <f t="shared" si="32"/>
        <v>0.7842695078023187</v>
      </c>
      <c r="H281" s="44">
        <f t="shared" si="30"/>
        <v>238681503</v>
      </c>
      <c r="I281" s="44">
        <f>J281-252178197</f>
        <v>77640300</v>
      </c>
      <c r="J281" s="44">
        <v>329818497</v>
      </c>
      <c r="K281" s="46">
        <f t="shared" si="33"/>
        <v>0.8452711209098502</v>
      </c>
      <c r="L281" s="54">
        <f t="shared" si="29"/>
        <v>238681503</v>
      </c>
    </row>
    <row r="282" spans="1:12" ht="15.75">
      <c r="A282" s="35" t="s">
        <v>42</v>
      </c>
      <c r="B282" s="72" t="s">
        <v>43</v>
      </c>
      <c r="C282" s="41">
        <f>SUM(C283:C285)</f>
        <v>387823273</v>
      </c>
      <c r="D282" s="41">
        <f>SUM(D283:D285)</f>
        <v>392245774</v>
      </c>
      <c r="E282" s="41">
        <f>SUM(E283:E285)</f>
        <v>26758961</v>
      </c>
      <c r="F282" s="41">
        <f>SUM(F283:F285)</f>
        <v>334648402</v>
      </c>
      <c r="G282" s="69">
        <f t="shared" si="32"/>
        <v>0.7957544525568938</v>
      </c>
      <c r="H282" s="41">
        <f>D282-F282</f>
        <v>57597372</v>
      </c>
      <c r="I282" s="41">
        <f>SUM(I283+I284+I285)</f>
        <v>59985182</v>
      </c>
      <c r="J282" s="41">
        <f>SUM(J283+J284+J285)</f>
        <v>227022058</v>
      </c>
      <c r="K282" s="42">
        <f t="shared" si="33"/>
        <v>0.5818205806599167</v>
      </c>
      <c r="L282" s="68">
        <f t="shared" si="29"/>
        <v>165223716</v>
      </c>
    </row>
    <row r="283" spans="1:12" ht="15.75">
      <c r="A283" s="24" t="s">
        <v>229</v>
      </c>
      <c r="B283" s="60" t="s">
        <v>230</v>
      </c>
      <c r="C283" s="44">
        <v>60000</v>
      </c>
      <c r="D283" s="44">
        <v>60000</v>
      </c>
      <c r="E283" s="44">
        <f>F283-28252</f>
        <v>0</v>
      </c>
      <c r="F283" s="44">
        <v>28252</v>
      </c>
      <c r="G283" s="55">
        <f t="shared" si="32"/>
        <v>6.71799257348235E-05</v>
      </c>
      <c r="H283" s="44">
        <f>D283-F283</f>
        <v>31748</v>
      </c>
      <c r="I283" s="44">
        <f>J283-10902</f>
        <v>14126</v>
      </c>
      <c r="J283" s="44">
        <v>25028</v>
      </c>
      <c r="K283" s="46">
        <f t="shared" si="33"/>
        <v>6.414269001453769E-05</v>
      </c>
      <c r="L283" s="54">
        <f t="shared" si="29"/>
        <v>34972</v>
      </c>
    </row>
    <row r="284" spans="1:12" ht="15.75">
      <c r="A284" s="24" t="s">
        <v>28</v>
      </c>
      <c r="B284" s="60" t="s">
        <v>33</v>
      </c>
      <c r="C284" s="44">
        <v>387663273</v>
      </c>
      <c r="D284" s="44">
        <v>391085774</v>
      </c>
      <c r="E284" s="44">
        <f>F284-307861189</f>
        <v>26758961</v>
      </c>
      <c r="F284" s="44">
        <v>334620150</v>
      </c>
      <c r="G284" s="55">
        <f t="shared" si="32"/>
        <v>0.7956872726311589</v>
      </c>
      <c r="H284" s="44">
        <f t="shared" si="30"/>
        <v>56465624</v>
      </c>
      <c r="I284" s="44">
        <f>J284-167025974</f>
        <v>59971056</v>
      </c>
      <c r="J284" s="44">
        <v>226997030</v>
      </c>
      <c r="K284" s="46">
        <f t="shared" si="33"/>
        <v>0.5817564379699022</v>
      </c>
      <c r="L284" s="54">
        <f t="shared" si="29"/>
        <v>164088744</v>
      </c>
    </row>
    <row r="285" spans="1:12" ht="15.75">
      <c r="A285" s="24" t="s">
        <v>29</v>
      </c>
      <c r="B285" s="60" t="s">
        <v>270</v>
      </c>
      <c r="C285" s="44">
        <v>100000</v>
      </c>
      <c r="D285" s="44">
        <v>1100000</v>
      </c>
      <c r="E285" s="44">
        <f>F285-0</f>
        <v>0</v>
      </c>
      <c r="F285" s="44">
        <v>0</v>
      </c>
      <c r="G285" s="55">
        <f t="shared" si="32"/>
        <v>0</v>
      </c>
      <c r="H285" s="44">
        <f t="shared" si="30"/>
        <v>1100000</v>
      </c>
      <c r="I285" s="44">
        <f>J285-0</f>
        <v>0</v>
      </c>
      <c r="J285" s="44">
        <v>0</v>
      </c>
      <c r="K285" s="46">
        <f t="shared" si="33"/>
        <v>0</v>
      </c>
      <c r="L285" s="54">
        <f t="shared" si="29"/>
        <v>1100000</v>
      </c>
    </row>
    <row r="286" spans="1:12" ht="15.75">
      <c r="A286" s="35" t="s">
        <v>46</v>
      </c>
      <c r="B286" s="72" t="s">
        <v>47</v>
      </c>
      <c r="C286" s="41">
        <f>SUM(C287:C289)</f>
        <v>135464454</v>
      </c>
      <c r="D286" s="41">
        <f>SUM(D287:D289)</f>
        <v>140503338</v>
      </c>
      <c r="E286" s="41">
        <f>SUM(E287:E289)</f>
        <v>25127566</v>
      </c>
      <c r="F286" s="41">
        <f>SUM(F287:F289)</f>
        <v>96668424</v>
      </c>
      <c r="G286" s="69">
        <f t="shared" si="32"/>
        <v>0.22986611727390735</v>
      </c>
      <c r="H286" s="41">
        <f t="shared" si="30"/>
        <v>43834914</v>
      </c>
      <c r="I286" s="41">
        <f>SUM(I287:I289)</f>
        <v>22250335</v>
      </c>
      <c r="J286" s="41">
        <f>SUM(J287:J289)</f>
        <v>88869875</v>
      </c>
      <c r="K286" s="42">
        <f t="shared" si="33"/>
        <v>0.22775902364374753</v>
      </c>
      <c r="L286" s="68">
        <f t="shared" si="29"/>
        <v>51633463</v>
      </c>
    </row>
    <row r="287" spans="1:12" ht="15.75">
      <c r="A287" s="24" t="s">
        <v>28</v>
      </c>
      <c r="B287" s="60" t="s">
        <v>33</v>
      </c>
      <c r="C287" s="44">
        <v>135464454</v>
      </c>
      <c r="D287" s="44">
        <v>140499098</v>
      </c>
      <c r="E287" s="44">
        <f>F287-71537023</f>
        <v>25127566</v>
      </c>
      <c r="F287" s="44">
        <v>96664589</v>
      </c>
      <c r="G287" s="55">
        <f t="shared" si="32"/>
        <v>0.2298569980959662</v>
      </c>
      <c r="H287" s="44">
        <f t="shared" si="30"/>
        <v>43834509</v>
      </c>
      <c r="I287" s="44">
        <f>J287-66618480</f>
        <v>22250335</v>
      </c>
      <c r="J287" s="44">
        <v>88868815</v>
      </c>
      <c r="K287" s="46">
        <f t="shared" si="33"/>
        <v>0.22775630703629127</v>
      </c>
      <c r="L287" s="54">
        <f t="shared" si="29"/>
        <v>51630283</v>
      </c>
    </row>
    <row r="288" spans="1:12" ht="15.75">
      <c r="A288" s="24" t="s">
        <v>39</v>
      </c>
      <c r="B288" s="60" t="s">
        <v>41</v>
      </c>
      <c r="C288" s="44">
        <v>0</v>
      </c>
      <c r="D288" s="44">
        <v>3835</v>
      </c>
      <c r="E288" s="44">
        <f>F288-3835</f>
        <v>0</v>
      </c>
      <c r="F288" s="44">
        <v>3835</v>
      </c>
      <c r="G288" s="55">
        <f t="shared" si="32"/>
        <v>9.119177941138615E-06</v>
      </c>
      <c r="H288" s="44">
        <f t="shared" si="30"/>
        <v>0</v>
      </c>
      <c r="I288" s="44">
        <f>J288-1060</f>
        <v>0</v>
      </c>
      <c r="J288" s="44">
        <v>1060</v>
      </c>
      <c r="K288" s="46">
        <f t="shared" si="33"/>
        <v>2.7166074562653813E-06</v>
      </c>
      <c r="L288" s="54">
        <f t="shared" si="29"/>
        <v>2775</v>
      </c>
    </row>
    <row r="289" spans="1:12" ht="15.75">
      <c r="A289" s="24" t="s">
        <v>53</v>
      </c>
      <c r="B289" s="60" t="s">
        <v>60</v>
      </c>
      <c r="C289" s="44">
        <v>0</v>
      </c>
      <c r="D289" s="44">
        <v>405</v>
      </c>
      <c r="E289" s="44">
        <f>F289-0</f>
        <v>0</v>
      </c>
      <c r="F289" s="44">
        <v>0</v>
      </c>
      <c r="G289" s="55">
        <f t="shared" si="32"/>
        <v>0</v>
      </c>
      <c r="H289" s="44">
        <f t="shared" si="30"/>
        <v>405</v>
      </c>
      <c r="I289" s="44">
        <f>J289-0</f>
        <v>0</v>
      </c>
      <c r="J289" s="44">
        <v>0</v>
      </c>
      <c r="K289" s="46">
        <f t="shared" si="33"/>
        <v>0</v>
      </c>
      <c r="L289" s="54">
        <f t="shared" si="29"/>
        <v>405</v>
      </c>
    </row>
    <row r="290" spans="1:12" ht="15.75">
      <c r="A290" s="35" t="s">
        <v>63</v>
      </c>
      <c r="B290" s="72" t="s">
        <v>62</v>
      </c>
      <c r="C290" s="41">
        <f>SUM(C291:C295)</f>
        <v>1856647143</v>
      </c>
      <c r="D290" s="41">
        <f>SUM(D291:D295)</f>
        <v>1854962149</v>
      </c>
      <c r="E290" s="41">
        <f>SUM(E291:E295)</f>
        <v>287078871</v>
      </c>
      <c r="F290" s="41">
        <f>SUM(F291:F295)</f>
        <v>1186600844</v>
      </c>
      <c r="G290" s="69">
        <f t="shared" si="32"/>
        <v>2.8215969339090643</v>
      </c>
      <c r="H290" s="41">
        <f t="shared" si="30"/>
        <v>668361305</v>
      </c>
      <c r="I290" s="41">
        <f>SUM(I291:I295)</f>
        <v>286904503</v>
      </c>
      <c r="J290" s="41">
        <f>SUM(J291:J295)</f>
        <v>1183805109</v>
      </c>
      <c r="K290" s="42">
        <f t="shared" si="33"/>
        <v>3.033899797994766</v>
      </c>
      <c r="L290" s="68">
        <f t="shared" si="29"/>
        <v>671157040</v>
      </c>
    </row>
    <row r="291" spans="1:12" ht="15.75">
      <c r="A291" s="24" t="s">
        <v>28</v>
      </c>
      <c r="B291" s="60" t="s">
        <v>33</v>
      </c>
      <c r="C291" s="44">
        <v>1763567363</v>
      </c>
      <c r="D291" s="44">
        <v>1754166309</v>
      </c>
      <c r="E291" s="44">
        <f>F291-835465386</f>
        <v>273419311</v>
      </c>
      <c r="F291" s="44">
        <v>1108884697</v>
      </c>
      <c r="G291" s="55">
        <f t="shared" si="32"/>
        <v>2.636797097300802</v>
      </c>
      <c r="H291" s="44">
        <f t="shared" si="30"/>
        <v>645281612</v>
      </c>
      <c r="I291" s="44">
        <f>J291-832966437</f>
        <v>273417257</v>
      </c>
      <c r="J291" s="44">
        <v>1106383694</v>
      </c>
      <c r="K291" s="46">
        <f t="shared" si="33"/>
        <v>2.8354813137838075</v>
      </c>
      <c r="L291" s="54">
        <f t="shared" si="29"/>
        <v>647782615</v>
      </c>
    </row>
    <row r="292" spans="1:12" ht="15.75">
      <c r="A292" s="24" t="s">
        <v>49</v>
      </c>
      <c r="B292" s="60" t="s">
        <v>56</v>
      </c>
      <c r="C292" s="44">
        <v>89079780</v>
      </c>
      <c r="D292" s="44">
        <v>96794780</v>
      </c>
      <c r="E292" s="44">
        <f>F292-63245178</f>
        <v>13070739</v>
      </c>
      <c r="F292" s="44">
        <v>76315917</v>
      </c>
      <c r="G292" s="55">
        <f t="shared" si="32"/>
        <v>0.1814702547233808</v>
      </c>
      <c r="H292" s="44">
        <f t="shared" si="30"/>
        <v>20478863</v>
      </c>
      <c r="I292" s="44">
        <f>J292-63220873</f>
        <v>13077273</v>
      </c>
      <c r="J292" s="44">
        <v>76298146</v>
      </c>
      <c r="K292" s="46">
        <f t="shared" si="33"/>
        <v>0.19553972860643837</v>
      </c>
      <c r="L292" s="54">
        <f t="shared" si="29"/>
        <v>20496634</v>
      </c>
    </row>
    <row r="293" spans="1:12" ht="15.75">
      <c r="A293" s="24" t="s">
        <v>64</v>
      </c>
      <c r="B293" s="60" t="s">
        <v>72</v>
      </c>
      <c r="C293" s="44">
        <v>0</v>
      </c>
      <c r="D293" s="44">
        <v>1060</v>
      </c>
      <c r="E293" s="44">
        <f>F293-1060</f>
        <v>0</v>
      </c>
      <c r="F293" s="44">
        <v>1060</v>
      </c>
      <c r="G293" s="55">
        <f t="shared" si="32"/>
        <v>2.52055505022345E-06</v>
      </c>
      <c r="H293" s="44">
        <f t="shared" si="30"/>
        <v>0</v>
      </c>
      <c r="I293" s="44">
        <f>J293-0</f>
        <v>795</v>
      </c>
      <c r="J293" s="44">
        <v>795</v>
      </c>
      <c r="K293" s="46">
        <f t="shared" si="33"/>
        <v>2.0374555921990356E-06</v>
      </c>
      <c r="L293" s="54">
        <f t="shared" si="29"/>
        <v>265</v>
      </c>
    </row>
    <row r="294" spans="1:12" ht="15.75">
      <c r="A294" s="24" t="s">
        <v>65</v>
      </c>
      <c r="B294" s="60" t="s">
        <v>73</v>
      </c>
      <c r="C294" s="44">
        <v>4000000</v>
      </c>
      <c r="D294" s="44">
        <v>4000000</v>
      </c>
      <c r="E294" s="44">
        <f>F294-810349</f>
        <v>588821</v>
      </c>
      <c r="F294" s="44">
        <v>1399170</v>
      </c>
      <c r="G294" s="55">
        <f t="shared" si="32"/>
        <v>0.0033270613298312687</v>
      </c>
      <c r="H294" s="44">
        <f t="shared" si="30"/>
        <v>2600830</v>
      </c>
      <c r="I294" s="44">
        <f>J294-713296</f>
        <v>409178</v>
      </c>
      <c r="J294" s="44">
        <v>1122474</v>
      </c>
      <c r="K294" s="46">
        <f t="shared" si="33"/>
        <v>0.0028767181489283275</v>
      </c>
      <c r="L294" s="54">
        <f t="shared" si="29"/>
        <v>2877526</v>
      </c>
    </row>
    <row r="295" spans="1:12" ht="15.75">
      <c r="A295" s="24" t="s">
        <v>53</v>
      </c>
      <c r="B295" s="60" t="s">
        <v>60</v>
      </c>
      <c r="C295" s="44">
        <v>0</v>
      </c>
      <c r="D295" s="44">
        <v>0</v>
      </c>
      <c r="E295" s="44">
        <f>F295-0</f>
        <v>0</v>
      </c>
      <c r="F295" s="44">
        <v>0</v>
      </c>
      <c r="G295" s="55">
        <f t="shared" si="32"/>
        <v>0</v>
      </c>
      <c r="H295" s="44">
        <f t="shared" si="30"/>
        <v>0</v>
      </c>
      <c r="I295" s="44">
        <f>J295-0</f>
        <v>0</v>
      </c>
      <c r="J295" s="44">
        <v>0</v>
      </c>
      <c r="K295" s="46">
        <f t="shared" si="33"/>
        <v>0</v>
      </c>
      <c r="L295" s="54">
        <f t="shared" si="29"/>
        <v>0</v>
      </c>
    </row>
    <row r="296" spans="1:12" ht="15.75">
      <c r="A296" s="35" t="s">
        <v>81</v>
      </c>
      <c r="B296" s="72" t="s">
        <v>80</v>
      </c>
      <c r="C296" s="41">
        <f>SUM(C297:C298)</f>
        <v>7874928</v>
      </c>
      <c r="D296" s="41">
        <f>SUM(D297:D298)</f>
        <v>7895460</v>
      </c>
      <c r="E296" s="41">
        <f>SUM(E297:E298)</f>
        <v>630827</v>
      </c>
      <c r="F296" s="41">
        <f>SUM(F297:F298)</f>
        <v>4141698</v>
      </c>
      <c r="G296" s="69">
        <f t="shared" si="32"/>
        <v>0.009848469632453173</v>
      </c>
      <c r="H296" s="41">
        <f t="shared" si="30"/>
        <v>3753762</v>
      </c>
      <c r="I296" s="41">
        <f>SUM(I297:I298)</f>
        <v>1008599</v>
      </c>
      <c r="J296" s="41">
        <f>SUM(J297:J298)</f>
        <v>4007216</v>
      </c>
      <c r="K296" s="42">
        <f t="shared" si="33"/>
        <v>0.010269842324967863</v>
      </c>
      <c r="L296" s="68">
        <f t="shared" si="29"/>
        <v>3888244</v>
      </c>
    </row>
    <row r="297" spans="1:12" ht="15.75">
      <c r="A297" s="24" t="s">
        <v>28</v>
      </c>
      <c r="B297" s="60" t="s">
        <v>33</v>
      </c>
      <c r="C297" s="44">
        <v>7124928</v>
      </c>
      <c r="D297" s="44">
        <v>7145460</v>
      </c>
      <c r="E297" s="44">
        <f>F297-3216382</f>
        <v>630827</v>
      </c>
      <c r="F297" s="44">
        <v>3847209</v>
      </c>
      <c r="G297" s="55">
        <f t="shared" si="32"/>
        <v>0.00914820950397652</v>
      </c>
      <c r="H297" s="44">
        <f t="shared" si="30"/>
        <v>3298251</v>
      </c>
      <c r="I297" s="44">
        <f>J297-2817917</f>
        <v>934975</v>
      </c>
      <c r="J297" s="44">
        <v>3752892</v>
      </c>
      <c r="K297" s="46">
        <f t="shared" si="33"/>
        <v>0.009618051311093112</v>
      </c>
      <c r="L297" s="54">
        <f t="shared" si="29"/>
        <v>3392568</v>
      </c>
    </row>
    <row r="298" spans="1:12" ht="15.75">
      <c r="A298" s="24" t="s">
        <v>83</v>
      </c>
      <c r="B298" s="60" t="s">
        <v>271</v>
      </c>
      <c r="C298" s="44">
        <v>750000</v>
      </c>
      <c r="D298" s="44">
        <v>750000</v>
      </c>
      <c r="E298" s="44">
        <f>F298-294489</f>
        <v>0</v>
      </c>
      <c r="F298" s="44">
        <v>294489</v>
      </c>
      <c r="G298" s="55">
        <f t="shared" si="32"/>
        <v>0.0007002601284766543</v>
      </c>
      <c r="H298" s="44">
        <f t="shared" si="30"/>
        <v>455511</v>
      </c>
      <c r="I298" s="44">
        <f>J298-180700</f>
        <v>73624</v>
      </c>
      <c r="J298" s="44">
        <v>254324</v>
      </c>
      <c r="K298" s="46">
        <f t="shared" si="33"/>
        <v>0.0006517910138747517</v>
      </c>
      <c r="L298" s="54">
        <f t="shared" si="29"/>
        <v>495676</v>
      </c>
    </row>
    <row r="299" spans="1:12" ht="15.75">
      <c r="A299" s="35" t="s">
        <v>87</v>
      </c>
      <c r="B299" s="72" t="s">
        <v>86</v>
      </c>
      <c r="C299" s="41">
        <f>C300</f>
        <v>182083740</v>
      </c>
      <c r="D299" s="41">
        <f>D300</f>
        <v>182083740</v>
      </c>
      <c r="E299" s="41">
        <f>E300</f>
        <v>-5903421</v>
      </c>
      <c r="F299" s="41">
        <f>F300</f>
        <v>140427535</v>
      </c>
      <c r="G299" s="69">
        <f t="shared" si="32"/>
        <v>0.3339201250327173</v>
      </c>
      <c r="H299" s="41">
        <f t="shared" si="30"/>
        <v>41656205</v>
      </c>
      <c r="I299" s="41">
        <f>I300</f>
        <v>-5900746</v>
      </c>
      <c r="J299" s="41">
        <f>J300</f>
        <v>139563033</v>
      </c>
      <c r="K299" s="42">
        <f t="shared" si="33"/>
        <v>0.3576773359120862</v>
      </c>
      <c r="L299" s="68">
        <f t="shared" si="29"/>
        <v>42520707</v>
      </c>
    </row>
    <row r="300" spans="1:12" ht="15.75">
      <c r="A300" s="24" t="s">
        <v>28</v>
      </c>
      <c r="B300" s="60" t="s">
        <v>33</v>
      </c>
      <c r="C300" s="44">
        <v>182083740</v>
      </c>
      <c r="D300" s="44">
        <v>182083740</v>
      </c>
      <c r="E300" s="44">
        <f>F300-146330956</f>
        <v>-5903421</v>
      </c>
      <c r="F300" s="44">
        <v>140427535</v>
      </c>
      <c r="G300" s="55">
        <f t="shared" si="32"/>
        <v>0.3339201250327173</v>
      </c>
      <c r="H300" s="44">
        <f t="shared" si="30"/>
        <v>41656205</v>
      </c>
      <c r="I300" s="44">
        <f>J300-145463779</f>
        <v>-5900746</v>
      </c>
      <c r="J300" s="44">
        <v>139563033</v>
      </c>
      <c r="K300" s="46">
        <f t="shared" si="33"/>
        <v>0.3576773359120862</v>
      </c>
      <c r="L300" s="54">
        <f t="shared" si="29"/>
        <v>42520707</v>
      </c>
    </row>
    <row r="301" spans="1:12" ht="15.75">
      <c r="A301" s="35" t="s">
        <v>90</v>
      </c>
      <c r="B301" s="72" t="s">
        <v>91</v>
      </c>
      <c r="C301" s="41">
        <f>SUM(C302:C304)</f>
        <v>814177729</v>
      </c>
      <c r="D301" s="41">
        <f>SUM(D302:D304)</f>
        <v>715476624</v>
      </c>
      <c r="E301" s="41">
        <f>SUM(E302:E304)</f>
        <v>82905530</v>
      </c>
      <c r="F301" s="41">
        <f>SUM(F302:F304)</f>
        <v>341303503</v>
      </c>
      <c r="G301" s="69">
        <f t="shared" si="32"/>
        <v>0.8115794982505703</v>
      </c>
      <c r="H301" s="41">
        <f>D301-F301</f>
        <v>374173121</v>
      </c>
      <c r="I301" s="41">
        <f>SUM(I302:I304)</f>
        <v>82148142</v>
      </c>
      <c r="J301" s="41">
        <f>SUM(J302:J304)</f>
        <v>338363618</v>
      </c>
      <c r="K301" s="42">
        <f t="shared" si="33"/>
        <v>0.8671708750827652</v>
      </c>
      <c r="L301" s="68">
        <f>D301-J301</f>
        <v>377113006</v>
      </c>
    </row>
    <row r="302" spans="1:12" ht="15.75">
      <c r="A302" s="24" t="s">
        <v>28</v>
      </c>
      <c r="B302" s="60" t="s">
        <v>33</v>
      </c>
      <c r="C302" s="44">
        <v>79606189</v>
      </c>
      <c r="D302" s="44">
        <v>79667514</v>
      </c>
      <c r="E302" s="44">
        <f>F302-29995640</f>
        <v>10106905</v>
      </c>
      <c r="F302" s="44">
        <v>40102545</v>
      </c>
      <c r="G302" s="55">
        <f t="shared" si="32"/>
        <v>0.09535912483638036</v>
      </c>
      <c r="H302" s="44">
        <f t="shared" si="30"/>
        <v>39564969</v>
      </c>
      <c r="I302" s="44">
        <f>J302-27813143</f>
        <v>9349517</v>
      </c>
      <c r="J302" s="44">
        <v>37162660</v>
      </c>
      <c r="K302" s="46">
        <f t="shared" si="33"/>
        <v>0.09524184834967474</v>
      </c>
      <c r="L302" s="54">
        <f t="shared" si="29"/>
        <v>42504854</v>
      </c>
    </row>
    <row r="303" spans="1:12" ht="15.75">
      <c r="A303" s="24" t="s">
        <v>65</v>
      </c>
      <c r="B303" s="60" t="s">
        <v>73</v>
      </c>
      <c r="C303" s="44">
        <v>0</v>
      </c>
      <c r="D303" s="44">
        <v>0</v>
      </c>
      <c r="E303" s="44">
        <f>F303-0</f>
        <v>0</v>
      </c>
      <c r="F303" s="44">
        <v>0</v>
      </c>
      <c r="G303" s="55">
        <f t="shared" si="32"/>
        <v>0</v>
      </c>
      <c r="H303" s="44">
        <f>D303-F303</f>
        <v>0</v>
      </c>
      <c r="I303" s="44">
        <f>J303-0</f>
        <v>0</v>
      </c>
      <c r="J303" s="44">
        <v>0</v>
      </c>
      <c r="K303" s="46">
        <f t="shared" si="33"/>
        <v>0</v>
      </c>
      <c r="L303" s="54">
        <f>D303-J303</f>
        <v>0</v>
      </c>
    </row>
    <row r="304" spans="1:12" ht="15.75">
      <c r="A304" s="24" t="s">
        <v>67</v>
      </c>
      <c r="B304" s="60" t="s">
        <v>75</v>
      </c>
      <c r="C304" s="44">
        <v>734571540</v>
      </c>
      <c r="D304" s="44">
        <v>635809110</v>
      </c>
      <c r="E304" s="44">
        <f>F304-228402333</f>
        <v>72798625</v>
      </c>
      <c r="F304" s="44">
        <v>301200958</v>
      </c>
      <c r="G304" s="55">
        <f t="shared" si="32"/>
        <v>0.7162203734141899</v>
      </c>
      <c r="H304" s="44">
        <f t="shared" si="30"/>
        <v>334608152</v>
      </c>
      <c r="I304" s="44">
        <f>J304-228402333</f>
        <v>72798625</v>
      </c>
      <c r="J304" s="44">
        <v>301200958</v>
      </c>
      <c r="K304" s="46">
        <f t="shared" si="33"/>
        <v>0.7719290267330904</v>
      </c>
      <c r="L304" s="54">
        <f t="shared" si="29"/>
        <v>334608152</v>
      </c>
    </row>
    <row r="305" spans="1:12" ht="15.75">
      <c r="A305" s="35" t="s">
        <v>104</v>
      </c>
      <c r="B305" s="72" t="s">
        <v>103</v>
      </c>
      <c r="C305" s="41">
        <f>C306</f>
        <v>468705</v>
      </c>
      <c r="D305" s="41">
        <f>D306</f>
        <v>1357885</v>
      </c>
      <c r="E305" s="41">
        <f>E306</f>
        <v>117807</v>
      </c>
      <c r="F305" s="41">
        <f>F306</f>
        <v>356588</v>
      </c>
      <c r="G305" s="69">
        <f t="shared" si="32"/>
        <v>0.0008479242304236601</v>
      </c>
      <c r="H305" s="41">
        <f t="shared" si="30"/>
        <v>1001297</v>
      </c>
      <c r="I305" s="41">
        <f>I306</f>
        <v>86058</v>
      </c>
      <c r="J305" s="41">
        <f>J306</f>
        <v>318697</v>
      </c>
      <c r="K305" s="42">
        <f t="shared" si="33"/>
        <v>0.00081676853442397</v>
      </c>
      <c r="L305" s="68">
        <f t="shared" si="29"/>
        <v>1039188</v>
      </c>
    </row>
    <row r="306" spans="1:12" ht="15.75">
      <c r="A306" s="24" t="s">
        <v>28</v>
      </c>
      <c r="B306" s="60" t="s">
        <v>33</v>
      </c>
      <c r="C306" s="44">
        <v>468705</v>
      </c>
      <c r="D306" s="44">
        <v>1357885</v>
      </c>
      <c r="E306" s="44">
        <f>F306-238781</f>
        <v>117807</v>
      </c>
      <c r="F306" s="44">
        <v>356588</v>
      </c>
      <c r="G306" s="55">
        <f t="shared" si="32"/>
        <v>0.0008479242304236601</v>
      </c>
      <c r="H306" s="44">
        <f t="shared" si="30"/>
        <v>1001297</v>
      </c>
      <c r="I306" s="44">
        <f>J306-232639</f>
        <v>86058</v>
      </c>
      <c r="J306" s="44">
        <v>318697</v>
      </c>
      <c r="K306" s="46">
        <f t="shared" si="33"/>
        <v>0.00081676853442397</v>
      </c>
      <c r="L306" s="54">
        <f t="shared" si="29"/>
        <v>1039188</v>
      </c>
    </row>
    <row r="307" spans="1:12" ht="15.75">
      <c r="A307" s="35" t="s">
        <v>109</v>
      </c>
      <c r="B307" s="72" t="s">
        <v>110</v>
      </c>
      <c r="C307" s="41">
        <f>SUM(C308:C312)</f>
        <v>809326027</v>
      </c>
      <c r="D307" s="41">
        <f>SUM(D308:D312)</f>
        <v>843222859</v>
      </c>
      <c r="E307" s="41">
        <f>SUM(E308:E312)</f>
        <v>133749922</v>
      </c>
      <c r="F307" s="41">
        <f>SUM(F308:F312)</f>
        <v>561824081</v>
      </c>
      <c r="G307" s="69">
        <f aca="true" t="shared" si="34" ref="G307:G341">(F307/$F$244)*100</f>
        <v>1.335951438397829</v>
      </c>
      <c r="H307" s="41">
        <f t="shared" si="30"/>
        <v>281398778</v>
      </c>
      <c r="I307" s="41">
        <f>SUM(I308:I312)</f>
        <v>137521846</v>
      </c>
      <c r="J307" s="41">
        <f>SUM(J308:J312)</f>
        <v>550996000</v>
      </c>
      <c r="K307" s="42">
        <f aca="true" t="shared" si="35" ref="K307:K341">(J307/$J$244)*100</f>
        <v>1.4121130584645283</v>
      </c>
      <c r="L307" s="68">
        <f t="shared" si="29"/>
        <v>292226859</v>
      </c>
    </row>
    <row r="308" spans="1:12" ht="15.75">
      <c r="A308" s="24" t="s">
        <v>28</v>
      </c>
      <c r="B308" s="60" t="s">
        <v>33</v>
      </c>
      <c r="C308" s="44">
        <v>322747834</v>
      </c>
      <c r="D308" s="44">
        <v>356643606</v>
      </c>
      <c r="E308" s="44">
        <f>F308-205433939</f>
        <v>46806064</v>
      </c>
      <c r="F308" s="44">
        <v>252240003</v>
      </c>
      <c r="G308" s="55">
        <f t="shared" si="34"/>
        <v>0.5997969938019134</v>
      </c>
      <c r="H308" s="44">
        <f t="shared" si="30"/>
        <v>104403603</v>
      </c>
      <c r="I308" s="44">
        <f>J308-190838282</f>
        <v>50573640</v>
      </c>
      <c r="J308" s="44">
        <v>241411922</v>
      </c>
      <c r="K308" s="46">
        <f t="shared" si="35"/>
        <v>0.6186994597514685</v>
      </c>
      <c r="L308" s="54">
        <f t="shared" si="29"/>
        <v>115231684</v>
      </c>
    </row>
    <row r="309" spans="1:12" ht="15.75">
      <c r="A309" s="24" t="s">
        <v>82</v>
      </c>
      <c r="B309" s="60" t="s">
        <v>84</v>
      </c>
      <c r="C309" s="44">
        <v>30000</v>
      </c>
      <c r="D309" s="44">
        <v>26713</v>
      </c>
      <c r="E309" s="44">
        <f>F309-0</f>
        <v>0</v>
      </c>
      <c r="F309" s="44">
        <v>0</v>
      </c>
      <c r="G309" s="55">
        <f t="shared" si="34"/>
        <v>0</v>
      </c>
      <c r="H309" s="44">
        <f>D309-F309</f>
        <v>26713</v>
      </c>
      <c r="I309" s="44">
        <f>J309-0</f>
        <v>0</v>
      </c>
      <c r="J309" s="44">
        <v>0</v>
      </c>
      <c r="K309" s="46">
        <f t="shared" si="35"/>
        <v>0</v>
      </c>
      <c r="L309" s="54">
        <f>D309-J309</f>
        <v>26713</v>
      </c>
    </row>
    <row r="310" spans="1:12" ht="15.75">
      <c r="A310" s="24" t="s">
        <v>111</v>
      </c>
      <c r="B310" s="60" t="s">
        <v>118</v>
      </c>
      <c r="C310" s="44">
        <v>135953161</v>
      </c>
      <c r="D310" s="44">
        <v>135953161</v>
      </c>
      <c r="E310" s="44">
        <f>F310-80189052</f>
        <v>16318128</v>
      </c>
      <c r="F310" s="44">
        <v>96507180</v>
      </c>
      <c r="G310" s="55">
        <f t="shared" si="34"/>
        <v>0.22948269804889013</v>
      </c>
      <c r="H310" s="44">
        <f>D310-F310</f>
        <v>39445981</v>
      </c>
      <c r="I310" s="44">
        <f>J310-80189051</f>
        <v>16318129</v>
      </c>
      <c r="J310" s="44">
        <v>96507180</v>
      </c>
      <c r="K310" s="46">
        <f t="shared" si="35"/>
        <v>0.2473321931803257</v>
      </c>
      <c r="L310" s="54">
        <f>D310-J310</f>
        <v>39445981</v>
      </c>
    </row>
    <row r="311" spans="1:12" ht="15.75">
      <c r="A311" s="24" t="s">
        <v>112</v>
      </c>
      <c r="B311" s="60" t="s">
        <v>119</v>
      </c>
      <c r="C311" s="44">
        <v>350595032</v>
      </c>
      <c r="D311" s="44">
        <v>350595032</v>
      </c>
      <c r="E311" s="44">
        <f>F311-142446821</f>
        <v>70630077</v>
      </c>
      <c r="F311" s="44">
        <v>213076898</v>
      </c>
      <c r="G311" s="55">
        <f t="shared" si="34"/>
        <v>0.5066717465470254</v>
      </c>
      <c r="H311" s="44">
        <f t="shared" si="30"/>
        <v>137518134</v>
      </c>
      <c r="I311" s="44">
        <f>J311-142446821</f>
        <v>70630077</v>
      </c>
      <c r="J311" s="44">
        <v>213076898</v>
      </c>
      <c r="K311" s="46">
        <f t="shared" si="35"/>
        <v>0.546081405532734</v>
      </c>
      <c r="L311" s="54">
        <f t="shared" si="29"/>
        <v>137518134</v>
      </c>
    </row>
    <row r="312" spans="1:12" ht="15.75">
      <c r="A312" s="24" t="s">
        <v>114</v>
      </c>
      <c r="B312" s="60" t="s">
        <v>121</v>
      </c>
      <c r="C312" s="44">
        <v>0</v>
      </c>
      <c r="D312" s="44">
        <v>4347</v>
      </c>
      <c r="E312" s="44">
        <f>F312-4347</f>
        <v>-4347</v>
      </c>
      <c r="F312" s="44">
        <v>0</v>
      </c>
      <c r="G312" s="55">
        <f t="shared" si="34"/>
        <v>0</v>
      </c>
      <c r="H312" s="44">
        <f t="shared" si="30"/>
        <v>4347</v>
      </c>
      <c r="I312" s="44">
        <f>J312-0</f>
        <v>0</v>
      </c>
      <c r="J312" s="44">
        <v>0</v>
      </c>
      <c r="K312" s="46">
        <f t="shared" si="35"/>
        <v>0</v>
      </c>
      <c r="L312" s="54">
        <f t="shared" si="29"/>
        <v>4347</v>
      </c>
    </row>
    <row r="313" spans="1:12" ht="15.75">
      <c r="A313" s="35" t="s">
        <v>125</v>
      </c>
      <c r="B313" s="72" t="s">
        <v>126</v>
      </c>
      <c r="C313" s="41">
        <f>C314</f>
        <v>10278020</v>
      </c>
      <c r="D313" s="41">
        <f>D314</f>
        <v>10280560</v>
      </c>
      <c r="E313" s="41">
        <f>E314</f>
        <v>1529651</v>
      </c>
      <c r="F313" s="41">
        <f>F314</f>
        <v>6178691</v>
      </c>
      <c r="G313" s="69">
        <f t="shared" si="34"/>
        <v>0.014692198871528471</v>
      </c>
      <c r="H313" s="41">
        <f t="shared" si="30"/>
        <v>4101869</v>
      </c>
      <c r="I313" s="41">
        <f>I314</f>
        <v>1529916</v>
      </c>
      <c r="J313" s="41">
        <f>J314</f>
        <v>6160154</v>
      </c>
      <c r="K313" s="42">
        <f t="shared" si="35"/>
        <v>0.015787471969946235</v>
      </c>
      <c r="L313" s="68">
        <f>D313-J313</f>
        <v>4120406</v>
      </c>
    </row>
    <row r="314" spans="1:12" ht="15.75">
      <c r="A314" s="24" t="s">
        <v>28</v>
      </c>
      <c r="B314" s="60" t="s">
        <v>33</v>
      </c>
      <c r="C314" s="44">
        <v>10278020</v>
      </c>
      <c r="D314" s="44">
        <v>10280560</v>
      </c>
      <c r="E314" s="44">
        <f>F314-4649040</f>
        <v>1529651</v>
      </c>
      <c r="F314" s="44">
        <v>6178691</v>
      </c>
      <c r="G314" s="55">
        <f t="shared" si="34"/>
        <v>0.014692198871528471</v>
      </c>
      <c r="H314" s="44">
        <f t="shared" si="30"/>
        <v>4101869</v>
      </c>
      <c r="I314" s="44">
        <f>J314-4630238</f>
        <v>1529916</v>
      </c>
      <c r="J314" s="44">
        <v>6160154</v>
      </c>
      <c r="K314" s="46">
        <f t="shared" si="35"/>
        <v>0.015787471969946235</v>
      </c>
      <c r="L314" s="54">
        <f>D314-J314</f>
        <v>4120406</v>
      </c>
    </row>
    <row r="315" spans="1:12" ht="15.75">
      <c r="A315" s="70" t="s">
        <v>129</v>
      </c>
      <c r="B315" s="72" t="s">
        <v>130</v>
      </c>
      <c r="C315" s="41">
        <f>C316</f>
        <v>1210000</v>
      </c>
      <c r="D315" s="41">
        <f>D316</f>
        <v>1348595</v>
      </c>
      <c r="E315" s="41">
        <f>E316</f>
        <v>227569</v>
      </c>
      <c r="F315" s="41">
        <f>F316</f>
        <v>915730</v>
      </c>
      <c r="G315" s="69">
        <f t="shared" si="34"/>
        <v>0.0021774979963595474</v>
      </c>
      <c r="H315" s="41">
        <f t="shared" si="30"/>
        <v>432865</v>
      </c>
      <c r="I315" s="41">
        <f>I316</f>
        <v>227569</v>
      </c>
      <c r="J315" s="41">
        <f>J316</f>
        <v>913698</v>
      </c>
      <c r="K315" s="42">
        <f t="shared" si="35"/>
        <v>0.0023416592448818547</v>
      </c>
      <c r="L315" s="68">
        <f t="shared" si="29"/>
        <v>434897</v>
      </c>
    </row>
    <row r="316" spans="1:12" ht="15.75">
      <c r="A316" s="53" t="s">
        <v>28</v>
      </c>
      <c r="B316" s="60" t="s">
        <v>33</v>
      </c>
      <c r="C316" s="44">
        <v>1210000</v>
      </c>
      <c r="D316" s="44">
        <v>1348595</v>
      </c>
      <c r="E316" s="44">
        <f>F316-688161</f>
        <v>227569</v>
      </c>
      <c r="F316" s="44">
        <v>915730</v>
      </c>
      <c r="G316" s="55">
        <f t="shared" si="34"/>
        <v>0.0021774979963595474</v>
      </c>
      <c r="H316" s="44">
        <f t="shared" si="30"/>
        <v>432865</v>
      </c>
      <c r="I316" s="44">
        <f>J316-686129</f>
        <v>227569</v>
      </c>
      <c r="J316" s="44">
        <v>913698</v>
      </c>
      <c r="K316" s="46">
        <f t="shared" si="35"/>
        <v>0.0023416592448818547</v>
      </c>
      <c r="L316" s="54">
        <f t="shared" si="29"/>
        <v>434897</v>
      </c>
    </row>
    <row r="317" spans="1:12" ht="15.75">
      <c r="A317" s="70" t="s">
        <v>133</v>
      </c>
      <c r="B317" s="72" t="s">
        <v>134</v>
      </c>
      <c r="C317" s="41">
        <f>C318</f>
        <v>505340</v>
      </c>
      <c r="D317" s="41">
        <f>D318</f>
        <v>607340</v>
      </c>
      <c r="E317" s="41">
        <f>E318</f>
        <v>168586</v>
      </c>
      <c r="F317" s="41">
        <f>F318</f>
        <v>414715</v>
      </c>
      <c r="G317" s="69">
        <f t="shared" si="34"/>
        <v>0.0009861433845786965</v>
      </c>
      <c r="H317" s="41">
        <f t="shared" si="30"/>
        <v>192625</v>
      </c>
      <c r="I317" s="41">
        <f>I318</f>
        <v>116358</v>
      </c>
      <c r="J317" s="41">
        <f>J318</f>
        <v>362466</v>
      </c>
      <c r="K317" s="42">
        <f t="shared" si="35"/>
        <v>0.0009289413568327243</v>
      </c>
      <c r="L317" s="68">
        <f t="shared" si="29"/>
        <v>244874</v>
      </c>
    </row>
    <row r="318" spans="1:12" ht="15.75">
      <c r="A318" s="57" t="s">
        <v>28</v>
      </c>
      <c r="B318" s="32" t="s">
        <v>33</v>
      </c>
      <c r="C318" s="44">
        <v>505340</v>
      </c>
      <c r="D318" s="44">
        <v>607340</v>
      </c>
      <c r="E318" s="44">
        <f>F318-246129</f>
        <v>168586</v>
      </c>
      <c r="F318" s="44">
        <v>414715</v>
      </c>
      <c r="G318" s="55">
        <f t="shared" si="34"/>
        <v>0.0009861433845786965</v>
      </c>
      <c r="H318" s="44">
        <f t="shared" si="30"/>
        <v>192625</v>
      </c>
      <c r="I318" s="44">
        <f>J318-246108</f>
        <v>116358</v>
      </c>
      <c r="J318" s="44">
        <v>362466</v>
      </c>
      <c r="K318" s="46">
        <f t="shared" si="35"/>
        <v>0.0009289413568327243</v>
      </c>
      <c r="L318" s="54">
        <f t="shared" si="29"/>
        <v>244874</v>
      </c>
    </row>
    <row r="319" spans="1:12" ht="15.75">
      <c r="A319" s="73" t="s">
        <v>138</v>
      </c>
      <c r="B319" s="71" t="s">
        <v>137</v>
      </c>
      <c r="C319" s="41">
        <f>C320</f>
        <v>1169519</v>
      </c>
      <c r="D319" s="41">
        <f>D320</f>
        <v>1057908</v>
      </c>
      <c r="E319" s="41">
        <f>E320</f>
        <v>0</v>
      </c>
      <c r="F319" s="41">
        <f>F320</f>
        <v>80497</v>
      </c>
      <c r="G319" s="69">
        <f t="shared" si="34"/>
        <v>0.0001914123772432425</v>
      </c>
      <c r="H319" s="41">
        <f t="shared" si="30"/>
        <v>977411</v>
      </c>
      <c r="I319" s="41">
        <f>I320</f>
        <v>0</v>
      </c>
      <c r="J319" s="41">
        <f>J320</f>
        <v>80497</v>
      </c>
      <c r="K319" s="42">
        <f t="shared" si="35"/>
        <v>0.00020630070793112675</v>
      </c>
      <c r="L319" s="68">
        <f t="shared" si="29"/>
        <v>977411</v>
      </c>
    </row>
    <row r="320" spans="1:12" ht="15.75">
      <c r="A320" s="57" t="s">
        <v>28</v>
      </c>
      <c r="B320" s="32" t="s">
        <v>33</v>
      </c>
      <c r="C320" s="44">
        <v>1169519</v>
      </c>
      <c r="D320" s="44">
        <v>1057908</v>
      </c>
      <c r="E320" s="44">
        <f>F320-80497</f>
        <v>0</v>
      </c>
      <c r="F320" s="44">
        <v>80497</v>
      </c>
      <c r="G320" s="55">
        <f t="shared" si="34"/>
        <v>0.0001914123772432425</v>
      </c>
      <c r="H320" s="44">
        <f t="shared" si="30"/>
        <v>977411</v>
      </c>
      <c r="I320" s="44">
        <f>J320-80497</f>
        <v>0</v>
      </c>
      <c r="J320" s="44">
        <v>80497</v>
      </c>
      <c r="K320" s="46">
        <f t="shared" si="35"/>
        <v>0.00020630070793112675</v>
      </c>
      <c r="L320" s="54">
        <f t="shared" si="29"/>
        <v>977411</v>
      </c>
    </row>
    <row r="321" spans="1:12" ht="15.75">
      <c r="A321" s="35" t="s">
        <v>141</v>
      </c>
      <c r="B321" s="27" t="s">
        <v>142</v>
      </c>
      <c r="C321" s="41">
        <f>C322</f>
        <v>0</v>
      </c>
      <c r="D321" s="41">
        <f>D322</f>
        <v>206</v>
      </c>
      <c r="E321" s="41">
        <f>E322</f>
        <v>0</v>
      </c>
      <c r="F321" s="41">
        <f>F322</f>
        <v>0</v>
      </c>
      <c r="G321" s="69">
        <f>(F321/$F$244)*100</f>
        <v>0</v>
      </c>
      <c r="H321" s="41">
        <f>D321-F321</f>
        <v>206</v>
      </c>
      <c r="I321" s="41">
        <f>I322</f>
        <v>0</v>
      </c>
      <c r="J321" s="41">
        <f>J322</f>
        <v>0</v>
      </c>
      <c r="K321" s="42">
        <f t="shared" si="35"/>
        <v>0</v>
      </c>
      <c r="L321" s="68">
        <f t="shared" si="29"/>
        <v>206</v>
      </c>
    </row>
    <row r="322" spans="1:12" ht="15.75">
      <c r="A322" s="57" t="s">
        <v>143</v>
      </c>
      <c r="B322" s="32" t="s">
        <v>144</v>
      </c>
      <c r="C322" s="44">
        <v>0</v>
      </c>
      <c r="D322" s="44">
        <v>206</v>
      </c>
      <c r="E322" s="44">
        <f>F322-0</f>
        <v>0</v>
      </c>
      <c r="F322" s="44">
        <v>0</v>
      </c>
      <c r="G322" s="55">
        <f>(F322/$F$244)*100</f>
        <v>0</v>
      </c>
      <c r="H322" s="44">
        <f t="shared" si="30"/>
        <v>206</v>
      </c>
      <c r="I322" s="44">
        <f>J322-0</f>
        <v>0</v>
      </c>
      <c r="J322" s="44">
        <v>0</v>
      </c>
      <c r="K322" s="46">
        <f>(J322/$J$244)*100</f>
        <v>0</v>
      </c>
      <c r="L322" s="54">
        <f t="shared" si="29"/>
        <v>206</v>
      </c>
    </row>
    <row r="323" spans="1:12" ht="15.75">
      <c r="A323" s="73" t="s">
        <v>149</v>
      </c>
      <c r="B323" s="71" t="s">
        <v>150</v>
      </c>
      <c r="C323" s="41">
        <f>C324</f>
        <v>17514059</v>
      </c>
      <c r="D323" s="41">
        <f>D324</f>
        <v>17513059</v>
      </c>
      <c r="E323" s="41">
        <f>E324</f>
        <v>2122141</v>
      </c>
      <c r="F323" s="41">
        <f>F324</f>
        <v>8508354</v>
      </c>
      <c r="G323" s="69">
        <f t="shared" si="34"/>
        <v>0.020231862871498956</v>
      </c>
      <c r="H323" s="41">
        <f aca="true" t="shared" si="36" ref="H323:H328">D323-F323</f>
        <v>9004705</v>
      </c>
      <c r="I323" s="41">
        <f>I324</f>
        <v>2085737</v>
      </c>
      <c r="J323" s="41">
        <f>J324</f>
        <v>8384945</v>
      </c>
      <c r="K323" s="42">
        <f t="shared" si="35"/>
        <v>0.021489249157901062</v>
      </c>
      <c r="L323" s="68">
        <f t="shared" si="29"/>
        <v>9128114</v>
      </c>
    </row>
    <row r="324" spans="1:12" ht="15.75">
      <c r="A324" s="57" t="s">
        <v>28</v>
      </c>
      <c r="B324" s="32" t="s">
        <v>33</v>
      </c>
      <c r="C324" s="44">
        <v>17514059</v>
      </c>
      <c r="D324" s="44">
        <v>17513059</v>
      </c>
      <c r="E324" s="44">
        <f>F324-6386213</f>
        <v>2122141</v>
      </c>
      <c r="F324" s="44">
        <v>8508354</v>
      </c>
      <c r="G324" s="55">
        <f t="shared" si="34"/>
        <v>0.020231862871498956</v>
      </c>
      <c r="H324" s="44">
        <f t="shared" si="36"/>
        <v>9004705</v>
      </c>
      <c r="I324" s="44">
        <f>J324-6299208</f>
        <v>2085737</v>
      </c>
      <c r="J324" s="44">
        <v>8384945</v>
      </c>
      <c r="K324" s="46">
        <f t="shared" si="35"/>
        <v>0.021489249157901062</v>
      </c>
      <c r="L324" s="54">
        <f t="shared" si="29"/>
        <v>9128114</v>
      </c>
    </row>
    <row r="325" spans="1:12" ht="15.75">
      <c r="A325" s="73" t="s">
        <v>158</v>
      </c>
      <c r="B325" s="71" t="s">
        <v>159</v>
      </c>
      <c r="C325" s="41">
        <f>SUM(C326:C327)</f>
        <v>11267144</v>
      </c>
      <c r="D325" s="41">
        <f>SUM(D326:D327)</f>
        <v>12888040</v>
      </c>
      <c r="E325" s="41">
        <f>SUM(E326:E327)</f>
        <v>1602166</v>
      </c>
      <c r="F325" s="41">
        <f>SUM(F326:F327)</f>
        <v>6604850</v>
      </c>
      <c r="G325" s="69">
        <f t="shared" si="34"/>
        <v>0.015705554739121087</v>
      </c>
      <c r="H325" s="41">
        <f t="shared" si="36"/>
        <v>6283190</v>
      </c>
      <c r="I325" s="41">
        <f>SUM(I326:I327)</f>
        <v>1689062</v>
      </c>
      <c r="J325" s="41">
        <f>SUM(J326:J327)</f>
        <v>6558459</v>
      </c>
      <c r="K325" s="42">
        <f t="shared" si="35"/>
        <v>0.01680826285001018</v>
      </c>
      <c r="L325" s="68">
        <f t="shared" si="29"/>
        <v>6329581</v>
      </c>
    </row>
    <row r="326" spans="1:12" ht="15.75">
      <c r="A326" s="57" t="s">
        <v>28</v>
      </c>
      <c r="B326" s="32" t="s">
        <v>33</v>
      </c>
      <c r="C326" s="44">
        <v>11267144</v>
      </c>
      <c r="D326" s="44">
        <v>12531390</v>
      </c>
      <c r="E326" s="44">
        <f>F326-4701300</f>
        <v>1595735</v>
      </c>
      <c r="F326" s="44">
        <v>6297035</v>
      </c>
      <c r="G326" s="69">
        <f t="shared" si="34"/>
        <v>0.014973606953475304</v>
      </c>
      <c r="H326" s="44">
        <f t="shared" si="36"/>
        <v>6234355</v>
      </c>
      <c r="I326" s="44">
        <f>J326-4568277</f>
        <v>1682367</v>
      </c>
      <c r="J326" s="44">
        <v>6250644</v>
      </c>
      <c r="K326" s="46">
        <f t="shared" si="35"/>
        <v>0.01601938311024572</v>
      </c>
      <c r="L326" s="54">
        <f t="shared" si="29"/>
        <v>6280746</v>
      </c>
    </row>
    <row r="327" spans="1:12" ht="15.75">
      <c r="A327" s="57" t="s">
        <v>96</v>
      </c>
      <c r="B327" s="32" t="s">
        <v>102</v>
      </c>
      <c r="C327" s="44">
        <v>0</v>
      </c>
      <c r="D327" s="44">
        <v>356650</v>
      </c>
      <c r="E327" s="44">
        <f>F327-301384</f>
        <v>6431</v>
      </c>
      <c r="F327" s="44">
        <v>307815</v>
      </c>
      <c r="G327" s="69">
        <f t="shared" si="34"/>
        <v>0.0007319477856457843</v>
      </c>
      <c r="H327" s="44">
        <f t="shared" si="36"/>
        <v>48835</v>
      </c>
      <c r="I327" s="44">
        <f>J327-301120</f>
        <v>6695</v>
      </c>
      <c r="J327" s="44">
        <v>307815</v>
      </c>
      <c r="K327" s="46">
        <f t="shared" si="35"/>
        <v>0.0007888797397644606</v>
      </c>
      <c r="L327" s="54">
        <f t="shared" si="29"/>
        <v>48835</v>
      </c>
    </row>
    <row r="328" spans="1:12" ht="15.75">
      <c r="A328" s="73" t="s">
        <v>162</v>
      </c>
      <c r="B328" s="71" t="s">
        <v>163</v>
      </c>
      <c r="C328" s="41">
        <f>SUM(C329:C329)</f>
        <v>5520675</v>
      </c>
      <c r="D328" s="41">
        <f>SUM(D329:D329)</f>
        <v>5647609</v>
      </c>
      <c r="E328" s="41">
        <f>SUM(E329:E329)</f>
        <v>887424</v>
      </c>
      <c r="F328" s="41">
        <f>SUM(F329:F329)</f>
        <v>3345220</v>
      </c>
      <c r="G328" s="69">
        <f t="shared" si="34"/>
        <v>0.00795453883500801</v>
      </c>
      <c r="H328" s="41">
        <f t="shared" si="36"/>
        <v>2302389</v>
      </c>
      <c r="I328" s="41">
        <f>SUM(I329:I329)</f>
        <v>796287</v>
      </c>
      <c r="J328" s="41">
        <f>SUM(J329:J329)</f>
        <v>3244035</v>
      </c>
      <c r="K328" s="42">
        <f t="shared" si="35"/>
        <v>0.008313933650364024</v>
      </c>
      <c r="L328" s="68">
        <f t="shared" si="29"/>
        <v>2403574</v>
      </c>
    </row>
    <row r="329" spans="1:12" ht="15.75">
      <c r="A329" s="53" t="s">
        <v>28</v>
      </c>
      <c r="B329" s="32" t="s">
        <v>33</v>
      </c>
      <c r="C329" s="44">
        <v>5520675</v>
      </c>
      <c r="D329" s="44">
        <v>5647609</v>
      </c>
      <c r="E329" s="44">
        <f>F329-2457796</f>
        <v>887424</v>
      </c>
      <c r="F329" s="44">
        <v>3345220</v>
      </c>
      <c r="G329" s="55">
        <f t="shared" si="34"/>
        <v>0.00795453883500801</v>
      </c>
      <c r="H329" s="44">
        <f>D329-F329</f>
        <v>2302389</v>
      </c>
      <c r="I329" s="44">
        <f>J329-2447748</f>
        <v>796287</v>
      </c>
      <c r="J329" s="44">
        <v>3244035</v>
      </c>
      <c r="K329" s="46">
        <f t="shared" si="35"/>
        <v>0.008313933650364024</v>
      </c>
      <c r="L329" s="54">
        <f t="shared" si="29"/>
        <v>2403574</v>
      </c>
    </row>
    <row r="330" spans="1:12" ht="15.75">
      <c r="A330" s="73" t="s">
        <v>175</v>
      </c>
      <c r="B330" s="71" t="s">
        <v>174</v>
      </c>
      <c r="C330" s="41">
        <f>C331</f>
        <v>1894000</v>
      </c>
      <c r="D330" s="41">
        <f>D331</f>
        <v>1900000</v>
      </c>
      <c r="E330" s="41">
        <f>E331</f>
        <v>238570</v>
      </c>
      <c r="F330" s="41">
        <f>F331</f>
        <v>920684</v>
      </c>
      <c r="G330" s="69">
        <f t="shared" si="34"/>
        <v>0.0021892780243961576</v>
      </c>
      <c r="H330" s="41">
        <f aca="true" t="shared" si="37" ref="H330:H338">D330-F330</f>
        <v>979316</v>
      </c>
      <c r="I330" s="41">
        <f>I331</f>
        <v>225452</v>
      </c>
      <c r="J330" s="41">
        <f>J331</f>
        <v>907522</v>
      </c>
      <c r="K330" s="42">
        <f t="shared" si="35"/>
        <v>0.0023258311621932744</v>
      </c>
      <c r="L330" s="68">
        <f>D330-J330</f>
        <v>992478</v>
      </c>
    </row>
    <row r="331" spans="1:12" ht="15.75">
      <c r="A331" s="57" t="s">
        <v>28</v>
      </c>
      <c r="B331" s="32" t="s">
        <v>33</v>
      </c>
      <c r="C331" s="44">
        <v>1894000</v>
      </c>
      <c r="D331" s="44">
        <v>1900000</v>
      </c>
      <c r="E331" s="44">
        <f>F331-682114</f>
        <v>238570</v>
      </c>
      <c r="F331" s="44">
        <v>920684</v>
      </c>
      <c r="G331" s="55">
        <f t="shared" si="34"/>
        <v>0.0021892780243961576</v>
      </c>
      <c r="H331" s="44">
        <f t="shared" si="37"/>
        <v>979316</v>
      </c>
      <c r="I331" s="44">
        <f>J331-682070</f>
        <v>225452</v>
      </c>
      <c r="J331" s="44">
        <v>907522</v>
      </c>
      <c r="K331" s="46">
        <f t="shared" si="35"/>
        <v>0.0023258311621932744</v>
      </c>
      <c r="L331" s="54">
        <f>D331-J331</f>
        <v>992478</v>
      </c>
    </row>
    <row r="332" spans="1:12" ht="15.75">
      <c r="A332" s="73" t="s">
        <v>178</v>
      </c>
      <c r="B332" s="71" t="s">
        <v>179</v>
      </c>
      <c r="C332" s="41">
        <f>C333</f>
        <v>4036650</v>
      </c>
      <c r="D332" s="41">
        <f>D333</f>
        <v>4138802</v>
      </c>
      <c r="E332" s="41">
        <f>E333</f>
        <v>502713</v>
      </c>
      <c r="F332" s="41">
        <f>F333</f>
        <v>2016765</v>
      </c>
      <c r="G332" s="69">
        <f t="shared" si="34"/>
        <v>0.004795629439494241</v>
      </c>
      <c r="H332" s="41">
        <f t="shared" si="37"/>
        <v>2122037</v>
      </c>
      <c r="I332" s="41">
        <f>I333</f>
        <v>502713</v>
      </c>
      <c r="J332" s="41">
        <f>J333</f>
        <v>2014872</v>
      </c>
      <c r="K332" s="42">
        <f t="shared" si="35"/>
        <v>0.005163788960962585</v>
      </c>
      <c r="L332" s="68">
        <f>D332-J332</f>
        <v>2123930</v>
      </c>
    </row>
    <row r="333" spans="1:12" ht="15.75">
      <c r="A333" s="57" t="s">
        <v>28</v>
      </c>
      <c r="B333" s="32" t="s">
        <v>33</v>
      </c>
      <c r="C333" s="44">
        <v>4036650</v>
      </c>
      <c r="D333" s="44">
        <v>4138802</v>
      </c>
      <c r="E333" s="44">
        <f>F333-1514052</f>
        <v>502713</v>
      </c>
      <c r="F333" s="44">
        <v>2016765</v>
      </c>
      <c r="G333" s="55">
        <f t="shared" si="34"/>
        <v>0.004795629439494241</v>
      </c>
      <c r="H333" s="44">
        <f t="shared" si="37"/>
        <v>2122037</v>
      </c>
      <c r="I333" s="44">
        <f>J333-1512159</f>
        <v>502713</v>
      </c>
      <c r="J333" s="44">
        <v>2014872</v>
      </c>
      <c r="K333" s="46">
        <f t="shared" si="35"/>
        <v>0.005163788960962585</v>
      </c>
      <c r="L333" s="54">
        <f aca="true" t="shared" si="38" ref="L333:L338">D333-J333</f>
        <v>2123930</v>
      </c>
    </row>
    <row r="334" spans="1:12" ht="15.75">
      <c r="A334" s="73" t="s">
        <v>189</v>
      </c>
      <c r="B334" s="71" t="s">
        <v>190</v>
      </c>
      <c r="C334" s="41">
        <f>C335</f>
        <v>4331200</v>
      </c>
      <c r="D334" s="41">
        <f>D335</f>
        <v>4490865</v>
      </c>
      <c r="E334" s="41">
        <f>E335</f>
        <v>881969</v>
      </c>
      <c r="F334" s="41">
        <f>F335</f>
        <v>2804860</v>
      </c>
      <c r="G334" s="69">
        <f t="shared" si="34"/>
        <v>0.006669626451103534</v>
      </c>
      <c r="H334" s="41">
        <f t="shared" si="37"/>
        <v>1686005</v>
      </c>
      <c r="I334" s="41">
        <f>I335</f>
        <v>776210</v>
      </c>
      <c r="J334" s="41">
        <f>J335</f>
        <v>2587124</v>
      </c>
      <c r="K334" s="42">
        <f t="shared" si="35"/>
        <v>0.006630377687436904</v>
      </c>
      <c r="L334" s="68">
        <f t="shared" si="38"/>
        <v>1903741</v>
      </c>
    </row>
    <row r="335" spans="1:12" ht="15.75">
      <c r="A335" s="57" t="s">
        <v>28</v>
      </c>
      <c r="B335" s="32" t="s">
        <v>33</v>
      </c>
      <c r="C335" s="44">
        <v>4331200</v>
      </c>
      <c r="D335" s="44">
        <v>4490865</v>
      </c>
      <c r="E335" s="44">
        <f>F335-1922891</f>
        <v>881969</v>
      </c>
      <c r="F335" s="44">
        <v>2804860</v>
      </c>
      <c r="G335" s="55">
        <f t="shared" si="34"/>
        <v>0.006669626451103534</v>
      </c>
      <c r="H335" s="44">
        <f t="shared" si="37"/>
        <v>1686005</v>
      </c>
      <c r="I335" s="44">
        <f>J335-1810914</f>
        <v>776210</v>
      </c>
      <c r="J335" s="44">
        <v>2587124</v>
      </c>
      <c r="K335" s="46">
        <f t="shared" si="35"/>
        <v>0.006630377687436904</v>
      </c>
      <c r="L335" s="54">
        <f>D335-J335</f>
        <v>1903741</v>
      </c>
    </row>
    <row r="336" spans="1:12" ht="15.75">
      <c r="A336" s="73" t="s">
        <v>195</v>
      </c>
      <c r="B336" s="71" t="s">
        <v>196</v>
      </c>
      <c r="C336" s="41">
        <f>SUM(C337:C337)</f>
        <v>14685313</v>
      </c>
      <c r="D336" s="41">
        <f>SUM(D337:D337)</f>
        <v>15867030</v>
      </c>
      <c r="E336" s="41">
        <f>SUM(E337:E337)</f>
        <v>3376173</v>
      </c>
      <c r="F336" s="41">
        <f>SUM(F337:F337)</f>
        <v>9716964</v>
      </c>
      <c r="G336" s="69">
        <f t="shared" si="34"/>
        <v>0.02310579498399949</v>
      </c>
      <c r="H336" s="41">
        <f t="shared" si="37"/>
        <v>6150066</v>
      </c>
      <c r="I336" s="41">
        <f>SUM(I337:I337)</f>
        <v>3298557</v>
      </c>
      <c r="J336" s="41">
        <f>SUM(J337:J337)</f>
        <v>9121486</v>
      </c>
      <c r="K336" s="42">
        <f t="shared" si="35"/>
        <v>0.023376883848887062</v>
      </c>
      <c r="L336" s="68">
        <f t="shared" si="38"/>
        <v>6745544</v>
      </c>
    </row>
    <row r="337" spans="1:12" ht="15.75">
      <c r="A337" s="57" t="s">
        <v>28</v>
      </c>
      <c r="B337" s="32" t="s">
        <v>33</v>
      </c>
      <c r="C337" s="44">
        <v>14685313</v>
      </c>
      <c r="D337" s="44">
        <v>15867030</v>
      </c>
      <c r="E337" s="44">
        <f>F337-6340791</f>
        <v>3376173</v>
      </c>
      <c r="F337" s="44">
        <v>9716964</v>
      </c>
      <c r="G337" s="69">
        <f t="shared" si="34"/>
        <v>0.02310579498399949</v>
      </c>
      <c r="H337" s="44">
        <f t="shared" si="37"/>
        <v>6150066</v>
      </c>
      <c r="I337" s="44">
        <f>J337-5822929</f>
        <v>3298557</v>
      </c>
      <c r="J337" s="44">
        <v>9121486</v>
      </c>
      <c r="K337" s="46">
        <f t="shared" si="35"/>
        <v>0.023376883848887062</v>
      </c>
      <c r="L337" s="54">
        <f t="shared" si="38"/>
        <v>6745544</v>
      </c>
    </row>
    <row r="338" spans="1:12" ht="15.75">
      <c r="A338" s="73" t="s">
        <v>203</v>
      </c>
      <c r="B338" s="71" t="s">
        <v>204</v>
      </c>
      <c r="C338" s="41">
        <f>SUM(C339:C339)</f>
        <v>827727</v>
      </c>
      <c r="D338" s="41">
        <f>SUM(D339:D339)</f>
        <v>827727</v>
      </c>
      <c r="E338" s="41">
        <f>SUM(E339:E339)</f>
        <v>159055</v>
      </c>
      <c r="F338" s="41">
        <f>SUM(F339:F339)</f>
        <v>624420</v>
      </c>
      <c r="G338" s="69">
        <f t="shared" si="34"/>
        <v>0.0014847971551514405</v>
      </c>
      <c r="H338" s="41">
        <f t="shared" si="37"/>
        <v>203307</v>
      </c>
      <c r="I338" s="41">
        <f>SUM(I339:I339)</f>
        <v>159055</v>
      </c>
      <c r="J338" s="41">
        <f>SUM(J339:J339)</f>
        <v>624420</v>
      </c>
      <c r="K338" s="42">
        <f t="shared" si="35"/>
        <v>0.0016002868187181408</v>
      </c>
      <c r="L338" s="68">
        <f t="shared" si="38"/>
        <v>203307</v>
      </c>
    </row>
    <row r="339" spans="1:12" ht="15.75">
      <c r="A339" s="57" t="s">
        <v>28</v>
      </c>
      <c r="B339" s="32" t="s">
        <v>33</v>
      </c>
      <c r="C339" s="44">
        <v>827727</v>
      </c>
      <c r="D339" s="44">
        <v>827727</v>
      </c>
      <c r="E339" s="44">
        <f>F339-465365</f>
        <v>159055</v>
      </c>
      <c r="F339" s="44">
        <v>624420</v>
      </c>
      <c r="G339" s="55">
        <f t="shared" si="34"/>
        <v>0.0014847971551514405</v>
      </c>
      <c r="H339" s="44">
        <f>D339-F339</f>
        <v>203307</v>
      </c>
      <c r="I339" s="44">
        <f>J339-465365</f>
        <v>159055</v>
      </c>
      <c r="J339" s="44">
        <v>624420</v>
      </c>
      <c r="K339" s="46">
        <f t="shared" si="35"/>
        <v>0.0016002868187181408</v>
      </c>
      <c r="L339" s="54">
        <f>D339-J339</f>
        <v>203307</v>
      </c>
    </row>
    <row r="340" spans="1:12" ht="15.75">
      <c r="A340" s="57" t="s">
        <v>207</v>
      </c>
      <c r="B340" s="32" t="s">
        <v>208</v>
      </c>
      <c r="C340" s="44">
        <v>0</v>
      </c>
      <c r="D340" s="44">
        <v>0</v>
      </c>
      <c r="E340" s="44">
        <f>F340-0</f>
        <v>0</v>
      </c>
      <c r="F340" s="44">
        <v>0</v>
      </c>
      <c r="G340" s="55">
        <f t="shared" si="34"/>
        <v>0</v>
      </c>
      <c r="H340" s="44">
        <f>D340-F340</f>
        <v>0</v>
      </c>
      <c r="I340" s="44">
        <f>J340-0</f>
        <v>0</v>
      </c>
      <c r="J340" s="44">
        <v>0</v>
      </c>
      <c r="K340" s="46">
        <f t="shared" si="35"/>
        <v>0</v>
      </c>
      <c r="L340" s="54">
        <f>D340-J340</f>
        <v>0</v>
      </c>
    </row>
    <row r="341" spans="1:12" ht="15.75">
      <c r="A341" s="73" t="s">
        <v>211</v>
      </c>
      <c r="B341" s="71" t="s">
        <v>212</v>
      </c>
      <c r="C341" s="41">
        <f>C342</f>
        <v>510949000</v>
      </c>
      <c r="D341" s="41">
        <f>D342</f>
        <v>1224883621</v>
      </c>
      <c r="E341" s="41">
        <f>E342</f>
        <v>870263856</v>
      </c>
      <c r="F341" s="41">
        <f>F342</f>
        <v>1213646905</v>
      </c>
      <c r="G341" s="69">
        <f t="shared" si="34"/>
        <v>2.885909278854538</v>
      </c>
      <c r="H341" s="41">
        <f>D341-F341</f>
        <v>11236716</v>
      </c>
      <c r="I341" s="41">
        <f>I342</f>
        <v>855341301</v>
      </c>
      <c r="J341" s="41">
        <f>J342</f>
        <v>1198724351</v>
      </c>
      <c r="K341" s="42">
        <f t="shared" si="35"/>
        <v>3.072135386729698</v>
      </c>
      <c r="L341" s="68">
        <f>D341-J341</f>
        <v>26159270</v>
      </c>
    </row>
    <row r="342" spans="1:12" ht="15.75">
      <c r="A342" s="57" t="s">
        <v>39</v>
      </c>
      <c r="B342" s="32" t="s">
        <v>41</v>
      </c>
      <c r="C342" s="44">
        <v>510949000</v>
      </c>
      <c r="D342" s="44">
        <v>1224883621</v>
      </c>
      <c r="E342" s="44">
        <f>F342-343383049</f>
        <v>870263856</v>
      </c>
      <c r="F342" s="44">
        <v>1213646905</v>
      </c>
      <c r="G342" s="55">
        <f>(F342/$F$244)*100</f>
        <v>2.885909278854538</v>
      </c>
      <c r="H342" s="44">
        <f>D342-F342</f>
        <v>11236716</v>
      </c>
      <c r="I342" s="44">
        <f>J342-343383050</f>
        <v>855341301</v>
      </c>
      <c r="J342" s="44">
        <v>1198724351</v>
      </c>
      <c r="K342" s="46">
        <f>(J342/$J$244)*100</f>
        <v>3.072135386729698</v>
      </c>
      <c r="L342" s="54">
        <f>D342-J342</f>
        <v>26159270</v>
      </c>
    </row>
    <row r="343" spans="1:12" ht="15.75">
      <c r="A343" s="82" t="s">
        <v>221</v>
      </c>
      <c r="B343" s="83" t="s">
        <v>222</v>
      </c>
      <c r="C343" s="84">
        <v>0</v>
      </c>
      <c r="D343" s="84">
        <v>0</v>
      </c>
      <c r="E343" s="84">
        <f>F343-0</f>
        <v>0</v>
      </c>
      <c r="F343" s="84">
        <v>0</v>
      </c>
      <c r="G343" s="85">
        <f>(F343/$F$244)*100</f>
        <v>0</v>
      </c>
      <c r="H343" s="84">
        <f>D343-F343</f>
        <v>0</v>
      </c>
      <c r="I343" s="84">
        <f>J343-0</f>
        <v>0</v>
      </c>
      <c r="J343" s="84">
        <v>0</v>
      </c>
      <c r="K343" s="85">
        <f>(J343/$J$244)*100</f>
        <v>0</v>
      </c>
      <c r="L343" s="86">
        <f>D343-J343</f>
        <v>0</v>
      </c>
    </row>
    <row r="344" spans="1:12" ht="15">
      <c r="A344" s="65"/>
      <c r="B344" s="66"/>
      <c r="C344" s="67"/>
      <c r="D344" s="67"/>
      <c r="E344" s="67"/>
      <c r="F344" s="74"/>
      <c r="G344" s="75"/>
      <c r="H344" s="67"/>
      <c r="I344" s="67"/>
      <c r="J344" s="67"/>
      <c r="K344" s="67"/>
      <c r="L344" s="76" t="s">
        <v>227</v>
      </c>
    </row>
    <row r="345" spans="1:12" ht="15">
      <c r="A345" s="65"/>
      <c r="B345" s="66"/>
      <c r="C345" s="67"/>
      <c r="D345" s="67"/>
      <c r="E345" s="67"/>
      <c r="F345" s="67"/>
      <c r="G345" s="67"/>
      <c r="H345" s="67"/>
      <c r="I345" s="77"/>
      <c r="J345" s="67"/>
      <c r="K345" s="67"/>
      <c r="L345" s="67"/>
    </row>
    <row r="346" spans="1:12" ht="15">
      <c r="A346" s="65"/>
      <c r="B346" s="66"/>
      <c r="C346" s="67"/>
      <c r="D346" s="67"/>
      <c r="E346" s="67"/>
      <c r="F346" s="67"/>
      <c r="G346" s="67"/>
      <c r="H346" s="67"/>
      <c r="I346" s="67"/>
      <c r="J346" s="77"/>
      <c r="K346" s="67"/>
      <c r="L346" s="67"/>
    </row>
    <row r="347" spans="1:12" ht="15">
      <c r="A347" s="65"/>
      <c r="B347" s="66"/>
      <c r="C347" s="67"/>
      <c r="D347" s="67"/>
      <c r="E347" s="67"/>
      <c r="F347" s="67"/>
      <c r="G347" s="67"/>
      <c r="H347" s="67"/>
      <c r="I347" s="67"/>
      <c r="J347" s="67"/>
      <c r="K347" s="67"/>
      <c r="L347" s="67"/>
    </row>
    <row r="348" spans="1:12" ht="12.75">
      <c r="A348" s="78"/>
      <c r="B348" s="67"/>
      <c r="C348" s="67"/>
      <c r="D348" s="67"/>
      <c r="E348" s="77"/>
      <c r="F348" s="67"/>
      <c r="G348" s="67"/>
      <c r="H348" s="67"/>
      <c r="I348" s="77"/>
      <c r="J348" s="67"/>
      <c r="K348" s="67"/>
      <c r="L348" s="67"/>
    </row>
    <row r="349" spans="1:12" ht="12.75">
      <c r="A349" s="78"/>
      <c r="B349" s="67"/>
      <c r="C349" s="67"/>
      <c r="D349" s="67"/>
      <c r="E349" s="67"/>
      <c r="F349" s="67"/>
      <c r="G349" s="67"/>
      <c r="H349" s="67"/>
      <c r="I349" s="67"/>
      <c r="J349" s="67"/>
      <c r="K349" s="67"/>
      <c r="L349" s="67"/>
    </row>
    <row r="350" spans="1:12" ht="12.75">
      <c r="A350" s="78"/>
      <c r="B350" s="67"/>
      <c r="C350" s="67"/>
      <c r="D350" s="67"/>
      <c r="E350" s="67"/>
      <c r="F350" s="67"/>
      <c r="G350" s="67"/>
      <c r="H350" s="67"/>
      <c r="I350" s="67"/>
      <c r="J350" s="67"/>
      <c r="K350" s="67"/>
      <c r="L350" s="67"/>
    </row>
    <row r="351" spans="1:12" ht="15">
      <c r="A351" s="97" t="s">
        <v>256</v>
      </c>
      <c r="B351" s="97"/>
      <c r="C351" s="98" t="s">
        <v>258</v>
      </c>
      <c r="D351" s="98"/>
      <c r="E351" s="98"/>
      <c r="F351" s="98"/>
      <c r="G351" s="98"/>
      <c r="H351" s="98"/>
      <c r="I351" s="98" t="s">
        <v>262</v>
      </c>
      <c r="J351" s="98"/>
      <c r="K351" s="98"/>
      <c r="L351" s="98"/>
    </row>
    <row r="352" spans="1:12" ht="15">
      <c r="A352" s="97" t="s">
        <v>257</v>
      </c>
      <c r="B352" s="97"/>
      <c r="C352" s="98" t="s">
        <v>259</v>
      </c>
      <c r="D352" s="98"/>
      <c r="E352" s="98"/>
      <c r="F352" s="98"/>
      <c r="G352" s="98"/>
      <c r="H352" s="98"/>
      <c r="I352" s="98" t="s">
        <v>261</v>
      </c>
      <c r="J352" s="98"/>
      <c r="K352" s="98"/>
      <c r="L352" s="98"/>
    </row>
    <row r="353" spans="1:12" ht="15">
      <c r="A353" s="97" t="s">
        <v>248</v>
      </c>
      <c r="B353" s="97"/>
      <c r="C353" s="98" t="s">
        <v>249</v>
      </c>
      <c r="D353" s="98"/>
      <c r="E353" s="98"/>
      <c r="F353" s="98"/>
      <c r="G353" s="98"/>
      <c r="H353" s="98"/>
      <c r="I353" s="98" t="s">
        <v>260</v>
      </c>
      <c r="J353" s="98"/>
      <c r="K353" s="98"/>
      <c r="L353" s="98"/>
    </row>
    <row r="354" spans="1:12" ht="12.75">
      <c r="A354" s="78"/>
      <c r="B354" s="67"/>
      <c r="C354" s="67"/>
      <c r="D354" s="67"/>
      <c r="E354" s="67"/>
      <c r="F354" s="67"/>
      <c r="G354" s="67"/>
      <c r="H354" s="67"/>
      <c r="I354" s="67"/>
      <c r="J354" s="67"/>
      <c r="K354" s="67"/>
      <c r="L354" s="67"/>
    </row>
    <row r="355" spans="1:12" ht="12.75">
      <c r="A355" s="78"/>
      <c r="B355" s="67"/>
      <c r="C355" s="67"/>
      <c r="D355" s="67"/>
      <c r="E355" s="67"/>
      <c r="F355" s="67"/>
      <c r="G355" s="67"/>
      <c r="H355" s="67"/>
      <c r="I355" s="67"/>
      <c r="J355" s="67"/>
      <c r="K355" s="67"/>
      <c r="L355" s="67"/>
    </row>
    <row r="356" spans="1:12" ht="12.75">
      <c r="A356" s="67"/>
      <c r="B356" s="67"/>
      <c r="C356" s="67"/>
      <c r="D356" s="67"/>
      <c r="E356" s="67"/>
      <c r="F356" s="67"/>
      <c r="G356" s="67"/>
      <c r="H356" s="67"/>
      <c r="I356" s="67"/>
      <c r="J356" s="67"/>
      <c r="K356" s="67"/>
      <c r="L356" s="67"/>
    </row>
    <row r="357" spans="1:12" ht="12.75">
      <c r="A357" s="67"/>
      <c r="B357" s="67"/>
      <c r="C357" s="67"/>
      <c r="D357" s="67"/>
      <c r="E357" s="67"/>
      <c r="F357" s="67"/>
      <c r="G357" s="67"/>
      <c r="H357" s="67"/>
      <c r="I357" s="67"/>
      <c r="J357" s="67"/>
      <c r="K357" s="67"/>
      <c r="L357" s="67"/>
    </row>
    <row r="358" spans="1:12" ht="12.75">
      <c r="A358" s="67"/>
      <c r="B358" s="67"/>
      <c r="C358" s="67"/>
      <c r="D358" s="67"/>
      <c r="E358" s="67"/>
      <c r="F358" s="67"/>
      <c r="G358" s="67"/>
      <c r="H358" s="67"/>
      <c r="I358" s="67"/>
      <c r="J358" s="67"/>
      <c r="K358" s="67"/>
      <c r="L358" s="67"/>
    </row>
    <row r="359" spans="1:12" ht="15">
      <c r="A359" s="79"/>
      <c r="B359" s="66"/>
      <c r="C359" s="66"/>
      <c r="D359" s="66"/>
      <c r="E359" s="66"/>
      <c r="F359" s="66"/>
      <c r="G359" s="66"/>
      <c r="H359" s="66"/>
      <c r="I359" s="66"/>
      <c r="J359" s="66"/>
      <c r="K359" s="66"/>
      <c r="L359" s="66"/>
    </row>
    <row r="360" spans="1:12" ht="12.75">
      <c r="A360" s="78"/>
      <c r="B360" s="67"/>
      <c r="C360" s="67"/>
      <c r="D360" s="67"/>
      <c r="E360" s="67"/>
      <c r="F360" s="67"/>
      <c r="G360" s="67"/>
      <c r="H360" s="67"/>
      <c r="I360" s="67"/>
      <c r="J360" s="67"/>
      <c r="K360" s="67"/>
      <c r="L360" s="67"/>
    </row>
    <row r="361" spans="1:12" ht="12.75">
      <c r="A361" s="78"/>
      <c r="B361" s="67"/>
      <c r="C361" s="67"/>
      <c r="D361" s="67"/>
      <c r="E361" s="67"/>
      <c r="F361" s="67"/>
      <c r="G361" s="67"/>
      <c r="H361" s="67"/>
      <c r="I361" s="67"/>
      <c r="J361" s="67"/>
      <c r="K361" s="67"/>
      <c r="L361" s="67"/>
    </row>
    <row r="362" spans="1:12" ht="12.75">
      <c r="A362" s="78"/>
      <c r="B362" s="67"/>
      <c r="C362" s="67"/>
      <c r="D362" s="67"/>
      <c r="E362" s="67"/>
      <c r="F362" s="67"/>
      <c r="G362" s="67"/>
      <c r="H362" s="67"/>
      <c r="I362" s="67"/>
      <c r="J362" s="67"/>
      <c r="K362" s="67"/>
      <c r="L362" s="67"/>
    </row>
    <row r="363" spans="1:12" ht="12.75">
      <c r="A363" s="78"/>
      <c r="B363" s="67"/>
      <c r="C363" s="67"/>
      <c r="D363" s="67"/>
      <c r="E363" s="67"/>
      <c r="F363" s="67"/>
      <c r="G363" s="67"/>
      <c r="H363" s="67"/>
      <c r="I363" s="67"/>
      <c r="J363" s="67"/>
      <c r="K363" s="67"/>
      <c r="L363" s="67"/>
    </row>
    <row r="364" spans="1:12" ht="12.75">
      <c r="A364" s="78"/>
      <c r="B364" s="67"/>
      <c r="C364" s="67"/>
      <c r="D364" s="67"/>
      <c r="E364" s="67"/>
      <c r="F364" s="67"/>
      <c r="G364" s="67"/>
      <c r="H364" s="67"/>
      <c r="I364" s="67"/>
      <c r="J364" s="67"/>
      <c r="K364" s="67"/>
      <c r="L364" s="67"/>
    </row>
    <row r="365" spans="1:12" ht="12.75">
      <c r="A365" s="78"/>
      <c r="B365" s="67"/>
      <c r="C365" s="67"/>
      <c r="D365" s="67"/>
      <c r="E365" s="67"/>
      <c r="F365" s="67"/>
      <c r="G365" s="67"/>
      <c r="H365" s="67"/>
      <c r="I365" s="67"/>
      <c r="J365" s="67"/>
      <c r="K365" s="67"/>
      <c r="L365" s="67"/>
    </row>
    <row r="366" spans="1:12" ht="12.75">
      <c r="A366" s="78"/>
      <c r="B366" s="67"/>
      <c r="C366" s="67"/>
      <c r="D366" s="67"/>
      <c r="E366" s="67"/>
      <c r="F366" s="67"/>
      <c r="G366" s="67"/>
      <c r="H366" s="67"/>
      <c r="I366" s="67"/>
      <c r="J366" s="67"/>
      <c r="K366" s="67"/>
      <c r="L366" s="67"/>
    </row>
    <row r="367" spans="1:12" ht="12.75">
      <c r="A367" s="78"/>
      <c r="B367" s="67"/>
      <c r="C367" s="67"/>
      <c r="D367" s="67"/>
      <c r="E367" s="67"/>
      <c r="F367" s="67"/>
      <c r="G367" s="67"/>
      <c r="H367" s="67"/>
      <c r="I367" s="67"/>
      <c r="J367" s="67"/>
      <c r="K367" s="67"/>
      <c r="L367" s="67"/>
    </row>
    <row r="368" spans="1:12" ht="12.75">
      <c r="A368" s="78"/>
      <c r="B368" s="67"/>
      <c r="C368" s="67"/>
      <c r="D368" s="67"/>
      <c r="E368" s="67"/>
      <c r="F368" s="67"/>
      <c r="G368" s="67"/>
      <c r="H368" s="67"/>
      <c r="I368" s="67"/>
      <c r="J368" s="67"/>
      <c r="K368" s="67"/>
      <c r="L368" s="67"/>
    </row>
    <row r="369" spans="1:12" ht="12.75">
      <c r="A369" s="78"/>
      <c r="B369" s="67"/>
      <c r="C369" s="67"/>
      <c r="D369" s="67"/>
      <c r="E369" s="67"/>
      <c r="F369" s="67"/>
      <c r="G369" s="67"/>
      <c r="H369" s="67"/>
      <c r="I369" s="67"/>
      <c r="J369" s="67"/>
      <c r="K369" s="67"/>
      <c r="L369" s="67"/>
    </row>
    <row r="370" spans="1:12" ht="12.75">
      <c r="A370" s="78"/>
      <c r="B370" s="67"/>
      <c r="C370" s="67"/>
      <c r="D370" s="67"/>
      <c r="E370" s="67"/>
      <c r="F370" s="67"/>
      <c r="G370" s="67"/>
      <c r="H370" s="67"/>
      <c r="I370" s="67"/>
      <c r="J370" s="67"/>
      <c r="K370" s="67"/>
      <c r="L370" s="67"/>
    </row>
    <row r="371" spans="1:12" ht="12.75">
      <c r="A371" s="78"/>
      <c r="B371" s="67"/>
      <c r="C371" s="67"/>
      <c r="D371" s="67"/>
      <c r="E371" s="67"/>
      <c r="F371" s="67"/>
      <c r="G371" s="67"/>
      <c r="H371" s="67"/>
      <c r="I371" s="67"/>
      <c r="J371" s="67"/>
      <c r="K371" s="67"/>
      <c r="L371" s="67"/>
    </row>
    <row r="372" spans="1:12" ht="12.75">
      <c r="A372" s="78"/>
      <c r="B372" s="67"/>
      <c r="C372" s="67"/>
      <c r="D372" s="67"/>
      <c r="E372" s="67"/>
      <c r="F372" s="67"/>
      <c r="G372" s="67"/>
      <c r="H372" s="67"/>
      <c r="I372" s="67"/>
      <c r="J372" s="67"/>
      <c r="K372" s="67"/>
      <c r="L372" s="67"/>
    </row>
    <row r="373" spans="1:12" ht="12.75">
      <c r="A373" s="78"/>
      <c r="B373" s="67"/>
      <c r="C373" s="67"/>
      <c r="D373" s="67"/>
      <c r="E373" s="67"/>
      <c r="F373" s="67"/>
      <c r="G373" s="67"/>
      <c r="H373" s="67"/>
      <c r="I373" s="67"/>
      <c r="J373" s="67"/>
      <c r="K373" s="67"/>
      <c r="L373" s="67"/>
    </row>
    <row r="374" spans="1:12" ht="12.75">
      <c r="A374" s="78"/>
      <c r="B374" s="67"/>
      <c r="C374" s="67"/>
      <c r="D374" s="67"/>
      <c r="E374" s="67"/>
      <c r="F374" s="67"/>
      <c r="G374" s="67"/>
      <c r="H374" s="67"/>
      <c r="I374" s="67"/>
      <c r="J374" s="67"/>
      <c r="K374" s="67"/>
      <c r="L374" s="67"/>
    </row>
    <row r="375" spans="1:12" ht="12.75">
      <c r="A375" s="78"/>
      <c r="B375" s="67"/>
      <c r="C375" s="67"/>
      <c r="D375" s="67"/>
      <c r="E375" s="67"/>
      <c r="F375" s="67"/>
      <c r="G375" s="67"/>
      <c r="H375" s="67"/>
      <c r="I375" s="67"/>
      <c r="J375" s="67"/>
      <c r="K375" s="67"/>
      <c r="L375" s="67"/>
    </row>
    <row r="376" spans="1:12" ht="12.75">
      <c r="A376" s="78"/>
      <c r="B376" s="67"/>
      <c r="C376" s="67"/>
      <c r="D376" s="67"/>
      <c r="E376" s="67"/>
      <c r="F376" s="67"/>
      <c r="G376" s="67"/>
      <c r="H376" s="67"/>
      <c r="I376" s="67"/>
      <c r="J376" s="67"/>
      <c r="K376" s="67"/>
      <c r="L376" s="67"/>
    </row>
    <row r="377" spans="1:12" ht="12.75">
      <c r="A377" s="78"/>
      <c r="B377" s="67"/>
      <c r="C377" s="67"/>
      <c r="D377" s="67"/>
      <c r="E377" s="67"/>
      <c r="F377" s="67"/>
      <c r="G377" s="67"/>
      <c r="H377" s="67"/>
      <c r="I377" s="67"/>
      <c r="J377" s="67"/>
      <c r="K377" s="67"/>
      <c r="L377" s="67"/>
    </row>
    <row r="378" spans="1:12" ht="12.75">
      <c r="A378" s="78"/>
      <c r="B378" s="67"/>
      <c r="C378" s="67"/>
      <c r="D378" s="67"/>
      <c r="E378" s="67"/>
      <c r="F378" s="67"/>
      <c r="G378" s="67"/>
      <c r="H378" s="67"/>
      <c r="I378" s="67"/>
      <c r="J378" s="67"/>
      <c r="K378" s="67"/>
      <c r="L378" s="67"/>
    </row>
    <row r="379" spans="1:12" ht="12.75">
      <c r="A379" s="78"/>
      <c r="B379" s="67"/>
      <c r="C379" s="67"/>
      <c r="D379" s="67"/>
      <c r="E379" s="67"/>
      <c r="F379" s="67"/>
      <c r="G379" s="67"/>
      <c r="H379" s="67"/>
      <c r="I379" s="67"/>
      <c r="J379" s="67"/>
      <c r="K379" s="67"/>
      <c r="L379" s="67"/>
    </row>
    <row r="380" spans="1:12" ht="12.75">
      <c r="A380" s="78"/>
      <c r="B380" s="67"/>
      <c r="C380" s="67"/>
      <c r="D380" s="67"/>
      <c r="E380" s="67"/>
      <c r="F380" s="67"/>
      <c r="G380" s="67"/>
      <c r="H380" s="67"/>
      <c r="I380" s="67"/>
      <c r="J380" s="67"/>
      <c r="K380" s="67"/>
      <c r="L380" s="67"/>
    </row>
    <row r="381" spans="1:12" ht="12.75">
      <c r="A381" s="78"/>
      <c r="B381" s="67"/>
      <c r="C381" s="67"/>
      <c r="D381" s="67"/>
      <c r="E381" s="67"/>
      <c r="F381" s="67"/>
      <c r="G381" s="67"/>
      <c r="H381" s="67"/>
      <c r="I381" s="67"/>
      <c r="J381" s="67"/>
      <c r="K381" s="67"/>
      <c r="L381" s="67"/>
    </row>
    <row r="382" spans="1:12" ht="12.75">
      <c r="A382" s="78"/>
      <c r="B382" s="67"/>
      <c r="C382" s="67"/>
      <c r="D382" s="67"/>
      <c r="E382" s="67"/>
      <c r="F382" s="67"/>
      <c r="G382" s="67"/>
      <c r="H382" s="67"/>
      <c r="I382" s="67"/>
      <c r="J382" s="67"/>
      <c r="K382" s="67"/>
      <c r="L382" s="67"/>
    </row>
    <row r="383" spans="1:12" ht="12.75">
      <c r="A383" s="78"/>
      <c r="B383" s="67"/>
      <c r="C383" s="67"/>
      <c r="D383" s="67"/>
      <c r="E383" s="67"/>
      <c r="F383" s="67"/>
      <c r="G383" s="67"/>
      <c r="H383" s="67"/>
      <c r="I383" s="67"/>
      <c r="J383" s="67"/>
      <c r="K383" s="67"/>
      <c r="L383" s="67"/>
    </row>
    <row r="384" spans="1:12" ht="12.75">
      <c r="A384" s="78"/>
      <c r="B384" s="67"/>
      <c r="C384" s="67"/>
      <c r="D384" s="67"/>
      <c r="E384" s="67"/>
      <c r="F384" s="67"/>
      <c r="G384" s="67"/>
      <c r="H384" s="67"/>
      <c r="I384" s="67"/>
      <c r="J384" s="67"/>
      <c r="K384" s="67"/>
      <c r="L384" s="67"/>
    </row>
    <row r="385" spans="1:12" ht="12.75">
      <c r="A385" s="78"/>
      <c r="B385" s="67"/>
      <c r="C385" s="67"/>
      <c r="D385" s="67"/>
      <c r="E385" s="67"/>
      <c r="F385" s="67"/>
      <c r="G385" s="67"/>
      <c r="H385" s="67"/>
      <c r="I385" s="67"/>
      <c r="J385" s="67"/>
      <c r="K385" s="67"/>
      <c r="L385" s="67"/>
    </row>
    <row r="386" spans="1:12" ht="12.75">
      <c r="A386" s="78"/>
      <c r="B386" s="67"/>
      <c r="C386" s="67"/>
      <c r="D386" s="67"/>
      <c r="E386" s="67"/>
      <c r="F386" s="67"/>
      <c r="G386" s="67"/>
      <c r="H386" s="67"/>
      <c r="I386" s="67"/>
      <c r="J386" s="67"/>
      <c r="K386" s="67"/>
      <c r="L386" s="67"/>
    </row>
    <row r="387" spans="1:12" ht="12.75">
      <c r="A387" s="78"/>
      <c r="B387" s="67"/>
      <c r="C387" s="67"/>
      <c r="D387" s="67"/>
      <c r="E387" s="67"/>
      <c r="F387" s="67"/>
      <c r="G387" s="67"/>
      <c r="H387" s="67"/>
      <c r="I387" s="67"/>
      <c r="J387" s="67"/>
      <c r="K387" s="67"/>
      <c r="L387" s="67"/>
    </row>
    <row r="388" spans="1:12" ht="12.75">
      <c r="A388" s="78"/>
      <c r="B388" s="67"/>
      <c r="C388" s="67"/>
      <c r="D388" s="67"/>
      <c r="E388" s="67"/>
      <c r="F388" s="67"/>
      <c r="G388" s="67"/>
      <c r="H388" s="67"/>
      <c r="I388" s="67"/>
      <c r="J388" s="67"/>
      <c r="K388" s="67"/>
      <c r="L388" s="67"/>
    </row>
    <row r="389" spans="1:12" ht="12.75">
      <c r="A389" s="78"/>
      <c r="B389" s="67"/>
      <c r="C389" s="67"/>
      <c r="D389" s="67"/>
      <c r="E389" s="67"/>
      <c r="F389" s="67"/>
      <c r="G389" s="67"/>
      <c r="H389" s="67"/>
      <c r="I389" s="67"/>
      <c r="J389" s="67"/>
      <c r="K389" s="67"/>
      <c r="L389" s="67"/>
    </row>
    <row r="390" spans="1:12" ht="12.75">
      <c r="A390" s="78"/>
      <c r="B390" s="67"/>
      <c r="C390" s="67"/>
      <c r="D390" s="67"/>
      <c r="E390" s="67"/>
      <c r="F390" s="67"/>
      <c r="G390" s="67"/>
      <c r="H390" s="67"/>
      <c r="I390" s="67"/>
      <c r="J390" s="67"/>
      <c r="K390" s="67"/>
      <c r="L390" s="67"/>
    </row>
    <row r="391" spans="1:12" ht="12.75">
      <c r="A391" s="78"/>
      <c r="B391" s="67"/>
      <c r="C391" s="67"/>
      <c r="D391" s="67"/>
      <c r="E391" s="67"/>
      <c r="F391" s="67"/>
      <c r="G391" s="67"/>
      <c r="H391" s="67"/>
      <c r="I391" s="67"/>
      <c r="J391" s="67"/>
      <c r="K391" s="67"/>
      <c r="L391" s="67"/>
    </row>
    <row r="392" spans="1:12" ht="12.75">
      <c r="A392" s="78"/>
      <c r="B392" s="67"/>
      <c r="C392" s="67"/>
      <c r="D392" s="67"/>
      <c r="E392" s="67"/>
      <c r="F392" s="67"/>
      <c r="G392" s="67"/>
      <c r="H392" s="67"/>
      <c r="I392" s="67"/>
      <c r="J392" s="67"/>
      <c r="K392" s="67"/>
      <c r="L392" s="67"/>
    </row>
    <row r="393" spans="1:12" ht="12.75">
      <c r="A393" s="78"/>
      <c r="B393" s="67"/>
      <c r="C393" s="67"/>
      <c r="D393" s="67"/>
      <c r="E393" s="67"/>
      <c r="F393" s="67"/>
      <c r="G393" s="67"/>
      <c r="H393" s="67"/>
      <c r="I393" s="67"/>
      <c r="J393" s="67"/>
      <c r="K393" s="67"/>
      <c r="L393" s="67"/>
    </row>
    <row r="394" spans="1:12" ht="12.75">
      <c r="A394" s="78"/>
      <c r="B394" s="67"/>
      <c r="C394" s="67"/>
      <c r="D394" s="67"/>
      <c r="E394" s="67"/>
      <c r="F394" s="67"/>
      <c r="G394" s="67"/>
      <c r="H394" s="67"/>
      <c r="I394" s="67"/>
      <c r="J394" s="67"/>
      <c r="K394" s="67"/>
      <c r="L394" s="67"/>
    </row>
    <row r="395" spans="1:12" ht="12.75">
      <c r="A395" s="78"/>
      <c r="B395" s="67"/>
      <c r="C395" s="67"/>
      <c r="D395" s="67"/>
      <c r="E395" s="67"/>
      <c r="F395" s="67"/>
      <c r="G395" s="67"/>
      <c r="H395" s="67"/>
      <c r="I395" s="67"/>
      <c r="J395" s="67"/>
      <c r="K395" s="67"/>
      <c r="L395" s="67"/>
    </row>
    <row r="396" spans="1:12" ht="12.75">
      <c r="A396" s="78"/>
      <c r="B396" s="67"/>
      <c r="C396" s="67"/>
      <c r="D396" s="67"/>
      <c r="E396" s="67"/>
      <c r="F396" s="67"/>
      <c r="G396" s="67"/>
      <c r="H396" s="67"/>
      <c r="I396" s="67"/>
      <c r="J396" s="67"/>
      <c r="K396" s="67"/>
      <c r="L396" s="67"/>
    </row>
    <row r="397" spans="1:12" ht="12.75">
      <c r="A397" s="78"/>
      <c r="B397" s="67"/>
      <c r="C397" s="67"/>
      <c r="D397" s="67"/>
      <c r="E397" s="67"/>
      <c r="F397" s="67"/>
      <c r="G397" s="67"/>
      <c r="H397" s="67"/>
      <c r="I397" s="67"/>
      <c r="J397" s="67"/>
      <c r="K397" s="67"/>
      <c r="L397" s="67"/>
    </row>
    <row r="398" spans="1:12" ht="12.75">
      <c r="A398" s="78"/>
      <c r="B398" s="67"/>
      <c r="C398" s="67"/>
      <c r="D398" s="67"/>
      <c r="E398" s="67"/>
      <c r="F398" s="67"/>
      <c r="G398" s="67"/>
      <c r="H398" s="67"/>
      <c r="I398" s="67"/>
      <c r="J398" s="67"/>
      <c r="K398" s="67"/>
      <c r="L398" s="67"/>
    </row>
    <row r="399" spans="1:12" ht="12.75">
      <c r="A399" s="78"/>
      <c r="B399" s="67"/>
      <c r="C399" s="67"/>
      <c r="D399" s="67"/>
      <c r="E399" s="67"/>
      <c r="F399" s="67"/>
      <c r="G399" s="67"/>
      <c r="H399" s="67"/>
      <c r="I399" s="67"/>
      <c r="J399" s="67"/>
      <c r="K399" s="67"/>
      <c r="L399" s="67"/>
    </row>
    <row r="400" spans="1:12" ht="12.75">
      <c r="A400" s="78"/>
      <c r="B400" s="67"/>
      <c r="C400" s="67"/>
      <c r="D400" s="67"/>
      <c r="E400" s="67"/>
      <c r="F400" s="67"/>
      <c r="G400" s="67"/>
      <c r="H400" s="67"/>
      <c r="I400" s="67"/>
      <c r="J400" s="67"/>
      <c r="K400" s="67"/>
      <c r="L400" s="67"/>
    </row>
    <row r="401" spans="1:12" ht="12.75">
      <c r="A401" s="78"/>
      <c r="B401" s="67"/>
      <c r="C401" s="67"/>
      <c r="D401" s="67"/>
      <c r="E401" s="67"/>
      <c r="F401" s="67"/>
      <c r="G401" s="67"/>
      <c r="H401" s="67"/>
      <c r="I401" s="67"/>
      <c r="J401" s="67"/>
      <c r="K401" s="67"/>
      <c r="L401" s="67"/>
    </row>
  </sheetData>
  <sheetProtection/>
  <mergeCells count="31">
    <mergeCell ref="A351:B351"/>
    <mergeCell ref="C351:H351"/>
    <mergeCell ref="I351:L351"/>
    <mergeCell ref="A352:B352"/>
    <mergeCell ref="C352:H352"/>
    <mergeCell ref="I352:L352"/>
    <mergeCell ref="A353:B353"/>
    <mergeCell ref="C353:H353"/>
    <mergeCell ref="I353:L353"/>
    <mergeCell ref="A244:B244"/>
    <mergeCell ref="E271:G271"/>
    <mergeCell ref="I271:K271"/>
    <mergeCell ref="A263:L263"/>
    <mergeCell ref="A264:L264"/>
    <mergeCell ref="A265:L265"/>
    <mergeCell ref="A266:L266"/>
    <mergeCell ref="A267:L267"/>
    <mergeCell ref="A134:L134"/>
    <mergeCell ref="A135:L135"/>
    <mergeCell ref="A136:L136"/>
    <mergeCell ref="A137:L137"/>
    <mergeCell ref="A138:L138"/>
    <mergeCell ref="E142:G142"/>
    <mergeCell ref="I142:K142"/>
    <mergeCell ref="A5:L5"/>
    <mergeCell ref="A6:L6"/>
    <mergeCell ref="A7:L7"/>
    <mergeCell ref="A8:L8"/>
    <mergeCell ref="A9:L9"/>
    <mergeCell ref="E13:G13"/>
    <mergeCell ref="I13:K13"/>
  </mergeCells>
  <printOptions horizontalCentered="1" verticalCentered="1"/>
  <pageMargins left="0.2362204724409449" right="0.2362204724409449" top="0" bottom="0" header="0.31496062992125984" footer="0.31496062992125984"/>
  <pageSetup fitToHeight="0" fitToWidth="1" horizontalDpi="600" verticalDpi="600" orientation="portrait" paperSize="9" scale="42" r:id="rId2"/>
  <rowBreaks count="2" manualBreakCount="2">
    <brk id="129" max="11" man="1"/>
    <brk id="258" max="11" man="1"/>
  </rowBreaks>
  <ignoredErrors>
    <ignoredError sqref="F145 H145:J145" formulaRange="1"/>
    <ignoredError sqref="E149:F149 E25:F25 E279:F279 E244 H244:J244 F243 L243 E240:F240 H239 L239 E282:F282 L282 E28:F28 H26 H27 E33:F33 H29 H30 H31 H32 H35 H36 E40 H38 E43:E44 H41 H42 H44:I44 E51:F51 H48:I48 E54:E55 H52 H53 E58 H56 H57 H59 E62 H61 E67:F67 H64 H65 H66 L26 L27 L29 L30 L31 L32 L35 L36 L38 L41 L42 L48 L52 L53 L56 L57 L59 L61 L64 L65 E70:E71 H68 E77:F77 H73 L68 L73 E79 H78 E81:F81 H80 E85 H82 H83 H84 E93:F93 H88 H89 H90 H91 L78 L80 L82 L83 L84 L88 L89 L90 L91 E95:E96 H94 E98:F98 H96:I96 L94 E100 H99 E110:E111 H101 H102 H103 H104 H105 H106 H107 H108 H109 E112:E113 H111:I111 E115:F115 H114 L99 L101 L102 L104 L105 L106 L107 L108 L111 L114 E120:F120 H116 H117 H118 E125 H121 H122 L116 L117 L121 L122 E154:F154 H150 E158:F158 H155 E160 H159 E167:F167 H161 H162 H163 H164 E170:E171 H168 H169 E172 H171:I171 E176:F176 H174 E178 H177 E181:E186 H180 E190:F190 H188 E194:F194 H191 E196:E198 H195 E206:F206 H199 H200 H201 E208 H207 H209 E215:F215 H211 H212 H213 E219:F219 H216 H217 E221:E223 H220 E224 H223:I223 E229:F229 H225 E231 H230 E234:F234 H232 H233 E238 H235 H236 H237 H281 H280 H284 E290:F290 H287 H288 H291 H292 E296:F296 H294:I294 E299:F299 H297 H298 E301:F301 H300 E303 H302 E305:F305 H304 E307:F307 H306 E309 H308 E313:F313 H310 H311 F315 H314 F317 H316 F319 H318 E323:F323 H320 E325:F325 H324 E328:F328 H326 E330:F330 H329 E332:F332 H331 F334 H333 F336 H335 E338:F338 H337 E341:F341 H339 H342 H279 H283 H282 H285:H286 H290 H293 H295:H296 H299 H301 H303 H305 H307 H309 H312:H313 H315 H317 H319 H323 H325 H327:H328 H330 H332 H334 H336 H338 H341 H343 L280 L281 L284 L287 L291 L294 L297 L300 L302 L304 L306 L308 L310 L311 L314 L316 L318 L320 L324 L326 L329 L331 L333 L335 L337 L339 L342 J279 J282 J290 J296 J299 J301 J305 J307 J313 J315 J317 J319 J323 J325 J328 J330 J332 J334 J336 J338 J341 I312:I313 I309 I307 I305 I303 I301 I299 I295:I296 I293 I290 I285 I282 I279 I278 L150 L159 L161 L164 E165 I165 L168 L169 L171 L174 L177 L180 J176 I178 I175:I176 I172 L191 L195 L199 L200 L201 L207 L209 L212 L213 L216 L220 L223 L225 I224 L230 L232 L233 L235 L236 L237 H149:J149 H243:J243 H240:J240 H154:J154 H158:J158 H160:I160 H167:J167 H170:I170 H172:H173 H175:H176 H178:H179 H181:I186 H190:J190 H194:J194 H196:I198 H206:J206 H208:I208 H210 H215 H218:H219 H221:H222 H224 H229:J229 H231:I231 H234:J234 H238:I238 H165 H226 L244 L155 L188 L211 L217 L165 L162 L163 L172:L173 L175:L176 L178:L179 L224 L226 L149 L240:L242 L151:L154 L156:L158 L160 L166:L167 L170 L181:L187 L189:L190 L192:L194 L196:L198 L202:L206 L208 L210 L214:L215 L218:L219 L221:L222 L227:L229 L231 L234 L238 H25:J25 H28:J28 H33:J33 H37 H40:I40 H43:I43 H45:H47 H51:J51 H54:I55 H58:I58 H60 H62:I62 H67:J67 H70:I71 H77:J77 H79:I79 H81:J81 H85:I85 H93:J93 H95:I95 H98:J98 H100:I100 H110:I110 H112:I113 H115:J115 H120:J120 H123:I126 L44 L66 L60 L96 L103 L109 L118 L25 L28 L33:L34 L37 L39:L40 L43 L45:L47 L49:L51 L54:L55 L58 L62:L63 L67 L69:L72 L74:L77 L79 L81 L85:L87 L92:L93 L95 L97:L98 L100 L110 L112:L113 L115 L119:L120 L123:L127 L288 L292 L298 L279 L283 L285:L286 L290 L293 L295:L296 L299 L301 L303 L305 L307 L309 L312:L313 L315 L317 L319 L323 L325 L327:L328 L330 L332 L334 L336 L338 L341 L343 E34 E48:E50 H34:I34 H49:I50 E86 H86:I86 H92 E97 H97:I97 H119 E123:E124 E126 H127 E151 H151:I153 H166 E175 E192 H192:I192 E202:E204 H202:I203 H214 H227:I227 E285 E45:E47 E205 E334 E336:E337 E74:E76 E242 E241 E156:E157 E189 E218 H39 I45:I47 H63 H72 H87 H193 H205:I205 J215 J219 I221:I222 I218:I219 I215 H74:I76 H156:I157 H189:I189 H241:I242 E295 E322 H322 H69 H187 H204:I204 H228 E318:E319 E317 E315 E314 E316 E320 I322 I336 I334 I332 I330 I328 I325 I323 I319 I317 I338 I341 I315 I314 I316 I339 I318 I320:I321 I324 I326:I327 I329 I331 I333 I335 I337 E331 E333" formula="1"/>
    <ignoredError sqref="A17:A127 A145:A243 A340:A343 A275:A339" numberStoredAsText="1"/>
    <ignoredError sqref="G342 G343 G339 G341 G337 G338 G335 G336 G333 G334 G331 G332 G329 G330 G326 G327:G328 G324 G325 G320 G323 G318 G319 G316 G317 G314 G315 G311 G310 G312:G313 G308 G309 G306 G307 G304 G305 G302 G303 G300 G301 G298 G297 G299 G294 G295:G296 G292 G291 G293 G288 G287 G290 G284 G285:G286 G280 G281 G282 G283 G279 G226 G165 G237 G236 G235 G238 G233 G232 G234 G230 G231 G225 G227:G229 G223 G224 G220 G221:G222 G217 G216 G218:G219 G213 G212 G211 G214:G215 G209 G210 G207 G208 G201 G200 G199 G202:G206 G195 G196:G198 G191 G192:G194 G188 G189:G190 G180 G181:G187 G177 G178:G179 G174 G175:G176 G171 G172:G173 G169 G168 G170 G164 G163 G162 G161 G166:G167 G159 G160 G155 G156:G158 G150 G151:G154 G239 G240:G242 G243 G244 G149 K238 K234 K231 K227:K229 K221:K222 K218:K219 K214:K215 K210 K208 K202:K206 K196:K198 K192:K194 K189:K190 K181:K187 K170 K166:K167 K160 K156:K158 K151:K154 K240:K242 K149 K237 K236 K235 K233 K232 K230 K226 K224 K225 K223 K220 K216 K213 K212 K209 K207 K201 K200 K199 K195 K191 K178:K179 K175:K176 K172:K173 K180 K177 K174 K171 K169 K168 K163 K162 K165 K164 K161 K159 K150 K217 K211 K188 K155 K244 G122 G121 G123:G127 G118 G117 G116 G119:G120 G114 G115 G111 G112:G113 G109 G108 G107 G106 G105 G104 G103 G102 G101 G110 G99 G100 G96 G97:G98 G94 G95 G91 G90 G89 G88 G92:G93 G84 G83 G82 G85:G87 G80 G81 G78 G79 G73 G74:G77 G68 G69:G72 G66 G65 G64 G67 G61 G62:G63 G59 G60 G57 G56 G58 G53 G52 G54:G55 G48 G49:G51 G44 G45:G47 G42 G41 G43 G38 G39:G40 G36 G35 G37 G32 G31 G30 G29 G33:G34 G27 G26 G28 G25 K123:K127 K119:K120 K115 K112:K113 K110 K100 K97:K98 K95 K92:K93 K85:K87 K81 K79 K74:K77 K69:K72 K67 K62:K63 K58 K54:K55 K49:K51 K45:K47 K43 K39:K40 K37 K33:K34 K28 K25 K122 K121 K117 K116 K118 K114 K111 K108 K107 K106 K105 K104 K102 K101 K99 K109 K103 K94 K96 K91 K90 K89 K88 K84 K83 K82 K80 K78 K73 K68 K60 K65 K64 K61 K59 K57 K56 K53 K52 K48 K42 K41 K38 K36 K35 K32 K31 K30 K29 K27 K26 K66 K44 K343 K341 K338 K336 K334 K332 K330 K327:K328 K325 K323 K319 K317 K315 K312:K313 K309 K307 K305 K303 K301 K299 K295:K296 K293 K290 K285:K286 K283 K279 K298 K292 K288 K342 K339 K337 K335 K333 K331 K329 K326 K324 K320 K318 K316 K314 K311 K310 K308 K306 K304 K302 K300 K297 K294 K291 K287 K284 K281 K280 G145 K145" evalError="1" formula="1"/>
    <ignoredError sqref="G274:G278 G146:G148 K146:K148 K239 K243 G16:G24 K16:K24 K274:K278 K282 G289 G321:G322 G340 K340" evalError="1"/>
    <ignoredError sqref="G145 K145" evalError="1" formulaRange="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sefcon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Dcpacheco</dc:creator>
  <cp:keywords/>
  <dc:description/>
  <cp:lastModifiedBy>Yago Barros Barbosa</cp:lastModifiedBy>
  <cp:lastPrinted>2019-09-17T15:43:47Z</cp:lastPrinted>
  <dcterms:created xsi:type="dcterms:W3CDTF">2005-03-08T15:13:02Z</dcterms:created>
  <dcterms:modified xsi:type="dcterms:W3CDTF">2019-09-27T16:38:20Z</dcterms:modified>
  <cp:category/>
  <cp:version/>
  <cp:contentType/>
  <cp:contentStatus/>
</cp:coreProperties>
</file>